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nbridge-my.sharepoint.com/personal/ahale_spectraenergy_com/Documents/Desktop/ANGE PDF FOR FILING D2C/LIVE EXCEL/"/>
    </mc:Choice>
  </mc:AlternateContent>
  <xr:revisionPtr revIDLastSave="0" documentId="8_{F5129D66-A3AA-4D3A-8E99-AC90F79F77F1}" xr6:coauthVersionLast="47" xr6:coauthVersionMax="47" xr10:uidLastSave="{00000000-0000-0000-0000-000000000000}"/>
  <bookViews>
    <workbookView xWindow="-120" yWindow="-120" windowWidth="29040" windowHeight="15840" activeTab="4" xr2:uid="{F022A6AF-E101-49E9-ABD1-52CAB0BEE01D}"/>
  </bookViews>
  <sheets>
    <sheet name="Option Overview" sheetId="1" r:id="rId1"/>
    <sheet name="NPV Summary" sheetId="33" r:id="rId2"/>
    <sheet name="Option 1 Dawn Corunna" sheetId="17" r:id="rId3"/>
    <sheet name="#1-With Volatility" sheetId="2" r:id="rId4"/>
    <sheet name="#1-Without Volatility" sheetId="3" r:id="rId5"/>
    <sheet name="Simplified Cost of Services" sheetId="4" state="hidden" r:id="rId6"/>
    <sheet name="#1 Cost of Service" sheetId="24" r:id="rId7"/>
    <sheet name="Gas Flow" sheetId="25" r:id="rId8"/>
    <sheet name="Option 1 Dawn Corunna Weather" sheetId="29" r:id="rId9"/>
    <sheet name="#1-With Volatility Weather" sheetId="30" r:id="rId10"/>
    <sheet name="#1-Without Volatility Weather" sheetId="31" r:id="rId11"/>
    <sheet name="Option 2 Market Storage" sheetId="18" r:id="rId12"/>
    <sheet name="#2-Storage Value" sheetId="5" r:id="rId13"/>
    <sheet name="#2-Commodity" sheetId="6" r:id="rId14"/>
    <sheet name="Option 2 Market Storage 1.2%" sheetId="26" r:id="rId15"/>
    <sheet name="#2-Storage Value 1.2%" sheetId="27" r:id="rId16"/>
    <sheet name="#2-Commodity 1.2%" sheetId="28" r:id="rId17"/>
    <sheet name="Compare 1.2% and 4.5%" sheetId="32" r:id="rId18"/>
    <sheet name="Option 3 Pipeline" sheetId="21" r:id="rId19"/>
    <sheet name="#3-With Volatility" sheetId="14" r:id="rId20"/>
    <sheet name="#3-Without Volatility" sheetId="15" r:id="rId21"/>
    <sheet name="Option 4 Delivered Service" sheetId="22" r:id="rId22"/>
    <sheet name="#4 Delivered Service" sheetId="16" r:id="rId23"/>
  </sheets>
  <definedNames>
    <definedName name="After_Tax_Cost_of_Capital">'Option Overview'!$D$24</definedName>
    <definedName name="Gross_Rate_of_Return_on_Rate_Base">'Option Overview'!$D$25</definedName>
    <definedName name="Inflation">'Option Overview'!$D$23</definedName>
    <definedName name="Start_Year">'Option Overview'!$D$22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5" i="25" l="1"/>
  <c r="C8" i="16"/>
  <c r="AA10" i="5" l="1"/>
  <c r="N51" i="17"/>
  <c r="N52" i="17" s="1"/>
  <c r="N53" i="17" s="1"/>
  <c r="N54" i="17" s="1"/>
  <c r="N55" i="17" s="1"/>
  <c r="N56" i="17" s="1"/>
  <c r="N57" i="17" s="1"/>
  <c r="N58" i="17" s="1"/>
  <c r="N59" i="17" s="1"/>
  <c r="N60" i="17" s="1"/>
  <c r="N61" i="17" s="1"/>
  <c r="N62" i="17" s="1"/>
  <c r="N63" i="17" s="1"/>
  <c r="N64" i="17" s="1"/>
  <c r="N65" i="17" s="1"/>
  <c r="N66" i="17" s="1"/>
  <c r="N67" i="17" s="1"/>
  <c r="N68" i="17" s="1"/>
  <c r="N69" i="17" s="1"/>
  <c r="N70" i="17" s="1"/>
  <c r="N71" i="17" s="1"/>
  <c r="N72" i="17" s="1"/>
  <c r="N73" i="17" s="1"/>
  <c r="N74" i="17" s="1"/>
  <c r="N75" i="17" s="1"/>
  <c r="N76" i="17" s="1"/>
  <c r="N77" i="17" s="1"/>
  <c r="N78" i="17" s="1"/>
  <c r="N79" i="17" s="1"/>
  <c r="N80" i="17" s="1"/>
  <c r="N81" i="17" s="1"/>
  <c r="N82" i="17" s="1"/>
  <c r="N83" i="17" s="1"/>
  <c r="N84" i="17" s="1"/>
  <c r="N85" i="17" s="1"/>
  <c r="N86" i="17" s="1"/>
  <c r="N87" i="17" s="1"/>
  <c r="N88" i="17" s="1"/>
  <c r="N89" i="17" s="1"/>
  <c r="N90" i="17" s="1"/>
  <c r="O4" i="33" l="1"/>
  <c r="P4" i="33"/>
  <c r="Q4" i="33"/>
  <c r="M4" i="33"/>
  <c r="N4" i="33"/>
  <c r="L4" i="33"/>
  <c r="D4" i="33"/>
  <c r="Z38" i="32"/>
  <c r="AA25" i="32"/>
  <c r="AB25" i="32"/>
  <c r="AC25" i="32"/>
  <c r="AD25" i="32"/>
  <c r="AA26" i="32"/>
  <c r="AB26" i="32"/>
  <c r="AC26" i="32"/>
  <c r="AD26" i="32"/>
  <c r="AA27" i="32"/>
  <c r="AB27" i="32"/>
  <c r="AC27" i="32"/>
  <c r="AD27" i="32"/>
  <c r="AA28" i="32"/>
  <c r="AB28" i="32"/>
  <c r="AC28" i="32"/>
  <c r="AD28" i="32"/>
  <c r="AA29" i="32"/>
  <c r="AB29" i="32"/>
  <c r="AC29" i="32"/>
  <c r="AD29" i="32"/>
  <c r="AA30" i="32"/>
  <c r="AB30" i="32"/>
  <c r="AC30" i="32"/>
  <c r="AD30" i="32"/>
  <c r="AA31" i="32"/>
  <c r="AB31" i="32"/>
  <c r="AC31" i="32"/>
  <c r="AD31" i="32"/>
  <c r="AA32" i="32"/>
  <c r="AB32" i="32"/>
  <c r="AC32" i="32"/>
  <c r="AD32" i="32"/>
  <c r="AA33" i="32"/>
  <c r="AB33" i="32"/>
  <c r="AC33" i="32"/>
  <c r="AD33" i="32"/>
  <c r="AA34" i="32"/>
  <c r="AB34" i="32"/>
  <c r="AC34" i="32"/>
  <c r="AD34" i="32"/>
  <c r="AA35" i="32"/>
  <c r="AB35" i="32"/>
  <c r="AC35" i="32"/>
  <c r="AD35" i="32"/>
  <c r="AA36" i="32"/>
  <c r="AB36" i="32"/>
  <c r="AC36" i="32"/>
  <c r="AD36" i="32"/>
  <c r="AA37" i="32"/>
  <c r="AB37" i="32"/>
  <c r="AC37" i="32"/>
  <c r="AD37" i="32"/>
  <c r="AA38" i="32"/>
  <c r="AB38" i="32"/>
  <c r="AC38" i="32"/>
  <c r="AD38" i="32"/>
  <c r="Z26" i="32"/>
  <c r="Z27" i="32"/>
  <c r="Z28" i="32"/>
  <c r="Z29" i="32"/>
  <c r="Z30" i="32"/>
  <c r="Z31" i="32"/>
  <c r="Z32" i="32"/>
  <c r="Z33" i="32"/>
  <c r="Z34" i="32"/>
  <c r="Z35" i="32"/>
  <c r="Z36" i="32"/>
  <c r="Z37" i="32"/>
  <c r="Z25" i="32"/>
  <c r="S34" i="32" l="1"/>
  <c r="E37" i="32"/>
  <c r="F37" i="32"/>
  <c r="G37" i="32"/>
  <c r="E38" i="32"/>
  <c r="G38" i="32"/>
  <c r="H38" i="32"/>
  <c r="D38" i="32"/>
  <c r="D37" i="32"/>
  <c r="D26" i="32"/>
  <c r="E26" i="32"/>
  <c r="F26" i="32"/>
  <c r="G26" i="32"/>
  <c r="H26" i="32"/>
  <c r="I26" i="32"/>
  <c r="E27" i="32"/>
  <c r="F27" i="32"/>
  <c r="D28" i="32"/>
  <c r="E28" i="32"/>
  <c r="G28" i="32"/>
  <c r="H28" i="32"/>
  <c r="I28" i="32"/>
  <c r="D29" i="32"/>
  <c r="E29" i="32"/>
  <c r="I29" i="32"/>
  <c r="D30" i="32"/>
  <c r="E30" i="32"/>
  <c r="F30" i="32"/>
  <c r="G30" i="32"/>
  <c r="H30" i="32"/>
  <c r="I30" i="32"/>
  <c r="D31" i="32"/>
  <c r="E31" i="32"/>
  <c r="F31" i="32"/>
  <c r="I31" i="32"/>
  <c r="D32" i="32"/>
  <c r="G32" i="32"/>
  <c r="H32" i="32"/>
  <c r="E33" i="32"/>
  <c r="D34" i="32"/>
  <c r="E34" i="32"/>
  <c r="F34" i="32"/>
  <c r="G34" i="32"/>
  <c r="H34" i="32"/>
  <c r="I34" i="32"/>
  <c r="E35" i="32"/>
  <c r="F35" i="32"/>
  <c r="D36" i="32"/>
  <c r="E36" i="32"/>
  <c r="G36" i="32"/>
  <c r="H36" i="32"/>
  <c r="I36" i="32"/>
  <c r="I25" i="32"/>
  <c r="E25" i="32"/>
  <c r="U32" i="32" l="1"/>
  <c r="D25" i="32"/>
  <c r="Q36" i="32"/>
  <c r="Q28" i="32"/>
  <c r="J48" i="32"/>
  <c r="H33" i="32"/>
  <c r="H25" i="32"/>
  <c r="P35" i="32"/>
  <c r="P27" i="32"/>
  <c r="T37" i="32"/>
  <c r="T35" i="32"/>
  <c r="T33" i="32"/>
  <c r="T31" i="32"/>
  <c r="T29" i="32"/>
  <c r="T27" i="32"/>
  <c r="T25" i="32"/>
  <c r="G33" i="32"/>
  <c r="G25" i="32"/>
  <c r="P34" i="32"/>
  <c r="P26" i="32"/>
  <c r="S37" i="32"/>
  <c r="S35" i="32"/>
  <c r="S33" i="32"/>
  <c r="S31" i="32"/>
  <c r="S29" i="32"/>
  <c r="S27" i="32"/>
  <c r="S25" i="32"/>
  <c r="U34" i="32"/>
  <c r="F36" i="32"/>
  <c r="F32" i="32"/>
  <c r="F28" i="32"/>
  <c r="J28" i="32" s="1"/>
  <c r="R34" i="32"/>
  <c r="R26" i="32"/>
  <c r="P33" i="32"/>
  <c r="P37" i="32"/>
  <c r="R37" i="32"/>
  <c r="R35" i="32"/>
  <c r="R33" i="32"/>
  <c r="R31" i="32"/>
  <c r="R29" i="32"/>
  <c r="R27" i="32"/>
  <c r="R25" i="32"/>
  <c r="U33" i="32"/>
  <c r="T32" i="32"/>
  <c r="I35" i="32"/>
  <c r="I27" i="32"/>
  <c r="F38" i="32"/>
  <c r="S26" i="32"/>
  <c r="I33" i="32"/>
  <c r="D35" i="32"/>
  <c r="D27" i="32"/>
  <c r="U35" i="32"/>
  <c r="G29" i="32"/>
  <c r="I37" i="32"/>
  <c r="P32" i="32"/>
  <c r="P38" i="32"/>
  <c r="Q37" i="32"/>
  <c r="Q35" i="32"/>
  <c r="Q33" i="32"/>
  <c r="V72" i="32"/>
  <c r="V70" i="32"/>
  <c r="Q27" i="32"/>
  <c r="Q25" i="32"/>
  <c r="F25" i="32"/>
  <c r="J25" i="32" s="1"/>
  <c r="F33" i="32"/>
  <c r="F29" i="32"/>
  <c r="I38" i="32"/>
  <c r="P31" i="32"/>
  <c r="T38" i="32"/>
  <c r="T36" i="32"/>
  <c r="T34" i="32"/>
  <c r="T30" i="32"/>
  <c r="T28" i="32"/>
  <c r="T26" i="32"/>
  <c r="U25" i="32"/>
  <c r="U31" i="32"/>
  <c r="P30" i="32"/>
  <c r="S38" i="32"/>
  <c r="S36" i="32"/>
  <c r="S32" i="32"/>
  <c r="S30" i="32"/>
  <c r="S28" i="32"/>
  <c r="U38" i="32"/>
  <c r="U30" i="32"/>
  <c r="H35" i="32"/>
  <c r="J35" i="32" s="1"/>
  <c r="D33" i="32"/>
  <c r="H31" i="32"/>
  <c r="H27" i="32"/>
  <c r="P25" i="32"/>
  <c r="P29" i="32"/>
  <c r="R38" i="32"/>
  <c r="R36" i="32"/>
  <c r="R32" i="32"/>
  <c r="R30" i="32"/>
  <c r="R28" i="32"/>
  <c r="U37" i="32"/>
  <c r="U29" i="32"/>
  <c r="H29" i="32"/>
  <c r="U27" i="32"/>
  <c r="G35" i="32"/>
  <c r="I32" i="32"/>
  <c r="J32" i="32" s="1"/>
  <c r="G31" i="32"/>
  <c r="G27" i="32"/>
  <c r="H37" i="32"/>
  <c r="J37" i="32" s="1"/>
  <c r="E32" i="32"/>
  <c r="P36" i="32"/>
  <c r="P28" i="32"/>
  <c r="Q38" i="32"/>
  <c r="Q34" i="32"/>
  <c r="Q32" i="32"/>
  <c r="Q30" i="32"/>
  <c r="Q26" i="32"/>
  <c r="U36" i="32"/>
  <c r="U28" i="32"/>
  <c r="J34" i="32"/>
  <c r="V76" i="32"/>
  <c r="V67" i="32"/>
  <c r="Q31" i="32"/>
  <c r="Q29" i="32"/>
  <c r="V68" i="32"/>
  <c r="V77" i="32"/>
  <c r="V69" i="32"/>
  <c r="J30" i="32"/>
  <c r="U26" i="32"/>
  <c r="J36" i="32"/>
  <c r="V71" i="32"/>
  <c r="V75" i="32"/>
  <c r="V73" i="32"/>
  <c r="V79" i="32"/>
  <c r="V78" i="32"/>
  <c r="V74" i="32"/>
  <c r="V66" i="32"/>
  <c r="J67" i="32"/>
  <c r="J72" i="32"/>
  <c r="J71" i="32"/>
  <c r="J79" i="32"/>
  <c r="J75" i="32"/>
  <c r="J66" i="32"/>
  <c r="J70" i="32"/>
  <c r="J74" i="32"/>
  <c r="J69" i="32"/>
  <c r="J73" i="32"/>
  <c r="J77" i="32"/>
  <c r="J78" i="32"/>
  <c r="J68" i="32"/>
  <c r="J76" i="32"/>
  <c r="J26" i="32"/>
  <c r="J54" i="32"/>
  <c r="J52" i="32"/>
  <c r="J50" i="32"/>
  <c r="J55" i="32"/>
  <c r="J56" i="32"/>
  <c r="J46" i="32"/>
  <c r="J59" i="32"/>
  <c r="J58" i="32"/>
  <c r="J53" i="32"/>
  <c r="J51" i="32"/>
  <c r="J47" i="32"/>
  <c r="J57" i="32"/>
  <c r="J49" i="32"/>
  <c r="V50" i="32"/>
  <c r="V54" i="32"/>
  <c r="V56" i="32"/>
  <c r="V55" i="32"/>
  <c r="V52" i="32"/>
  <c r="V51" i="32"/>
  <c r="V48" i="32"/>
  <c r="V46" i="32"/>
  <c r="V49" i="32"/>
  <c r="V47" i="32"/>
  <c r="V58" i="32"/>
  <c r="V57" i="32"/>
  <c r="V53" i="32"/>
  <c r="V59" i="32"/>
  <c r="J31" i="32" l="1"/>
  <c r="V27" i="32"/>
  <c r="V35" i="32"/>
  <c r="V34" i="32"/>
  <c r="V26" i="32"/>
  <c r="V28" i="32"/>
  <c r="J38" i="32"/>
  <c r="V37" i="32"/>
  <c r="V29" i="32"/>
  <c r="V38" i="32"/>
  <c r="V33" i="32"/>
  <c r="J33" i="32"/>
  <c r="V25" i="32"/>
  <c r="V32" i="32"/>
  <c r="V30" i="32"/>
  <c r="J29" i="32"/>
  <c r="V31" i="32"/>
  <c r="J27" i="32"/>
  <c r="V36" i="32"/>
  <c r="I16" i="31" l="1"/>
  <c r="N16" i="31" s="1"/>
  <c r="I5" i="31"/>
  <c r="E8" i="31"/>
  <c r="I12" i="31"/>
  <c r="N12" i="31" s="1"/>
  <c r="I13" i="31"/>
  <c r="E4" i="31"/>
  <c r="M16" i="30"/>
  <c r="M5" i="30"/>
  <c r="U5" i="30" s="1"/>
  <c r="M7" i="30"/>
  <c r="U7" i="30" s="1"/>
  <c r="M8" i="30"/>
  <c r="M11" i="30"/>
  <c r="U11" i="30" s="1"/>
  <c r="M12" i="30"/>
  <c r="U12" i="30" s="1"/>
  <c r="M15" i="30"/>
  <c r="U15" i="30" s="1"/>
  <c r="K5" i="30"/>
  <c r="K7" i="30"/>
  <c r="D11" i="29" s="1"/>
  <c r="G9" i="30"/>
  <c r="K15" i="30"/>
  <c r="D19" i="29" s="1"/>
  <c r="L17" i="30"/>
  <c r="L8" i="30"/>
  <c r="T8" i="30" s="1"/>
  <c r="L10" i="30"/>
  <c r="L11" i="30"/>
  <c r="L4" i="30"/>
  <c r="T4" i="30" s="1"/>
  <c r="E17" i="31"/>
  <c r="E11" i="31"/>
  <c r="J7" i="30"/>
  <c r="R7" i="30" s="1"/>
  <c r="J11" i="30"/>
  <c r="R11" i="30" s="1"/>
  <c r="J13" i="30"/>
  <c r="J15" i="30"/>
  <c r="R15" i="30" s="1"/>
  <c r="H4" i="31"/>
  <c r="M4" i="31" s="1"/>
  <c r="I4" i="31"/>
  <c r="N4" i="31" s="1"/>
  <c r="E5" i="31"/>
  <c r="H5" i="31"/>
  <c r="M5" i="31" s="1"/>
  <c r="E6" i="31"/>
  <c r="H6" i="31"/>
  <c r="J6" i="31" s="1"/>
  <c r="H22" i="31" s="1"/>
  <c r="I6" i="31"/>
  <c r="N6" i="31" s="1"/>
  <c r="E7" i="31"/>
  <c r="H7" i="31"/>
  <c r="M7" i="31" s="1"/>
  <c r="I7" i="31"/>
  <c r="N7" i="31" s="1"/>
  <c r="H8" i="31"/>
  <c r="M8" i="31" s="1"/>
  <c r="I8" i="31"/>
  <c r="N8" i="31" s="1"/>
  <c r="E9" i="31"/>
  <c r="H9" i="31"/>
  <c r="J9" i="31" s="1"/>
  <c r="H25" i="31" s="1"/>
  <c r="I9" i="31"/>
  <c r="N9" i="31" s="1"/>
  <c r="E10" i="31"/>
  <c r="H10" i="31"/>
  <c r="J10" i="31" s="1"/>
  <c r="H26" i="31" s="1"/>
  <c r="I10" i="31"/>
  <c r="N10" i="31" s="1"/>
  <c r="I11" i="31"/>
  <c r="N11" i="31" s="1"/>
  <c r="E13" i="31"/>
  <c r="H13" i="31"/>
  <c r="M13" i="31"/>
  <c r="E14" i="31"/>
  <c r="H14" i="31"/>
  <c r="I14" i="31"/>
  <c r="N14" i="31" s="1"/>
  <c r="J14" i="31"/>
  <c r="H30" i="31" s="1"/>
  <c r="M14" i="31"/>
  <c r="E15" i="31"/>
  <c r="H15" i="31"/>
  <c r="I15" i="31"/>
  <c r="N15" i="31" s="1"/>
  <c r="M15" i="31"/>
  <c r="I17" i="31"/>
  <c r="N17" i="31" s="1"/>
  <c r="M4" i="30"/>
  <c r="U4" i="30" s="1"/>
  <c r="J4" i="30"/>
  <c r="K4" i="30"/>
  <c r="L5" i="30"/>
  <c r="K6" i="30"/>
  <c r="M6" i="30"/>
  <c r="L6" i="30"/>
  <c r="T6" i="30" s="1"/>
  <c r="L7" i="30"/>
  <c r="G8" i="30"/>
  <c r="J8" i="30"/>
  <c r="R8" i="30" s="1"/>
  <c r="M9" i="30"/>
  <c r="U9" i="30" s="1"/>
  <c r="J9" i="30"/>
  <c r="R9" i="30" s="1"/>
  <c r="L9" i="30"/>
  <c r="G10" i="30"/>
  <c r="M10" i="30"/>
  <c r="U10" i="30" s="1"/>
  <c r="J10" i="30"/>
  <c r="R10" i="30" s="1"/>
  <c r="K11" i="30"/>
  <c r="D15" i="29" s="1"/>
  <c r="J12" i="30"/>
  <c r="R12" i="30" s="1"/>
  <c r="L12" i="30"/>
  <c r="T12" i="30" s="1"/>
  <c r="M13" i="30"/>
  <c r="U13" i="30" s="1"/>
  <c r="L13" i="30"/>
  <c r="K14" i="30"/>
  <c r="M14" i="30"/>
  <c r="U14" i="30" s="1"/>
  <c r="L14" i="30"/>
  <c r="T14" i="30" s="1"/>
  <c r="L15" i="30"/>
  <c r="J16" i="30"/>
  <c r="R16" i="30" s="1"/>
  <c r="L16" i="30"/>
  <c r="T16" i="30" s="1"/>
  <c r="G17" i="30"/>
  <c r="M17" i="30"/>
  <c r="U17" i="30" s="1"/>
  <c r="J17" i="30"/>
  <c r="R17" i="30" s="1"/>
  <c r="K17" i="30"/>
  <c r="E51" i="29"/>
  <c r="E52" i="29" s="1"/>
  <c r="E53" i="29" s="1"/>
  <c r="E54" i="29" s="1"/>
  <c r="E55" i="29" s="1"/>
  <c r="E56" i="29" s="1"/>
  <c r="E57" i="29" s="1"/>
  <c r="E58" i="29" s="1"/>
  <c r="E59" i="29" s="1"/>
  <c r="E60" i="29" s="1"/>
  <c r="E61" i="29" s="1"/>
  <c r="E62" i="29" s="1"/>
  <c r="E63" i="29" s="1"/>
  <c r="E64" i="29" s="1"/>
  <c r="E65" i="29" s="1"/>
  <c r="E66" i="29" s="1"/>
  <c r="E67" i="29" s="1"/>
  <c r="E68" i="29" s="1"/>
  <c r="E69" i="29" s="1"/>
  <c r="E70" i="29" s="1"/>
  <c r="E71" i="29" s="1"/>
  <c r="E72" i="29" s="1"/>
  <c r="E73" i="29" s="1"/>
  <c r="E74" i="29" s="1"/>
  <c r="E75" i="29" s="1"/>
  <c r="E76" i="29" s="1"/>
  <c r="E77" i="29" s="1"/>
  <c r="E78" i="29" s="1"/>
  <c r="E79" i="29" s="1"/>
  <c r="E80" i="29" s="1"/>
  <c r="E81" i="29" s="1"/>
  <c r="E82" i="29" s="1"/>
  <c r="E83" i="29" s="1"/>
  <c r="E84" i="29" s="1"/>
  <c r="E85" i="29" s="1"/>
  <c r="E86" i="29" s="1"/>
  <c r="E87" i="29" s="1"/>
  <c r="E88" i="29" s="1"/>
  <c r="E89" i="29" s="1"/>
  <c r="E90" i="29" s="1"/>
  <c r="F5" i="29"/>
  <c r="G5" i="29"/>
  <c r="F6" i="29"/>
  <c r="G6" i="29"/>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10" i="27"/>
  <c r="H9" i="32"/>
  <c r="H10" i="32"/>
  <c r="H11" i="32"/>
  <c r="H13" i="32"/>
  <c r="H14" i="32"/>
  <c r="H17" i="32"/>
  <c r="H18" i="32"/>
  <c r="J15" i="28"/>
  <c r="E18" i="32" s="1"/>
  <c r="J4" i="28"/>
  <c r="E7" i="32" s="1"/>
  <c r="AM44" i="28"/>
  <c r="AL44" i="28"/>
  <c r="K37" i="28"/>
  <c r="S37" i="28" s="1"/>
  <c r="K36" i="28"/>
  <c r="S36" i="28" s="1"/>
  <c r="K35" i="28"/>
  <c r="S35" i="28" s="1"/>
  <c r="K34" i="28"/>
  <c r="S34" i="28" s="1"/>
  <c r="K33" i="28"/>
  <c r="S33" i="28" s="1"/>
  <c r="K32" i="28"/>
  <c r="S32" i="28" s="1"/>
  <c r="K31" i="28"/>
  <c r="S31" i="28" s="1"/>
  <c r="K30" i="28"/>
  <c r="S30" i="28" s="1"/>
  <c r="K29" i="28"/>
  <c r="S29" i="28" s="1"/>
  <c r="K28" i="28"/>
  <c r="S28" i="28" s="1"/>
  <c r="K27" i="28"/>
  <c r="S27" i="28" s="1"/>
  <c r="K26" i="28"/>
  <c r="S26" i="28" s="1"/>
  <c r="K25" i="28"/>
  <c r="S25" i="28" s="1"/>
  <c r="K24" i="28"/>
  <c r="S24" i="28" s="1"/>
  <c r="J16" i="28"/>
  <c r="E19" i="32" s="1"/>
  <c r="L15" i="28"/>
  <c r="L14" i="28"/>
  <c r="T14" i="28" s="1"/>
  <c r="J14" i="28"/>
  <c r="E17" i="32" s="1"/>
  <c r="L11" i="28"/>
  <c r="L10" i="28"/>
  <c r="L8" i="28"/>
  <c r="L7" i="28"/>
  <c r="L6" i="28"/>
  <c r="J5" i="28"/>
  <c r="E8" i="32" s="1"/>
  <c r="AN4" i="28"/>
  <c r="E5" i="27"/>
  <c r="O47" i="26"/>
  <c r="O46" i="26"/>
  <c r="O45" i="26"/>
  <c r="O44" i="26"/>
  <c r="O43" i="26"/>
  <c r="O42" i="26"/>
  <c r="O41" i="26"/>
  <c r="O40" i="26"/>
  <c r="O39" i="26"/>
  <c r="O38" i="26"/>
  <c r="O37" i="26"/>
  <c r="O36" i="26"/>
  <c r="O35" i="26"/>
  <c r="O34" i="26"/>
  <c r="O33" i="26"/>
  <c r="O32" i="26"/>
  <c r="O31" i="26"/>
  <c r="O30" i="26"/>
  <c r="O29" i="26"/>
  <c r="O28" i="26"/>
  <c r="O27" i="26"/>
  <c r="O26" i="26"/>
  <c r="O25" i="26"/>
  <c r="O24" i="26"/>
  <c r="O23" i="26"/>
  <c r="O22" i="26"/>
  <c r="O21" i="26"/>
  <c r="O20" i="26"/>
  <c r="O19" i="26"/>
  <c r="O18" i="26"/>
  <c r="O17" i="26"/>
  <c r="O16" i="26"/>
  <c r="O15" i="26"/>
  <c r="O14" i="26"/>
  <c r="O13" i="26"/>
  <c r="O12" i="26"/>
  <c r="O11" i="26"/>
  <c r="O10" i="26"/>
  <c r="O9" i="26"/>
  <c r="O8" i="26"/>
  <c r="Q6" i="26"/>
  <c r="G6" i="26"/>
  <c r="E6" i="26"/>
  <c r="Q5" i="26"/>
  <c r="G5" i="26"/>
  <c r="E5" i="26"/>
  <c r="M10" i="31" l="1"/>
  <c r="M6" i="31"/>
  <c r="O6" i="31" s="1"/>
  <c r="M9" i="31"/>
  <c r="O9" i="31" s="1"/>
  <c r="O14" i="30"/>
  <c r="AE14" i="30" s="1"/>
  <c r="H18" i="29" s="1"/>
  <c r="S5" i="30"/>
  <c r="D9" i="29"/>
  <c r="S4" i="30"/>
  <c r="D8" i="29"/>
  <c r="S14" i="30"/>
  <c r="D18" i="29"/>
  <c r="S6" i="30"/>
  <c r="D10" i="29"/>
  <c r="L13" i="28"/>
  <c r="T13" i="28" s="1"/>
  <c r="H16" i="32"/>
  <c r="L5" i="28"/>
  <c r="H8" i="32"/>
  <c r="L12" i="28"/>
  <c r="H15" i="32"/>
  <c r="L16" i="28"/>
  <c r="T16" i="28" s="1"/>
  <c r="H19" i="32"/>
  <c r="L17" i="28"/>
  <c r="H20" i="32"/>
  <c r="L9" i="28"/>
  <c r="H12" i="32"/>
  <c r="L4" i="28"/>
  <c r="H7" i="32"/>
  <c r="G13" i="30"/>
  <c r="G11" i="30"/>
  <c r="K9" i="30"/>
  <c r="G4" i="30"/>
  <c r="N7" i="30"/>
  <c r="AB7" i="30" s="1"/>
  <c r="O4" i="30"/>
  <c r="AE4" i="30" s="1"/>
  <c r="H8" i="29" s="1"/>
  <c r="N11" i="30"/>
  <c r="AB11" i="30" s="1"/>
  <c r="R18" i="30"/>
  <c r="O14" i="31"/>
  <c r="L3" i="27"/>
  <c r="M3" i="27" s="1"/>
  <c r="K21" i="27" s="1"/>
  <c r="P21" i="27" s="1"/>
  <c r="N5" i="31"/>
  <c r="O5" i="31" s="1"/>
  <c r="J5" i="31"/>
  <c r="H21" i="31" s="1"/>
  <c r="N13" i="31"/>
  <c r="O13" i="31" s="1"/>
  <c r="J13" i="31"/>
  <c r="H29" i="31" s="1"/>
  <c r="O15" i="31"/>
  <c r="J15" i="31"/>
  <c r="H31" i="31" s="1"/>
  <c r="O10" i="31"/>
  <c r="J7" i="31"/>
  <c r="H23" i="31" s="1"/>
  <c r="O8" i="31"/>
  <c r="J8" i="31"/>
  <c r="H24" i="31" s="1"/>
  <c r="O4" i="31"/>
  <c r="J4" i="31"/>
  <c r="H20" i="31" s="1"/>
  <c r="U16" i="30"/>
  <c r="W16" i="30" s="1"/>
  <c r="O16" i="30"/>
  <c r="W14" i="30"/>
  <c r="W12" i="30"/>
  <c r="G15" i="30"/>
  <c r="K13" i="30"/>
  <c r="G7" i="30"/>
  <c r="G5" i="30"/>
  <c r="N4" i="30"/>
  <c r="AB4" i="30" s="1"/>
  <c r="T10" i="30"/>
  <c r="W10" i="30" s="1"/>
  <c r="O10" i="30"/>
  <c r="AE10" i="30" s="1"/>
  <c r="H14" i="29" s="1"/>
  <c r="O17" i="30"/>
  <c r="T17" i="30"/>
  <c r="W17" i="30" s="1"/>
  <c r="E16" i="31"/>
  <c r="H16" i="31"/>
  <c r="O13" i="30"/>
  <c r="AE13" i="30" s="1"/>
  <c r="H17" i="29" s="1"/>
  <c r="T13" i="30"/>
  <c r="W13" i="30" s="1"/>
  <c r="E12" i="31"/>
  <c r="H12" i="31"/>
  <c r="U8" i="30"/>
  <c r="W8" i="30" s="1"/>
  <c r="O8" i="30"/>
  <c r="AE8" i="30" s="1"/>
  <c r="H12" i="29" s="1"/>
  <c r="G6" i="30"/>
  <c r="J6" i="30"/>
  <c r="J7" i="28"/>
  <c r="E10" i="32" s="1"/>
  <c r="G14" i="30"/>
  <c r="J14" i="30"/>
  <c r="T15" i="28"/>
  <c r="O11" i="30"/>
  <c r="AE11" i="30" s="1"/>
  <c r="H15" i="29" s="1"/>
  <c r="T11" i="30"/>
  <c r="W11" i="30" s="1"/>
  <c r="N17" i="30"/>
  <c r="S17" i="30"/>
  <c r="V17" i="30" s="1"/>
  <c r="AB24" i="30" s="1"/>
  <c r="O15" i="30"/>
  <c r="AE15" i="30" s="1"/>
  <c r="H19" i="29" s="1"/>
  <c r="T15" i="30"/>
  <c r="W4" i="30"/>
  <c r="R13" i="30"/>
  <c r="N15" i="30"/>
  <c r="AB15" i="30" s="1"/>
  <c r="S15" i="30"/>
  <c r="O5" i="30"/>
  <c r="AE5" i="30" s="1"/>
  <c r="H9" i="29" s="1"/>
  <c r="T5" i="30"/>
  <c r="W5" i="30" s="1"/>
  <c r="G12" i="30"/>
  <c r="K12" i="30"/>
  <c r="G16" i="30"/>
  <c r="K16" i="30"/>
  <c r="S16" i="30" s="1"/>
  <c r="V16" i="30" s="1"/>
  <c r="AB20" i="30" s="1"/>
  <c r="O7" i="30"/>
  <c r="AE7" i="30" s="1"/>
  <c r="H11" i="29" s="1"/>
  <c r="T7" i="30"/>
  <c r="W7" i="30" s="1"/>
  <c r="O9" i="30"/>
  <c r="AE9" i="30" s="1"/>
  <c r="H13" i="29" s="1"/>
  <c r="T9" i="30"/>
  <c r="W9" i="30" s="1"/>
  <c r="U6" i="30"/>
  <c r="W6" i="30" s="1"/>
  <c r="O6" i="30"/>
  <c r="AE6" i="30" s="1"/>
  <c r="H10" i="29" s="1"/>
  <c r="O7" i="31"/>
  <c r="O12" i="30"/>
  <c r="AE12" i="30" s="1"/>
  <c r="H16" i="29" s="1"/>
  <c r="J5" i="30"/>
  <c r="S11" i="30"/>
  <c r="V11" i="30" s="1"/>
  <c r="S9" i="30"/>
  <c r="V9" i="30" s="1"/>
  <c r="S7" i="30"/>
  <c r="V7" i="30" s="1"/>
  <c r="R4" i="30"/>
  <c r="V4" i="30" s="1"/>
  <c r="H17" i="31"/>
  <c r="H11" i="31"/>
  <c r="K10" i="30"/>
  <c r="K8" i="30"/>
  <c r="T10" i="28"/>
  <c r="R4" i="28"/>
  <c r="AC34" i="27"/>
  <c r="F32" i="26" s="1"/>
  <c r="AC30" i="27"/>
  <c r="F28" i="26" s="1"/>
  <c r="AC26" i="27"/>
  <c r="F24" i="26" s="1"/>
  <c r="AC48" i="27"/>
  <c r="F46" i="26" s="1"/>
  <c r="AC25" i="27"/>
  <c r="F23" i="26" s="1"/>
  <c r="AC18" i="27"/>
  <c r="F16" i="26" s="1"/>
  <c r="AC15" i="27"/>
  <c r="F13" i="26" s="1"/>
  <c r="AC45" i="27"/>
  <c r="F43" i="26" s="1"/>
  <c r="AC23" i="27"/>
  <c r="F21" i="26" s="1"/>
  <c r="AC31" i="27"/>
  <c r="F29" i="26" s="1"/>
  <c r="AC42" i="27"/>
  <c r="F40" i="26" s="1"/>
  <c r="AC33" i="27"/>
  <c r="F31" i="26" s="1"/>
  <c r="AC19" i="27"/>
  <c r="F17" i="26" s="1"/>
  <c r="AC13" i="27"/>
  <c r="F11" i="26" s="1"/>
  <c r="AC44" i="27"/>
  <c r="F42" i="26" s="1"/>
  <c r="AC10" i="27"/>
  <c r="AC37" i="27"/>
  <c r="F35" i="26" s="1"/>
  <c r="AC27" i="27"/>
  <c r="F25" i="26" s="1"/>
  <c r="AC24" i="27"/>
  <c r="F22" i="26" s="1"/>
  <c r="R5" i="28"/>
  <c r="AC32" i="27"/>
  <c r="F30" i="26" s="1"/>
  <c r="AA8" i="27"/>
  <c r="AC11" i="27"/>
  <c r="F9" i="26" s="1"/>
  <c r="AC21" i="27"/>
  <c r="F19" i="26" s="1"/>
  <c r="R7" i="28"/>
  <c r="AC17" i="27"/>
  <c r="F15" i="26" s="1"/>
  <c r="AC47" i="27"/>
  <c r="F45" i="26" s="1"/>
  <c r="J28" i="28"/>
  <c r="E28" i="28"/>
  <c r="AC29" i="27"/>
  <c r="F27" i="26" s="1"/>
  <c r="AC41" i="27"/>
  <c r="F39" i="26" s="1"/>
  <c r="AC12" i="27"/>
  <c r="F10" i="26" s="1"/>
  <c r="AC20" i="27"/>
  <c r="F18" i="26" s="1"/>
  <c r="J8" i="28"/>
  <c r="E11" i="32" s="1"/>
  <c r="D24" i="27"/>
  <c r="J6" i="28"/>
  <c r="E9" i="32" s="1"/>
  <c r="J11" i="28"/>
  <c r="E14" i="32" s="1"/>
  <c r="J12" i="28"/>
  <c r="E15" i="32" s="1"/>
  <c r="S38" i="28"/>
  <c r="O6" i="26"/>
  <c r="O5" i="26"/>
  <c r="AC35" i="27"/>
  <c r="F33" i="26" s="1"/>
  <c r="AC40" i="27"/>
  <c r="F38" i="26" s="1"/>
  <c r="J36" i="28"/>
  <c r="E36" i="28"/>
  <c r="AC22" i="27"/>
  <c r="F20" i="26" s="1"/>
  <c r="AC28" i="27"/>
  <c r="F26" i="26" s="1"/>
  <c r="AC38" i="27"/>
  <c r="F36" i="26" s="1"/>
  <c r="J13" i="28"/>
  <c r="E16" i="32" s="1"/>
  <c r="AC16" i="27"/>
  <c r="F14" i="26" s="1"/>
  <c r="AC39" i="27"/>
  <c r="F37" i="26" s="1"/>
  <c r="J37" i="28"/>
  <c r="E37" i="28"/>
  <c r="R15" i="28"/>
  <c r="AC36" i="27"/>
  <c r="F34" i="26" s="1"/>
  <c r="E24" i="27"/>
  <c r="T6" i="28"/>
  <c r="T12" i="28"/>
  <c r="T8" i="28"/>
  <c r="J17" i="28"/>
  <c r="E20" i="32" s="1"/>
  <c r="AC43" i="27"/>
  <c r="F41" i="26" s="1"/>
  <c r="AC49" i="27"/>
  <c r="F47" i="26" s="1"/>
  <c r="J9" i="28"/>
  <c r="E12" i="32" s="1"/>
  <c r="J10" i="28"/>
  <c r="E13" i="32" s="1"/>
  <c r="R16" i="28"/>
  <c r="J30" i="28"/>
  <c r="E30" i="28"/>
  <c r="J33" i="28"/>
  <c r="E33" i="28"/>
  <c r="T11" i="28"/>
  <c r="R14" i="28"/>
  <c r="AC46" i="27"/>
  <c r="F44" i="26" s="1"/>
  <c r="T5" i="28"/>
  <c r="T7" i="28"/>
  <c r="T9" i="28"/>
  <c r="J25" i="28"/>
  <c r="E25" i="28"/>
  <c r="J29" i="28"/>
  <c r="E29" i="28"/>
  <c r="J35" i="28"/>
  <c r="E35" i="28"/>
  <c r="AC14" i="27"/>
  <c r="F12" i="26" s="1"/>
  <c r="T17" i="28"/>
  <c r="J27" i="28"/>
  <c r="E27" i="28"/>
  <c r="J24" i="28"/>
  <c r="E24" i="28"/>
  <c r="J32" i="28"/>
  <c r="E32" i="28"/>
  <c r="J26" i="28"/>
  <c r="E26" i="28"/>
  <c r="J34" i="28"/>
  <c r="E34" i="28"/>
  <c r="J31" i="28"/>
  <c r="E31" i="28"/>
  <c r="T4" i="28"/>
  <c r="L13" i="27" l="1"/>
  <c r="K17" i="27"/>
  <c r="P17" i="27" s="1"/>
  <c r="K18" i="27"/>
  <c r="P18" i="27" s="1"/>
  <c r="K14" i="27"/>
  <c r="P14" i="27" s="1"/>
  <c r="L20" i="27"/>
  <c r="L14" i="27"/>
  <c r="K11" i="27"/>
  <c r="P11" i="27" s="1"/>
  <c r="S11" i="27" s="1"/>
  <c r="L17" i="27"/>
  <c r="M17" i="27" s="1"/>
  <c r="R17" i="27" s="1"/>
  <c r="L23" i="27"/>
  <c r="K19" i="27"/>
  <c r="P19" i="27" s="1"/>
  <c r="L11" i="27"/>
  <c r="L21" i="27"/>
  <c r="K15" i="27"/>
  <c r="P15" i="27" s="1"/>
  <c r="L12" i="27"/>
  <c r="K10" i="27"/>
  <c r="P10" i="27" s="1"/>
  <c r="S10" i="27" s="1"/>
  <c r="L19" i="27"/>
  <c r="M19" i="27" s="1"/>
  <c r="R19" i="27" s="1"/>
  <c r="L18" i="27"/>
  <c r="K22" i="27"/>
  <c r="P22" i="27" s="1"/>
  <c r="K16" i="27"/>
  <c r="P16" i="27" s="1"/>
  <c r="K20" i="27"/>
  <c r="P20" i="27" s="1"/>
  <c r="K12" i="27"/>
  <c r="P12" i="27" s="1"/>
  <c r="K13" i="27"/>
  <c r="P13" i="27" s="1"/>
  <c r="S13" i="27" s="1"/>
  <c r="K23" i="27"/>
  <c r="P23" i="27" s="1"/>
  <c r="S23" i="27" s="1"/>
  <c r="V23" i="27" s="1"/>
  <c r="L16" i="27"/>
  <c r="M16" i="27" s="1"/>
  <c r="R16" i="27" s="1"/>
  <c r="L15" i="27"/>
  <c r="L10" i="27"/>
  <c r="L22" i="27"/>
  <c r="S13" i="30"/>
  <c r="D17" i="29"/>
  <c r="N9" i="30"/>
  <c r="AB9" i="30" s="1"/>
  <c r="D13" i="29"/>
  <c r="S8" i="30"/>
  <c r="V8" i="30" s="1"/>
  <c r="D12" i="29"/>
  <c r="S10" i="30"/>
  <c r="V10" i="30" s="1"/>
  <c r="D14" i="29"/>
  <c r="V13" i="30"/>
  <c r="S12" i="30"/>
  <c r="V12" i="30" s="1"/>
  <c r="D16" i="29"/>
  <c r="N13" i="30"/>
  <c r="AB13" i="30" s="1"/>
  <c r="U18" i="30"/>
  <c r="N8" i="30"/>
  <c r="AB8" i="30" s="1"/>
  <c r="J11" i="31"/>
  <c r="H27" i="31" s="1"/>
  <c r="M11" i="31"/>
  <c r="O11" i="31" s="1"/>
  <c r="J17" i="31"/>
  <c r="M17" i="31"/>
  <c r="O17" i="31" s="1"/>
  <c r="H40" i="31" s="1"/>
  <c r="N14" i="30"/>
  <c r="AB14" i="30" s="1"/>
  <c r="R14" i="30"/>
  <c r="V14" i="30" s="1"/>
  <c r="N6" i="30"/>
  <c r="AB6" i="30" s="1"/>
  <c r="R6" i="30"/>
  <c r="V6" i="30" s="1"/>
  <c r="N10" i="30"/>
  <c r="AB10" i="30" s="1"/>
  <c r="J12" i="31"/>
  <c r="H28" i="31" s="1"/>
  <c r="M12" i="31"/>
  <c r="O12" i="31" s="1"/>
  <c r="V15" i="30"/>
  <c r="V18" i="30" s="1"/>
  <c r="S18" i="30"/>
  <c r="N12" i="30"/>
  <c r="AB12" i="30" s="1"/>
  <c r="J16" i="31"/>
  <c r="M16" i="31"/>
  <c r="O16" i="31" s="1"/>
  <c r="N5" i="30"/>
  <c r="AB5" i="30" s="1"/>
  <c r="R5" i="30"/>
  <c r="V5" i="30" s="1"/>
  <c r="N16" i="30"/>
  <c r="W15" i="30"/>
  <c r="W18" i="30" s="1"/>
  <c r="T18" i="30"/>
  <c r="S17" i="27"/>
  <c r="R11" i="28"/>
  <c r="R27" i="28"/>
  <c r="T27" i="28" s="1"/>
  <c r="L27" i="28"/>
  <c r="J45" i="28" s="1"/>
  <c r="AC7" i="28" s="1"/>
  <c r="S16" i="27"/>
  <c r="M18" i="27"/>
  <c r="R18" i="27" s="1"/>
  <c r="R36" i="28"/>
  <c r="T36" i="28" s="1"/>
  <c r="L36" i="28"/>
  <c r="R17" i="28"/>
  <c r="S15" i="27"/>
  <c r="M21" i="27"/>
  <c r="R21" i="27" s="1"/>
  <c r="S21" i="27"/>
  <c r="M22" i="27"/>
  <c r="R22" i="27" s="1"/>
  <c r="U22" i="27" s="1"/>
  <c r="S22" i="27"/>
  <c r="V22" i="27" s="1"/>
  <c r="R32" i="28"/>
  <c r="T32" i="28" s="1"/>
  <c r="L32" i="28"/>
  <c r="J50" i="28" s="1"/>
  <c r="AC12" i="28" s="1"/>
  <c r="R29" i="28"/>
  <c r="T29" i="28" s="1"/>
  <c r="L29" i="28"/>
  <c r="J47" i="28" s="1"/>
  <c r="AC9" i="28" s="1"/>
  <c r="R10" i="28"/>
  <c r="S18" i="27"/>
  <c r="M20" i="27"/>
  <c r="R20" i="27" s="1"/>
  <c r="S20" i="27"/>
  <c r="R28" i="28"/>
  <c r="T28" i="28" s="1"/>
  <c r="L28" i="28"/>
  <c r="J46" i="28" s="1"/>
  <c r="AC8" i="28" s="1"/>
  <c r="AC5" i="27"/>
  <c r="F8" i="26"/>
  <c r="R26" i="28"/>
  <c r="T26" i="28" s="1"/>
  <c r="L26" i="28"/>
  <c r="J44" i="28" s="1"/>
  <c r="AC6" i="28" s="1"/>
  <c r="R35" i="28"/>
  <c r="L35" i="28"/>
  <c r="J53" i="28" s="1"/>
  <c r="AC15" i="28" s="1"/>
  <c r="R31" i="28"/>
  <c r="T31" i="28" s="1"/>
  <c r="L31" i="28"/>
  <c r="J49" i="28" s="1"/>
  <c r="AC11" i="28" s="1"/>
  <c r="S19" i="27"/>
  <c r="M12" i="27"/>
  <c r="R12" i="27" s="1"/>
  <c r="S12" i="27"/>
  <c r="S14" i="27"/>
  <c r="M14" i="27"/>
  <c r="R14" i="27" s="1"/>
  <c r="R8" i="28"/>
  <c r="R34" i="28"/>
  <c r="T34" i="28" s="1"/>
  <c r="L34" i="28"/>
  <c r="J52" i="28" s="1"/>
  <c r="AC14" i="28" s="1"/>
  <c r="R30" i="28"/>
  <c r="T30" i="28" s="1"/>
  <c r="L30" i="28"/>
  <c r="J48" i="28" s="1"/>
  <c r="AC10" i="28" s="1"/>
  <c r="R6" i="28"/>
  <c r="R24" i="28"/>
  <c r="T24" i="28" s="1"/>
  <c r="L24" i="28"/>
  <c r="J42" i="28" s="1"/>
  <c r="AC4" i="28" s="1"/>
  <c r="R25" i="28"/>
  <c r="T25" i="28" s="1"/>
  <c r="L25" i="28"/>
  <c r="J43" i="28" s="1"/>
  <c r="AC5" i="28" s="1"/>
  <c r="R33" i="28"/>
  <c r="T33" i="28" s="1"/>
  <c r="L33" i="28"/>
  <c r="J51" i="28" s="1"/>
  <c r="AC13" i="28" s="1"/>
  <c r="R9" i="28"/>
  <c r="R37" i="28"/>
  <c r="T37" i="28" s="1"/>
  <c r="L37" i="28"/>
  <c r="R13" i="28"/>
  <c r="R12" i="28"/>
  <c r="T18" i="28"/>
  <c r="M23" i="27" l="1"/>
  <c r="R23" i="27" s="1"/>
  <c r="U23" i="27" s="1"/>
  <c r="M13" i="27"/>
  <c r="R13" i="27" s="1"/>
  <c r="M11" i="27"/>
  <c r="R11" i="27" s="1"/>
  <c r="M10" i="27"/>
  <c r="R10" i="27" s="1"/>
  <c r="M15" i="27"/>
  <c r="R15" i="27" s="1"/>
  <c r="D47" i="29"/>
  <c r="D39" i="29"/>
  <c r="D31" i="29"/>
  <c r="D23" i="29"/>
  <c r="D35" i="29"/>
  <c r="D46" i="29"/>
  <c r="D38" i="29"/>
  <c r="D30" i="29"/>
  <c r="D22" i="29"/>
  <c r="D45" i="29"/>
  <c r="D37" i="29"/>
  <c r="D29" i="29"/>
  <c r="D21" i="29"/>
  <c r="D27" i="29"/>
  <c r="D44" i="29"/>
  <c r="D36" i="29"/>
  <c r="D28" i="29"/>
  <c r="D20" i="29"/>
  <c r="D43" i="29"/>
  <c r="D42" i="29"/>
  <c r="D34" i="29"/>
  <c r="D26" i="29"/>
  <c r="D32" i="29"/>
  <c r="D24" i="29"/>
  <c r="D41" i="29"/>
  <c r="D33" i="29"/>
  <c r="D25" i="29"/>
  <c r="D40" i="29"/>
  <c r="AE18" i="30"/>
  <c r="H22" i="29" s="1"/>
  <c r="AE26" i="30"/>
  <c r="H30" i="29" s="1"/>
  <c r="AE34" i="30"/>
  <c r="H38" i="29" s="1"/>
  <c r="AE42" i="30"/>
  <c r="H46" i="29" s="1"/>
  <c r="AE16" i="30"/>
  <c r="H20" i="29" s="1"/>
  <c r="AE23" i="30"/>
  <c r="H27" i="29" s="1"/>
  <c r="AE31" i="30"/>
  <c r="H35" i="29" s="1"/>
  <c r="AE39" i="30"/>
  <c r="H43" i="29" s="1"/>
  <c r="AE22" i="30"/>
  <c r="H26" i="29" s="1"/>
  <c r="AE30" i="30"/>
  <c r="H34" i="29" s="1"/>
  <c r="AE38" i="30"/>
  <c r="H42" i="29" s="1"/>
  <c r="AE17" i="30"/>
  <c r="H21" i="29" s="1"/>
  <c r="AE19" i="30"/>
  <c r="H23" i="29" s="1"/>
  <c r="AE27" i="30"/>
  <c r="H31" i="29" s="1"/>
  <c r="AE35" i="30"/>
  <c r="H39" i="29" s="1"/>
  <c r="AE43" i="30"/>
  <c r="H47" i="29" s="1"/>
  <c r="AE28" i="30"/>
  <c r="H32" i="29" s="1"/>
  <c r="AE25" i="30"/>
  <c r="H29" i="29" s="1"/>
  <c r="AE41" i="30"/>
  <c r="H45" i="29" s="1"/>
  <c r="AE32" i="30"/>
  <c r="H36" i="29" s="1"/>
  <c r="AE29" i="30"/>
  <c r="H33" i="29" s="1"/>
  <c r="AE20" i="30"/>
  <c r="H24" i="29" s="1"/>
  <c r="AE36" i="30"/>
  <c r="H40" i="29" s="1"/>
  <c r="AE33" i="30"/>
  <c r="H37" i="29" s="1"/>
  <c r="AE24" i="30"/>
  <c r="H28" i="29" s="1"/>
  <c r="AE40" i="30"/>
  <c r="H44" i="29" s="1"/>
  <c r="AE37" i="30"/>
  <c r="H41" i="29" s="1"/>
  <c r="AE21" i="30"/>
  <c r="H25" i="29" s="1"/>
  <c r="H36" i="31"/>
  <c r="O18" i="31"/>
  <c r="AB22" i="30"/>
  <c r="AB30" i="30"/>
  <c r="AB38" i="30"/>
  <c r="AB17" i="30"/>
  <c r="AB19" i="30"/>
  <c r="AB27" i="30"/>
  <c r="AB35" i="30"/>
  <c r="AB43" i="30"/>
  <c r="AB18" i="30"/>
  <c r="AB26" i="30"/>
  <c r="AB34" i="30"/>
  <c r="AB42" i="30"/>
  <c r="AB16" i="30"/>
  <c r="AB23" i="30"/>
  <c r="AB31" i="30"/>
  <c r="AB39" i="30"/>
  <c r="AB32" i="30"/>
  <c r="AB29" i="30"/>
  <c r="AB36" i="30"/>
  <c r="AB33" i="30"/>
  <c r="AB40" i="30"/>
  <c r="AB21" i="30"/>
  <c r="AB37" i="30"/>
  <c r="AB28" i="30"/>
  <c r="AB41" i="30"/>
  <c r="AB25" i="30"/>
  <c r="V13" i="27"/>
  <c r="V12" i="27"/>
  <c r="V10" i="27"/>
  <c r="Z16" i="27"/>
  <c r="AB16" i="27" s="1"/>
  <c r="P14" i="26" s="1"/>
  <c r="U16" i="27"/>
  <c r="V16" i="27"/>
  <c r="U14" i="27"/>
  <c r="Z14" i="27"/>
  <c r="AB14" i="27" s="1"/>
  <c r="P12" i="26" s="1"/>
  <c r="V15" i="27"/>
  <c r="U12" i="27"/>
  <c r="Z12" i="27"/>
  <c r="AB12" i="27" s="1"/>
  <c r="P10" i="26" s="1"/>
  <c r="U20" i="27"/>
  <c r="Z20" i="27"/>
  <c r="AB20" i="27" s="1"/>
  <c r="P18" i="26" s="1"/>
  <c r="V11" i="27"/>
  <c r="V17" i="27"/>
  <c r="V19" i="27"/>
  <c r="U19" i="27"/>
  <c r="Z19" i="27"/>
  <c r="AB19" i="27" s="1"/>
  <c r="P17" i="26" s="1"/>
  <c r="Z13" i="27"/>
  <c r="AB13" i="27" s="1"/>
  <c r="P11" i="26" s="1"/>
  <c r="U13" i="27"/>
  <c r="R18" i="28"/>
  <c r="U10" i="27"/>
  <c r="Z10" i="27"/>
  <c r="V21" i="27"/>
  <c r="V24" i="27" s="1"/>
  <c r="V20" i="27"/>
  <c r="Z17" i="27"/>
  <c r="AB17" i="27" s="1"/>
  <c r="P15" i="26" s="1"/>
  <c r="U17" i="27"/>
  <c r="T35" i="28"/>
  <c r="T38" i="28" s="1"/>
  <c r="R38" i="28"/>
  <c r="F5" i="26"/>
  <c r="F6" i="26"/>
  <c r="U18" i="27"/>
  <c r="Z18" i="27"/>
  <c r="AB18" i="27" s="1"/>
  <c r="P16" i="26" s="1"/>
  <c r="U11" i="27"/>
  <c r="Z11" i="27"/>
  <c r="AB11" i="27" s="1"/>
  <c r="P9" i="26" s="1"/>
  <c r="Z21" i="27"/>
  <c r="AB21" i="27" s="1"/>
  <c r="P19" i="26" s="1"/>
  <c r="U21" i="27"/>
  <c r="U24" i="27" s="1"/>
  <c r="V18" i="27"/>
  <c r="V14" i="27"/>
  <c r="Z15" i="27"/>
  <c r="AB15" i="27" s="1"/>
  <c r="P13" i="26" s="1"/>
  <c r="U15" i="27"/>
  <c r="H33" i="31" l="1"/>
  <c r="H41" i="31"/>
  <c r="H49" i="31"/>
  <c r="H57" i="31"/>
  <c r="H34" i="31"/>
  <c r="H42" i="31"/>
  <c r="H50" i="31"/>
  <c r="H58" i="31"/>
  <c r="H35" i="31"/>
  <c r="H43" i="31"/>
  <c r="H51" i="31"/>
  <c r="H59" i="31"/>
  <c r="H44" i="31"/>
  <c r="H52" i="31"/>
  <c r="H37" i="31"/>
  <c r="H45" i="31"/>
  <c r="H53" i="31"/>
  <c r="H38" i="31"/>
  <c r="H46" i="31"/>
  <c r="H54" i="31"/>
  <c r="H39" i="31"/>
  <c r="H47" i="31"/>
  <c r="H55" i="31"/>
  <c r="H56" i="31"/>
  <c r="H32" i="31"/>
  <c r="H48" i="31"/>
  <c r="AH4" i="30"/>
  <c r="AB10" i="27"/>
  <c r="Z45" i="27"/>
  <c r="AB45" i="27" s="1"/>
  <c r="P43" i="26" s="1"/>
  <c r="Z42" i="27"/>
  <c r="AB42" i="27" s="1"/>
  <c r="P40" i="26" s="1"/>
  <c r="Z39" i="27"/>
  <c r="AB39" i="27" s="1"/>
  <c r="P37" i="26" s="1"/>
  <c r="Z36" i="27"/>
  <c r="AB36" i="27" s="1"/>
  <c r="P34" i="26" s="1"/>
  <c r="Z32" i="27"/>
  <c r="AB32" i="27" s="1"/>
  <c r="P30" i="26" s="1"/>
  <c r="Z28" i="27"/>
  <c r="AB28" i="27" s="1"/>
  <c r="P26" i="26" s="1"/>
  <c r="Z24" i="27"/>
  <c r="AB24" i="27" s="1"/>
  <c r="P22" i="26" s="1"/>
  <c r="Z37" i="27"/>
  <c r="AB37" i="27" s="1"/>
  <c r="P35" i="26" s="1"/>
  <c r="Z33" i="27"/>
  <c r="AB33" i="27" s="1"/>
  <c r="P31" i="26" s="1"/>
  <c r="Z29" i="27"/>
  <c r="AB29" i="27" s="1"/>
  <c r="P27" i="26" s="1"/>
  <c r="Z25" i="27"/>
  <c r="AB25" i="27" s="1"/>
  <c r="P23" i="26" s="1"/>
  <c r="Z23" i="27"/>
  <c r="AB23" i="27" s="1"/>
  <c r="P21" i="26" s="1"/>
  <c r="Z47" i="27"/>
  <c r="AB47" i="27" s="1"/>
  <c r="P45" i="26" s="1"/>
  <c r="Z35" i="27"/>
  <c r="AB35" i="27" s="1"/>
  <c r="P33" i="26" s="1"/>
  <c r="Z44" i="27"/>
  <c r="AB44" i="27" s="1"/>
  <c r="P42" i="26" s="1"/>
  <c r="Z27" i="27"/>
  <c r="AB27" i="27" s="1"/>
  <c r="P25" i="26" s="1"/>
  <c r="Z40" i="27"/>
  <c r="AB40" i="27" s="1"/>
  <c r="P38" i="26" s="1"/>
  <c r="Z49" i="27"/>
  <c r="AB49" i="27" s="1"/>
  <c r="P47" i="26" s="1"/>
  <c r="Z46" i="27"/>
  <c r="AB46" i="27" s="1"/>
  <c r="P44" i="26" s="1"/>
  <c r="Z43" i="27"/>
  <c r="AB43" i="27" s="1"/>
  <c r="P41" i="26" s="1"/>
  <c r="Z34" i="27"/>
  <c r="AB34" i="27" s="1"/>
  <c r="P32" i="26" s="1"/>
  <c r="Z31" i="27"/>
  <c r="AB31" i="27" s="1"/>
  <c r="P29" i="26" s="1"/>
  <c r="Z26" i="27"/>
  <c r="AB26" i="27" s="1"/>
  <c r="P24" i="26" s="1"/>
  <c r="Z48" i="27"/>
  <c r="AB48" i="27" s="1"/>
  <c r="P46" i="26" s="1"/>
  <c r="Z22" i="27"/>
  <c r="AB22" i="27" s="1"/>
  <c r="P20" i="26" s="1"/>
  <c r="Z30" i="27"/>
  <c r="AB30" i="27" s="1"/>
  <c r="P28" i="26" s="1"/>
  <c r="Z41" i="27"/>
  <c r="AB41" i="27" s="1"/>
  <c r="P39" i="26" s="1"/>
  <c r="Z38" i="27"/>
  <c r="AB38" i="27" s="1"/>
  <c r="P36" i="26" s="1"/>
  <c r="J81" i="28"/>
  <c r="AC43" i="28" s="1"/>
  <c r="J73" i="28"/>
  <c r="AC35" i="28" s="1"/>
  <c r="J65" i="28"/>
  <c r="AC27" i="28" s="1"/>
  <c r="J57" i="28"/>
  <c r="AC19" i="28" s="1"/>
  <c r="J80" i="28"/>
  <c r="AC42" i="28" s="1"/>
  <c r="J72" i="28"/>
  <c r="AC34" i="28" s="1"/>
  <c r="J64" i="28"/>
  <c r="AC26" i="28" s="1"/>
  <c r="J56" i="28"/>
  <c r="AC18" i="28" s="1"/>
  <c r="J79" i="28"/>
  <c r="AC41" i="28" s="1"/>
  <c r="J71" i="28"/>
  <c r="AC33" i="28" s="1"/>
  <c r="J63" i="28"/>
  <c r="AC25" i="28" s="1"/>
  <c r="J55" i="28"/>
  <c r="AC17" i="28" s="1"/>
  <c r="J78" i="28"/>
  <c r="AC40" i="28" s="1"/>
  <c r="J70" i="28"/>
  <c r="AC32" i="28" s="1"/>
  <c r="J62" i="28"/>
  <c r="AC24" i="28" s="1"/>
  <c r="J54" i="28"/>
  <c r="AC16" i="28" s="1"/>
  <c r="J77" i="28"/>
  <c r="AC39" i="28" s="1"/>
  <c r="J69" i="28"/>
  <c r="AC31" i="28" s="1"/>
  <c r="J61" i="28"/>
  <c r="AC23" i="28" s="1"/>
  <c r="J76" i="28"/>
  <c r="AC38" i="28" s="1"/>
  <c r="J68" i="28"/>
  <c r="AC30" i="28" s="1"/>
  <c r="J60" i="28"/>
  <c r="AC22" i="28" s="1"/>
  <c r="J75" i="28"/>
  <c r="AC37" i="28" s="1"/>
  <c r="J74" i="28"/>
  <c r="AC36" i="28" s="1"/>
  <c r="J66" i="28"/>
  <c r="AC28" i="28" s="1"/>
  <c r="J67" i="28"/>
  <c r="AC29" i="28" s="1"/>
  <c r="J59" i="28"/>
  <c r="AC21" i="28" s="1"/>
  <c r="J58" i="28"/>
  <c r="AC20" i="28" s="1"/>
  <c r="P8" i="26" l="1"/>
  <c r="AB5" i="27"/>
  <c r="Z8" i="27"/>
  <c r="P6" i="26" l="1"/>
  <c r="P5" i="26"/>
  <c r="C2" i="16" l="1"/>
  <c r="G2" i="16"/>
  <c r="AB22" i="25" l="1"/>
  <c r="AC22" i="25"/>
  <c r="AB28" i="25"/>
  <c r="AB30" i="25"/>
  <c r="AC30" i="25"/>
  <c r="Z22" i="25"/>
  <c r="AA22" i="25"/>
  <c r="Z23" i="25"/>
  <c r="AA23" i="25"/>
  <c r="AB23" i="25"/>
  <c r="AC23" i="25"/>
  <c r="Z24" i="25"/>
  <c r="AA24" i="25"/>
  <c r="AB24" i="25"/>
  <c r="AC24" i="25"/>
  <c r="Z25" i="25"/>
  <c r="AA25" i="25"/>
  <c r="AB25" i="25"/>
  <c r="AC25" i="25"/>
  <c r="Z26" i="25"/>
  <c r="AA26" i="25"/>
  <c r="AB26" i="25"/>
  <c r="AC26" i="25"/>
  <c r="Z27" i="25"/>
  <c r="AA27" i="25"/>
  <c r="AB27" i="25"/>
  <c r="AC27" i="25"/>
  <c r="Z28" i="25"/>
  <c r="AA28" i="25"/>
  <c r="AC28" i="25"/>
  <c r="Z29" i="25"/>
  <c r="AA29" i="25"/>
  <c r="AB29" i="25"/>
  <c r="AC29" i="25"/>
  <c r="Z30" i="25"/>
  <c r="AA30" i="25"/>
  <c r="Z31" i="25"/>
  <c r="AA31" i="25"/>
  <c r="AB31" i="25"/>
  <c r="AC31" i="25"/>
  <c r="Z32" i="25"/>
  <c r="AA32" i="25"/>
  <c r="AB32" i="25"/>
  <c r="AC32" i="25"/>
  <c r="Z33" i="25"/>
  <c r="AA33" i="25"/>
  <c r="AB33" i="25"/>
  <c r="AC33" i="25"/>
  <c r="Z34" i="25"/>
  <c r="AA34" i="25"/>
  <c r="AB34" i="25"/>
  <c r="AC34" i="25"/>
  <c r="Z35" i="25"/>
  <c r="AA35" i="25"/>
  <c r="AB35" i="25"/>
  <c r="AC35" i="25"/>
  <c r="Y35" i="25"/>
  <c r="Y34" i="25"/>
  <c r="Y23" i="25"/>
  <c r="Y24" i="25"/>
  <c r="Y25" i="25"/>
  <c r="Y26" i="25"/>
  <c r="Y27" i="25"/>
  <c r="Y28" i="25"/>
  <c r="Y29" i="25"/>
  <c r="Y30" i="25"/>
  <c r="Y31" i="25"/>
  <c r="Y32" i="25"/>
  <c r="Y33" i="25"/>
  <c r="Y22" i="25"/>
  <c r="AG22" i="25"/>
  <c r="AH22" i="25"/>
  <c r="AI22" i="25"/>
  <c r="AJ22" i="25"/>
  <c r="AG23" i="25"/>
  <c r="AH23" i="25"/>
  <c r="AI23" i="25"/>
  <c r="AJ23" i="25"/>
  <c r="AG24" i="25"/>
  <c r="AH24" i="25"/>
  <c r="AI24" i="25"/>
  <c r="AJ24" i="25"/>
  <c r="AG25" i="25"/>
  <c r="AH25" i="25"/>
  <c r="AI25" i="25"/>
  <c r="AJ25" i="25"/>
  <c r="AG26" i="25"/>
  <c r="AH26" i="25"/>
  <c r="AI26" i="25"/>
  <c r="AJ26" i="25"/>
  <c r="AG27" i="25"/>
  <c r="AH27" i="25"/>
  <c r="AI27" i="25"/>
  <c r="AJ27" i="25"/>
  <c r="AG28" i="25"/>
  <c r="AH28" i="25"/>
  <c r="AI28" i="25"/>
  <c r="AJ28" i="25"/>
  <c r="AG29" i="25"/>
  <c r="AH29" i="25"/>
  <c r="AI29" i="25"/>
  <c r="AJ29" i="25"/>
  <c r="AG30" i="25"/>
  <c r="AH30" i="25"/>
  <c r="AI30" i="25"/>
  <c r="AJ30" i="25"/>
  <c r="AG31" i="25"/>
  <c r="AH31" i="25"/>
  <c r="AI31" i="25"/>
  <c r="AJ31" i="25"/>
  <c r="AG32" i="25"/>
  <c r="AH32" i="25"/>
  <c r="AI32" i="25"/>
  <c r="AJ32" i="25"/>
  <c r="AG33" i="25"/>
  <c r="AH33" i="25"/>
  <c r="AI33" i="25"/>
  <c r="AJ33" i="25"/>
  <c r="AG34" i="25"/>
  <c r="AH34" i="25"/>
  <c r="AI34" i="25"/>
  <c r="AJ34" i="25"/>
  <c r="AG35" i="25"/>
  <c r="AH35" i="25"/>
  <c r="AI35" i="25"/>
  <c r="AJ35" i="25"/>
  <c r="AF35" i="25"/>
  <c r="AF34" i="25"/>
  <c r="AF23" i="25"/>
  <c r="AF24" i="25"/>
  <c r="AF25" i="25"/>
  <c r="AF26" i="25"/>
  <c r="AF27" i="25"/>
  <c r="AF28" i="25"/>
  <c r="AF29" i="25"/>
  <c r="AF30" i="25"/>
  <c r="AF31" i="25"/>
  <c r="AF32" i="25"/>
  <c r="AF33" i="25"/>
  <c r="AF22" i="25"/>
  <c r="I31" i="25"/>
  <c r="S23" i="25"/>
  <c r="T23" i="25"/>
  <c r="S24" i="25"/>
  <c r="T24" i="25"/>
  <c r="S25" i="25"/>
  <c r="T25" i="25"/>
  <c r="S26" i="25"/>
  <c r="T26" i="25"/>
  <c r="S27" i="25"/>
  <c r="T27" i="25"/>
  <c r="S28" i="25"/>
  <c r="T28" i="25"/>
  <c r="S29" i="25"/>
  <c r="T29" i="25"/>
  <c r="S30" i="25"/>
  <c r="T30" i="25"/>
  <c r="S31" i="25"/>
  <c r="T31" i="25"/>
  <c r="S32" i="25"/>
  <c r="T32" i="25"/>
  <c r="S33" i="25"/>
  <c r="T33" i="25"/>
  <c r="S34" i="25"/>
  <c r="T34" i="25"/>
  <c r="S35" i="25"/>
  <c r="T35" i="25"/>
  <c r="T22" i="25"/>
  <c r="S22" i="25"/>
  <c r="O22" i="25"/>
  <c r="P22" i="25"/>
  <c r="Q22" i="25"/>
  <c r="R22" i="25"/>
  <c r="O23" i="25"/>
  <c r="P23" i="25"/>
  <c r="Q23" i="25"/>
  <c r="R23" i="25"/>
  <c r="O24" i="25"/>
  <c r="P24" i="25"/>
  <c r="Q24" i="25"/>
  <c r="R24" i="25"/>
  <c r="O25" i="25"/>
  <c r="P25" i="25"/>
  <c r="Q25" i="25"/>
  <c r="R25" i="25"/>
  <c r="O26" i="25"/>
  <c r="P26" i="25"/>
  <c r="Q26" i="25"/>
  <c r="R26" i="25"/>
  <c r="O27" i="25"/>
  <c r="P27" i="25"/>
  <c r="Q27" i="25"/>
  <c r="R27" i="25"/>
  <c r="O28" i="25"/>
  <c r="P28" i="25"/>
  <c r="Q28" i="25"/>
  <c r="R28" i="25"/>
  <c r="O29" i="25"/>
  <c r="P29" i="25"/>
  <c r="Q29" i="25"/>
  <c r="R29" i="25"/>
  <c r="O30" i="25"/>
  <c r="P30" i="25"/>
  <c r="Q30" i="25"/>
  <c r="R30" i="25"/>
  <c r="O31" i="25"/>
  <c r="P31" i="25"/>
  <c r="Q31" i="25"/>
  <c r="R31" i="25"/>
  <c r="O32" i="25"/>
  <c r="P32" i="25"/>
  <c r="Q32" i="25"/>
  <c r="R32" i="25"/>
  <c r="O33" i="25"/>
  <c r="P33" i="25"/>
  <c r="Q33" i="25"/>
  <c r="R33" i="25"/>
  <c r="O34" i="25"/>
  <c r="P34" i="25"/>
  <c r="Q34" i="25"/>
  <c r="R34" i="25"/>
  <c r="O35" i="25"/>
  <c r="P35" i="25"/>
  <c r="Q35" i="25"/>
  <c r="R35" i="25"/>
  <c r="N23" i="25"/>
  <c r="N24" i="25"/>
  <c r="N25" i="25"/>
  <c r="N26" i="25"/>
  <c r="N27" i="25"/>
  <c r="N28" i="25"/>
  <c r="N29" i="25"/>
  <c r="N30" i="25"/>
  <c r="N31" i="25"/>
  <c r="N32" i="25"/>
  <c r="N33" i="25"/>
  <c r="N34" i="25"/>
  <c r="N35" i="25"/>
  <c r="N22" i="25"/>
  <c r="I23" i="25"/>
  <c r="J23" i="25"/>
  <c r="I24" i="25"/>
  <c r="J24" i="25"/>
  <c r="I25" i="25"/>
  <c r="J25" i="25"/>
  <c r="I26" i="25"/>
  <c r="I44" i="25" s="1"/>
  <c r="J26" i="25"/>
  <c r="J44" i="25" s="1"/>
  <c r="I27" i="25"/>
  <c r="J27" i="25"/>
  <c r="I28" i="25"/>
  <c r="J28" i="25"/>
  <c r="I29" i="25"/>
  <c r="J29" i="25"/>
  <c r="I30" i="25"/>
  <c r="J30" i="25"/>
  <c r="J48" i="25" s="1"/>
  <c r="J31" i="25"/>
  <c r="I32" i="25"/>
  <c r="J32" i="25"/>
  <c r="I33" i="25"/>
  <c r="I51" i="25" s="1"/>
  <c r="J33" i="25"/>
  <c r="I34" i="25"/>
  <c r="I52" i="25" s="1"/>
  <c r="J34" i="25"/>
  <c r="I35" i="25"/>
  <c r="J35" i="25"/>
  <c r="J53" i="25" s="1"/>
  <c r="J22" i="25"/>
  <c r="I22" i="25"/>
  <c r="E22" i="25"/>
  <c r="E40" i="25" s="1"/>
  <c r="F22" i="25"/>
  <c r="G22" i="25"/>
  <c r="G40" i="25" s="1"/>
  <c r="H22" i="25"/>
  <c r="H40" i="25" s="1"/>
  <c r="E23" i="25"/>
  <c r="F23" i="25"/>
  <c r="F41" i="25" s="1"/>
  <c r="G23" i="25"/>
  <c r="H23" i="25"/>
  <c r="E24" i="25"/>
  <c r="E42" i="25" s="1"/>
  <c r="F24" i="25"/>
  <c r="G24" i="25"/>
  <c r="G42" i="25" s="1"/>
  <c r="H24" i="25"/>
  <c r="H42" i="25" s="1"/>
  <c r="E25" i="25"/>
  <c r="F25" i="25"/>
  <c r="F43" i="25" s="1"/>
  <c r="G25" i="25"/>
  <c r="H25" i="25"/>
  <c r="E26" i="25"/>
  <c r="F26" i="25"/>
  <c r="G26" i="25"/>
  <c r="G44" i="25" s="1"/>
  <c r="H26" i="25"/>
  <c r="H44" i="25" s="1"/>
  <c r="E27" i="25"/>
  <c r="F27" i="25"/>
  <c r="G27" i="25"/>
  <c r="H27" i="25"/>
  <c r="E28" i="25"/>
  <c r="E46" i="25" s="1"/>
  <c r="F28" i="25"/>
  <c r="G28" i="25"/>
  <c r="H28" i="25"/>
  <c r="H46" i="25" s="1"/>
  <c r="E29" i="25"/>
  <c r="F29" i="25"/>
  <c r="F47" i="25" s="1"/>
  <c r="G29" i="25"/>
  <c r="H29" i="25"/>
  <c r="E30" i="25"/>
  <c r="E48" i="25" s="1"/>
  <c r="F30" i="25"/>
  <c r="G30" i="25"/>
  <c r="G48" i="25" s="1"/>
  <c r="H30" i="25"/>
  <c r="H48" i="25" s="1"/>
  <c r="E31" i="25"/>
  <c r="F31" i="25"/>
  <c r="F49" i="25" s="1"/>
  <c r="G31" i="25"/>
  <c r="H31" i="25"/>
  <c r="E32" i="25"/>
  <c r="E50" i="25" s="1"/>
  <c r="F32" i="25"/>
  <c r="G32" i="25"/>
  <c r="G50" i="25" s="1"/>
  <c r="H32" i="25"/>
  <c r="H50" i="25" s="1"/>
  <c r="E33" i="25"/>
  <c r="F33" i="25"/>
  <c r="F51" i="25" s="1"/>
  <c r="G33" i="25"/>
  <c r="H33" i="25"/>
  <c r="E34" i="25"/>
  <c r="F34" i="25"/>
  <c r="G34" i="25"/>
  <c r="G52" i="25" s="1"/>
  <c r="H34" i="25"/>
  <c r="H52" i="25" s="1"/>
  <c r="E35" i="25"/>
  <c r="F35" i="25"/>
  <c r="G35" i="25"/>
  <c r="H35" i="25"/>
  <c r="D34" i="25"/>
  <c r="D23" i="25"/>
  <c r="D24" i="25"/>
  <c r="D25" i="25"/>
  <c r="D26" i="25"/>
  <c r="D44" i="25" s="1"/>
  <c r="D27" i="25"/>
  <c r="D28" i="25"/>
  <c r="D46" i="25" s="1"/>
  <c r="D29" i="25"/>
  <c r="D30" i="25"/>
  <c r="D31" i="25"/>
  <c r="D32" i="25"/>
  <c r="D33" i="25"/>
  <c r="D22" i="25"/>
  <c r="D40" i="25" s="1"/>
  <c r="J52" i="25" l="1"/>
  <c r="D52" i="25"/>
  <c r="J45" i="25"/>
  <c r="D50" i="25"/>
  <c r="D42" i="25"/>
  <c r="D41" i="25"/>
  <c r="J47" i="25"/>
  <c r="J43" i="25"/>
  <c r="D49" i="25"/>
  <c r="F52" i="25"/>
  <c r="F50" i="25"/>
  <c r="F48" i="25"/>
  <c r="F46" i="25"/>
  <c r="F44" i="25"/>
  <c r="F42" i="25"/>
  <c r="F40" i="25"/>
  <c r="J51" i="25"/>
  <c r="I47" i="25"/>
  <c r="I43" i="25"/>
  <c r="F53" i="25"/>
  <c r="F45" i="25"/>
  <c r="J49" i="25"/>
  <c r="J41" i="25"/>
  <c r="D51" i="25"/>
  <c r="D43" i="25"/>
  <c r="G46" i="25"/>
  <c r="I48" i="25"/>
  <c r="E52" i="25"/>
  <c r="E44" i="25"/>
  <c r="H47" i="25"/>
  <c r="I40" i="25"/>
  <c r="E53" i="25"/>
  <c r="E49" i="25"/>
  <c r="E45" i="25"/>
  <c r="E41" i="25"/>
  <c r="I45" i="25"/>
  <c r="D48" i="25"/>
  <c r="D53" i="25"/>
  <c r="H53" i="25"/>
  <c r="H51" i="25"/>
  <c r="H49" i="25"/>
  <c r="H45" i="25"/>
  <c r="H43" i="25"/>
  <c r="H41" i="25"/>
  <c r="J50" i="25"/>
  <c r="J46" i="25"/>
  <c r="J42" i="25"/>
  <c r="D45" i="25"/>
  <c r="E47" i="25"/>
  <c r="E43" i="25"/>
  <c r="I41" i="25"/>
  <c r="D47" i="25"/>
  <c r="I53" i="25"/>
  <c r="E51" i="25"/>
  <c r="G53" i="25"/>
  <c r="G51" i="25"/>
  <c r="G49" i="25"/>
  <c r="G47" i="25"/>
  <c r="G45" i="25"/>
  <c r="G43" i="25"/>
  <c r="G41" i="25"/>
  <c r="J40" i="25"/>
  <c r="I50" i="25"/>
  <c r="I46" i="25"/>
  <c r="I42" i="25"/>
  <c r="I49" i="25"/>
  <c r="O52" i="18" l="1"/>
  <c r="O53" i="18" s="1"/>
  <c r="O54" i="18" s="1"/>
  <c r="O55" i="18" s="1"/>
  <c r="O56" i="18" s="1"/>
  <c r="O57" i="18" s="1"/>
  <c r="O58" i="18" s="1"/>
  <c r="O59" i="18" s="1"/>
  <c r="O60" i="18" s="1"/>
  <c r="O61" i="18" s="1"/>
  <c r="O62" i="18" s="1"/>
  <c r="O63" i="18" s="1"/>
  <c r="O64" i="18" s="1"/>
  <c r="O65" i="18" s="1"/>
  <c r="O66" i="18" s="1"/>
  <c r="O67" i="18" s="1"/>
  <c r="O68" i="18" s="1"/>
  <c r="O69" i="18" s="1"/>
  <c r="O70" i="18" s="1"/>
  <c r="O71" i="18" s="1"/>
  <c r="O72" i="18" s="1"/>
  <c r="O73" i="18" s="1"/>
  <c r="O74" i="18" s="1"/>
  <c r="O75" i="18" s="1"/>
  <c r="O76" i="18" s="1"/>
  <c r="O77" i="18" s="1"/>
  <c r="O78" i="18" s="1"/>
  <c r="O79" i="18" s="1"/>
  <c r="O80" i="18" s="1"/>
  <c r="O81" i="18" s="1"/>
  <c r="O82" i="18" s="1"/>
  <c r="O83" i="18" s="1"/>
  <c r="O84" i="18" s="1"/>
  <c r="O85" i="18" s="1"/>
  <c r="O86" i="18" s="1"/>
  <c r="O87" i="18" s="1"/>
  <c r="O88" i="18" s="1"/>
  <c r="O89" i="18" s="1"/>
  <c r="O90" i="18" s="1"/>
  <c r="E52" i="18"/>
  <c r="E53" i="18" s="1"/>
  <c r="E54" i="18" s="1"/>
  <c r="E55" i="18" s="1"/>
  <c r="E56" i="18" s="1"/>
  <c r="E57" i="18" s="1"/>
  <c r="E58" i="18" s="1"/>
  <c r="E59" i="18" s="1"/>
  <c r="E60" i="18" s="1"/>
  <c r="E61" i="18" s="1"/>
  <c r="E62" i="18" s="1"/>
  <c r="E63" i="18" s="1"/>
  <c r="E64" i="18" s="1"/>
  <c r="E65" i="18" s="1"/>
  <c r="E66" i="18" s="1"/>
  <c r="E67" i="18" s="1"/>
  <c r="E68" i="18" s="1"/>
  <c r="E69" i="18" s="1"/>
  <c r="E70" i="18" s="1"/>
  <c r="E71" i="18" s="1"/>
  <c r="E72" i="18" s="1"/>
  <c r="E73" i="18" s="1"/>
  <c r="E74" i="18" s="1"/>
  <c r="E75" i="18" s="1"/>
  <c r="E76" i="18" s="1"/>
  <c r="E77" i="18" s="1"/>
  <c r="E78" i="18" s="1"/>
  <c r="E79" i="18" s="1"/>
  <c r="E80" i="18" s="1"/>
  <c r="E81" i="18" s="1"/>
  <c r="E82" i="18" s="1"/>
  <c r="E83" i="18" s="1"/>
  <c r="E84" i="18" s="1"/>
  <c r="E85" i="18" s="1"/>
  <c r="E86" i="18" s="1"/>
  <c r="E87" i="18" s="1"/>
  <c r="E88" i="18" s="1"/>
  <c r="E89" i="18" s="1"/>
  <c r="E90" i="18" s="1"/>
  <c r="E51" i="17"/>
  <c r="E52" i="17" s="1"/>
  <c r="E53" i="17" s="1"/>
  <c r="E54" i="17" s="1"/>
  <c r="E55" i="17" s="1"/>
  <c r="E56" i="17" s="1"/>
  <c r="E57" i="17" s="1"/>
  <c r="E58" i="17" s="1"/>
  <c r="E59" i="17" s="1"/>
  <c r="E60" i="17" s="1"/>
  <c r="E61" i="17" s="1"/>
  <c r="E62" i="17" s="1"/>
  <c r="E63" i="17" s="1"/>
  <c r="E64" i="17" s="1"/>
  <c r="E65" i="17" s="1"/>
  <c r="E66" i="17" s="1"/>
  <c r="E67" i="17" s="1"/>
  <c r="E68" i="17" s="1"/>
  <c r="E69" i="17" s="1"/>
  <c r="E70" i="17" s="1"/>
  <c r="E71" i="17" s="1"/>
  <c r="E72" i="17" s="1"/>
  <c r="E73" i="17" s="1"/>
  <c r="E74" i="17" s="1"/>
  <c r="E75" i="17" s="1"/>
  <c r="E76" i="17" s="1"/>
  <c r="E77" i="17" s="1"/>
  <c r="E78" i="17" s="1"/>
  <c r="E79" i="17" s="1"/>
  <c r="E80" i="17" s="1"/>
  <c r="E81" i="17" s="1"/>
  <c r="E82" i="17" s="1"/>
  <c r="E83" i="17" s="1"/>
  <c r="E84" i="17" s="1"/>
  <c r="E85" i="17" s="1"/>
  <c r="E86" i="17" s="1"/>
  <c r="E87" i="17" s="1"/>
  <c r="E88" i="17" s="1"/>
  <c r="E89" i="17" s="1"/>
  <c r="E90" i="17" s="1"/>
  <c r="G3" i="16" l="1"/>
  <c r="G4" i="14" l="1"/>
  <c r="M12" i="14"/>
  <c r="I11" i="32" l="1"/>
  <c r="M8" i="28"/>
  <c r="K9" i="28"/>
  <c r="G9" i="28"/>
  <c r="I9" i="32"/>
  <c r="M6" i="28"/>
  <c r="K17" i="28"/>
  <c r="G17" i="28"/>
  <c r="K12" i="28"/>
  <c r="G12" i="28"/>
  <c r="M4" i="28"/>
  <c r="I7" i="32"/>
  <c r="I12" i="32"/>
  <c r="M9" i="28"/>
  <c r="K14" i="28"/>
  <c r="G14" i="28"/>
  <c r="I14" i="32"/>
  <c r="M11" i="28"/>
  <c r="I15" i="32"/>
  <c r="M12" i="28"/>
  <c r="I17" i="32"/>
  <c r="M14" i="28"/>
  <c r="I16" i="32"/>
  <c r="M13" i="28"/>
  <c r="K15" i="28"/>
  <c r="G15" i="28"/>
  <c r="K10" i="28"/>
  <c r="G10" i="28"/>
  <c r="K5" i="28"/>
  <c r="G5" i="28"/>
  <c r="K6" i="28"/>
  <c r="G6" i="28"/>
  <c r="K8" i="28"/>
  <c r="G8" i="28"/>
  <c r="I19" i="32"/>
  <c r="M16" i="28"/>
  <c r="I10" i="32"/>
  <c r="M7" i="28"/>
  <c r="I20" i="32"/>
  <c r="M17" i="28"/>
  <c r="K11" i="28"/>
  <c r="G11" i="28"/>
  <c r="I13" i="32"/>
  <c r="M10" i="28"/>
  <c r="I8" i="32"/>
  <c r="M5" i="28"/>
  <c r="K13" i="28"/>
  <c r="G13" i="28"/>
  <c r="K7" i="28"/>
  <c r="G7" i="28"/>
  <c r="K4" i="28"/>
  <c r="G4" i="28"/>
  <c r="I18" i="32"/>
  <c r="M15" i="28"/>
  <c r="K16" i="28"/>
  <c r="G16" i="28"/>
  <c r="E24" i="6"/>
  <c r="S13" i="28" l="1"/>
  <c r="V13" i="28" s="1"/>
  <c r="N13" i="28"/>
  <c r="AB13" i="28" s="1"/>
  <c r="U15" i="28"/>
  <c r="O15" i="28"/>
  <c r="AF15" i="28" s="1"/>
  <c r="H19" i="26" s="1"/>
  <c r="U9" i="28"/>
  <c r="W9" i="28" s="1"/>
  <c r="O9" i="28"/>
  <c r="AF9" i="28" s="1"/>
  <c r="H13" i="26" s="1"/>
  <c r="U17" i="28"/>
  <c r="W17" i="28" s="1"/>
  <c r="O17" i="28"/>
  <c r="U13" i="28"/>
  <c r="W13" i="28" s="1"/>
  <c r="O13" i="28"/>
  <c r="AF13" i="28" s="1"/>
  <c r="H17" i="26" s="1"/>
  <c r="U6" i="28"/>
  <c r="W6" i="28" s="1"/>
  <c r="O6" i="28"/>
  <c r="AF6" i="28" s="1"/>
  <c r="H10" i="26" s="1"/>
  <c r="S5" i="28"/>
  <c r="V5" i="28" s="1"/>
  <c r="N5" i="28"/>
  <c r="AB5" i="28" s="1"/>
  <c r="U5" i="28"/>
  <c r="W5" i="28" s="1"/>
  <c r="O5" i="28"/>
  <c r="AF5" i="28" s="1"/>
  <c r="H9" i="26" s="1"/>
  <c r="U10" i="28"/>
  <c r="W10" i="28" s="1"/>
  <c r="O10" i="28"/>
  <c r="AF10" i="28" s="1"/>
  <c r="H14" i="26" s="1"/>
  <c r="U16" i="28"/>
  <c r="W16" i="28" s="1"/>
  <c r="O16" i="28"/>
  <c r="U12" i="28"/>
  <c r="W12" i="28" s="1"/>
  <c r="O12" i="28"/>
  <c r="AF12" i="28" s="1"/>
  <c r="H16" i="26" s="1"/>
  <c r="S6" i="28"/>
  <c r="V6" i="28" s="1"/>
  <c r="N6" i="28"/>
  <c r="AB6" i="28" s="1"/>
  <c r="U14" i="28"/>
  <c r="W14" i="28" s="1"/>
  <c r="O14" i="28"/>
  <c r="AF14" i="28" s="1"/>
  <c r="H18" i="26" s="1"/>
  <c r="S4" i="28"/>
  <c r="V4" i="28" s="1"/>
  <c r="N4" i="28"/>
  <c r="AB4" i="28" s="1"/>
  <c r="S10" i="28"/>
  <c r="V10" i="28" s="1"/>
  <c r="N10" i="28"/>
  <c r="AB10" i="28" s="1"/>
  <c r="U4" i="28"/>
  <c r="W4" i="28" s="1"/>
  <c r="O4" i="28"/>
  <c r="AF4" i="28" s="1"/>
  <c r="S9" i="28"/>
  <c r="V9" i="28" s="1"/>
  <c r="N9" i="28"/>
  <c r="AB9" i="28" s="1"/>
  <c r="S17" i="28"/>
  <c r="V17" i="28" s="1"/>
  <c r="AB24" i="28" s="1"/>
  <c r="N17" i="28"/>
  <c r="U7" i="28"/>
  <c r="W7" i="28" s="1"/>
  <c r="O7" i="28"/>
  <c r="AF7" i="28" s="1"/>
  <c r="H11" i="26" s="1"/>
  <c r="U11" i="28"/>
  <c r="W11" i="28" s="1"/>
  <c r="O11" i="28"/>
  <c r="AF11" i="28" s="1"/>
  <c r="H15" i="26" s="1"/>
  <c r="U8" i="28"/>
  <c r="W8" i="28" s="1"/>
  <c r="O8" i="28"/>
  <c r="AF8" i="28" s="1"/>
  <c r="H12" i="26" s="1"/>
  <c r="S16" i="28"/>
  <c r="V16" i="28" s="1"/>
  <c r="AB20" i="28" s="1"/>
  <c r="N16" i="28"/>
  <c r="S14" i="28"/>
  <c r="V14" i="28" s="1"/>
  <c r="N14" i="28"/>
  <c r="AB14" i="28" s="1"/>
  <c r="S7" i="28"/>
  <c r="V7" i="28" s="1"/>
  <c r="N7" i="28"/>
  <c r="AB7" i="28" s="1"/>
  <c r="S11" i="28"/>
  <c r="V11" i="28" s="1"/>
  <c r="N11" i="28"/>
  <c r="AB11" i="28" s="1"/>
  <c r="S8" i="28"/>
  <c r="V8" i="28" s="1"/>
  <c r="N8" i="28"/>
  <c r="AB8" i="28" s="1"/>
  <c r="S15" i="28"/>
  <c r="N15" i="28"/>
  <c r="AB15" i="28" s="1"/>
  <c r="S12" i="28"/>
  <c r="V12" i="28" s="1"/>
  <c r="N12" i="28"/>
  <c r="AB12" i="28" s="1"/>
  <c r="G8" i="32"/>
  <c r="K8" i="32" s="1"/>
  <c r="G9" i="32"/>
  <c r="K9" i="32" s="1"/>
  <c r="G10" i="32"/>
  <c r="K10" i="32" s="1"/>
  <c r="G11" i="32"/>
  <c r="K11" i="32" s="1"/>
  <c r="G12" i="32"/>
  <c r="K12" i="32" s="1"/>
  <c r="G13" i="32"/>
  <c r="K13" i="32" s="1"/>
  <c r="G14" i="32"/>
  <c r="K14" i="32" s="1"/>
  <c r="G15" i="32"/>
  <c r="K15" i="32" s="1"/>
  <c r="G16" i="32"/>
  <c r="K16" i="32" s="1"/>
  <c r="G17" i="32"/>
  <c r="K17" i="32" s="1"/>
  <c r="G18" i="32"/>
  <c r="K18" i="32" s="1"/>
  <c r="G19" i="32"/>
  <c r="K19" i="32" s="1"/>
  <c r="G20" i="32"/>
  <c r="K20" i="32" s="1"/>
  <c r="G7" i="32"/>
  <c r="K7" i="32" s="1"/>
  <c r="AD12" i="28" l="1"/>
  <c r="AE12" i="28"/>
  <c r="AD7" i="28"/>
  <c r="AE7" i="28"/>
  <c r="R15" i="26"/>
  <c r="H8" i="26"/>
  <c r="AE6" i="28"/>
  <c r="AD6" i="28"/>
  <c r="R9" i="26"/>
  <c r="AD15" i="28"/>
  <c r="AE15" i="28"/>
  <c r="AE14" i="28"/>
  <c r="AD14" i="28"/>
  <c r="R11" i="26"/>
  <c r="AE10" i="28"/>
  <c r="AD10" i="28"/>
  <c r="R16" i="26"/>
  <c r="AD5" i="28"/>
  <c r="AE5" i="28"/>
  <c r="R13" i="26"/>
  <c r="S18" i="28"/>
  <c r="V15" i="28"/>
  <c r="V18" i="28" s="1"/>
  <c r="AD8" i="28"/>
  <c r="AE8" i="28"/>
  <c r="AE4" i="28"/>
  <c r="AD4" i="28"/>
  <c r="R10" i="26"/>
  <c r="R19" i="26"/>
  <c r="AD20" i="28"/>
  <c r="AE20" i="28"/>
  <c r="AE24" i="28"/>
  <c r="AD24" i="28"/>
  <c r="U18" i="28"/>
  <c r="W15" i="28"/>
  <c r="W18" i="28" s="1"/>
  <c r="AE11" i="28"/>
  <c r="AD11" i="28"/>
  <c r="R12" i="26"/>
  <c r="AE9" i="28"/>
  <c r="AD9" i="28"/>
  <c r="R18" i="26"/>
  <c r="R14" i="26"/>
  <c r="R17" i="26"/>
  <c r="AE13" i="28"/>
  <c r="AD13" i="28"/>
  <c r="M20" i="24"/>
  <c r="AF40" i="28" l="1"/>
  <c r="H44" i="26" s="1"/>
  <c r="R44" i="26" s="1"/>
  <c r="AF30" i="28"/>
  <c r="H34" i="26" s="1"/>
  <c r="R34" i="26" s="1"/>
  <c r="AF17" i="28"/>
  <c r="H21" i="26" s="1"/>
  <c r="R21" i="26" s="1"/>
  <c r="AF16" i="28"/>
  <c r="AF23" i="28"/>
  <c r="H27" i="26" s="1"/>
  <c r="R27" i="26" s="1"/>
  <c r="AF37" i="28"/>
  <c r="H41" i="26" s="1"/>
  <c r="R41" i="26" s="1"/>
  <c r="AF29" i="28"/>
  <c r="H33" i="26" s="1"/>
  <c r="R33" i="26" s="1"/>
  <c r="AF43" i="28"/>
  <c r="H47" i="26" s="1"/>
  <c r="R47" i="26" s="1"/>
  <c r="AF38" i="28"/>
  <c r="H42" i="26" s="1"/>
  <c r="R42" i="26" s="1"/>
  <c r="AF36" i="28"/>
  <c r="H40" i="26" s="1"/>
  <c r="R40" i="26" s="1"/>
  <c r="AF28" i="28"/>
  <c r="H32" i="26" s="1"/>
  <c r="R32" i="26" s="1"/>
  <c r="AF42" i="28"/>
  <c r="H46" i="26" s="1"/>
  <c r="R46" i="26" s="1"/>
  <c r="AF32" i="28"/>
  <c r="H36" i="26" s="1"/>
  <c r="R36" i="26" s="1"/>
  <c r="AF35" i="28"/>
  <c r="H39" i="26" s="1"/>
  <c r="R39" i="26" s="1"/>
  <c r="AF27" i="28"/>
  <c r="H31" i="26" s="1"/>
  <c r="R31" i="26" s="1"/>
  <c r="AF41" i="28"/>
  <c r="H45" i="26" s="1"/>
  <c r="R45" i="26" s="1"/>
  <c r="AF34" i="28"/>
  <c r="H38" i="26" s="1"/>
  <c r="R38" i="26" s="1"/>
  <c r="AF26" i="28"/>
  <c r="H30" i="26" s="1"/>
  <c r="R30" i="26" s="1"/>
  <c r="AF18" i="28"/>
  <c r="H22" i="26" s="1"/>
  <c r="R22" i="26" s="1"/>
  <c r="AF21" i="28"/>
  <c r="H25" i="26" s="1"/>
  <c r="R25" i="26" s="1"/>
  <c r="AF33" i="28"/>
  <c r="H37" i="26" s="1"/>
  <c r="R37" i="26" s="1"/>
  <c r="AF25" i="28"/>
  <c r="H29" i="26" s="1"/>
  <c r="R29" i="26" s="1"/>
  <c r="AF19" i="28"/>
  <c r="H23" i="26" s="1"/>
  <c r="R23" i="26" s="1"/>
  <c r="AF24" i="28"/>
  <c r="H28" i="26" s="1"/>
  <c r="R28" i="26" s="1"/>
  <c r="AF20" i="28"/>
  <c r="H24" i="26" s="1"/>
  <c r="R24" i="26" s="1"/>
  <c r="AF39" i="28"/>
  <c r="H43" i="26" s="1"/>
  <c r="R43" i="26" s="1"/>
  <c r="AF22" i="28"/>
  <c r="H26" i="26" s="1"/>
  <c r="R26" i="26" s="1"/>
  <c r="AF31" i="28"/>
  <c r="H35" i="26" s="1"/>
  <c r="R35" i="26" s="1"/>
  <c r="I10" i="26"/>
  <c r="J10" i="26" s="1"/>
  <c r="S10" i="26"/>
  <c r="T10" i="26" s="1"/>
  <c r="I17" i="26"/>
  <c r="J17" i="26" s="1"/>
  <c r="S17" i="26"/>
  <c r="T17" i="26" s="1"/>
  <c r="I13" i="26"/>
  <c r="J13" i="26" s="1"/>
  <c r="S13" i="26"/>
  <c r="T13" i="26" s="1"/>
  <c r="S28" i="26"/>
  <c r="I28" i="26"/>
  <c r="I8" i="26"/>
  <c r="J8" i="26" s="1"/>
  <c r="S8" i="26"/>
  <c r="I18" i="26"/>
  <c r="J18" i="26" s="1"/>
  <c r="S18" i="26"/>
  <c r="T18" i="26" s="1"/>
  <c r="R8" i="26"/>
  <c r="S24" i="26"/>
  <c r="T24" i="26" s="1"/>
  <c r="I24" i="26"/>
  <c r="J24" i="26" s="1"/>
  <c r="I12" i="26"/>
  <c r="J12" i="26" s="1"/>
  <c r="S12" i="26"/>
  <c r="T12" i="26" s="1"/>
  <c r="S19" i="26"/>
  <c r="T19" i="26" s="1"/>
  <c r="I19" i="26"/>
  <c r="J19" i="26" s="1"/>
  <c r="I15" i="26"/>
  <c r="J15" i="26" s="1"/>
  <c r="S15" i="26"/>
  <c r="T15" i="26" s="1"/>
  <c r="AB19" i="28"/>
  <c r="AB35" i="28"/>
  <c r="AB27" i="28"/>
  <c r="AB41" i="28"/>
  <c r="AB30" i="28"/>
  <c r="AB38" i="28"/>
  <c r="AB34" i="28"/>
  <c r="AB26" i="28"/>
  <c r="AB21" i="28"/>
  <c r="AB33" i="28"/>
  <c r="AB25" i="28"/>
  <c r="AB16" i="28"/>
  <c r="AB39" i="28"/>
  <c r="AB32" i="28"/>
  <c r="AB23" i="28"/>
  <c r="AB22" i="28"/>
  <c r="AB31" i="28"/>
  <c r="AB17" i="28"/>
  <c r="AB40" i="28"/>
  <c r="AB37" i="28"/>
  <c r="AB29" i="28"/>
  <c r="AB43" i="28"/>
  <c r="AB18" i="28"/>
  <c r="AB36" i="28"/>
  <c r="AB28" i="28"/>
  <c r="AB42" i="28"/>
  <c r="I14" i="26"/>
  <c r="J14" i="26" s="1"/>
  <c r="S14" i="26"/>
  <c r="T14" i="26" s="1"/>
  <c r="S9" i="26"/>
  <c r="T9" i="26" s="1"/>
  <c r="I9" i="26"/>
  <c r="J9" i="26" s="1"/>
  <c r="S11" i="26"/>
  <c r="T11" i="26" s="1"/>
  <c r="I11" i="26"/>
  <c r="J11" i="26" s="1"/>
  <c r="I16" i="26"/>
  <c r="J16" i="26" s="1"/>
  <c r="S16" i="26"/>
  <c r="T16" i="26" s="1"/>
  <c r="G4" i="16"/>
  <c r="G11" i="16" s="1"/>
  <c r="C4" i="16"/>
  <c r="C11" i="16" s="1"/>
  <c r="AA11" i="5"/>
  <c r="E24" i="5"/>
  <c r="D24" i="5"/>
  <c r="N31" i="24"/>
  <c r="J28" i="26" l="1"/>
  <c r="T28" i="26"/>
  <c r="D57" i="26"/>
  <c r="D62" i="26"/>
  <c r="D59" i="26"/>
  <c r="D58" i="26"/>
  <c r="D56" i="26"/>
  <c r="D54" i="26"/>
  <c r="D52" i="26"/>
  <c r="D60" i="26"/>
  <c r="D51" i="26"/>
  <c r="D55" i="26"/>
  <c r="D53" i="26"/>
  <c r="D61" i="26"/>
  <c r="AE25" i="28"/>
  <c r="AD25" i="28"/>
  <c r="AD36" i="28"/>
  <c r="AE36" i="28"/>
  <c r="AE22" i="28"/>
  <c r="AD22" i="28"/>
  <c r="AE26" i="28"/>
  <c r="AD26" i="28"/>
  <c r="AE23" i="28"/>
  <c r="AD23" i="28"/>
  <c r="AE18" i="28"/>
  <c r="AD18" i="28"/>
  <c r="AE43" i="28"/>
  <c r="AD43" i="28"/>
  <c r="AE32" i="28"/>
  <c r="AD32" i="28"/>
  <c r="AE38" i="28"/>
  <c r="AD38" i="28"/>
  <c r="AE34" i="28"/>
  <c r="AD34" i="28"/>
  <c r="AE29" i="28"/>
  <c r="AD29" i="28"/>
  <c r="AE39" i="28"/>
  <c r="AD39" i="28"/>
  <c r="AD30" i="28"/>
  <c r="AE30" i="28"/>
  <c r="AE37" i="28"/>
  <c r="AD37" i="28"/>
  <c r="AE16" i="28"/>
  <c r="AD16" i="28"/>
  <c r="AE41" i="28"/>
  <c r="AD41" i="28"/>
  <c r="H20" i="26"/>
  <c r="AJ4" i="28"/>
  <c r="AE40" i="28"/>
  <c r="AD40" i="28"/>
  <c r="T8" i="26"/>
  <c r="N51" i="26" s="1"/>
  <c r="AE27" i="28"/>
  <c r="AD27" i="28"/>
  <c r="AD42" i="28"/>
  <c r="AE42" i="28"/>
  <c r="AE17" i="28"/>
  <c r="AD17" i="28"/>
  <c r="AE33" i="28"/>
  <c r="AD33" i="28"/>
  <c r="AE35" i="28"/>
  <c r="AD35" i="28"/>
  <c r="AE28" i="28"/>
  <c r="AD28" i="28"/>
  <c r="AE31" i="28"/>
  <c r="AD31" i="28"/>
  <c r="AE21" i="28"/>
  <c r="AD21" i="28"/>
  <c r="AD19" i="28"/>
  <c r="AE19" i="28"/>
  <c r="C10" i="16"/>
  <c r="C42" i="16"/>
  <c r="C34" i="16"/>
  <c r="C26" i="16"/>
  <c r="C18" i="16"/>
  <c r="C33" i="16"/>
  <c r="C40" i="16"/>
  <c r="C47" i="16"/>
  <c r="C31" i="16"/>
  <c r="C23" i="16"/>
  <c r="C15" i="16"/>
  <c r="C41" i="16"/>
  <c r="C48" i="16"/>
  <c r="C24" i="16"/>
  <c r="C46" i="16"/>
  <c r="C38" i="16"/>
  <c r="C30" i="16"/>
  <c r="C22" i="16"/>
  <c r="C14" i="16"/>
  <c r="C49" i="16"/>
  <c r="C25" i="16"/>
  <c r="C32" i="16"/>
  <c r="C39" i="16"/>
  <c r="C45" i="16"/>
  <c r="C37" i="16"/>
  <c r="C29" i="16"/>
  <c r="C21" i="16"/>
  <c r="C13" i="16"/>
  <c r="C44" i="16"/>
  <c r="C36" i="16"/>
  <c r="C28" i="16"/>
  <c r="C20" i="16"/>
  <c r="C12" i="16"/>
  <c r="C17" i="16"/>
  <c r="C16" i="16"/>
  <c r="C43" i="16"/>
  <c r="C35" i="16"/>
  <c r="C27" i="16"/>
  <c r="C19" i="16"/>
  <c r="G42" i="16"/>
  <c r="G34" i="16"/>
  <c r="G26" i="16"/>
  <c r="G18" i="16"/>
  <c r="G10" i="16"/>
  <c r="G49" i="16"/>
  <c r="G41" i="16"/>
  <c r="G33" i="16"/>
  <c r="G25" i="16"/>
  <c r="G17" i="16"/>
  <c r="G48" i="16"/>
  <c r="G40" i="16"/>
  <c r="G32" i="16"/>
  <c r="G24" i="16"/>
  <c r="G16" i="16"/>
  <c r="G47" i="16"/>
  <c r="G39" i="16"/>
  <c r="G31" i="16"/>
  <c r="G23" i="16"/>
  <c r="G15" i="16"/>
  <c r="G46" i="16"/>
  <c r="G38" i="16"/>
  <c r="G30" i="16"/>
  <c r="G22" i="16"/>
  <c r="G14" i="16"/>
  <c r="G45" i="16"/>
  <c r="G37" i="16"/>
  <c r="G29" i="16"/>
  <c r="G21" i="16"/>
  <c r="G13" i="16"/>
  <c r="G44" i="16"/>
  <c r="G36" i="16"/>
  <c r="G28" i="16"/>
  <c r="G20" i="16"/>
  <c r="G12" i="16"/>
  <c r="G43" i="16"/>
  <c r="G35" i="16"/>
  <c r="G27" i="16"/>
  <c r="G19" i="16"/>
  <c r="L20" i="24"/>
  <c r="AW29" i="24"/>
  <c r="AW31" i="24" s="1"/>
  <c r="AW24" i="24"/>
  <c r="AW20" i="24"/>
  <c r="AX7" i="24"/>
  <c r="AY7" i="24" s="1"/>
  <c r="AZ7" i="24" s="1"/>
  <c r="AX6" i="24"/>
  <c r="AY6" i="24" s="1"/>
  <c r="AZ6" i="24" s="1"/>
  <c r="AV29" i="24"/>
  <c r="AU29" i="24"/>
  <c r="AT29" i="24"/>
  <c r="AS29" i="24"/>
  <c r="AR29" i="24"/>
  <c r="AQ29" i="24"/>
  <c r="AP29" i="24"/>
  <c r="AP31" i="24" s="1"/>
  <c r="AO29" i="24"/>
  <c r="AO31" i="24" s="1"/>
  <c r="AN29" i="24"/>
  <c r="AM29" i="24"/>
  <c r="AL29" i="24"/>
  <c r="AK29" i="24"/>
  <c r="AJ29" i="24"/>
  <c r="AI29" i="24"/>
  <c r="AH29" i="24"/>
  <c r="AH31" i="24" s="1"/>
  <c r="AG29" i="24"/>
  <c r="AG31" i="24" s="1"/>
  <c r="AF29" i="24"/>
  <c r="AE29" i="24"/>
  <c r="AD29" i="24"/>
  <c r="AC29" i="24"/>
  <c r="AB29" i="24"/>
  <c r="AA29" i="24"/>
  <c r="Z29" i="24"/>
  <c r="Z31" i="24" s="1"/>
  <c r="Y29" i="24"/>
  <c r="Y31" i="24" s="1"/>
  <c r="X29" i="24"/>
  <c r="W29" i="24"/>
  <c r="V29" i="24"/>
  <c r="U29" i="24"/>
  <c r="T29" i="24"/>
  <c r="S29" i="24"/>
  <c r="R29" i="24"/>
  <c r="R31" i="24" s="1"/>
  <c r="Q29" i="24"/>
  <c r="P29" i="24"/>
  <c r="O29" i="24"/>
  <c r="N29" i="24"/>
  <c r="M29" i="24"/>
  <c r="L29" i="24"/>
  <c r="K29" i="24"/>
  <c r="J29" i="24"/>
  <c r="J31" i="24" s="1"/>
  <c r="AV24" i="24"/>
  <c r="AU24" i="24"/>
  <c r="AT24" i="24"/>
  <c r="AS24" i="24"/>
  <c r="AR24" i="24"/>
  <c r="AQ24" i="24"/>
  <c r="AP24" i="24"/>
  <c r="AO24" i="24"/>
  <c r="AN24" i="24"/>
  <c r="AM24" i="24"/>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AV20" i="24"/>
  <c r="AU20" i="24"/>
  <c r="AT20" i="24"/>
  <c r="AS20" i="24"/>
  <c r="AR20" i="24"/>
  <c r="AQ20" i="24"/>
  <c r="AP20" i="24"/>
  <c r="AO20" i="24"/>
  <c r="AN20" i="24"/>
  <c r="AM20" i="24"/>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33" i="24"/>
  <c r="K20" i="24"/>
  <c r="J20" i="24"/>
  <c r="J12" i="24"/>
  <c r="K12" i="24" s="1"/>
  <c r="L12" i="24" s="1"/>
  <c r="M12" i="24" s="1"/>
  <c r="N12" i="24" s="1"/>
  <c r="O12" i="24" s="1"/>
  <c r="P12" i="24" s="1"/>
  <c r="Q12" i="24" s="1"/>
  <c r="R12" i="24" s="1"/>
  <c r="S12" i="24" s="1"/>
  <c r="T12" i="24" s="1"/>
  <c r="U12" i="24" s="1"/>
  <c r="V12" i="24" s="1"/>
  <c r="W12" i="24" s="1"/>
  <c r="X12" i="24" s="1"/>
  <c r="Y12" i="24" s="1"/>
  <c r="Z12" i="24" s="1"/>
  <c r="AA12" i="24" s="1"/>
  <c r="AB12" i="24" s="1"/>
  <c r="AC12" i="24" s="1"/>
  <c r="AD12" i="24" s="1"/>
  <c r="AE12" i="24" s="1"/>
  <c r="AF12" i="24" s="1"/>
  <c r="AG12" i="24" s="1"/>
  <c r="AH12" i="24" s="1"/>
  <c r="AI12" i="24" s="1"/>
  <c r="AJ12" i="24" s="1"/>
  <c r="AK12" i="24" s="1"/>
  <c r="AL12" i="24" s="1"/>
  <c r="AM12" i="24" s="1"/>
  <c r="AN12" i="24" s="1"/>
  <c r="AO12" i="24" s="1"/>
  <c r="AP12" i="24" s="1"/>
  <c r="AQ12" i="24" s="1"/>
  <c r="AR12" i="24" s="1"/>
  <c r="AS12" i="24" s="1"/>
  <c r="AT12" i="24" s="1"/>
  <c r="AU12" i="24" s="1"/>
  <c r="AV12" i="24" s="1"/>
  <c r="AW12" i="24" s="1"/>
  <c r="S37" i="26" l="1"/>
  <c r="T37" i="26" s="1"/>
  <c r="I37" i="26"/>
  <c r="J37" i="26" s="1"/>
  <c r="I45" i="26"/>
  <c r="J45" i="26" s="1"/>
  <c r="S45" i="26"/>
  <c r="T45" i="26" s="1"/>
  <c r="S38" i="26"/>
  <c r="T38" i="26" s="1"/>
  <c r="I38" i="26"/>
  <c r="J38" i="26" s="1"/>
  <c r="I47" i="26"/>
  <c r="J47" i="26" s="1"/>
  <c r="S47" i="26"/>
  <c r="T47" i="26" s="1"/>
  <c r="S35" i="26"/>
  <c r="T35" i="26" s="1"/>
  <c r="I35" i="26"/>
  <c r="J35" i="26" s="1"/>
  <c r="S29" i="26"/>
  <c r="T29" i="26" s="1"/>
  <c r="I29" i="26"/>
  <c r="J29" i="26" s="1"/>
  <c r="S21" i="26"/>
  <c r="T21" i="26" s="1"/>
  <c r="I21" i="26"/>
  <c r="J21" i="26" s="1"/>
  <c r="N59" i="26"/>
  <c r="N62" i="26"/>
  <c r="N58" i="26"/>
  <c r="N52" i="26"/>
  <c r="N60" i="26"/>
  <c r="N55" i="26"/>
  <c r="N53" i="26"/>
  <c r="N57" i="26"/>
  <c r="N56" i="26"/>
  <c r="N54" i="26"/>
  <c r="N61" i="26"/>
  <c r="I30" i="26"/>
  <c r="J30" i="26" s="1"/>
  <c r="S30" i="26"/>
  <c r="T30" i="26" s="1"/>
  <c r="I25" i="26"/>
  <c r="J25" i="26" s="1"/>
  <c r="S25" i="26"/>
  <c r="T25" i="26" s="1"/>
  <c r="S44" i="26"/>
  <c r="T44" i="26" s="1"/>
  <c r="I44" i="26"/>
  <c r="J44" i="26" s="1"/>
  <c r="AI4" i="28"/>
  <c r="S34" i="26"/>
  <c r="T34" i="26" s="1"/>
  <c r="I34" i="26"/>
  <c r="J34" i="26" s="1"/>
  <c r="S23" i="26"/>
  <c r="T23" i="26" s="1"/>
  <c r="I23" i="26"/>
  <c r="J23" i="26" s="1"/>
  <c r="I20" i="26"/>
  <c r="S20" i="26"/>
  <c r="AH4" i="28"/>
  <c r="S41" i="26"/>
  <c r="T41" i="26" s="1"/>
  <c r="I41" i="26"/>
  <c r="J41" i="26" s="1"/>
  <c r="I43" i="26"/>
  <c r="J43" i="26" s="1"/>
  <c r="S43" i="26"/>
  <c r="T43" i="26" s="1"/>
  <c r="I42" i="26"/>
  <c r="J42" i="26" s="1"/>
  <c r="S42" i="26"/>
  <c r="T42" i="26" s="1"/>
  <c r="I22" i="26"/>
  <c r="J22" i="26" s="1"/>
  <c r="S22" i="26"/>
  <c r="T22" i="26" s="1"/>
  <c r="I26" i="26"/>
  <c r="J26" i="26" s="1"/>
  <c r="S26" i="26"/>
  <c r="T26" i="26" s="1"/>
  <c r="I39" i="26"/>
  <c r="J39" i="26" s="1"/>
  <c r="S39" i="26"/>
  <c r="T39" i="26" s="1"/>
  <c r="S31" i="26"/>
  <c r="T31" i="26" s="1"/>
  <c r="I31" i="26"/>
  <c r="J31" i="26" s="1"/>
  <c r="R20" i="26"/>
  <c r="J20" i="26"/>
  <c r="H6" i="26"/>
  <c r="H5" i="26"/>
  <c r="S33" i="26"/>
  <c r="T33" i="26" s="1"/>
  <c r="I33" i="26"/>
  <c r="J33" i="26" s="1"/>
  <c r="I36" i="26"/>
  <c r="J36" i="26" s="1"/>
  <c r="S36" i="26"/>
  <c r="T36" i="26" s="1"/>
  <c r="I46" i="26"/>
  <c r="J46" i="26" s="1"/>
  <c r="S46" i="26"/>
  <c r="T46" i="26" s="1"/>
  <c r="I32" i="26"/>
  <c r="J32" i="26" s="1"/>
  <c r="S32" i="26"/>
  <c r="T32" i="26" s="1"/>
  <c r="S27" i="26"/>
  <c r="T27" i="26" s="1"/>
  <c r="I27" i="26"/>
  <c r="J27" i="26" s="1"/>
  <c r="S40" i="26"/>
  <c r="T40" i="26" s="1"/>
  <c r="I40" i="26"/>
  <c r="J40" i="26" s="1"/>
  <c r="Y33" i="24"/>
  <c r="AG33" i="24"/>
  <c r="AO33" i="24"/>
  <c r="K31" i="24"/>
  <c r="K33" i="24" s="1"/>
  <c r="S31" i="24"/>
  <c r="S33" i="24" s="1"/>
  <c r="AA31" i="24"/>
  <c r="AA33" i="24" s="1"/>
  <c r="AI31" i="24"/>
  <c r="AI33" i="24" s="1"/>
  <c r="AQ31" i="24"/>
  <c r="AQ33" i="24" s="1"/>
  <c r="P33" i="24"/>
  <c r="Q31" i="24"/>
  <c r="Q33" i="24" s="1"/>
  <c r="N33" i="24"/>
  <c r="V31" i="24"/>
  <c r="AD31" i="24"/>
  <c r="AL31" i="24"/>
  <c r="AT31" i="24"/>
  <c r="AT33" i="24" s="1"/>
  <c r="AX33" i="24" s="1" a="1"/>
  <c r="V33" i="24"/>
  <c r="AD33" i="24"/>
  <c r="AL33" i="24"/>
  <c r="O31" i="24"/>
  <c r="O33" i="24" s="1"/>
  <c r="W31" i="24"/>
  <c r="W33" i="24" s="1"/>
  <c r="AE31" i="24"/>
  <c r="AE33" i="24" s="1"/>
  <c r="AM31" i="24"/>
  <c r="AM33" i="24" s="1"/>
  <c r="AU31" i="24"/>
  <c r="AU33" i="24" s="1"/>
  <c r="P31" i="24"/>
  <c r="AW33" i="24"/>
  <c r="AV33" i="24"/>
  <c r="L31" i="24"/>
  <c r="L33" i="24" s="1"/>
  <c r="T31" i="24"/>
  <c r="AB31" i="24"/>
  <c r="AB33" i="24" s="1"/>
  <c r="AJ31" i="24"/>
  <c r="AJ33" i="24" s="1"/>
  <c r="AR31" i="24"/>
  <c r="M31" i="24"/>
  <c r="U31" i="24"/>
  <c r="U33" i="24" s="1"/>
  <c r="AC31" i="24"/>
  <c r="AC33" i="24" s="1"/>
  <c r="AK31" i="24"/>
  <c r="AK33" i="24" s="1"/>
  <c r="AS31" i="24"/>
  <c r="AF33" i="24"/>
  <c r="AR33" i="24"/>
  <c r="T33" i="24"/>
  <c r="AS33" i="24"/>
  <c r="X31" i="24"/>
  <c r="X33" i="24" s="1"/>
  <c r="AF31" i="24"/>
  <c r="AN31" i="24"/>
  <c r="AN33" i="24" s="1"/>
  <c r="AV31" i="24"/>
  <c r="J33" i="24"/>
  <c r="R33" i="24"/>
  <c r="Z33" i="24"/>
  <c r="AH33" i="24"/>
  <c r="AP33" i="24"/>
  <c r="D81" i="26" l="1"/>
  <c r="D64" i="26"/>
  <c r="D70" i="26"/>
  <c r="D72" i="26"/>
  <c r="D88" i="26"/>
  <c r="D83" i="26"/>
  <c r="D68" i="26"/>
  <c r="D74" i="26"/>
  <c r="D80" i="26"/>
  <c r="D76" i="26"/>
  <c r="D87" i="26"/>
  <c r="D85" i="26"/>
  <c r="D78" i="26"/>
  <c r="J5" i="26"/>
  <c r="D67" i="26"/>
  <c r="J6" i="26"/>
  <c r="D66" i="26"/>
  <c r="D63" i="26"/>
  <c r="D86" i="26"/>
  <c r="D69" i="26"/>
  <c r="D77" i="26"/>
  <c r="D82" i="26"/>
  <c r="D73" i="26"/>
  <c r="D71" i="26"/>
  <c r="D65" i="26"/>
  <c r="D89" i="26"/>
  <c r="D75" i="26"/>
  <c r="D79" i="26"/>
  <c r="D90" i="26"/>
  <c r="D84" i="26"/>
  <c r="R5" i="26"/>
  <c r="R6" i="26"/>
  <c r="T20" i="26"/>
  <c r="S5" i="26"/>
  <c r="S6" i="26"/>
  <c r="I5" i="26"/>
  <c r="I6" i="26"/>
  <c r="AX33" i="24"/>
  <c r="AY33" i="24"/>
  <c r="AZ33" i="24"/>
  <c r="E8" i="17" l="1" a="1"/>
  <c r="E10" i="17" s="1"/>
  <c r="F37" i="24"/>
  <c r="E8" i="29" a="1"/>
  <c r="T5" i="26"/>
  <c r="N76" i="26"/>
  <c r="N80" i="26"/>
  <c r="N70" i="26"/>
  <c r="N67" i="26"/>
  <c r="N72" i="26"/>
  <c r="T6" i="26"/>
  <c r="N73" i="26"/>
  <c r="N77" i="26"/>
  <c r="N69" i="26"/>
  <c r="N65" i="26"/>
  <c r="N86" i="26"/>
  <c r="N89" i="26"/>
  <c r="N90" i="26"/>
  <c r="N79" i="26"/>
  <c r="N71" i="26"/>
  <c r="N63" i="26"/>
  <c r="N66" i="26"/>
  <c r="N82" i="26"/>
  <c r="N83" i="26"/>
  <c r="N74" i="26"/>
  <c r="N78" i="26"/>
  <c r="N64" i="26"/>
  <c r="N87" i="26"/>
  <c r="N68" i="26"/>
  <c r="N88" i="26"/>
  <c r="N81" i="26"/>
  <c r="N85" i="26"/>
  <c r="N84" i="26"/>
  <c r="N75" i="26"/>
  <c r="E35" i="17"/>
  <c r="E16" i="17"/>
  <c r="E43" i="17"/>
  <c r="E47" i="17"/>
  <c r="E31" i="17"/>
  <c r="E44" i="17"/>
  <c r="E29" i="17"/>
  <c r="E46" i="17"/>
  <c r="E45" i="17"/>
  <c r="E11" i="17"/>
  <c r="E41" i="17"/>
  <c r="E9" i="17"/>
  <c r="E39" i="17"/>
  <c r="E36" i="17"/>
  <c r="E28" i="17"/>
  <c r="E14" i="17"/>
  <c r="E18" i="17"/>
  <c r="E38" i="17"/>
  <c r="E23" i="17"/>
  <c r="E42" i="17"/>
  <c r="E33" i="17"/>
  <c r="E12" i="17"/>
  <c r="E27" i="17"/>
  <c r="E22" i="17"/>
  <c r="E19" i="17"/>
  <c r="E21" i="17"/>
  <c r="E15" i="17"/>
  <c r="E34" i="17"/>
  <c r="E26" i="17"/>
  <c r="E25" i="17"/>
  <c r="E40" i="17"/>
  <c r="E13" i="17"/>
  <c r="E8" i="17"/>
  <c r="O47" i="22"/>
  <c r="O46" i="22"/>
  <c r="O45" i="22"/>
  <c r="O44" i="22"/>
  <c r="O43" i="22"/>
  <c r="O42" i="22"/>
  <c r="O41" i="22"/>
  <c r="O40" i="22"/>
  <c r="O39" i="22"/>
  <c r="O38" i="22"/>
  <c r="O37" i="22"/>
  <c r="O36" i="22"/>
  <c r="O35" i="22"/>
  <c r="O34" i="22"/>
  <c r="O33" i="22"/>
  <c r="O32" i="22"/>
  <c r="O31" i="22"/>
  <c r="O30" i="22"/>
  <c r="O29" i="22"/>
  <c r="O28" i="22"/>
  <c r="O27" i="22"/>
  <c r="O26" i="22"/>
  <c r="O25" i="22"/>
  <c r="O24" i="22"/>
  <c r="O23" i="22"/>
  <c r="O22" i="22"/>
  <c r="O21" i="22"/>
  <c r="O20" i="22"/>
  <c r="R19" i="22"/>
  <c r="O19" i="22"/>
  <c r="O18" i="22"/>
  <c r="R18" i="22"/>
  <c r="R17" i="22"/>
  <c r="O17" i="22"/>
  <c r="O16" i="22"/>
  <c r="R16" i="22"/>
  <c r="O15" i="22"/>
  <c r="R15" i="22"/>
  <c r="R14" i="22"/>
  <c r="O14" i="22"/>
  <c r="O13" i="22"/>
  <c r="R13" i="22"/>
  <c r="O12" i="22"/>
  <c r="R12" i="22"/>
  <c r="R11" i="22"/>
  <c r="O11" i="22"/>
  <c r="O10" i="22"/>
  <c r="R10" i="22"/>
  <c r="R9" i="22"/>
  <c r="O9" i="22"/>
  <c r="O8" i="22"/>
  <c r="P6" i="22"/>
  <c r="F6" i="22"/>
  <c r="E6" i="22"/>
  <c r="P5" i="22"/>
  <c r="P9" i="1" s="1"/>
  <c r="X9" i="1" s="1"/>
  <c r="F5" i="22"/>
  <c r="P8" i="1" s="1"/>
  <c r="X8" i="1" s="1"/>
  <c r="E5" i="22"/>
  <c r="O8" i="1" s="1"/>
  <c r="W8" i="1" s="1"/>
  <c r="F6" i="21"/>
  <c r="F5" i="21"/>
  <c r="P7" i="1" s="1"/>
  <c r="X7" i="1" s="1"/>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AA41" i="5"/>
  <c r="AA42" i="5"/>
  <c r="AA43" i="5"/>
  <c r="AA44" i="5"/>
  <c r="AA45" i="5"/>
  <c r="AA46" i="5"/>
  <c r="AA47" i="5"/>
  <c r="AA48" i="5"/>
  <c r="AA49" i="5"/>
  <c r="K29" i="6"/>
  <c r="S29" i="6" s="1"/>
  <c r="K31" i="6"/>
  <c r="S31" i="6" s="1"/>
  <c r="K37" i="6"/>
  <c r="S37" i="6" s="1"/>
  <c r="J26" i="6"/>
  <c r="R26" i="6" s="1"/>
  <c r="E28" i="6"/>
  <c r="J30" i="6"/>
  <c r="R30" i="6" s="1"/>
  <c r="J32" i="6"/>
  <c r="R32" i="6" s="1"/>
  <c r="J33" i="6"/>
  <c r="R33" i="6" s="1"/>
  <c r="E34" i="6"/>
  <c r="E36" i="6"/>
  <c r="J37" i="6"/>
  <c r="K24" i="6"/>
  <c r="J24" i="6"/>
  <c r="R24" i="6" s="1"/>
  <c r="J25" i="6"/>
  <c r="R25" i="6" s="1"/>
  <c r="J27" i="6"/>
  <c r="R27" i="6" s="1"/>
  <c r="E29" i="6"/>
  <c r="J31" i="6"/>
  <c r="R31" i="6" s="1"/>
  <c r="J35" i="6"/>
  <c r="R35" i="6" s="1"/>
  <c r="E30" i="6"/>
  <c r="K32" i="6"/>
  <c r="S32" i="6" s="1"/>
  <c r="K34" i="6"/>
  <c r="S34" i="6" s="1"/>
  <c r="E37" i="6"/>
  <c r="K36" i="6"/>
  <c r="S36" i="6" s="1"/>
  <c r="K35" i="6"/>
  <c r="S35" i="6" s="1"/>
  <c r="J29" i="6"/>
  <c r="R29" i="6" s="1"/>
  <c r="K28" i="6"/>
  <c r="S28" i="6" s="1"/>
  <c r="K27" i="6"/>
  <c r="S27" i="6" s="1"/>
  <c r="E27" i="6"/>
  <c r="K26" i="6"/>
  <c r="S26" i="6" s="1"/>
  <c r="K25" i="6"/>
  <c r="S25" i="6" s="1"/>
  <c r="J17" i="6"/>
  <c r="D20" i="32" s="1"/>
  <c r="J20" i="32" s="1"/>
  <c r="G17" i="6"/>
  <c r="M17" i="6"/>
  <c r="U17" i="6" s="1"/>
  <c r="L17" i="6"/>
  <c r="T17" i="6" s="1"/>
  <c r="K17" i="6"/>
  <c r="J16" i="6"/>
  <c r="M16" i="6"/>
  <c r="U16" i="6" s="1"/>
  <c r="L16" i="6"/>
  <c r="K16" i="6"/>
  <c r="G16" i="6"/>
  <c r="L15" i="6"/>
  <c r="T15" i="6" s="1"/>
  <c r="K15" i="6"/>
  <c r="M15" i="6"/>
  <c r="U15" i="6" s="1"/>
  <c r="J15" i="6"/>
  <c r="D18" i="32" s="1"/>
  <c r="J18" i="32" s="1"/>
  <c r="J14" i="6"/>
  <c r="M14" i="6"/>
  <c r="U14" i="6" s="1"/>
  <c r="L14" i="6"/>
  <c r="K14" i="6"/>
  <c r="F17" i="32" s="1"/>
  <c r="K13" i="6"/>
  <c r="J13" i="6"/>
  <c r="D16" i="32" s="1"/>
  <c r="J16" i="32" s="1"/>
  <c r="G13" i="6"/>
  <c r="M13" i="6"/>
  <c r="U13" i="6" s="1"/>
  <c r="L13" i="6"/>
  <c r="T13" i="6" s="1"/>
  <c r="M12" i="6"/>
  <c r="U12" i="6" s="1"/>
  <c r="J12" i="6"/>
  <c r="L12" i="6"/>
  <c r="K12" i="6"/>
  <c r="G12" i="6"/>
  <c r="L11" i="6"/>
  <c r="T11" i="6" s="1"/>
  <c r="K11" i="6"/>
  <c r="M11" i="6"/>
  <c r="U11" i="6" s="1"/>
  <c r="J11" i="6"/>
  <c r="D14" i="32" s="1"/>
  <c r="J14" i="32" s="1"/>
  <c r="M10" i="6"/>
  <c r="U10" i="6" s="1"/>
  <c r="J10" i="6"/>
  <c r="L10" i="6"/>
  <c r="K10" i="6"/>
  <c r="F13" i="32" s="1"/>
  <c r="K9" i="6"/>
  <c r="J9" i="6"/>
  <c r="D12" i="32" s="1"/>
  <c r="J12" i="32" s="1"/>
  <c r="G9" i="6"/>
  <c r="M9" i="6"/>
  <c r="U9" i="6" s="1"/>
  <c r="L9" i="6"/>
  <c r="T9" i="6" s="1"/>
  <c r="M8" i="6"/>
  <c r="U8" i="6" s="1"/>
  <c r="J8" i="6"/>
  <c r="L8" i="6"/>
  <c r="K8" i="6"/>
  <c r="G8" i="6"/>
  <c r="L7" i="6"/>
  <c r="T7" i="6" s="1"/>
  <c r="K7" i="6"/>
  <c r="M7" i="6"/>
  <c r="U7" i="6" s="1"/>
  <c r="J7" i="6"/>
  <c r="D10" i="32" s="1"/>
  <c r="J10" i="32" s="1"/>
  <c r="J6" i="6"/>
  <c r="M6" i="6"/>
  <c r="U6" i="6" s="1"/>
  <c r="L6" i="6"/>
  <c r="T6" i="6" s="1"/>
  <c r="K6" i="6"/>
  <c r="F9" i="32" s="1"/>
  <c r="J5" i="6"/>
  <c r="G5" i="6"/>
  <c r="M5" i="6"/>
  <c r="U5" i="6" s="1"/>
  <c r="L5" i="6"/>
  <c r="T5" i="6" s="1"/>
  <c r="K5" i="6"/>
  <c r="M4" i="6"/>
  <c r="U4" i="6" s="1"/>
  <c r="L4" i="6"/>
  <c r="J4" i="6"/>
  <c r="K4" i="6"/>
  <c r="Q6" i="18"/>
  <c r="G6" i="18"/>
  <c r="Q5" i="18"/>
  <c r="Q5" i="1" s="1"/>
  <c r="Y5" i="1" s="1"/>
  <c r="G5" i="18"/>
  <c r="Q6" i="1" s="1"/>
  <c r="Y6" i="1" s="1"/>
  <c r="F6" i="17"/>
  <c r="G6" i="17"/>
  <c r="F5" i="17"/>
  <c r="P4" i="1" s="1"/>
  <c r="X4" i="1" s="1"/>
  <c r="G5" i="17"/>
  <c r="Q4" i="1" s="1"/>
  <c r="Y4" i="1" s="1"/>
  <c r="Q9" i="22"/>
  <c r="Q10" i="22"/>
  <c r="Q11" i="22"/>
  <c r="Q12"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8"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AG6" i="14"/>
  <c r="G10" i="21" s="1"/>
  <c r="I6" i="15"/>
  <c r="I10" i="15"/>
  <c r="I14" i="15"/>
  <c r="I15" i="15"/>
  <c r="H6" i="15"/>
  <c r="E7" i="15"/>
  <c r="E13" i="15"/>
  <c r="H14" i="15"/>
  <c r="E15" i="15"/>
  <c r="E17" i="15"/>
  <c r="H4" i="15"/>
  <c r="M4" i="15" s="1"/>
  <c r="G5" i="14"/>
  <c r="G6" i="14"/>
  <c r="G7" i="14"/>
  <c r="G8" i="14"/>
  <c r="G9" i="14"/>
  <c r="G10" i="14"/>
  <c r="G11" i="14"/>
  <c r="G12" i="14"/>
  <c r="G13" i="14"/>
  <c r="G14" i="14"/>
  <c r="G15" i="14"/>
  <c r="G16" i="14"/>
  <c r="G17" i="14"/>
  <c r="J17" i="14"/>
  <c r="R17" i="14" s="1"/>
  <c r="M17" i="14"/>
  <c r="U17" i="14" s="1"/>
  <c r="L17" i="14"/>
  <c r="T17" i="14" s="1"/>
  <c r="M16" i="14"/>
  <c r="U16" i="14" s="1"/>
  <c r="L16" i="14"/>
  <c r="T16" i="14" s="1"/>
  <c r="K16" i="14"/>
  <c r="K15" i="14"/>
  <c r="M15" i="14"/>
  <c r="U15" i="14" s="1"/>
  <c r="L15" i="14"/>
  <c r="T15" i="14" s="1"/>
  <c r="J15" i="14"/>
  <c r="R15" i="14" s="1"/>
  <c r="K14" i="14"/>
  <c r="J14" i="14"/>
  <c r="R14" i="14" s="1"/>
  <c r="M14" i="14"/>
  <c r="U14" i="14" s="1"/>
  <c r="L14" i="14"/>
  <c r="J13" i="14"/>
  <c r="R13" i="14" s="1"/>
  <c r="M13" i="14"/>
  <c r="U13" i="14" s="1"/>
  <c r="L13" i="14"/>
  <c r="T13" i="14" s="1"/>
  <c r="H13" i="15"/>
  <c r="M13" i="15" s="1"/>
  <c r="U12" i="14"/>
  <c r="L12" i="14"/>
  <c r="T12" i="14" s="1"/>
  <c r="K12" i="14"/>
  <c r="K11" i="14"/>
  <c r="J11" i="14"/>
  <c r="R11" i="14" s="1"/>
  <c r="M11" i="14"/>
  <c r="U11" i="14" s="1"/>
  <c r="L11" i="14"/>
  <c r="T11" i="14" s="1"/>
  <c r="K10" i="14"/>
  <c r="J10" i="14"/>
  <c r="R10" i="14" s="1"/>
  <c r="M10" i="14"/>
  <c r="U10" i="14" s="1"/>
  <c r="L10" i="14"/>
  <c r="H10" i="15"/>
  <c r="M10" i="15" s="1"/>
  <c r="J9" i="14"/>
  <c r="R9" i="14" s="1"/>
  <c r="M9" i="14"/>
  <c r="U9" i="14" s="1"/>
  <c r="L9" i="14"/>
  <c r="T9" i="14" s="1"/>
  <c r="M8" i="14"/>
  <c r="U8" i="14" s="1"/>
  <c r="L8" i="14"/>
  <c r="K8" i="14"/>
  <c r="K7" i="14"/>
  <c r="J7" i="14"/>
  <c r="R7" i="14" s="1"/>
  <c r="M7" i="14"/>
  <c r="L7" i="14"/>
  <c r="K6" i="14"/>
  <c r="S6" i="14" s="1"/>
  <c r="J6" i="14"/>
  <c r="R6" i="14" s="1"/>
  <c r="M6" i="14"/>
  <c r="U6" i="14" s="1"/>
  <c r="L6" i="14"/>
  <c r="J5" i="14"/>
  <c r="R5" i="14" s="1"/>
  <c r="M5" i="14"/>
  <c r="U5" i="14" s="1"/>
  <c r="L5" i="14"/>
  <c r="T5" i="14" s="1"/>
  <c r="M4" i="14"/>
  <c r="U4" i="14" s="1"/>
  <c r="L4" i="14"/>
  <c r="T4" i="14" s="1"/>
  <c r="I5" i="3"/>
  <c r="I8" i="3"/>
  <c r="I11" i="3"/>
  <c r="I13" i="3"/>
  <c r="I16" i="3"/>
  <c r="L4" i="2"/>
  <c r="T4" i="2" s="1"/>
  <c r="M4" i="2"/>
  <c r="U4" i="2" s="1"/>
  <c r="E37" i="17" l="1"/>
  <c r="E24" i="17"/>
  <c r="E20" i="17"/>
  <c r="E17" i="17"/>
  <c r="E30" i="17"/>
  <c r="E40" i="29"/>
  <c r="E26" i="29"/>
  <c r="E14" i="29"/>
  <c r="E12" i="29"/>
  <c r="E11" i="29"/>
  <c r="E27" i="29"/>
  <c r="E9" i="29"/>
  <c r="E34" i="29"/>
  <c r="E22" i="29"/>
  <c r="E35" i="29"/>
  <c r="E47" i="29"/>
  <c r="E16" i="29"/>
  <c r="E18" i="29"/>
  <c r="E39" i="29"/>
  <c r="E17" i="29"/>
  <c r="E42" i="29"/>
  <c r="E30" i="29"/>
  <c r="E19" i="29"/>
  <c r="E31" i="29"/>
  <c r="E44" i="29"/>
  <c r="E24" i="29"/>
  <c r="E25" i="29"/>
  <c r="E13" i="29"/>
  <c r="E38" i="29"/>
  <c r="E36" i="29"/>
  <c r="E15" i="29"/>
  <c r="E23" i="29"/>
  <c r="E33" i="29"/>
  <c r="E21" i="29"/>
  <c r="E46" i="29"/>
  <c r="E20" i="29"/>
  <c r="E37" i="29"/>
  <c r="E43" i="29"/>
  <c r="E28" i="29"/>
  <c r="E8" i="29"/>
  <c r="E41" i="29"/>
  <c r="E29" i="29"/>
  <c r="E32" i="29"/>
  <c r="E10" i="29"/>
  <c r="E45" i="29"/>
  <c r="E32" i="17"/>
  <c r="E5" i="17" s="1"/>
  <c r="O4" i="1" s="1"/>
  <c r="W4" i="1" s="1"/>
  <c r="Q5" i="22"/>
  <c r="R6" i="6"/>
  <c r="D9" i="32"/>
  <c r="J9" i="32" s="1"/>
  <c r="R12" i="6"/>
  <c r="D15" i="32"/>
  <c r="J15" i="32" s="1"/>
  <c r="R8" i="6"/>
  <c r="D11" i="32"/>
  <c r="J11" i="32" s="1"/>
  <c r="R5" i="6"/>
  <c r="D8" i="32"/>
  <c r="J8" i="32" s="1"/>
  <c r="R14" i="6"/>
  <c r="D17" i="32"/>
  <c r="J17" i="32" s="1"/>
  <c r="R4" i="6"/>
  <c r="D7" i="32"/>
  <c r="J7" i="32" s="1"/>
  <c r="R16" i="6"/>
  <c r="D19" i="32"/>
  <c r="J19" i="32" s="1"/>
  <c r="R10" i="6"/>
  <c r="D13" i="32"/>
  <c r="J13" i="32" s="1"/>
  <c r="U7" i="14"/>
  <c r="O7" i="14"/>
  <c r="E6" i="17"/>
  <c r="S7" i="6"/>
  <c r="F10" i="32"/>
  <c r="S4" i="6"/>
  <c r="V4" i="6" s="1"/>
  <c r="F7" i="32"/>
  <c r="S11" i="6"/>
  <c r="F14" i="32"/>
  <c r="S8" i="6"/>
  <c r="V8" i="6" s="1"/>
  <c r="F11" i="32"/>
  <c r="S9" i="6"/>
  <c r="F12" i="32"/>
  <c r="S17" i="6"/>
  <c r="F20" i="32"/>
  <c r="S16" i="6"/>
  <c r="F19" i="32"/>
  <c r="S15" i="6"/>
  <c r="F18" i="32"/>
  <c r="S5" i="6"/>
  <c r="F8" i="32"/>
  <c r="S12" i="6"/>
  <c r="V12" i="6" s="1"/>
  <c r="F15" i="32"/>
  <c r="S13" i="6"/>
  <c r="F16" i="32"/>
  <c r="AA8" i="5"/>
  <c r="E16" i="15"/>
  <c r="E8" i="15"/>
  <c r="O4" i="6"/>
  <c r="AF4" i="6" s="1"/>
  <c r="W9" i="6"/>
  <c r="N17" i="6"/>
  <c r="N13" i="6"/>
  <c r="AB13" i="6" s="1"/>
  <c r="N9" i="6"/>
  <c r="AB9" i="6" s="1"/>
  <c r="O10" i="6"/>
  <c r="AF10" i="6" s="1"/>
  <c r="T10" i="6"/>
  <c r="W10" i="6" s="1"/>
  <c r="O14" i="6"/>
  <c r="AF14" i="6" s="1"/>
  <c r="T14" i="6"/>
  <c r="W14" i="6" s="1"/>
  <c r="T4" i="6"/>
  <c r="W4" i="6" s="1"/>
  <c r="H8" i="18"/>
  <c r="R8" i="18" s="1"/>
  <c r="J34" i="6"/>
  <c r="R34" i="6" s="1"/>
  <c r="T34" i="6" s="1"/>
  <c r="R9" i="6"/>
  <c r="E33" i="6"/>
  <c r="E25" i="6"/>
  <c r="O4" i="2"/>
  <c r="AE4" i="2" s="1"/>
  <c r="G8" i="21"/>
  <c r="G8" i="22"/>
  <c r="J8" i="22" s="1"/>
  <c r="AH4" i="33" s="1"/>
  <c r="G8" i="16"/>
  <c r="Q13" i="22"/>
  <c r="R8" i="22"/>
  <c r="O6" i="22"/>
  <c r="O5" i="22"/>
  <c r="O9" i="1" s="1"/>
  <c r="W9" i="1" s="1"/>
  <c r="G5" i="22"/>
  <c r="Q8" i="1" s="1"/>
  <c r="Y8" i="1" s="1"/>
  <c r="W17" i="6"/>
  <c r="U18" i="6"/>
  <c r="W4" i="2"/>
  <c r="K33" i="6"/>
  <c r="S33" i="6" s="1"/>
  <c r="T33" i="6" s="1"/>
  <c r="E26" i="6"/>
  <c r="J36" i="6"/>
  <c r="R36" i="6" s="1"/>
  <c r="T36" i="6" s="1"/>
  <c r="J28" i="6"/>
  <c r="R28" i="6" s="1"/>
  <c r="T28" i="6" s="1"/>
  <c r="E35" i="6"/>
  <c r="K30" i="6"/>
  <c r="S30" i="6" s="1"/>
  <c r="T30" i="6" s="1"/>
  <c r="L37" i="6"/>
  <c r="R37" i="6"/>
  <c r="T37" i="6" s="1"/>
  <c r="E32" i="6"/>
  <c r="E31" i="6"/>
  <c r="T25" i="6"/>
  <c r="T29" i="6"/>
  <c r="T32" i="6"/>
  <c r="S38" i="6"/>
  <c r="S24" i="6"/>
  <c r="T24" i="6" s="1"/>
  <c r="L24" i="6"/>
  <c r="J42" i="6" s="1"/>
  <c r="AC4" i="6" s="1"/>
  <c r="T27" i="6"/>
  <c r="T31" i="6"/>
  <c r="T26" i="6"/>
  <c r="T35" i="6"/>
  <c r="L25" i="6"/>
  <c r="J43" i="6" s="1"/>
  <c r="AC5" i="6" s="1"/>
  <c r="L26" i="6"/>
  <c r="J44" i="6" s="1"/>
  <c r="AC6" i="6" s="1"/>
  <c r="L27" i="6"/>
  <c r="J45" i="6" s="1"/>
  <c r="AC7" i="6" s="1"/>
  <c r="L29" i="6"/>
  <c r="J47" i="6" s="1"/>
  <c r="AC9" i="6" s="1"/>
  <c r="L31" i="6"/>
  <c r="J49" i="6" s="1"/>
  <c r="AC11" i="6" s="1"/>
  <c r="L32" i="6"/>
  <c r="J50" i="6" s="1"/>
  <c r="AC12" i="6" s="1"/>
  <c r="L35" i="6"/>
  <c r="J53" i="6" s="1"/>
  <c r="AC15" i="6" s="1"/>
  <c r="R13" i="6"/>
  <c r="V13" i="6" s="1"/>
  <c r="R17" i="6"/>
  <c r="N7" i="6"/>
  <c r="AB7" i="6" s="1"/>
  <c r="R7" i="6"/>
  <c r="N6" i="6"/>
  <c r="AB6" i="6" s="1"/>
  <c r="S6" i="6"/>
  <c r="V6" i="6" s="1"/>
  <c r="O8" i="6"/>
  <c r="AF8" i="6" s="1"/>
  <c r="T8" i="6"/>
  <c r="W8" i="6" s="1"/>
  <c r="W11" i="6"/>
  <c r="W13" i="6"/>
  <c r="O16" i="6"/>
  <c r="T16" i="6"/>
  <c r="W16" i="6" s="1"/>
  <c r="N10" i="6"/>
  <c r="AB10" i="6" s="1"/>
  <c r="S10" i="6"/>
  <c r="V16" i="6"/>
  <c r="AB20" i="6" s="1"/>
  <c r="N5" i="6"/>
  <c r="AB5" i="6" s="1"/>
  <c r="N11" i="6"/>
  <c r="AB11" i="6" s="1"/>
  <c r="R11" i="6"/>
  <c r="V11" i="6" s="1"/>
  <c r="W6" i="6"/>
  <c r="W5" i="6"/>
  <c r="O6" i="6"/>
  <c r="AF6" i="6" s="1"/>
  <c r="W7" i="6"/>
  <c r="O12" i="6"/>
  <c r="AF12" i="6" s="1"/>
  <c r="T12" i="6"/>
  <c r="W12" i="6" s="1"/>
  <c r="W15" i="6"/>
  <c r="S14" i="6"/>
  <c r="V14" i="6" s="1"/>
  <c r="N14" i="6"/>
  <c r="AB14" i="6" s="1"/>
  <c r="N15" i="6"/>
  <c r="AB15" i="6" s="1"/>
  <c r="R15" i="6"/>
  <c r="O7" i="6"/>
  <c r="AF7" i="6" s="1"/>
  <c r="O11" i="6"/>
  <c r="AF11" i="6" s="1"/>
  <c r="O15" i="6"/>
  <c r="AF15" i="6" s="1"/>
  <c r="N4" i="6"/>
  <c r="AB4" i="6" s="1"/>
  <c r="G7" i="6"/>
  <c r="G11" i="6"/>
  <c r="G15" i="6"/>
  <c r="O5" i="6"/>
  <c r="AF5" i="6" s="1"/>
  <c r="G6" i="6"/>
  <c r="O9" i="6"/>
  <c r="AF9" i="6" s="1"/>
  <c r="G10" i="6"/>
  <c r="O13" i="6"/>
  <c r="AF13" i="6" s="1"/>
  <c r="G14" i="6"/>
  <c r="O17" i="6"/>
  <c r="G4" i="6"/>
  <c r="N8" i="6"/>
  <c r="AB8" i="6" s="1"/>
  <c r="N12" i="6"/>
  <c r="AB12" i="6" s="1"/>
  <c r="N16" i="6"/>
  <c r="H8" i="17"/>
  <c r="AG21" i="14"/>
  <c r="G25" i="21" s="1"/>
  <c r="AG12" i="14"/>
  <c r="G16" i="21" s="1"/>
  <c r="AG43" i="14"/>
  <c r="G47" i="21" s="1"/>
  <c r="AG35" i="14"/>
  <c r="G39" i="21" s="1"/>
  <c r="AG27" i="14"/>
  <c r="G31" i="21" s="1"/>
  <c r="AG19" i="14"/>
  <c r="G23" i="21" s="1"/>
  <c r="AG11" i="14"/>
  <c r="G15" i="21" s="1"/>
  <c r="AG42" i="14"/>
  <c r="G46" i="21" s="1"/>
  <c r="AG34" i="14"/>
  <c r="G38" i="21" s="1"/>
  <c r="AG26" i="14"/>
  <c r="G30" i="21" s="1"/>
  <c r="AG18" i="14"/>
  <c r="G22" i="21" s="1"/>
  <c r="AG10" i="14"/>
  <c r="G14" i="21" s="1"/>
  <c r="AG5" i="14"/>
  <c r="AG41" i="14"/>
  <c r="G45" i="21" s="1"/>
  <c r="AG33" i="14"/>
  <c r="G37" i="21" s="1"/>
  <c r="AG25" i="14"/>
  <c r="G29" i="21" s="1"/>
  <c r="AG17" i="14"/>
  <c r="G21" i="21" s="1"/>
  <c r="AG9" i="14"/>
  <c r="G13" i="21" s="1"/>
  <c r="AG13" i="14"/>
  <c r="G17" i="21" s="1"/>
  <c r="AG36" i="14"/>
  <c r="G40" i="21" s="1"/>
  <c r="AG40" i="14"/>
  <c r="G44" i="21" s="1"/>
  <c r="AG32" i="14"/>
  <c r="G36" i="21" s="1"/>
  <c r="AG24" i="14"/>
  <c r="G28" i="21" s="1"/>
  <c r="AG16" i="14"/>
  <c r="G20" i="21" s="1"/>
  <c r="AG8" i="14"/>
  <c r="G12" i="21" s="1"/>
  <c r="AG37" i="14"/>
  <c r="G41" i="21" s="1"/>
  <c r="AG20" i="14"/>
  <c r="G24" i="21" s="1"/>
  <c r="AG39" i="14"/>
  <c r="G43" i="21" s="1"/>
  <c r="AG31" i="14"/>
  <c r="G35" i="21" s="1"/>
  <c r="AG23" i="14"/>
  <c r="G27" i="21" s="1"/>
  <c r="AG15" i="14"/>
  <c r="G19" i="21" s="1"/>
  <c r="AG7" i="14"/>
  <c r="G11" i="21" s="1"/>
  <c r="AG29" i="14"/>
  <c r="G33" i="21" s="1"/>
  <c r="AG28" i="14"/>
  <c r="G32" i="21" s="1"/>
  <c r="AG38" i="14"/>
  <c r="G42" i="21" s="1"/>
  <c r="AG30" i="14"/>
  <c r="G34" i="21" s="1"/>
  <c r="AG22" i="14"/>
  <c r="G26" i="21" s="1"/>
  <c r="AG14" i="14"/>
  <c r="G18" i="21" s="1"/>
  <c r="W9" i="14"/>
  <c r="N7" i="14"/>
  <c r="AB7" i="14" s="1"/>
  <c r="AD7" i="14" s="1"/>
  <c r="N15" i="14"/>
  <c r="AB15" i="14" s="1"/>
  <c r="AD15" i="14" s="1"/>
  <c r="V6" i="14"/>
  <c r="W17" i="14"/>
  <c r="N10" i="14"/>
  <c r="AB10" i="14" s="1"/>
  <c r="AD10" i="14" s="1"/>
  <c r="N11" i="14"/>
  <c r="AB11" i="14" s="1"/>
  <c r="AD11" i="14" s="1"/>
  <c r="H7" i="15"/>
  <c r="M7" i="15" s="1"/>
  <c r="N6" i="14"/>
  <c r="N14" i="14"/>
  <c r="AB14" i="14" s="1"/>
  <c r="AD14" i="14" s="1"/>
  <c r="E12" i="15"/>
  <c r="E9" i="15"/>
  <c r="E5" i="15"/>
  <c r="W13" i="14"/>
  <c r="W15" i="14"/>
  <c r="W4" i="14"/>
  <c r="W12" i="14"/>
  <c r="W16" i="14"/>
  <c r="O4" i="14"/>
  <c r="AE4" i="14" s="1"/>
  <c r="H8" i="21" s="1"/>
  <c r="I6" i="3"/>
  <c r="N6" i="3" s="1"/>
  <c r="I14" i="3"/>
  <c r="N14" i="3" s="1"/>
  <c r="I9" i="3"/>
  <c r="N9" i="3" s="1"/>
  <c r="H9" i="15"/>
  <c r="M9" i="15" s="1"/>
  <c r="H17" i="15"/>
  <c r="M17" i="15" s="1"/>
  <c r="J10" i="15"/>
  <c r="H26" i="15" s="1"/>
  <c r="AC10" i="14" s="1"/>
  <c r="E4" i="15"/>
  <c r="E10" i="15"/>
  <c r="E11" i="15"/>
  <c r="M14" i="15"/>
  <c r="J14" i="15"/>
  <c r="H30" i="15" s="1"/>
  <c r="AC14" i="14" s="1"/>
  <c r="M6" i="15"/>
  <c r="J6" i="15"/>
  <c r="H22" i="15" s="1"/>
  <c r="AC6" i="14" s="1"/>
  <c r="E14" i="15"/>
  <c r="E6" i="15"/>
  <c r="H5" i="15"/>
  <c r="H11" i="15"/>
  <c r="AE7" i="14"/>
  <c r="H11" i="21" s="1"/>
  <c r="T7" i="14"/>
  <c r="W7" i="14" s="1"/>
  <c r="O5" i="14"/>
  <c r="AE5" i="14" s="1"/>
  <c r="H9" i="21" s="1"/>
  <c r="O9" i="14"/>
  <c r="AE9" i="14" s="1"/>
  <c r="H13" i="21" s="1"/>
  <c r="S10" i="14"/>
  <c r="V10" i="14" s="1"/>
  <c r="T8" i="14"/>
  <c r="W8" i="14" s="1"/>
  <c r="O8" i="14"/>
  <c r="AE8" i="14" s="1"/>
  <c r="H12" i="21" s="1"/>
  <c r="W11" i="14"/>
  <c r="J12" i="14"/>
  <c r="H12" i="15"/>
  <c r="S15" i="14"/>
  <c r="V15" i="14" s="1"/>
  <c r="K4" i="14"/>
  <c r="J8" i="14"/>
  <c r="H8" i="15"/>
  <c r="S11" i="14"/>
  <c r="V11" i="14" s="1"/>
  <c r="S12" i="14"/>
  <c r="O13" i="14"/>
  <c r="AE13" i="14" s="1"/>
  <c r="H17" i="21" s="1"/>
  <c r="O15" i="14"/>
  <c r="AE15" i="14" s="1"/>
  <c r="H19" i="21" s="1"/>
  <c r="I7" i="15"/>
  <c r="N14" i="15"/>
  <c r="S16" i="14"/>
  <c r="O17" i="14"/>
  <c r="J4" i="14"/>
  <c r="S7" i="14"/>
  <c r="V7" i="14" s="1"/>
  <c r="S8" i="14"/>
  <c r="O11" i="14"/>
  <c r="AE11" i="14" s="1"/>
  <c r="H15" i="21" s="1"/>
  <c r="K17" i="14"/>
  <c r="N17" i="14" s="1"/>
  <c r="H15" i="15"/>
  <c r="K5" i="14"/>
  <c r="N5" i="14" s="1"/>
  <c r="O14" i="14"/>
  <c r="AE14" i="14" s="1"/>
  <c r="H18" i="21" s="1"/>
  <c r="O16" i="14"/>
  <c r="N6" i="15"/>
  <c r="N15" i="15"/>
  <c r="K13" i="14"/>
  <c r="N13" i="14" s="1"/>
  <c r="K9" i="14"/>
  <c r="N9" i="14" s="1"/>
  <c r="W5" i="14"/>
  <c r="O10" i="14"/>
  <c r="AE10" i="14" s="1"/>
  <c r="H14" i="21" s="1"/>
  <c r="O12" i="14"/>
  <c r="AE12" i="14" s="1"/>
  <c r="H16" i="21" s="1"/>
  <c r="O6" i="14"/>
  <c r="S14" i="14"/>
  <c r="V14" i="14" s="1"/>
  <c r="J16" i="14"/>
  <c r="H16" i="15"/>
  <c r="N10" i="15"/>
  <c r="O10" i="15" s="1"/>
  <c r="T6" i="14"/>
  <c r="W6" i="14" s="1"/>
  <c r="T10" i="14"/>
  <c r="W10" i="14" s="1"/>
  <c r="T14" i="14"/>
  <c r="W14" i="14" s="1"/>
  <c r="N5" i="3"/>
  <c r="N13" i="3"/>
  <c r="I17" i="3"/>
  <c r="N16" i="3"/>
  <c r="N8" i="3"/>
  <c r="I12" i="3"/>
  <c r="N11" i="3"/>
  <c r="I4" i="3"/>
  <c r="I15" i="3"/>
  <c r="I7" i="3"/>
  <c r="I10" i="3"/>
  <c r="M6" i="2"/>
  <c r="U6" i="2" s="1"/>
  <c r="M5" i="2"/>
  <c r="U5" i="2" s="1"/>
  <c r="L6" i="2"/>
  <c r="L5" i="2"/>
  <c r="L7" i="2"/>
  <c r="E5" i="29" l="1"/>
  <c r="E6" i="29"/>
  <c r="Q9" i="1"/>
  <c r="Y9" i="1" s="1"/>
  <c r="V5" i="6"/>
  <c r="V10" i="6"/>
  <c r="V17" i="6"/>
  <c r="AB24" i="6" s="1"/>
  <c r="AE6" i="14"/>
  <c r="H10" i="21" s="1"/>
  <c r="AB6" i="14"/>
  <c r="AD6" i="14" s="1"/>
  <c r="V9" i="6"/>
  <c r="V7" i="6"/>
  <c r="S18" i="6"/>
  <c r="D51" i="22"/>
  <c r="H5" i="33" s="1"/>
  <c r="P5" i="33" s="1"/>
  <c r="G6" i="22"/>
  <c r="AE9" i="6"/>
  <c r="AD11" i="6"/>
  <c r="S15" i="18" s="1"/>
  <c r="L28" i="6"/>
  <c r="J46" i="6" s="1"/>
  <c r="AC8" i="6" s="1"/>
  <c r="AD8" i="6" s="1"/>
  <c r="L36" i="6"/>
  <c r="L34" i="6"/>
  <c r="J52" i="6" s="1"/>
  <c r="AC14" i="6" s="1"/>
  <c r="AD14" i="6" s="1"/>
  <c r="S18" i="18" s="1"/>
  <c r="H17" i="18"/>
  <c r="R17" i="18" s="1"/>
  <c r="H19" i="18"/>
  <c r="R19" i="18" s="1"/>
  <c r="H13" i="18"/>
  <c r="R13" i="18" s="1"/>
  <c r="H15" i="18"/>
  <c r="R15" i="18" s="1"/>
  <c r="H11" i="18"/>
  <c r="R11" i="18" s="1"/>
  <c r="H16" i="18"/>
  <c r="R16" i="18" s="1"/>
  <c r="H9" i="18"/>
  <c r="R9" i="18" s="1"/>
  <c r="H12" i="18"/>
  <c r="R12" i="18" s="1"/>
  <c r="H10" i="18"/>
  <c r="R10" i="18" s="1"/>
  <c r="H18" i="18"/>
  <c r="R18" i="18" s="1"/>
  <c r="H14" i="18"/>
  <c r="R14" i="18" s="1"/>
  <c r="AL4" i="14"/>
  <c r="G9" i="21"/>
  <c r="G5" i="21" s="1"/>
  <c r="Q7" i="1" s="1"/>
  <c r="Y7" i="1" s="1"/>
  <c r="T18" i="6"/>
  <c r="T8" i="22"/>
  <c r="AI4" i="33" s="1"/>
  <c r="Q6" i="22"/>
  <c r="W18" i="6"/>
  <c r="AF43" i="6" s="1"/>
  <c r="L33" i="6"/>
  <c r="J51" i="6" s="1"/>
  <c r="AC13" i="6" s="1"/>
  <c r="AE5" i="6"/>
  <c r="AE6" i="6"/>
  <c r="AD9" i="6"/>
  <c r="S13" i="18" s="1"/>
  <c r="R38" i="6"/>
  <c r="AE12" i="6"/>
  <c r="AD7" i="6"/>
  <c r="S11" i="18" s="1"/>
  <c r="L30" i="6"/>
  <c r="J48" i="6" s="1"/>
  <c r="AC10" i="6" s="1"/>
  <c r="AD10" i="6" s="1"/>
  <c r="S14" i="18" s="1"/>
  <c r="T38" i="6"/>
  <c r="AD5" i="6"/>
  <c r="S9" i="18" s="1"/>
  <c r="AE7" i="6"/>
  <c r="AE11" i="6"/>
  <c r="AE4" i="6"/>
  <c r="AD4" i="6"/>
  <c r="S8" i="18" s="1"/>
  <c r="AE8" i="6"/>
  <c r="V15" i="6"/>
  <c r="V18" i="6" s="1"/>
  <c r="R18" i="6"/>
  <c r="AD12" i="6"/>
  <c r="S16" i="18" s="1"/>
  <c r="AE15" i="6"/>
  <c r="AD15" i="6"/>
  <c r="S19" i="18" s="1"/>
  <c r="AD6" i="6"/>
  <c r="S10" i="18" s="1"/>
  <c r="W18" i="14"/>
  <c r="AE33" i="14" s="1"/>
  <c r="R4" i="14"/>
  <c r="N4" i="14"/>
  <c r="AB4" i="14" s="1"/>
  <c r="AD4" i="14" s="1"/>
  <c r="R8" i="14"/>
  <c r="V8" i="14" s="1"/>
  <c r="N8" i="14"/>
  <c r="AB8" i="14" s="1"/>
  <c r="AD8" i="14" s="1"/>
  <c r="R16" i="14"/>
  <c r="V16" i="14" s="1"/>
  <c r="AB20" i="14" s="1"/>
  <c r="AD20" i="14" s="1"/>
  <c r="N16" i="14"/>
  <c r="J7" i="15"/>
  <c r="H23" i="15" s="1"/>
  <c r="AC7" i="14" s="1"/>
  <c r="R12" i="14"/>
  <c r="V12" i="14" s="1"/>
  <c r="N12" i="14"/>
  <c r="AB12" i="14" s="1"/>
  <c r="AD12" i="14" s="1"/>
  <c r="T5" i="2"/>
  <c r="W5" i="2" s="1"/>
  <c r="O5" i="2"/>
  <c r="AE5" i="2" s="1"/>
  <c r="H9" i="17" s="1"/>
  <c r="T7" i="2"/>
  <c r="T6" i="2"/>
  <c r="W6" i="2" s="1"/>
  <c r="O6" i="2"/>
  <c r="AE6" i="2" s="1"/>
  <c r="H10" i="17" s="1"/>
  <c r="O14" i="15"/>
  <c r="O6" i="15"/>
  <c r="M12" i="15"/>
  <c r="M15" i="15"/>
  <c r="O15" i="15" s="1"/>
  <c r="J15" i="15"/>
  <c r="H31" i="15" s="1"/>
  <c r="AC15" i="14" s="1"/>
  <c r="M5" i="15"/>
  <c r="M8" i="15"/>
  <c r="M16" i="15"/>
  <c r="M11" i="15"/>
  <c r="I12" i="15"/>
  <c r="J12" i="15" s="1"/>
  <c r="I9" i="15"/>
  <c r="J9" i="15" s="1"/>
  <c r="I17" i="15"/>
  <c r="J17" i="15" s="1"/>
  <c r="S13" i="14"/>
  <c r="V13" i="14" s="1"/>
  <c r="AB13" i="14"/>
  <c r="AD13" i="14" s="1"/>
  <c r="S4" i="14"/>
  <c r="I8" i="15"/>
  <c r="J8" i="15" s="1"/>
  <c r="I11" i="15"/>
  <c r="J11" i="15" s="1"/>
  <c r="S9" i="14"/>
  <c r="V9" i="14" s="1"/>
  <c r="AB9" i="14"/>
  <c r="AD9" i="14" s="1"/>
  <c r="S17" i="14"/>
  <c r="I4" i="15"/>
  <c r="J4" i="15" s="1"/>
  <c r="I13" i="15"/>
  <c r="J13" i="15" s="1"/>
  <c r="S5" i="14"/>
  <c r="V5" i="14" s="1"/>
  <c r="AB5" i="14"/>
  <c r="AD5" i="14" s="1"/>
  <c r="I5" i="15"/>
  <c r="J5" i="15" s="1"/>
  <c r="I16" i="15"/>
  <c r="J16" i="15" s="1"/>
  <c r="N7" i="15"/>
  <c r="O7" i="15" s="1"/>
  <c r="N12" i="3"/>
  <c r="N17" i="3"/>
  <c r="N7" i="3"/>
  <c r="N15" i="3"/>
  <c r="N10" i="3"/>
  <c r="N4" i="3"/>
  <c r="M7" i="2"/>
  <c r="O7" i="2" s="1"/>
  <c r="M8" i="2"/>
  <c r="U8" i="2" s="1"/>
  <c r="L8" i="2"/>
  <c r="AE14" i="6" l="1"/>
  <c r="I15" i="18"/>
  <c r="G6" i="21"/>
  <c r="N51" i="22"/>
  <c r="I5" i="33" s="1"/>
  <c r="Q5" i="33" s="1"/>
  <c r="S12" i="18"/>
  <c r="I12" i="18"/>
  <c r="AE18" i="14"/>
  <c r="O8" i="2"/>
  <c r="AE8" i="2" s="1"/>
  <c r="H12" i="17" s="1"/>
  <c r="I18" i="18"/>
  <c r="AF33" i="6"/>
  <c r="AF21" i="6"/>
  <c r="H25" i="18" s="1"/>
  <c r="AF31" i="6"/>
  <c r="H35" i="18" s="1"/>
  <c r="AF22" i="6"/>
  <c r="AF27" i="6"/>
  <c r="AF18" i="6"/>
  <c r="H22" i="18" s="1"/>
  <c r="AF20" i="6"/>
  <c r="H24" i="18" s="1"/>
  <c r="AF35" i="6"/>
  <c r="AF26" i="6"/>
  <c r="AF28" i="6"/>
  <c r="H32" i="18" s="1"/>
  <c r="AF29" i="6"/>
  <c r="H33" i="18" s="1"/>
  <c r="AF37" i="6"/>
  <c r="AF34" i="6"/>
  <c r="AF36" i="6"/>
  <c r="H40" i="18" s="1"/>
  <c r="AF39" i="6"/>
  <c r="H43" i="18" s="1"/>
  <c r="AF24" i="6"/>
  <c r="H28" i="18" s="1"/>
  <c r="AF42" i="6"/>
  <c r="AF25" i="6"/>
  <c r="H29" i="18" s="1"/>
  <c r="AF32" i="6"/>
  <c r="AF16" i="6"/>
  <c r="AF40" i="6"/>
  <c r="H44" i="18" s="1"/>
  <c r="AF23" i="6"/>
  <c r="AF41" i="6"/>
  <c r="H45" i="18" s="1"/>
  <c r="I8" i="18"/>
  <c r="AF30" i="6"/>
  <c r="H34" i="18" s="1"/>
  <c r="AF38" i="6"/>
  <c r="H42" i="18" s="1"/>
  <c r="AF19" i="6"/>
  <c r="H23" i="18" s="1"/>
  <c r="T18" i="22"/>
  <c r="AI14" i="33" s="1"/>
  <c r="T14" i="22"/>
  <c r="AI10" i="33" s="1"/>
  <c r="T19" i="22"/>
  <c r="AI15" i="33" s="1"/>
  <c r="AE30" i="14"/>
  <c r="T10" i="22"/>
  <c r="AI6" i="33" s="1"/>
  <c r="I18" i="21"/>
  <c r="J18" i="22"/>
  <c r="AH14" i="33" s="1"/>
  <c r="H37" i="21"/>
  <c r="AE16" i="14"/>
  <c r="AF17" i="6"/>
  <c r="H22" i="21"/>
  <c r="J10" i="22"/>
  <c r="AH6" i="33" s="1"/>
  <c r="I10" i="21"/>
  <c r="I14" i="21"/>
  <c r="J14" i="22"/>
  <c r="AH10" i="33" s="1"/>
  <c r="AE29" i="14"/>
  <c r="AE39" i="14"/>
  <c r="AE32" i="14"/>
  <c r="AE26" i="14"/>
  <c r="AE24" i="14"/>
  <c r="AE34" i="14"/>
  <c r="AE38" i="14"/>
  <c r="AE21" i="14"/>
  <c r="AE40" i="14"/>
  <c r="AE17" i="14"/>
  <c r="AE20" i="14"/>
  <c r="AE42" i="14"/>
  <c r="H30" i="18"/>
  <c r="I13" i="18"/>
  <c r="AE36" i="14"/>
  <c r="AE41" i="14"/>
  <c r="AE23" i="14"/>
  <c r="H46" i="18"/>
  <c r="I9" i="18"/>
  <c r="AE19" i="14"/>
  <c r="I10" i="18"/>
  <c r="H37" i="18"/>
  <c r="AE28" i="14"/>
  <c r="AE25" i="14"/>
  <c r="AE27" i="14"/>
  <c r="I19" i="18"/>
  <c r="H27" i="18"/>
  <c r="H47" i="18"/>
  <c r="I14" i="18"/>
  <c r="AE31" i="14"/>
  <c r="AE37" i="14"/>
  <c r="AE35" i="14"/>
  <c r="AE22" i="14"/>
  <c r="AE43" i="14"/>
  <c r="I11" i="18"/>
  <c r="I16" i="18"/>
  <c r="AE13" i="6"/>
  <c r="AD13" i="6"/>
  <c r="S17" i="18" s="1"/>
  <c r="J59" i="6"/>
  <c r="AC21" i="6" s="1"/>
  <c r="J67" i="6"/>
  <c r="AC29" i="6" s="1"/>
  <c r="J75" i="6"/>
  <c r="AC37" i="6" s="1"/>
  <c r="J60" i="6"/>
  <c r="AC22" i="6" s="1"/>
  <c r="J68" i="6"/>
  <c r="AC30" i="6" s="1"/>
  <c r="J76" i="6"/>
  <c r="AC38" i="6" s="1"/>
  <c r="J61" i="6"/>
  <c r="AC23" i="6" s="1"/>
  <c r="J69" i="6"/>
  <c r="AC31" i="6" s="1"/>
  <c r="J77" i="6"/>
  <c r="AC39" i="6" s="1"/>
  <c r="J62" i="6"/>
  <c r="AC24" i="6" s="1"/>
  <c r="J70" i="6"/>
  <c r="AC32" i="6" s="1"/>
  <c r="J78" i="6"/>
  <c r="AC40" i="6" s="1"/>
  <c r="J55" i="6"/>
  <c r="AC17" i="6" s="1"/>
  <c r="J63" i="6"/>
  <c r="AC25" i="6" s="1"/>
  <c r="J71" i="6"/>
  <c r="AC33" i="6" s="1"/>
  <c r="J79" i="6"/>
  <c r="AC41" i="6" s="1"/>
  <c r="J56" i="6"/>
  <c r="AC18" i="6" s="1"/>
  <c r="J64" i="6"/>
  <c r="AC26" i="6" s="1"/>
  <c r="J72" i="6"/>
  <c r="AC34" i="6" s="1"/>
  <c r="J80" i="6"/>
  <c r="AC42" i="6" s="1"/>
  <c r="J57" i="6"/>
  <c r="AC19" i="6" s="1"/>
  <c r="J65" i="6"/>
  <c r="AC27" i="6" s="1"/>
  <c r="J73" i="6"/>
  <c r="AC35" i="6" s="1"/>
  <c r="J81" i="6"/>
  <c r="AC43" i="6" s="1"/>
  <c r="J58" i="6"/>
  <c r="AC20" i="6" s="1"/>
  <c r="J66" i="6"/>
  <c r="AC28" i="6" s="1"/>
  <c r="J74" i="6"/>
  <c r="AC36" i="6" s="1"/>
  <c r="J54" i="6"/>
  <c r="AC16" i="6" s="1"/>
  <c r="AE10" i="6"/>
  <c r="AB39" i="6"/>
  <c r="AB31" i="6"/>
  <c r="AB23" i="6"/>
  <c r="AB42" i="6"/>
  <c r="AB34" i="6"/>
  <c r="AB26" i="6"/>
  <c r="AB18" i="6"/>
  <c r="AB33" i="6"/>
  <c r="AB37" i="6"/>
  <c r="AB29" i="6"/>
  <c r="AB21" i="6"/>
  <c r="AB16" i="6"/>
  <c r="AB40" i="6"/>
  <c r="AB32" i="6"/>
  <c r="AB43" i="6"/>
  <c r="AB35" i="6"/>
  <c r="AB27" i="6"/>
  <c r="AB19" i="6"/>
  <c r="AB17" i="6"/>
  <c r="AB41" i="6"/>
  <c r="AB38" i="6"/>
  <c r="AB30" i="6"/>
  <c r="AB22" i="6"/>
  <c r="AB25" i="6"/>
  <c r="AB36" i="6"/>
  <c r="AB28" i="6"/>
  <c r="V4" i="14"/>
  <c r="V17" i="14"/>
  <c r="V18" i="14" s="1"/>
  <c r="AB21" i="14" s="1"/>
  <c r="AD21" i="14" s="1"/>
  <c r="N13" i="15"/>
  <c r="O13" i="15" s="1"/>
  <c r="H29" i="15"/>
  <c r="AC13" i="14" s="1"/>
  <c r="N4" i="15"/>
  <c r="O4" i="15" s="1"/>
  <c r="H20" i="15"/>
  <c r="AC4" i="14" s="1"/>
  <c r="N17" i="15"/>
  <c r="N9" i="15"/>
  <c r="O9" i="15" s="1"/>
  <c r="H25" i="15"/>
  <c r="AC9" i="14" s="1"/>
  <c r="N11" i="15"/>
  <c r="O11" i="15" s="1"/>
  <c r="H27" i="15"/>
  <c r="AC11" i="14" s="1"/>
  <c r="N16" i="15"/>
  <c r="O16" i="15" s="1"/>
  <c r="N8" i="15"/>
  <c r="O8" i="15" s="1"/>
  <c r="H24" i="15"/>
  <c r="AC8" i="14" s="1"/>
  <c r="N5" i="15"/>
  <c r="O5" i="15" s="1"/>
  <c r="H21" i="15"/>
  <c r="AC5" i="14" s="1"/>
  <c r="N12" i="15"/>
  <c r="O12" i="15" s="1"/>
  <c r="H28" i="15"/>
  <c r="AC12" i="14" s="1"/>
  <c r="U7" i="2"/>
  <c r="W7" i="2" s="1"/>
  <c r="AE7" i="2"/>
  <c r="H11" i="17" s="1"/>
  <c r="T8" i="2"/>
  <c r="W8" i="2" s="1"/>
  <c r="L9" i="2"/>
  <c r="M9" i="2"/>
  <c r="U9" i="2" s="1"/>
  <c r="H36" i="18" l="1"/>
  <c r="I8" i="21"/>
  <c r="H31" i="18"/>
  <c r="H26" i="18"/>
  <c r="H38" i="18"/>
  <c r="H41" i="18"/>
  <c r="H20" i="18"/>
  <c r="H21" i="18"/>
  <c r="AJ4" i="6"/>
  <c r="H39" i="18"/>
  <c r="H44" i="21"/>
  <c r="H25" i="21"/>
  <c r="H32" i="21"/>
  <c r="H42" i="21"/>
  <c r="H34" i="21"/>
  <c r="H31" i="21"/>
  <c r="H41" i="21"/>
  <c r="H33" i="21"/>
  <c r="J11" i="22"/>
  <c r="AH7" i="33" s="1"/>
  <c r="I11" i="21"/>
  <c r="H38" i="21"/>
  <c r="T11" i="22"/>
  <c r="AI7" i="33" s="1"/>
  <c r="J19" i="22"/>
  <c r="AH15" i="33" s="1"/>
  <c r="I19" i="21"/>
  <c r="H24" i="21"/>
  <c r="H28" i="21"/>
  <c r="R37" i="22"/>
  <c r="H29" i="21"/>
  <c r="H47" i="21"/>
  <c r="H27" i="21"/>
  <c r="H21" i="21"/>
  <c r="H30" i="21"/>
  <c r="H23" i="21"/>
  <c r="H20" i="21"/>
  <c r="H26" i="21"/>
  <c r="H45" i="21"/>
  <c r="H36" i="21"/>
  <c r="R22" i="22"/>
  <c r="H35" i="21"/>
  <c r="H46" i="21"/>
  <c r="H39" i="21"/>
  <c r="H40" i="21"/>
  <c r="H43" i="21"/>
  <c r="AK4" i="14"/>
  <c r="I17" i="18"/>
  <c r="AD24" i="6"/>
  <c r="S28" i="18" s="1"/>
  <c r="AE24" i="6"/>
  <c r="AD20" i="6"/>
  <c r="S24" i="18" s="1"/>
  <c r="AE20" i="6"/>
  <c r="AE36" i="6"/>
  <c r="AD36" i="6"/>
  <c r="S40" i="18" s="1"/>
  <c r="AD27" i="6"/>
  <c r="S31" i="18" s="1"/>
  <c r="AE27" i="6"/>
  <c r="AE37" i="6"/>
  <c r="AD37" i="6"/>
  <c r="S41" i="18" s="1"/>
  <c r="AD39" i="6"/>
  <c r="S43" i="18" s="1"/>
  <c r="AE39" i="6"/>
  <c r="AE25" i="6"/>
  <c r="AD25" i="6"/>
  <c r="S29" i="18" s="1"/>
  <c r="AE35" i="6"/>
  <c r="AD35" i="6"/>
  <c r="S39" i="18" s="1"/>
  <c r="AE33" i="6"/>
  <c r="AD33" i="6"/>
  <c r="S37" i="18" s="1"/>
  <c r="AE18" i="6"/>
  <c r="AD18" i="6"/>
  <c r="S22" i="18" s="1"/>
  <c r="AE30" i="6"/>
  <c r="AD30" i="6"/>
  <c r="S34" i="18" s="1"/>
  <c r="AE38" i="6"/>
  <c r="AD38" i="6"/>
  <c r="S42" i="18" s="1"/>
  <c r="AE41" i="6"/>
  <c r="AD41" i="6"/>
  <c r="S45" i="18" s="1"/>
  <c r="AE16" i="6"/>
  <c r="AD16" i="6"/>
  <c r="S20" i="18" s="1"/>
  <c r="AE42" i="6"/>
  <c r="AD42" i="6"/>
  <c r="S46" i="18" s="1"/>
  <c r="AE43" i="6"/>
  <c r="AD43" i="6"/>
  <c r="S47" i="18" s="1"/>
  <c r="AE26" i="6"/>
  <c r="AD26" i="6"/>
  <c r="S30" i="18" s="1"/>
  <c r="AE40" i="6"/>
  <c r="AD40" i="6"/>
  <c r="S44" i="18" s="1"/>
  <c r="AD17" i="6"/>
  <c r="S21" i="18" s="1"/>
  <c r="AE17" i="6"/>
  <c r="AE21" i="6"/>
  <c r="AD21" i="6"/>
  <c r="S25" i="18" s="1"/>
  <c r="AD23" i="6"/>
  <c r="S27" i="18" s="1"/>
  <c r="AE23" i="6"/>
  <c r="AE22" i="6"/>
  <c r="AD22" i="6"/>
  <c r="S26" i="18" s="1"/>
  <c r="AE32" i="6"/>
  <c r="AD32" i="6"/>
  <c r="S36" i="18" s="1"/>
  <c r="AE34" i="6"/>
  <c r="AD34" i="6"/>
  <c r="S38" i="18" s="1"/>
  <c r="AE28" i="6"/>
  <c r="AD28" i="6"/>
  <c r="S32" i="18" s="1"/>
  <c r="AD19" i="6"/>
  <c r="S23" i="18" s="1"/>
  <c r="AE19" i="6"/>
  <c r="AD29" i="6"/>
  <c r="S33" i="18" s="1"/>
  <c r="AE29" i="6"/>
  <c r="AD31" i="6"/>
  <c r="S35" i="18" s="1"/>
  <c r="AE31" i="6"/>
  <c r="O9" i="2"/>
  <c r="AE9" i="2" s="1"/>
  <c r="H13" i="17" s="1"/>
  <c r="AB31" i="14"/>
  <c r="AD31" i="14" s="1"/>
  <c r="AB37" i="14"/>
  <c r="AD37" i="14" s="1"/>
  <c r="AB24" i="14"/>
  <c r="AD24" i="14" s="1"/>
  <c r="AB36" i="14"/>
  <c r="AD36" i="14" s="1"/>
  <c r="AB27" i="14"/>
  <c r="AD27" i="14" s="1"/>
  <c r="AB18" i="14"/>
  <c r="AD18" i="14" s="1"/>
  <c r="AB38" i="14"/>
  <c r="AD38" i="14" s="1"/>
  <c r="AB19" i="14"/>
  <c r="AD19" i="14" s="1"/>
  <c r="AB23" i="14"/>
  <c r="AD23" i="14" s="1"/>
  <c r="AB28" i="14"/>
  <c r="AD28" i="14" s="1"/>
  <c r="AB43" i="14"/>
  <c r="AD43" i="14" s="1"/>
  <c r="AB39" i="14"/>
  <c r="AD39" i="14" s="1"/>
  <c r="AB25" i="14"/>
  <c r="AD25" i="14" s="1"/>
  <c r="AB32" i="14"/>
  <c r="AD32" i="14" s="1"/>
  <c r="AB42" i="14"/>
  <c r="AD42" i="14" s="1"/>
  <c r="AB22" i="14"/>
  <c r="AD22" i="14" s="1"/>
  <c r="AB29" i="14"/>
  <c r="AD29" i="14" s="1"/>
  <c r="AB17" i="14"/>
  <c r="AD17" i="14" s="1"/>
  <c r="AB33" i="14"/>
  <c r="AD33" i="14" s="1"/>
  <c r="AB40" i="14"/>
  <c r="AD40" i="14" s="1"/>
  <c r="AB35" i="14"/>
  <c r="AD35" i="14" s="1"/>
  <c r="AB26" i="14"/>
  <c r="AD26" i="14" s="1"/>
  <c r="AB16" i="14"/>
  <c r="AD16" i="14" s="1"/>
  <c r="AJ4" i="14" s="1"/>
  <c r="AB34" i="14"/>
  <c r="AD34" i="14" s="1"/>
  <c r="AB30" i="14"/>
  <c r="AD30" i="14" s="1"/>
  <c r="AB41" i="14"/>
  <c r="AD41" i="14" s="1"/>
  <c r="O17" i="15"/>
  <c r="H40" i="15" s="1"/>
  <c r="AC24" i="14" s="1"/>
  <c r="H36" i="15"/>
  <c r="AC20" i="14" s="1"/>
  <c r="M10" i="2"/>
  <c r="U10" i="2" s="1"/>
  <c r="T9" i="2"/>
  <c r="W9" i="2" s="1"/>
  <c r="L10" i="2"/>
  <c r="R43" i="22" l="1"/>
  <c r="R21" i="22"/>
  <c r="R32" i="22"/>
  <c r="T12" i="22"/>
  <c r="AI8" i="33" s="1"/>
  <c r="J28" i="22"/>
  <c r="AH24" i="33" s="1"/>
  <c r="I28" i="21"/>
  <c r="R35" i="22"/>
  <c r="R41" i="22"/>
  <c r="I13" i="21"/>
  <c r="J13" i="22"/>
  <c r="AH9" i="33" s="1"/>
  <c r="J12" i="22"/>
  <c r="AH8" i="33" s="1"/>
  <c r="I12" i="21"/>
  <c r="R26" i="22"/>
  <c r="R40" i="22"/>
  <c r="R38" i="22"/>
  <c r="I16" i="21"/>
  <c r="J16" i="22"/>
  <c r="AH12" i="33" s="1"/>
  <c r="R20" i="22"/>
  <c r="H6" i="22"/>
  <c r="H5" i="22"/>
  <c r="R8" i="1" s="1"/>
  <c r="Z8" i="1" s="1"/>
  <c r="R27" i="22"/>
  <c r="R28" i="22"/>
  <c r="R31" i="22"/>
  <c r="I15" i="21"/>
  <c r="J15" i="22"/>
  <c r="AH11" i="33" s="1"/>
  <c r="R24" i="22"/>
  <c r="R34" i="22"/>
  <c r="R25" i="22"/>
  <c r="R33" i="22"/>
  <c r="I9" i="21"/>
  <c r="T17" i="22"/>
  <c r="AI13" i="33" s="1"/>
  <c r="T15" i="22"/>
  <c r="AI11" i="33" s="1"/>
  <c r="R39" i="22"/>
  <c r="R36" i="22"/>
  <c r="R23" i="22"/>
  <c r="R47" i="22"/>
  <c r="T16" i="22"/>
  <c r="AI12" i="33" s="1"/>
  <c r="T13" i="22"/>
  <c r="AI9" i="33" s="1"/>
  <c r="J17" i="22"/>
  <c r="AH13" i="33" s="1"/>
  <c r="I17" i="21"/>
  <c r="R46" i="22"/>
  <c r="R45" i="22"/>
  <c r="R30" i="22"/>
  <c r="R29" i="22"/>
  <c r="R42" i="22"/>
  <c r="R44" i="22"/>
  <c r="O18" i="15"/>
  <c r="H42" i="15" s="1"/>
  <c r="AC26" i="14" s="1"/>
  <c r="I32" i="18"/>
  <c r="I27" i="18"/>
  <c r="I28" i="18"/>
  <c r="I38" i="18"/>
  <c r="I25" i="18"/>
  <c r="I47" i="18"/>
  <c r="I42" i="18"/>
  <c r="I39" i="18"/>
  <c r="I37" i="18"/>
  <c r="I35" i="18"/>
  <c r="I36" i="18"/>
  <c r="I46" i="18"/>
  <c r="I34" i="18"/>
  <c r="I29" i="18"/>
  <c r="I40" i="18"/>
  <c r="I33" i="18"/>
  <c r="I21" i="18"/>
  <c r="I45" i="18"/>
  <c r="I41" i="18"/>
  <c r="I31" i="18"/>
  <c r="I26" i="18"/>
  <c r="I44" i="18"/>
  <c r="I20" i="18"/>
  <c r="I22" i="18"/>
  <c r="I30" i="18"/>
  <c r="I23" i="18"/>
  <c r="I43" i="18"/>
  <c r="I24" i="18"/>
  <c r="AI4" i="6"/>
  <c r="AH4" i="6"/>
  <c r="O10" i="2"/>
  <c r="AE10" i="2" s="1"/>
  <c r="H14" i="17" s="1"/>
  <c r="T10" i="2"/>
  <c r="W10" i="2" s="1"/>
  <c r="L11" i="2"/>
  <c r="M11" i="2"/>
  <c r="U11" i="2" s="1"/>
  <c r="H44" i="15" l="1"/>
  <c r="AC28" i="14" s="1"/>
  <c r="H45" i="15"/>
  <c r="AC29" i="14" s="1"/>
  <c r="H52" i="15"/>
  <c r="AC36" i="14" s="1"/>
  <c r="H39" i="15"/>
  <c r="AC23" i="14" s="1"/>
  <c r="H41" i="15"/>
  <c r="AC25" i="14" s="1"/>
  <c r="H56" i="15"/>
  <c r="AC40" i="14" s="1"/>
  <c r="H33" i="15"/>
  <c r="AC17" i="14" s="1"/>
  <c r="H53" i="15"/>
  <c r="AC37" i="14" s="1"/>
  <c r="H50" i="15"/>
  <c r="AC34" i="14" s="1"/>
  <c r="H38" i="15"/>
  <c r="AC22" i="14" s="1"/>
  <c r="H58" i="15"/>
  <c r="AC42" i="14" s="1"/>
  <c r="H46" i="15"/>
  <c r="AC30" i="14" s="1"/>
  <c r="H35" i="15"/>
  <c r="AC19" i="14" s="1"/>
  <c r="H32" i="15"/>
  <c r="AC16" i="14" s="1"/>
  <c r="H55" i="15"/>
  <c r="AC39" i="14" s="1"/>
  <c r="H54" i="15"/>
  <c r="AC38" i="14" s="1"/>
  <c r="H49" i="15"/>
  <c r="AC33" i="14" s="1"/>
  <c r="H43" i="15"/>
  <c r="AC27" i="14" s="1"/>
  <c r="H47" i="15"/>
  <c r="AC31" i="14" s="1"/>
  <c r="H57" i="15"/>
  <c r="AC41" i="14" s="1"/>
  <c r="H51" i="15"/>
  <c r="AC35" i="14" s="1"/>
  <c r="H34" i="15"/>
  <c r="AC18" i="14" s="1"/>
  <c r="H59" i="15"/>
  <c r="AC43" i="14" s="1"/>
  <c r="H37" i="15"/>
  <c r="AC21" i="14" s="1"/>
  <c r="H48" i="15"/>
  <c r="AC32" i="14" s="1"/>
  <c r="O11" i="2"/>
  <c r="T9" i="22"/>
  <c r="AI5" i="33" s="1"/>
  <c r="I24" i="21"/>
  <c r="J24" i="22"/>
  <c r="AH20" i="33" s="1"/>
  <c r="R5" i="22"/>
  <c r="R9" i="1" s="1"/>
  <c r="Z9" i="1" s="1"/>
  <c r="R6" i="22"/>
  <c r="T28" i="22"/>
  <c r="AI24" i="33" s="1"/>
  <c r="J9" i="22"/>
  <c r="AH5" i="33" s="1"/>
  <c r="T24" i="22"/>
  <c r="AI20" i="33" s="1"/>
  <c r="M12" i="2"/>
  <c r="U12" i="2" s="1"/>
  <c r="T11" i="2"/>
  <c r="W11" i="2" s="1"/>
  <c r="AE11" i="2"/>
  <c r="H15" i="17" s="1"/>
  <c r="L12" i="2"/>
  <c r="N56" i="22" l="1"/>
  <c r="I10" i="33" s="1"/>
  <c r="Q10" i="33" s="1"/>
  <c r="N52" i="22"/>
  <c r="I6" i="33" s="1"/>
  <c r="Q6" i="33" s="1"/>
  <c r="N61" i="22"/>
  <c r="I15" i="33" s="1"/>
  <c r="Q15" i="33" s="1"/>
  <c r="N57" i="22"/>
  <c r="I11" i="33" s="1"/>
  <c r="Q11" i="33" s="1"/>
  <c r="N58" i="22"/>
  <c r="I12" i="33" s="1"/>
  <c r="Q12" i="33" s="1"/>
  <c r="N53" i="22"/>
  <c r="I7" i="33" s="1"/>
  <c r="Q7" i="33" s="1"/>
  <c r="N62" i="22"/>
  <c r="I16" i="33" s="1"/>
  <c r="Q16" i="33" s="1"/>
  <c r="N60" i="22"/>
  <c r="I14" i="33" s="1"/>
  <c r="Q14" i="33" s="1"/>
  <c r="N54" i="22"/>
  <c r="I8" i="33" s="1"/>
  <c r="Q8" i="33" s="1"/>
  <c r="N55" i="22"/>
  <c r="I9" i="33" s="1"/>
  <c r="Q9" i="33" s="1"/>
  <c r="N59" i="22"/>
  <c r="I13" i="33" s="1"/>
  <c r="Q13" i="33" s="1"/>
  <c r="D62" i="22"/>
  <c r="H16" i="33" s="1"/>
  <c r="P16" i="33" s="1"/>
  <c r="D61" i="22"/>
  <c r="H15" i="33" s="1"/>
  <c r="P15" i="33" s="1"/>
  <c r="D60" i="22"/>
  <c r="H14" i="33" s="1"/>
  <c r="P14" i="33" s="1"/>
  <c r="D59" i="22"/>
  <c r="H13" i="33" s="1"/>
  <c r="P13" i="33" s="1"/>
  <c r="D58" i="22"/>
  <c r="H12" i="33" s="1"/>
  <c r="P12" i="33" s="1"/>
  <c r="D53" i="22"/>
  <c r="H7" i="33" s="1"/>
  <c r="P7" i="33" s="1"/>
  <c r="D57" i="22"/>
  <c r="H11" i="33" s="1"/>
  <c r="P11" i="33" s="1"/>
  <c r="D56" i="22"/>
  <c r="H10" i="33" s="1"/>
  <c r="P10" i="33" s="1"/>
  <c r="D55" i="22"/>
  <c r="H9" i="33" s="1"/>
  <c r="P9" i="33" s="1"/>
  <c r="D54" i="22"/>
  <c r="H8" i="33" s="1"/>
  <c r="P8" i="33" s="1"/>
  <c r="D52" i="22"/>
  <c r="H6" i="33" s="1"/>
  <c r="P6" i="33" s="1"/>
  <c r="I23" i="21"/>
  <c r="I43" i="21"/>
  <c r="I25" i="21"/>
  <c r="I39" i="21"/>
  <c r="I34" i="21"/>
  <c r="T38" i="22"/>
  <c r="AI34" i="33" s="1"/>
  <c r="J36" i="22"/>
  <c r="AH32" i="33" s="1"/>
  <c r="I36" i="21"/>
  <c r="T45" i="22"/>
  <c r="AI41" i="33" s="1"/>
  <c r="T42" i="22"/>
  <c r="AI38" i="33" s="1"/>
  <c r="T23" i="22"/>
  <c r="AI19" i="33" s="1"/>
  <c r="T44" i="22"/>
  <c r="AI40" i="33" s="1"/>
  <c r="J39" i="22"/>
  <c r="AH35" i="33" s="1"/>
  <c r="J25" i="22"/>
  <c r="AH21" i="33" s="1"/>
  <c r="I32" i="21"/>
  <c r="J32" i="22"/>
  <c r="AH28" i="33" s="1"/>
  <c r="T21" i="22"/>
  <c r="AI17" i="33" s="1"/>
  <c r="I29" i="21"/>
  <c r="J29" i="22"/>
  <c r="AH25" i="33" s="1"/>
  <c r="T27" i="22"/>
  <c r="AI23" i="33" s="1"/>
  <c r="J44" i="22"/>
  <c r="AH40" i="33" s="1"/>
  <c r="I44" i="21"/>
  <c r="T39" i="22"/>
  <c r="AI35" i="33" s="1"/>
  <c r="T25" i="22"/>
  <c r="AI21" i="33" s="1"/>
  <c r="T32" i="22"/>
  <c r="AI28" i="33" s="1"/>
  <c r="I21" i="21"/>
  <c r="J21" i="22"/>
  <c r="AH17" i="33" s="1"/>
  <c r="T29" i="22"/>
  <c r="AI25" i="33" s="1"/>
  <c r="I27" i="21"/>
  <c r="J27" i="22"/>
  <c r="AH23" i="33" s="1"/>
  <c r="T26" i="22"/>
  <c r="AI22" i="33" s="1"/>
  <c r="J33" i="22"/>
  <c r="AH29" i="33" s="1"/>
  <c r="I33" i="21"/>
  <c r="T35" i="22"/>
  <c r="AI31" i="33" s="1"/>
  <c r="I47" i="21"/>
  <c r="J47" i="22"/>
  <c r="AH43" i="33" s="1"/>
  <c r="I31" i="21"/>
  <c r="J31" i="22"/>
  <c r="AH27" i="33" s="1"/>
  <c r="I46" i="21"/>
  <c r="J46" i="22"/>
  <c r="AH42" i="33" s="1"/>
  <c r="J34" i="22"/>
  <c r="AH30" i="33" s="1"/>
  <c r="T33" i="22"/>
  <c r="AI29" i="33" s="1"/>
  <c r="I35" i="21"/>
  <c r="J35" i="22"/>
  <c r="AH31" i="33" s="1"/>
  <c r="T47" i="22"/>
  <c r="AI43" i="33" s="1"/>
  <c r="T31" i="22"/>
  <c r="AI27" i="33" s="1"/>
  <c r="T46" i="22"/>
  <c r="AI42" i="33" s="1"/>
  <c r="T34" i="22"/>
  <c r="AI30" i="33" s="1"/>
  <c r="I22" i="21"/>
  <c r="J22" i="22"/>
  <c r="AH18" i="33" s="1"/>
  <c r="I30" i="21"/>
  <c r="J30" i="22"/>
  <c r="AH26" i="33" s="1"/>
  <c r="T40" i="22"/>
  <c r="AI36" i="33" s="1"/>
  <c r="I37" i="21"/>
  <c r="J37" i="22"/>
  <c r="AH33" i="33" s="1"/>
  <c r="J41" i="22"/>
  <c r="AH37" i="33" s="1"/>
  <c r="I41" i="21"/>
  <c r="J43" i="22"/>
  <c r="AH39" i="33" s="1"/>
  <c r="T22" i="22"/>
  <c r="AI18" i="33" s="1"/>
  <c r="T30" i="22"/>
  <c r="AI26" i="33" s="1"/>
  <c r="I40" i="21"/>
  <c r="J40" i="22"/>
  <c r="AH36" i="33" s="1"/>
  <c r="T37" i="22"/>
  <c r="AI33" i="33" s="1"/>
  <c r="T41" i="22"/>
  <c r="AI37" i="33" s="1"/>
  <c r="T43" i="22"/>
  <c r="AI39" i="33" s="1"/>
  <c r="I38" i="21"/>
  <c r="J38" i="22"/>
  <c r="AH34" i="33" s="1"/>
  <c r="I20" i="21"/>
  <c r="T36" i="22"/>
  <c r="AI32" i="33" s="1"/>
  <c r="I45" i="21"/>
  <c r="J45" i="22"/>
  <c r="AH41" i="33" s="1"/>
  <c r="I42" i="21"/>
  <c r="J42" i="22"/>
  <c r="AH38" i="33" s="1"/>
  <c r="J23" i="22"/>
  <c r="AH19" i="33" s="1"/>
  <c r="J26" i="22"/>
  <c r="AH22" i="33" s="1"/>
  <c r="I26" i="21"/>
  <c r="O12" i="2"/>
  <c r="AE12" i="2" s="1"/>
  <c r="H16" i="17" s="1"/>
  <c r="T12" i="2"/>
  <c r="W12" i="2" s="1"/>
  <c r="L13" i="2"/>
  <c r="M13" i="2"/>
  <c r="U13" i="2" s="1"/>
  <c r="J20" i="22" l="1"/>
  <c r="AH16" i="33" s="1"/>
  <c r="I6" i="22"/>
  <c r="I5" i="22"/>
  <c r="S8" i="1" s="1"/>
  <c r="AA8" i="1" s="1"/>
  <c r="T20" i="22"/>
  <c r="AI16" i="33" s="1"/>
  <c r="S5" i="22"/>
  <c r="S9" i="1" s="1"/>
  <c r="AA9" i="1" s="1"/>
  <c r="S6" i="22"/>
  <c r="O13" i="2"/>
  <c r="AE13" i="2" s="1"/>
  <c r="H17" i="17" s="1"/>
  <c r="T13" i="2"/>
  <c r="W13" i="2" s="1"/>
  <c r="M14" i="2"/>
  <c r="U14" i="2" s="1"/>
  <c r="L16" i="2"/>
  <c r="L14" i="2"/>
  <c r="O14" i="2" s="1"/>
  <c r="N81" i="22" l="1"/>
  <c r="I35" i="33" s="1"/>
  <c r="Q35" i="33" s="1"/>
  <c r="N73" i="22"/>
  <c r="I27" i="33" s="1"/>
  <c r="Q27" i="33" s="1"/>
  <c r="N65" i="22"/>
  <c r="I19" i="33" s="1"/>
  <c r="Q19" i="33" s="1"/>
  <c r="N71" i="22"/>
  <c r="I25" i="33" s="1"/>
  <c r="Q25" i="33" s="1"/>
  <c r="N80" i="22"/>
  <c r="I34" i="33" s="1"/>
  <c r="Q34" i="33" s="1"/>
  <c r="N66" i="22"/>
  <c r="I20" i="33" s="1"/>
  <c r="Q20" i="33" s="1"/>
  <c r="N87" i="22"/>
  <c r="I41" i="33" s="1"/>
  <c r="Q41" i="33" s="1"/>
  <c r="N63" i="22"/>
  <c r="I17" i="33" s="1"/>
  <c r="Q17" i="33" s="1"/>
  <c r="N86" i="22"/>
  <c r="I40" i="33" s="1"/>
  <c r="Q40" i="33" s="1"/>
  <c r="N78" i="22"/>
  <c r="I32" i="33" s="1"/>
  <c r="Q32" i="33" s="1"/>
  <c r="N70" i="22"/>
  <c r="I24" i="33" s="1"/>
  <c r="Q24" i="33" s="1"/>
  <c r="N84" i="22"/>
  <c r="I38" i="33" s="1"/>
  <c r="Q38" i="33" s="1"/>
  <c r="N76" i="22"/>
  <c r="I30" i="33" s="1"/>
  <c r="Q30" i="33" s="1"/>
  <c r="N64" i="22"/>
  <c r="I18" i="33" s="1"/>
  <c r="Q18" i="33" s="1"/>
  <c r="N69" i="22"/>
  <c r="I23" i="33" s="1"/>
  <c r="Q23" i="33" s="1"/>
  <c r="N67" i="22"/>
  <c r="I21" i="33" s="1"/>
  <c r="Q21" i="33" s="1"/>
  <c r="N82" i="22"/>
  <c r="I36" i="33" s="1"/>
  <c r="Q36" i="33" s="1"/>
  <c r="N83" i="22"/>
  <c r="I37" i="33" s="1"/>
  <c r="Q37" i="33" s="1"/>
  <c r="N72" i="22"/>
  <c r="I26" i="33" s="1"/>
  <c r="Q26" i="33" s="1"/>
  <c r="N79" i="22"/>
  <c r="I33" i="33" s="1"/>
  <c r="Q33" i="33" s="1"/>
  <c r="N85" i="22"/>
  <c r="I39" i="33" s="1"/>
  <c r="Q39" i="33" s="1"/>
  <c r="N68" i="22"/>
  <c r="I22" i="33" s="1"/>
  <c r="Q22" i="33" s="1"/>
  <c r="N88" i="22"/>
  <c r="I42" i="33" s="1"/>
  <c r="Q42" i="33" s="1"/>
  <c r="N75" i="22"/>
  <c r="I29" i="33" s="1"/>
  <c r="Q29" i="33" s="1"/>
  <c r="N90" i="22"/>
  <c r="I44" i="33" s="1"/>
  <c r="Q44" i="33" s="1"/>
  <c r="N74" i="22"/>
  <c r="I28" i="33" s="1"/>
  <c r="Q28" i="33" s="1"/>
  <c r="N89" i="22"/>
  <c r="I43" i="33" s="1"/>
  <c r="Q43" i="33" s="1"/>
  <c r="N77" i="22"/>
  <c r="I31" i="33" s="1"/>
  <c r="Q31" i="33" s="1"/>
  <c r="D88" i="22"/>
  <c r="H42" i="33" s="1"/>
  <c r="P42" i="33" s="1"/>
  <c r="D69" i="22"/>
  <c r="H23" i="33" s="1"/>
  <c r="P23" i="33" s="1"/>
  <c r="D63" i="22"/>
  <c r="H17" i="33" s="1"/>
  <c r="P17" i="33" s="1"/>
  <c r="D79" i="22"/>
  <c r="H33" i="33" s="1"/>
  <c r="P33" i="33" s="1"/>
  <c r="D87" i="22"/>
  <c r="H41" i="33" s="1"/>
  <c r="P41" i="33" s="1"/>
  <c r="D65" i="22"/>
  <c r="H19" i="33" s="1"/>
  <c r="P19" i="33" s="1"/>
  <c r="D73" i="22"/>
  <c r="H27" i="33" s="1"/>
  <c r="P27" i="33" s="1"/>
  <c r="D68" i="22"/>
  <c r="H22" i="33" s="1"/>
  <c r="P22" i="33" s="1"/>
  <c r="D77" i="22"/>
  <c r="H31" i="33" s="1"/>
  <c r="P31" i="33" s="1"/>
  <c r="D80" i="22"/>
  <c r="H34" i="33" s="1"/>
  <c r="P34" i="33" s="1"/>
  <c r="D72" i="22"/>
  <c r="H26" i="33" s="1"/>
  <c r="P26" i="33" s="1"/>
  <c r="D67" i="22"/>
  <c r="H21" i="33" s="1"/>
  <c r="P21" i="33" s="1"/>
  <c r="D85" i="22"/>
  <c r="H39" i="33" s="1"/>
  <c r="P39" i="33" s="1"/>
  <c r="D90" i="22"/>
  <c r="H44" i="33" s="1"/>
  <c r="P44" i="33" s="1"/>
  <c r="D76" i="22"/>
  <c r="H30" i="33" s="1"/>
  <c r="P30" i="33" s="1"/>
  <c r="D71" i="22"/>
  <c r="H25" i="33" s="1"/>
  <c r="P25" i="33" s="1"/>
  <c r="D66" i="22"/>
  <c r="H20" i="33" s="1"/>
  <c r="P20" i="33" s="1"/>
  <c r="D89" i="22"/>
  <c r="H43" i="33" s="1"/>
  <c r="P43" i="33" s="1"/>
  <c r="D75" i="22"/>
  <c r="H29" i="33" s="1"/>
  <c r="P29" i="33" s="1"/>
  <c r="D82" i="22"/>
  <c r="H36" i="33" s="1"/>
  <c r="P36" i="33" s="1"/>
  <c r="D70" i="22"/>
  <c r="H24" i="33" s="1"/>
  <c r="P24" i="33" s="1"/>
  <c r="D81" i="22"/>
  <c r="H35" i="33" s="1"/>
  <c r="P35" i="33" s="1"/>
  <c r="D86" i="22"/>
  <c r="H40" i="33" s="1"/>
  <c r="P40" i="33" s="1"/>
  <c r="D74" i="22"/>
  <c r="H28" i="33" s="1"/>
  <c r="P28" i="33" s="1"/>
  <c r="D84" i="22"/>
  <c r="H38" i="33" s="1"/>
  <c r="P38" i="33" s="1"/>
  <c r="D83" i="22"/>
  <c r="H37" i="33" s="1"/>
  <c r="P37" i="33" s="1"/>
  <c r="D64" i="22"/>
  <c r="H18" i="33" s="1"/>
  <c r="P18" i="33" s="1"/>
  <c r="D78" i="22"/>
  <c r="H32" i="33" s="1"/>
  <c r="P32" i="33" s="1"/>
  <c r="J5" i="22"/>
  <c r="T8" i="1" s="1"/>
  <c r="AB8" i="1" s="1"/>
  <c r="J6" i="22"/>
  <c r="T5" i="22"/>
  <c r="T9" i="1" s="1"/>
  <c r="AB9" i="1" s="1"/>
  <c r="T6" i="22"/>
  <c r="T16" i="2"/>
  <c r="T14" i="2"/>
  <c r="W14" i="2" s="1"/>
  <c r="AE14" i="2"/>
  <c r="H18" i="17" s="1"/>
  <c r="L15" i="2"/>
  <c r="M15" i="2"/>
  <c r="U15" i="2" s="1"/>
  <c r="O15" i="2" l="1"/>
  <c r="M17" i="2"/>
  <c r="U17" i="2" s="1"/>
  <c r="M16" i="2"/>
  <c r="L17" i="2"/>
  <c r="T15" i="2"/>
  <c r="AE15" i="2"/>
  <c r="H19" i="17" s="1"/>
  <c r="W15" i="2" l="1"/>
  <c r="O17" i="2"/>
  <c r="U16" i="2"/>
  <c r="O16" i="2"/>
  <c r="T17" i="2"/>
  <c r="W17" i="2" s="1"/>
  <c r="W16" i="2" l="1"/>
  <c r="W18" i="2" s="1"/>
  <c r="U18" i="2"/>
  <c r="T18" i="2"/>
  <c r="AE23" i="2" l="1"/>
  <c r="AE31" i="2"/>
  <c r="AE39" i="2"/>
  <c r="AE19" i="2"/>
  <c r="AE43" i="2"/>
  <c r="AE24" i="2"/>
  <c r="AE32" i="2"/>
  <c r="AE40" i="2"/>
  <c r="AE35" i="2"/>
  <c r="AE17" i="2"/>
  <c r="AE25" i="2"/>
  <c r="AE33" i="2"/>
  <c r="AE41" i="2"/>
  <c r="AE27" i="2"/>
  <c r="AE18" i="2"/>
  <c r="AE26" i="2"/>
  <c r="AE34" i="2"/>
  <c r="AE42" i="2"/>
  <c r="AE20" i="2"/>
  <c r="AE28" i="2"/>
  <c r="AE36" i="2"/>
  <c r="AE16" i="2"/>
  <c r="AE30" i="2"/>
  <c r="AE21" i="2"/>
  <c r="AE29" i="2"/>
  <c r="AE37" i="2"/>
  <c r="AE22" i="2"/>
  <c r="AE38" i="2"/>
  <c r="H5" i="21" l="1"/>
  <c r="R7" i="1" s="1"/>
  <c r="Z7" i="1" s="1"/>
  <c r="H6" i="21"/>
  <c r="R44" i="18"/>
  <c r="H44" i="17"/>
  <c r="H34" i="17"/>
  <c r="R34" i="18"/>
  <c r="H22" i="17"/>
  <c r="R22" i="18"/>
  <c r="R36" i="18"/>
  <c r="H36" i="17"/>
  <c r="H20" i="17"/>
  <c r="H31" i="17"/>
  <c r="R31" i="18"/>
  <c r="R28" i="18"/>
  <c r="H28" i="17"/>
  <c r="R25" i="18"/>
  <c r="H25" i="17"/>
  <c r="R40" i="18"/>
  <c r="H40" i="17"/>
  <c r="H47" i="17"/>
  <c r="R47" i="18"/>
  <c r="H42" i="17"/>
  <c r="R42" i="18"/>
  <c r="R32" i="18"/>
  <c r="H32" i="17"/>
  <c r="R37" i="18"/>
  <c r="H37" i="17"/>
  <c r="H23" i="17"/>
  <c r="R23" i="18"/>
  <c r="H30" i="17"/>
  <c r="R30" i="18"/>
  <c r="R45" i="18"/>
  <c r="H45" i="17"/>
  <c r="H26" i="17"/>
  <c r="R26" i="18"/>
  <c r="R24" i="18"/>
  <c r="H24" i="17"/>
  <c r="R29" i="18"/>
  <c r="H29" i="17"/>
  <c r="H43" i="17"/>
  <c r="R43" i="18"/>
  <c r="R41" i="18"/>
  <c r="H41" i="17"/>
  <c r="H46" i="17"/>
  <c r="R46" i="18"/>
  <c r="R21" i="18"/>
  <c r="H21" i="17"/>
  <c r="H35" i="17"/>
  <c r="R35" i="18"/>
  <c r="R33" i="18"/>
  <c r="H33" i="17"/>
  <c r="H38" i="17"/>
  <c r="R38" i="18"/>
  <c r="H39" i="17"/>
  <c r="R39" i="18"/>
  <c r="H27" i="17"/>
  <c r="R27" i="18"/>
  <c r="AH4" i="2"/>
  <c r="H5" i="29" l="1"/>
  <c r="H6" i="29"/>
  <c r="H6" i="17"/>
  <c r="H5" i="17"/>
  <c r="R4" i="1" s="1"/>
  <c r="Z4" i="1" s="1"/>
  <c r="R20" i="18"/>
  <c r="H6" i="18"/>
  <c r="H5" i="18"/>
  <c r="R6" i="1" s="1"/>
  <c r="Z6" i="1" l="1"/>
  <c r="R5" i="18"/>
  <c r="R5" i="1" s="1"/>
  <c r="Z5" i="1" s="1"/>
  <c r="R6" i="18"/>
  <c r="L3" i="5" l="1"/>
  <c r="M3" i="5" s="1"/>
  <c r="K10" i="5" s="1"/>
  <c r="AC10" i="5" l="1"/>
  <c r="F8" i="18" s="1"/>
  <c r="AC15" i="5"/>
  <c r="F13" i="18" s="1"/>
  <c r="AC23" i="5"/>
  <c r="F21" i="18" s="1"/>
  <c r="AC31" i="5"/>
  <c r="F29" i="18" s="1"/>
  <c r="AC39" i="5"/>
  <c r="F37" i="18" s="1"/>
  <c r="AC47" i="5"/>
  <c r="F45" i="18" s="1"/>
  <c r="AC16" i="5"/>
  <c r="F14" i="18" s="1"/>
  <c r="AC24" i="5"/>
  <c r="F22" i="18" s="1"/>
  <c r="AC32" i="5"/>
  <c r="F30" i="18" s="1"/>
  <c r="AC40" i="5"/>
  <c r="F38" i="18" s="1"/>
  <c r="AC48" i="5"/>
  <c r="F46" i="18" s="1"/>
  <c r="AC17" i="5"/>
  <c r="F15" i="18" s="1"/>
  <c r="AC25" i="5"/>
  <c r="F23" i="18" s="1"/>
  <c r="AC33" i="5"/>
  <c r="F31" i="18" s="1"/>
  <c r="AC41" i="5"/>
  <c r="F39" i="18" s="1"/>
  <c r="AC49" i="5"/>
  <c r="F47" i="18" s="1"/>
  <c r="AC18" i="5"/>
  <c r="F16" i="18" s="1"/>
  <c r="AC26" i="5"/>
  <c r="F24" i="18" s="1"/>
  <c r="AC34" i="5"/>
  <c r="F32" i="18" s="1"/>
  <c r="AC42" i="5"/>
  <c r="F40" i="18" s="1"/>
  <c r="AC11" i="5"/>
  <c r="F9" i="18" s="1"/>
  <c r="AC19" i="5"/>
  <c r="F17" i="18" s="1"/>
  <c r="AC27" i="5"/>
  <c r="F25" i="18" s="1"/>
  <c r="AC35" i="5"/>
  <c r="F33" i="18" s="1"/>
  <c r="AC43" i="5"/>
  <c r="F41" i="18" s="1"/>
  <c r="AC12" i="5"/>
  <c r="F10" i="18" s="1"/>
  <c r="AC20" i="5"/>
  <c r="F18" i="18" s="1"/>
  <c r="AC28" i="5"/>
  <c r="F26" i="18" s="1"/>
  <c r="AC36" i="5"/>
  <c r="F34" i="18" s="1"/>
  <c r="AC44" i="5"/>
  <c r="F42" i="18" s="1"/>
  <c r="AC13" i="5"/>
  <c r="F11" i="18" s="1"/>
  <c r="AC21" i="5"/>
  <c r="F19" i="18" s="1"/>
  <c r="AC29" i="5"/>
  <c r="F27" i="18" s="1"/>
  <c r="AC37" i="5"/>
  <c r="F35" i="18" s="1"/>
  <c r="AC45" i="5"/>
  <c r="F43" i="18" s="1"/>
  <c r="AC14" i="5"/>
  <c r="F12" i="18" s="1"/>
  <c r="AC22" i="5"/>
  <c r="F20" i="18" s="1"/>
  <c r="AC30" i="5"/>
  <c r="F28" i="18" s="1"/>
  <c r="AC38" i="5"/>
  <c r="F36" i="18" s="1"/>
  <c r="AC46" i="5"/>
  <c r="F44" i="18" s="1"/>
  <c r="L15" i="5"/>
  <c r="L23" i="5"/>
  <c r="L22" i="5"/>
  <c r="L16" i="5"/>
  <c r="L10" i="5"/>
  <c r="L17" i="5"/>
  <c r="L18" i="5"/>
  <c r="L13" i="5"/>
  <c r="L14" i="5"/>
  <c r="L11" i="5"/>
  <c r="L19" i="5"/>
  <c r="L12" i="5"/>
  <c r="L20" i="5"/>
  <c r="L21" i="5"/>
  <c r="K13" i="5"/>
  <c r="K21" i="5"/>
  <c r="K14" i="5"/>
  <c r="K22" i="5"/>
  <c r="K17" i="5"/>
  <c r="K12" i="5"/>
  <c r="K15" i="5"/>
  <c r="K23" i="5"/>
  <c r="K11" i="5"/>
  <c r="K16" i="5"/>
  <c r="K18" i="5"/>
  <c r="K19" i="5"/>
  <c r="K20" i="5"/>
  <c r="AC5" i="5" l="1"/>
  <c r="M10" i="5"/>
  <c r="M18" i="5"/>
  <c r="M21" i="5"/>
  <c r="M17" i="5"/>
  <c r="M20" i="5"/>
  <c r="M12" i="5"/>
  <c r="M16" i="5"/>
  <c r="M13" i="5"/>
  <c r="M19" i="5"/>
  <c r="M22" i="5"/>
  <c r="M11" i="5"/>
  <c r="M23" i="5"/>
  <c r="M14" i="5"/>
  <c r="M15" i="5"/>
  <c r="D3" i="4"/>
  <c r="D4" i="4" s="1"/>
  <c r="G3" i="4"/>
  <c r="C4" i="4" s="1"/>
  <c r="B4" i="4"/>
  <c r="B5" i="4" s="1"/>
  <c r="B6" i="4" s="1"/>
  <c r="B7" i="4" s="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K8" i="2" l="1"/>
  <c r="K16" i="2"/>
  <c r="G4" i="4"/>
  <c r="G5" i="4" s="1"/>
  <c r="G6" i="4" s="1"/>
  <c r="G7" i="4" s="1"/>
  <c r="G8" i="4" s="1"/>
  <c r="G9" i="4" s="1"/>
  <c r="G10" i="4" s="1"/>
  <c r="G11" i="4" s="1"/>
  <c r="G12" i="4" s="1"/>
  <c r="G13" i="4" s="1"/>
  <c r="G14" i="4" s="1"/>
  <c r="G15" i="4" s="1"/>
  <c r="G16" i="4" s="1"/>
  <c r="G17" i="4" s="1"/>
  <c r="G18" i="4" s="1"/>
  <c r="G19" i="4" s="1"/>
  <c r="G20" i="4" s="1"/>
  <c r="G21" i="4" s="1"/>
  <c r="G22" i="4" s="1"/>
  <c r="G23" i="4" s="1"/>
  <c r="G24" i="4" s="1"/>
  <c r="G25" i="4" s="1"/>
  <c r="G26" i="4" s="1"/>
  <c r="G27" i="4" s="1"/>
  <c r="G28" i="4" s="1"/>
  <c r="G29" i="4" s="1"/>
  <c r="G30" i="4" s="1"/>
  <c r="G31" i="4" s="1"/>
  <c r="G32" i="4" s="1"/>
  <c r="G33" i="4" s="1"/>
  <c r="G34" i="4" s="1"/>
  <c r="G35" i="4" s="1"/>
  <c r="G36" i="4" s="1"/>
  <c r="G37" i="4" s="1"/>
  <c r="G38" i="4" s="1"/>
  <c r="G39" i="4" s="1"/>
  <c r="G40" i="4" s="1"/>
  <c r="G41" i="4" s="1"/>
  <c r="G42" i="4" s="1"/>
  <c r="D5" i="4"/>
  <c r="D6" i="4" s="1"/>
  <c r="D7" i="4" s="1"/>
  <c r="D8" i="4" s="1"/>
  <c r="D9" i="4" s="1"/>
  <c r="D10" i="4" s="1"/>
  <c r="D11" i="4" s="1"/>
  <c r="D12" i="4" s="1"/>
  <c r="D13" i="4" s="1"/>
  <c r="D14" i="4" s="1"/>
  <c r="D15" i="4" s="1"/>
  <c r="D16" i="4" s="1"/>
  <c r="D17" i="4" s="1"/>
  <c r="D18" i="4" s="1"/>
  <c r="D19" i="4" s="1"/>
  <c r="D20" i="4" s="1"/>
  <c r="D21" i="4" s="1"/>
  <c r="D22" i="4" s="1"/>
  <c r="D23" i="4" s="1"/>
  <c r="D24" i="4" s="1"/>
  <c r="D25" i="4" s="1"/>
  <c r="D26" i="4" s="1"/>
  <c r="D27" i="4" s="1"/>
  <c r="D28" i="4" s="1"/>
  <c r="D29" i="4" s="1"/>
  <c r="D30" i="4" s="1"/>
  <c r="D31" i="4" s="1"/>
  <c r="D32" i="4" s="1"/>
  <c r="D33" i="4" s="1"/>
  <c r="D34" i="4" s="1"/>
  <c r="D35" i="4" s="1"/>
  <c r="D36" i="4" s="1"/>
  <c r="D37" i="4" s="1"/>
  <c r="D38" i="4" s="1"/>
  <c r="D39" i="4" s="1"/>
  <c r="D40" i="4" s="1"/>
  <c r="D41" i="4" s="1"/>
  <c r="D42" i="4" s="1"/>
  <c r="E4" i="4"/>
  <c r="I4" i="4" s="1"/>
  <c r="E3" i="4"/>
  <c r="I3" i="4" s="1"/>
  <c r="K14" i="2"/>
  <c r="K6" i="2"/>
  <c r="K15" i="2"/>
  <c r="K13" i="2"/>
  <c r="K5" i="2"/>
  <c r="K7" i="2"/>
  <c r="K12" i="2"/>
  <c r="K4" i="2"/>
  <c r="K11" i="2"/>
  <c r="K10" i="2"/>
  <c r="K17" i="2"/>
  <c r="K9" i="2"/>
  <c r="D14" i="17" l="1"/>
  <c r="D14" i="26" s="1"/>
  <c r="D14" i="21"/>
  <c r="D14" i="22"/>
  <c r="D16" i="21"/>
  <c r="D16" i="17"/>
  <c r="D16" i="26" s="1"/>
  <c r="D16" i="22"/>
  <c r="D11" i="21"/>
  <c r="D11" i="22"/>
  <c r="D11" i="17"/>
  <c r="D11" i="26" s="1"/>
  <c r="D9" i="22"/>
  <c r="D9" i="21"/>
  <c r="D9" i="17"/>
  <c r="D9" i="26" s="1"/>
  <c r="D10" i="22"/>
  <c r="D10" i="21"/>
  <c r="D10" i="17"/>
  <c r="D10" i="26" s="1"/>
  <c r="D15" i="22"/>
  <c r="D15" i="21"/>
  <c r="D15" i="17"/>
  <c r="D15" i="26" s="1"/>
  <c r="D13" i="22"/>
  <c r="D13" i="17"/>
  <c r="D13" i="26" s="1"/>
  <c r="D13" i="21"/>
  <c r="D17" i="22"/>
  <c r="D17" i="17"/>
  <c r="D17" i="26" s="1"/>
  <c r="D17" i="21"/>
  <c r="D18" i="22"/>
  <c r="D18" i="21"/>
  <c r="D18" i="17"/>
  <c r="D18" i="26" s="1"/>
  <c r="D19" i="21"/>
  <c r="D19" i="22"/>
  <c r="D19" i="17"/>
  <c r="D19" i="26" s="1"/>
  <c r="D12" i="17"/>
  <c r="D12" i="26" s="1"/>
  <c r="D12" i="22"/>
  <c r="D12" i="21"/>
  <c r="D8" i="17"/>
  <c r="D8" i="26" s="1"/>
  <c r="D8" i="22"/>
  <c r="D8" i="21"/>
  <c r="S16" i="2"/>
  <c r="S8" i="2"/>
  <c r="C5" i="4"/>
  <c r="C6" i="4" s="1"/>
  <c r="C7" i="4" s="1"/>
  <c r="C8" i="4" s="1"/>
  <c r="C9" i="4" s="1"/>
  <c r="C10" i="4" s="1"/>
  <c r="C11" i="4" s="1"/>
  <c r="C12" i="4" s="1"/>
  <c r="C13" i="4" s="1"/>
  <c r="C14" i="4" s="1"/>
  <c r="C15" i="4" s="1"/>
  <c r="C16" i="4" s="1"/>
  <c r="C17" i="4" s="1"/>
  <c r="C18" i="4" s="1"/>
  <c r="C19" i="4" s="1"/>
  <c r="C20" i="4" s="1"/>
  <c r="C21" i="4" s="1"/>
  <c r="C22" i="4" s="1"/>
  <c r="C23" i="4" s="1"/>
  <c r="C24" i="4" s="1"/>
  <c r="C25" i="4" s="1"/>
  <c r="C26" i="4" s="1"/>
  <c r="C27" i="4" s="1"/>
  <c r="C28" i="4" s="1"/>
  <c r="C29" i="4" s="1"/>
  <c r="C30" i="4" s="1"/>
  <c r="C31" i="4" s="1"/>
  <c r="C32" i="4" s="1"/>
  <c r="C33" i="4" s="1"/>
  <c r="C34" i="4" s="1"/>
  <c r="C35" i="4" s="1"/>
  <c r="C36" i="4" s="1"/>
  <c r="C37" i="4" s="1"/>
  <c r="C38" i="4" s="1"/>
  <c r="C39" i="4" s="1"/>
  <c r="C40" i="4" s="1"/>
  <c r="C41" i="4" s="1"/>
  <c r="C42" i="4" s="1"/>
  <c r="S12" i="2"/>
  <c r="S6" i="2"/>
  <c r="S15" i="2"/>
  <c r="S5" i="2"/>
  <c r="S14" i="2"/>
  <c r="S4" i="2"/>
  <c r="S9" i="2"/>
  <c r="S11" i="2"/>
  <c r="S13" i="2"/>
  <c r="S17" i="2"/>
  <c r="S7" i="2"/>
  <c r="S10" i="2"/>
  <c r="N16" i="26" l="1"/>
  <c r="U16" i="26" s="1"/>
  <c r="K16" i="26"/>
  <c r="N13" i="26"/>
  <c r="U13" i="26" s="1"/>
  <c r="K13" i="26"/>
  <c r="N9" i="26"/>
  <c r="U9" i="26" s="1"/>
  <c r="K9" i="26"/>
  <c r="N12" i="26"/>
  <c r="U12" i="26" s="1"/>
  <c r="K12" i="26"/>
  <c r="N19" i="26"/>
  <c r="U19" i="26" s="1"/>
  <c r="K19" i="26"/>
  <c r="N18" i="26"/>
  <c r="U18" i="26" s="1"/>
  <c r="K18" i="26"/>
  <c r="N17" i="26"/>
  <c r="U17" i="26" s="1"/>
  <c r="K17" i="26"/>
  <c r="N8" i="26"/>
  <c r="U8" i="26" s="1"/>
  <c r="K8" i="26"/>
  <c r="N15" i="26"/>
  <c r="U15" i="26" s="1"/>
  <c r="K15" i="26"/>
  <c r="N10" i="26"/>
  <c r="U10" i="26" s="1"/>
  <c r="K10" i="26"/>
  <c r="N11" i="26"/>
  <c r="U11" i="26" s="1"/>
  <c r="K11" i="26"/>
  <c r="N14" i="26"/>
  <c r="U14" i="26" s="1"/>
  <c r="K14" i="26"/>
  <c r="D12" i="18"/>
  <c r="N12" i="18" s="1"/>
  <c r="D17" i="18"/>
  <c r="N17" i="18" s="1"/>
  <c r="D10" i="18"/>
  <c r="N10" i="18" s="1"/>
  <c r="K15" i="22"/>
  <c r="N15" i="22"/>
  <c r="U15" i="22" s="1"/>
  <c r="D19" i="18"/>
  <c r="N19" i="18" s="1"/>
  <c r="N17" i="22"/>
  <c r="U17" i="22" s="1"/>
  <c r="K17" i="22"/>
  <c r="N16" i="22"/>
  <c r="U16" i="22" s="1"/>
  <c r="K16" i="22"/>
  <c r="N19" i="22"/>
  <c r="U19" i="22" s="1"/>
  <c r="K19" i="22"/>
  <c r="N10" i="22"/>
  <c r="U10" i="22" s="1"/>
  <c r="K10" i="22"/>
  <c r="D16" i="18"/>
  <c r="N16" i="18" s="1"/>
  <c r="D13" i="18"/>
  <c r="N13" i="18" s="1"/>
  <c r="D9" i="18"/>
  <c r="N9" i="18" s="1"/>
  <c r="D18" i="18"/>
  <c r="N18" i="18" s="1"/>
  <c r="N13" i="22"/>
  <c r="U13" i="22" s="1"/>
  <c r="K13" i="22"/>
  <c r="N14" i="22"/>
  <c r="U14" i="22" s="1"/>
  <c r="K14" i="22"/>
  <c r="D15" i="18"/>
  <c r="N15" i="18" s="1"/>
  <c r="N9" i="22"/>
  <c r="U9" i="22" s="1"/>
  <c r="K9" i="22"/>
  <c r="N12" i="22"/>
  <c r="U12" i="22" s="1"/>
  <c r="K12" i="22"/>
  <c r="N11" i="22"/>
  <c r="U11" i="22" s="1"/>
  <c r="K11" i="22"/>
  <c r="N18" i="22"/>
  <c r="U18" i="22" s="1"/>
  <c r="K18" i="22"/>
  <c r="D11" i="18"/>
  <c r="N11" i="18" s="1"/>
  <c r="D14" i="18"/>
  <c r="N14" i="18" s="1"/>
  <c r="N8" i="22"/>
  <c r="U8" i="22" s="1"/>
  <c r="K8" i="22"/>
  <c r="D8" i="18"/>
  <c r="N8" i="18" s="1"/>
  <c r="S18" i="2"/>
  <c r="O8" i="18"/>
  <c r="O9" i="18"/>
  <c r="E6" i="4"/>
  <c r="I6" i="4" s="1"/>
  <c r="E5" i="4"/>
  <c r="I5" i="4" s="1"/>
  <c r="E7" i="4"/>
  <c r="I7" i="4" s="1"/>
  <c r="D44" i="17" l="1"/>
  <c r="D44" i="26" s="1"/>
  <c r="K44" i="26" s="1"/>
  <c r="D35" i="17"/>
  <c r="D35" i="26" s="1"/>
  <c r="D39" i="17"/>
  <c r="D39" i="26" s="1"/>
  <c r="D36" i="17"/>
  <c r="D36" i="26" s="1"/>
  <c r="D42" i="17"/>
  <c r="D42" i="26" s="1"/>
  <c r="D45" i="17"/>
  <c r="D45" i="26" s="1"/>
  <c r="D31" i="17"/>
  <c r="D28" i="17"/>
  <c r="D27" i="17"/>
  <c r="D23" i="17"/>
  <c r="D23" i="26" s="1"/>
  <c r="D20" i="17"/>
  <c r="D20" i="26" s="1"/>
  <c r="D46" i="17"/>
  <c r="D46" i="26" s="1"/>
  <c r="D24" i="17"/>
  <c r="D24" i="26" s="1"/>
  <c r="D41" i="17"/>
  <c r="D41" i="26" s="1"/>
  <c r="D38" i="17"/>
  <c r="D30" i="17"/>
  <c r="D32" i="17"/>
  <c r="D40" i="17"/>
  <c r="D40" i="26" s="1"/>
  <c r="D37" i="17"/>
  <c r="D37" i="26" s="1"/>
  <c r="D21" i="17"/>
  <c r="D21" i="26" s="1"/>
  <c r="D25" i="17"/>
  <c r="D25" i="26" s="1"/>
  <c r="D22" i="17"/>
  <c r="D22" i="26" s="1"/>
  <c r="D26" i="17"/>
  <c r="D34" i="17"/>
  <c r="D33" i="17"/>
  <c r="D29" i="17"/>
  <c r="D29" i="26" s="1"/>
  <c r="D43" i="17"/>
  <c r="D43" i="26" s="1"/>
  <c r="D47" i="17"/>
  <c r="D47" i="26" s="1"/>
  <c r="D45" i="22"/>
  <c r="D37" i="22"/>
  <c r="D29" i="22"/>
  <c r="D21" i="22"/>
  <c r="D42" i="22"/>
  <c r="D34" i="22"/>
  <c r="D26" i="22"/>
  <c r="D47" i="22"/>
  <c r="D39" i="22"/>
  <c r="D31" i="22"/>
  <c r="D23" i="22"/>
  <c r="D44" i="22"/>
  <c r="D36" i="22"/>
  <c r="D28" i="22"/>
  <c r="D20" i="22"/>
  <c r="K20" i="22" s="1"/>
  <c r="D41" i="22"/>
  <c r="D33" i="22"/>
  <c r="D25" i="22"/>
  <c r="D46" i="22"/>
  <c r="D38" i="22"/>
  <c r="D30" i="22"/>
  <c r="D22" i="22"/>
  <c r="D35" i="22"/>
  <c r="D27" i="22"/>
  <c r="D40" i="22"/>
  <c r="D32" i="22"/>
  <c r="D24" i="22"/>
  <c r="D43" i="22"/>
  <c r="J12" i="21"/>
  <c r="J10" i="21"/>
  <c r="J8" i="21"/>
  <c r="AG4" i="33" s="1"/>
  <c r="D47" i="21"/>
  <c r="D43" i="21"/>
  <c r="D39" i="21"/>
  <c r="D35" i="21"/>
  <c r="D31" i="21"/>
  <c r="D27" i="21"/>
  <c r="D23" i="21"/>
  <c r="D46" i="21"/>
  <c r="D42" i="21"/>
  <c r="D38" i="21"/>
  <c r="D34" i="21"/>
  <c r="D30" i="21"/>
  <c r="D26" i="21"/>
  <c r="D22" i="21"/>
  <c r="D45" i="21"/>
  <c r="D41" i="21"/>
  <c r="D37" i="21"/>
  <c r="D33" i="21"/>
  <c r="D29" i="21"/>
  <c r="D25" i="21"/>
  <c r="D21" i="21"/>
  <c r="D44" i="21"/>
  <c r="D40" i="21"/>
  <c r="D36" i="21"/>
  <c r="D32" i="21"/>
  <c r="D28" i="21"/>
  <c r="D24" i="21"/>
  <c r="D20" i="21"/>
  <c r="D25" i="18"/>
  <c r="N25" i="18" s="1"/>
  <c r="D42" i="18"/>
  <c r="N42" i="18" s="1"/>
  <c r="D27" i="18"/>
  <c r="N27" i="18" s="1"/>
  <c r="D23" i="18"/>
  <c r="N23" i="18" s="1"/>
  <c r="D40" i="18"/>
  <c r="N40" i="18" s="1"/>
  <c r="D24" i="18"/>
  <c r="N24" i="18" s="1"/>
  <c r="D32" i="18"/>
  <c r="N32" i="18" s="1"/>
  <c r="D44" i="18"/>
  <c r="N44" i="18" s="1"/>
  <c r="E8" i="4"/>
  <c r="I8" i="4" s="1"/>
  <c r="K12" i="21" l="1"/>
  <c r="AG8" i="33"/>
  <c r="K10" i="21"/>
  <c r="AG6" i="33"/>
  <c r="D47" i="18"/>
  <c r="N47" i="18" s="1"/>
  <c r="D46" i="18"/>
  <c r="N46" i="18" s="1"/>
  <c r="D39" i="18"/>
  <c r="N39" i="18" s="1"/>
  <c r="D41" i="18"/>
  <c r="N41" i="18" s="1"/>
  <c r="N44" i="26"/>
  <c r="D20" i="18"/>
  <c r="N20" i="18" s="1"/>
  <c r="D22" i="18"/>
  <c r="N22" i="18" s="1"/>
  <c r="D43" i="18"/>
  <c r="N43" i="18" s="1"/>
  <c r="D37" i="18"/>
  <c r="N37" i="18" s="1"/>
  <c r="D45" i="18"/>
  <c r="N45" i="18" s="1"/>
  <c r="D29" i="18"/>
  <c r="N29" i="18" s="1"/>
  <c r="D35" i="18"/>
  <c r="N35" i="18" s="1"/>
  <c r="D6" i="29"/>
  <c r="D5" i="29"/>
  <c r="D26" i="26"/>
  <c r="D38" i="26"/>
  <c r="D36" i="18"/>
  <c r="N36" i="18" s="1"/>
  <c r="N22" i="26"/>
  <c r="K22" i="26"/>
  <c r="N41" i="26"/>
  <c r="K41" i="26"/>
  <c r="N45" i="26"/>
  <c r="K45" i="26"/>
  <c r="D31" i="26"/>
  <c r="D21" i="18"/>
  <c r="N21" i="18" s="1"/>
  <c r="K25" i="26"/>
  <c r="N25" i="26"/>
  <c r="K24" i="26"/>
  <c r="N24" i="26"/>
  <c r="K42" i="26"/>
  <c r="N42" i="26"/>
  <c r="K46" i="26"/>
  <c r="N46" i="26"/>
  <c r="N43" i="26"/>
  <c r="K43" i="26"/>
  <c r="K37" i="26"/>
  <c r="N37" i="26"/>
  <c r="N20" i="26"/>
  <c r="K20" i="26"/>
  <c r="N39" i="26"/>
  <c r="K39" i="26"/>
  <c r="D26" i="18"/>
  <c r="N26" i="18" s="1"/>
  <c r="N36" i="26"/>
  <c r="K36" i="26"/>
  <c r="K29" i="26"/>
  <c r="N29" i="26"/>
  <c r="N40" i="26"/>
  <c r="K40" i="26"/>
  <c r="K23" i="26"/>
  <c r="N23" i="26"/>
  <c r="K35" i="26"/>
  <c r="N35" i="26"/>
  <c r="K21" i="26"/>
  <c r="N21" i="26"/>
  <c r="D33" i="26"/>
  <c r="D32" i="26"/>
  <c r="D27" i="26"/>
  <c r="D6" i="26" s="1"/>
  <c r="U44" i="26"/>
  <c r="N47" i="26"/>
  <c r="K47" i="26"/>
  <c r="D34" i="26"/>
  <c r="D30" i="26"/>
  <c r="D28" i="26"/>
  <c r="K8" i="21"/>
  <c r="D51" i="21"/>
  <c r="G5" i="33" s="1"/>
  <c r="O5" i="33" s="1"/>
  <c r="D38" i="18"/>
  <c r="N38" i="18" s="1"/>
  <c r="D31" i="18"/>
  <c r="N31" i="18" s="1"/>
  <c r="D33" i="18"/>
  <c r="N33" i="18" s="1"/>
  <c r="D6" i="17"/>
  <c r="N47" i="22"/>
  <c r="U47" i="22" s="1"/>
  <c r="K47" i="22"/>
  <c r="D28" i="18"/>
  <c r="N28" i="18" s="1"/>
  <c r="N40" i="22"/>
  <c r="U40" i="22" s="1"/>
  <c r="K40" i="22"/>
  <c r="N33" i="22"/>
  <c r="U33" i="22" s="1"/>
  <c r="K33" i="22"/>
  <c r="N39" i="22"/>
  <c r="U39" i="22" s="1"/>
  <c r="K39" i="22"/>
  <c r="N45" i="22"/>
  <c r="U45" i="22" s="1"/>
  <c r="K45" i="22"/>
  <c r="D30" i="18"/>
  <c r="N30" i="18" s="1"/>
  <c r="D34" i="18"/>
  <c r="N34" i="18" s="1"/>
  <c r="N35" i="22"/>
  <c r="U35" i="22" s="1"/>
  <c r="K35" i="22"/>
  <c r="N26" i="22"/>
  <c r="U26" i="22" s="1"/>
  <c r="K26" i="22"/>
  <c r="N22" i="22"/>
  <c r="U22" i="22" s="1"/>
  <c r="K22" i="22"/>
  <c r="N28" i="22"/>
  <c r="U28" i="22" s="1"/>
  <c r="K28" i="22"/>
  <c r="N34" i="22"/>
  <c r="U34" i="22" s="1"/>
  <c r="K34" i="22"/>
  <c r="N27" i="22"/>
  <c r="U27" i="22" s="1"/>
  <c r="K27" i="22"/>
  <c r="N30" i="22"/>
  <c r="U30" i="22" s="1"/>
  <c r="K30" i="22"/>
  <c r="N36" i="22"/>
  <c r="U36" i="22" s="1"/>
  <c r="K36" i="22"/>
  <c r="N42" i="22"/>
  <c r="U42" i="22" s="1"/>
  <c r="K42" i="22"/>
  <c r="N43" i="22"/>
  <c r="U43" i="22" s="1"/>
  <c r="K43" i="22"/>
  <c r="N38" i="22"/>
  <c r="U38" i="22" s="1"/>
  <c r="K38" i="22"/>
  <c r="N44" i="22"/>
  <c r="U44" i="22" s="1"/>
  <c r="K44" i="22"/>
  <c r="N21" i="22"/>
  <c r="U21" i="22" s="1"/>
  <c r="K21" i="22"/>
  <c r="N24" i="22"/>
  <c r="U24" i="22" s="1"/>
  <c r="K24" i="22"/>
  <c r="N46" i="22"/>
  <c r="U46" i="22" s="1"/>
  <c r="K46" i="22"/>
  <c r="N23" i="22"/>
  <c r="U23" i="22" s="1"/>
  <c r="K23" i="22"/>
  <c r="N29" i="22"/>
  <c r="U29" i="22" s="1"/>
  <c r="K29" i="22"/>
  <c r="N41" i="22"/>
  <c r="U41" i="22" s="1"/>
  <c r="K41" i="22"/>
  <c r="D5" i="17"/>
  <c r="N32" i="22"/>
  <c r="U32" i="22" s="1"/>
  <c r="K32" i="22"/>
  <c r="N25" i="22"/>
  <c r="U25" i="22" s="1"/>
  <c r="K25" i="22"/>
  <c r="N31" i="22"/>
  <c r="U31" i="22" s="1"/>
  <c r="K31" i="22"/>
  <c r="N37" i="22"/>
  <c r="U37" i="22" s="1"/>
  <c r="K37" i="22"/>
  <c r="N20" i="22"/>
  <c r="U20" i="22" s="1"/>
  <c r="D5" i="22"/>
  <c r="D6" i="22"/>
  <c r="J13" i="21"/>
  <c r="D5" i="21"/>
  <c r="D6" i="21"/>
  <c r="O11" i="18"/>
  <c r="O10" i="18"/>
  <c r="O12" i="18"/>
  <c r="E9" i="4"/>
  <c r="I9" i="4" s="1"/>
  <c r="K13" i="21" l="1"/>
  <c r="AG9" i="33"/>
  <c r="D6" i="18"/>
  <c r="N6" i="18"/>
  <c r="U46" i="26"/>
  <c r="N34" i="26"/>
  <c r="K34" i="26"/>
  <c r="K32" i="26"/>
  <c r="N32" i="26"/>
  <c r="U20" i="26"/>
  <c r="U23" i="26"/>
  <c r="U36" i="26"/>
  <c r="U37" i="26"/>
  <c r="U42" i="26"/>
  <c r="U22" i="26"/>
  <c r="K33" i="26"/>
  <c r="N33" i="26"/>
  <c r="K31" i="26"/>
  <c r="N31" i="26"/>
  <c r="U47" i="26"/>
  <c r="U24" i="26"/>
  <c r="K38" i="26"/>
  <c r="N38" i="26"/>
  <c r="N28" i="26"/>
  <c r="K28" i="26"/>
  <c r="U40" i="26"/>
  <c r="U39" i="26"/>
  <c r="U43" i="26"/>
  <c r="U41" i="26"/>
  <c r="U21" i="26"/>
  <c r="U29" i="26"/>
  <c r="U25" i="26"/>
  <c r="U45" i="26"/>
  <c r="N26" i="26"/>
  <c r="K26" i="26"/>
  <c r="U35" i="26"/>
  <c r="K30" i="26"/>
  <c r="N30" i="26"/>
  <c r="K27" i="26"/>
  <c r="N27" i="26"/>
  <c r="D5" i="26"/>
  <c r="D5" i="18"/>
  <c r="N5" i="18"/>
  <c r="K6" i="22"/>
  <c r="U5" i="22"/>
  <c r="U6" i="22"/>
  <c r="K5" i="22"/>
  <c r="N6" i="22"/>
  <c r="N5" i="22"/>
  <c r="J14" i="21"/>
  <c r="O13" i="18"/>
  <c r="E10" i="4"/>
  <c r="I10" i="4" s="1"/>
  <c r="K14" i="21" l="1"/>
  <c r="AG10" i="33"/>
  <c r="K6" i="26"/>
  <c r="U32" i="26"/>
  <c r="U38" i="26"/>
  <c r="U26" i="26"/>
  <c r="K5" i="26"/>
  <c r="U33" i="26"/>
  <c r="U27" i="26"/>
  <c r="U34" i="26"/>
  <c r="U28" i="26"/>
  <c r="U31" i="26"/>
  <c r="N5" i="26"/>
  <c r="U30" i="26"/>
  <c r="N6" i="26"/>
  <c r="I6" i="21"/>
  <c r="I5" i="21"/>
  <c r="S7" i="1" s="1"/>
  <c r="AA7" i="1" s="1"/>
  <c r="J15" i="21"/>
  <c r="O14" i="18"/>
  <c r="E11" i="4"/>
  <c r="I11" i="4" s="1"/>
  <c r="K15" i="21" l="1"/>
  <c r="AG11" i="33"/>
  <c r="U6" i="26"/>
  <c r="U5" i="26"/>
  <c r="J16" i="21"/>
  <c r="S6" i="18"/>
  <c r="S5" i="18"/>
  <c r="S5" i="1" s="1"/>
  <c r="AA5" i="1" s="1"/>
  <c r="I6" i="18"/>
  <c r="I5" i="18"/>
  <c r="S6" i="1" s="1"/>
  <c r="AA6" i="1" s="1"/>
  <c r="O15" i="18"/>
  <c r="E12" i="4"/>
  <c r="I12" i="4" s="1"/>
  <c r="K16" i="21" l="1"/>
  <c r="AG12" i="33"/>
  <c r="J17" i="21"/>
  <c r="O16" i="18"/>
  <c r="E13" i="4"/>
  <c r="I13" i="4" s="1"/>
  <c r="K17" i="21" l="1"/>
  <c r="AG13" i="33"/>
  <c r="J18" i="21"/>
  <c r="O17" i="18"/>
  <c r="E14" i="4"/>
  <c r="I14" i="4" s="1"/>
  <c r="K18" i="21" l="1"/>
  <c r="AG14" i="33"/>
  <c r="J19" i="21"/>
  <c r="O18" i="18"/>
  <c r="E15" i="4"/>
  <c r="I15" i="4" s="1"/>
  <c r="K19" i="21" l="1"/>
  <c r="AG15" i="33"/>
  <c r="J20" i="21"/>
  <c r="AG16" i="33" s="1"/>
  <c r="O19" i="18"/>
  <c r="E16" i="4"/>
  <c r="I16" i="4" s="1"/>
  <c r="K20" i="21" l="1"/>
  <c r="J21" i="21"/>
  <c r="O20" i="18"/>
  <c r="E17" i="4"/>
  <c r="I17" i="4" s="1"/>
  <c r="K21" i="21" l="1"/>
  <c r="AG17" i="33"/>
  <c r="J22" i="21"/>
  <c r="AG18" i="33" s="1"/>
  <c r="O21" i="18"/>
  <c r="E18" i="4"/>
  <c r="I18" i="4" s="1"/>
  <c r="K22" i="21" l="1"/>
  <c r="J23" i="21"/>
  <c r="O22" i="18"/>
  <c r="E19" i="4"/>
  <c r="I19" i="4" s="1"/>
  <c r="K23" i="21" l="1"/>
  <c r="AG19" i="33"/>
  <c r="J24" i="21"/>
  <c r="AG20" i="33" s="1"/>
  <c r="O23" i="18"/>
  <c r="E20" i="4"/>
  <c r="I20" i="4" s="1"/>
  <c r="K24" i="21" l="1"/>
  <c r="J25" i="21"/>
  <c r="AG21" i="33" s="1"/>
  <c r="O24" i="18"/>
  <c r="E21" i="4"/>
  <c r="I21" i="4" s="1"/>
  <c r="K25" i="21" l="1"/>
  <c r="J26" i="21"/>
  <c r="AG22" i="33" s="1"/>
  <c r="O25" i="18"/>
  <c r="E22" i="4"/>
  <c r="I22" i="4" s="1"/>
  <c r="K26" i="21" l="1"/>
  <c r="J27" i="21"/>
  <c r="AG23" i="33" s="1"/>
  <c r="E6" i="21"/>
  <c r="O26" i="18"/>
  <c r="E23" i="4"/>
  <c r="I23" i="4" s="1"/>
  <c r="K27" i="21" l="1"/>
  <c r="J28" i="21"/>
  <c r="AG24" i="33" s="1"/>
  <c r="O27" i="18"/>
  <c r="E6" i="18"/>
  <c r="E24" i="4"/>
  <c r="I24" i="4" s="1"/>
  <c r="K28" i="21" l="1"/>
  <c r="J29" i="21"/>
  <c r="AG25" i="33" s="1"/>
  <c r="O28" i="18"/>
  <c r="O6" i="18"/>
  <c r="E25" i="4"/>
  <c r="I25" i="4" s="1"/>
  <c r="K29" i="21" l="1"/>
  <c r="J30" i="21"/>
  <c r="AG26" i="33" s="1"/>
  <c r="O29" i="18"/>
  <c r="E26" i="4"/>
  <c r="I26" i="4" s="1"/>
  <c r="K30" i="21" l="1"/>
  <c r="J31" i="21"/>
  <c r="AG27" i="33" s="1"/>
  <c r="O30" i="18"/>
  <c r="E27" i="4"/>
  <c r="I27" i="4" s="1"/>
  <c r="K31" i="21" l="1"/>
  <c r="J32" i="21"/>
  <c r="AG28" i="33" s="1"/>
  <c r="O31" i="18"/>
  <c r="E28" i="4"/>
  <c r="I28" i="4" s="1"/>
  <c r="K32" i="21" l="1"/>
  <c r="J33" i="21"/>
  <c r="AG29" i="33" s="1"/>
  <c r="O32" i="18"/>
  <c r="E29" i="4"/>
  <c r="I29" i="4" s="1"/>
  <c r="K33" i="21" l="1"/>
  <c r="J34" i="21"/>
  <c r="AG30" i="33" s="1"/>
  <c r="O33" i="18"/>
  <c r="E30" i="4"/>
  <c r="I30" i="4" s="1"/>
  <c r="K34" i="21" l="1"/>
  <c r="J35" i="21"/>
  <c r="AG31" i="33" s="1"/>
  <c r="O34" i="18"/>
  <c r="E31" i="4"/>
  <c r="I31" i="4" s="1"/>
  <c r="K35" i="21" l="1"/>
  <c r="J36" i="21"/>
  <c r="AG32" i="33" s="1"/>
  <c r="O35" i="18"/>
  <c r="E32" i="4"/>
  <c r="I32" i="4" s="1"/>
  <c r="K36" i="21" l="1"/>
  <c r="J37" i="21"/>
  <c r="AG33" i="33" s="1"/>
  <c r="O36" i="18"/>
  <c r="E33" i="4"/>
  <c r="I33" i="4" s="1"/>
  <c r="K37" i="21" l="1"/>
  <c r="J38" i="21"/>
  <c r="AG34" i="33" s="1"/>
  <c r="O37" i="18"/>
  <c r="E34" i="4"/>
  <c r="I34" i="4" s="1"/>
  <c r="K38" i="21" l="1"/>
  <c r="J39" i="21"/>
  <c r="AG35" i="33" s="1"/>
  <c r="O38" i="18"/>
  <c r="E35" i="4"/>
  <c r="I35" i="4" s="1"/>
  <c r="K39" i="21" l="1"/>
  <c r="J40" i="21"/>
  <c r="AG36" i="33" s="1"/>
  <c r="O39" i="18"/>
  <c r="E36" i="4"/>
  <c r="I36" i="4" s="1"/>
  <c r="K40" i="21" l="1"/>
  <c r="J41" i="21"/>
  <c r="AG37" i="33" s="1"/>
  <c r="O40" i="18"/>
  <c r="E37" i="4"/>
  <c r="I37" i="4" s="1"/>
  <c r="K41" i="21" l="1"/>
  <c r="J42" i="21"/>
  <c r="AG38" i="33" s="1"/>
  <c r="O41" i="18"/>
  <c r="E38" i="4"/>
  <c r="I38" i="4" s="1"/>
  <c r="K42" i="21" l="1"/>
  <c r="J43" i="21"/>
  <c r="AG39" i="33" s="1"/>
  <c r="O42" i="18"/>
  <c r="E39" i="4"/>
  <c r="I39" i="4" s="1"/>
  <c r="K43" i="21" l="1"/>
  <c r="J44" i="21"/>
  <c r="AG40" i="33" s="1"/>
  <c r="O43" i="18"/>
  <c r="E40" i="4"/>
  <c r="I40" i="4" s="1"/>
  <c r="K44" i="21" l="1"/>
  <c r="J45" i="21"/>
  <c r="AG41" i="33" s="1"/>
  <c r="O44" i="18"/>
  <c r="E41" i="4"/>
  <c r="I41" i="4" s="1"/>
  <c r="E42" i="4"/>
  <c r="I42" i="4" s="1"/>
  <c r="K45" i="21" l="1"/>
  <c r="J47" i="21"/>
  <c r="AG43" i="33" s="1"/>
  <c r="E5" i="21"/>
  <c r="O7" i="1" s="1"/>
  <c r="W7" i="1" s="1"/>
  <c r="J46" i="21"/>
  <c r="AG42" i="33" s="1"/>
  <c r="O45" i="18"/>
  <c r="K3" i="4"/>
  <c r="K47" i="21" l="1"/>
  <c r="K46" i="21"/>
  <c r="O46" i="18"/>
  <c r="O47" i="18"/>
  <c r="E5" i="18"/>
  <c r="O6" i="1" s="1"/>
  <c r="W6" i="1" s="1"/>
  <c r="O5" i="18" l="1"/>
  <c r="O5" i="1" s="1"/>
  <c r="W5" i="1" s="1"/>
  <c r="G9" i="2" l="1"/>
  <c r="J9" i="2"/>
  <c r="G10" i="2"/>
  <c r="J10" i="2"/>
  <c r="G14" i="2"/>
  <c r="J14" i="2"/>
  <c r="G17" i="2"/>
  <c r="J17" i="2"/>
  <c r="G16" i="2"/>
  <c r="J16" i="2"/>
  <c r="G15" i="2"/>
  <c r="J15" i="2"/>
  <c r="G4" i="2"/>
  <c r="J4" i="2"/>
  <c r="G13" i="2"/>
  <c r="J13" i="2"/>
  <c r="G7" i="2"/>
  <c r="J7" i="2"/>
  <c r="G5" i="2"/>
  <c r="J5" i="2"/>
  <c r="G6" i="2"/>
  <c r="J6" i="2"/>
  <c r="G8" i="2"/>
  <c r="J8" i="2"/>
  <c r="G12" i="2"/>
  <c r="J12" i="2"/>
  <c r="G11" i="2"/>
  <c r="J11" i="2"/>
  <c r="R11" i="2" l="1"/>
  <c r="V11" i="2" s="1"/>
  <c r="N11" i="2"/>
  <c r="AB11" i="2" s="1"/>
  <c r="H7" i="3"/>
  <c r="E7" i="3"/>
  <c r="H10" i="3"/>
  <c r="E10" i="3"/>
  <c r="H11" i="3"/>
  <c r="E11" i="3"/>
  <c r="H13" i="3"/>
  <c r="E13" i="3"/>
  <c r="R16" i="2"/>
  <c r="V16" i="2" s="1"/>
  <c r="AB20" i="2" s="1"/>
  <c r="N16" i="2"/>
  <c r="R6" i="2"/>
  <c r="V6" i="2" s="1"/>
  <c r="N6" i="2"/>
  <c r="AB6" i="2" s="1"/>
  <c r="E6" i="3"/>
  <c r="H6" i="3"/>
  <c r="E16" i="3"/>
  <c r="H16" i="3"/>
  <c r="R13" i="2"/>
  <c r="V13" i="2" s="1"/>
  <c r="N13" i="2"/>
  <c r="AB13" i="2" s="1"/>
  <c r="R5" i="2"/>
  <c r="V5" i="2" s="1"/>
  <c r="N5" i="2"/>
  <c r="AB5" i="2" s="1"/>
  <c r="R4" i="2"/>
  <c r="V4" i="2" s="1"/>
  <c r="N4" i="2"/>
  <c r="AB4" i="2" s="1"/>
  <c r="R14" i="2"/>
  <c r="V14" i="2" s="1"/>
  <c r="N14" i="2"/>
  <c r="AB14" i="2" s="1"/>
  <c r="R12" i="2"/>
  <c r="V12" i="2" s="1"/>
  <c r="N12" i="2"/>
  <c r="AB12" i="2" s="1"/>
  <c r="H5" i="3"/>
  <c r="E5" i="3"/>
  <c r="H4" i="3"/>
  <c r="E4" i="3"/>
  <c r="R17" i="2"/>
  <c r="V17" i="2" s="1"/>
  <c r="AB24" i="2" s="1"/>
  <c r="N17" i="2"/>
  <c r="R9" i="2"/>
  <c r="V9" i="2" s="1"/>
  <c r="N9" i="2"/>
  <c r="AB9" i="2" s="1"/>
  <c r="H15" i="3"/>
  <c r="E15" i="3"/>
  <c r="H12" i="3"/>
  <c r="E12" i="3"/>
  <c r="R8" i="2"/>
  <c r="V8" i="2" s="1"/>
  <c r="N8" i="2"/>
  <c r="AB8" i="2" s="1"/>
  <c r="R7" i="2"/>
  <c r="V7" i="2" s="1"/>
  <c r="N7" i="2"/>
  <c r="AB7" i="2" s="1"/>
  <c r="H14" i="3"/>
  <c r="E14" i="3"/>
  <c r="E8" i="3"/>
  <c r="H8" i="3"/>
  <c r="R15" i="2"/>
  <c r="N15" i="2"/>
  <c r="AB15" i="2" s="1"/>
  <c r="H17" i="3"/>
  <c r="E17" i="3"/>
  <c r="R10" i="2"/>
  <c r="V10" i="2" s="1"/>
  <c r="N10" i="2"/>
  <c r="AB10" i="2" s="1"/>
  <c r="H9" i="3"/>
  <c r="E9" i="3"/>
  <c r="AL4" i="28" l="1"/>
  <c r="AL10" i="28"/>
  <c r="AL5" i="28"/>
  <c r="AL6" i="28"/>
  <c r="AL7" i="28"/>
  <c r="AL9" i="28"/>
  <c r="AL12" i="28"/>
  <c r="AL13" i="28"/>
  <c r="AL15" i="28"/>
  <c r="AL8" i="28"/>
  <c r="AL14" i="28"/>
  <c r="AL11" i="28"/>
  <c r="AL24" i="28"/>
  <c r="AL20" i="28"/>
  <c r="R18" i="2"/>
  <c r="V15" i="2"/>
  <c r="V18" i="2" s="1"/>
  <c r="M14" i="3"/>
  <c r="O14" i="3" s="1"/>
  <c r="J14" i="3"/>
  <c r="H30" i="3" s="1"/>
  <c r="M5" i="3"/>
  <c r="O5" i="3" s="1"/>
  <c r="J5" i="3"/>
  <c r="H21" i="3" s="1"/>
  <c r="M15" i="3"/>
  <c r="O15" i="3" s="1"/>
  <c r="J15" i="3"/>
  <c r="H31" i="3" s="1"/>
  <c r="M6" i="3"/>
  <c r="O6" i="3" s="1"/>
  <c r="J6" i="3"/>
  <c r="H22" i="3" s="1"/>
  <c r="M4" i="3"/>
  <c r="O4" i="3" s="1"/>
  <c r="J4" i="3"/>
  <c r="H20" i="3" s="1"/>
  <c r="M7" i="3"/>
  <c r="O7" i="3" s="1"/>
  <c r="J7" i="3"/>
  <c r="H23" i="3" s="1"/>
  <c r="M11" i="3"/>
  <c r="O11" i="3" s="1"/>
  <c r="J11" i="3"/>
  <c r="H27" i="3" s="1"/>
  <c r="M12" i="3"/>
  <c r="O12" i="3" s="1"/>
  <c r="J12" i="3"/>
  <c r="H28" i="3" s="1"/>
  <c r="J8" i="3"/>
  <c r="H24" i="3" s="1"/>
  <c r="M8" i="3"/>
  <c r="O8" i="3" s="1"/>
  <c r="M16" i="3"/>
  <c r="O16" i="3" s="1"/>
  <c r="H36" i="3" s="1"/>
  <c r="J16" i="3"/>
  <c r="M9" i="3"/>
  <c r="O9" i="3" s="1"/>
  <c r="J9" i="3"/>
  <c r="H25" i="3" s="1"/>
  <c r="M17" i="3"/>
  <c r="O17" i="3" s="1"/>
  <c r="H40" i="3" s="1"/>
  <c r="J17" i="3"/>
  <c r="M13" i="3"/>
  <c r="O13" i="3" s="1"/>
  <c r="J13" i="3"/>
  <c r="H29" i="3" s="1"/>
  <c r="M10" i="3"/>
  <c r="O10" i="3" s="1"/>
  <c r="J10" i="3"/>
  <c r="H26" i="3" s="1"/>
  <c r="AC13" i="2" l="1"/>
  <c r="AC13" i="30"/>
  <c r="AD13" i="30" s="1"/>
  <c r="I17" i="29" s="1"/>
  <c r="AC4" i="2"/>
  <c r="AM4" i="28" s="1"/>
  <c r="AC4" i="30"/>
  <c r="AD4" i="30" s="1"/>
  <c r="I8" i="29" s="1"/>
  <c r="AC14" i="2"/>
  <c r="AC14" i="30"/>
  <c r="AD14" i="30" s="1"/>
  <c r="I18" i="29" s="1"/>
  <c r="AC8" i="2"/>
  <c r="AC8" i="30"/>
  <c r="AD8" i="30" s="1"/>
  <c r="I12" i="29" s="1"/>
  <c r="AC12" i="2"/>
  <c r="AC12" i="30"/>
  <c r="AD12" i="30" s="1"/>
  <c r="I16" i="29" s="1"/>
  <c r="AC9" i="2"/>
  <c r="AC9" i="30"/>
  <c r="AD9" i="30" s="1"/>
  <c r="I13" i="29" s="1"/>
  <c r="AC11" i="2"/>
  <c r="AC11" i="30"/>
  <c r="AD11" i="30" s="1"/>
  <c r="I15" i="29" s="1"/>
  <c r="AC15" i="2"/>
  <c r="AD15" i="2" s="1"/>
  <c r="I19" i="17" s="1"/>
  <c r="J19" i="17" s="1"/>
  <c r="AC15" i="30"/>
  <c r="AD15" i="30" s="1"/>
  <c r="I19" i="29" s="1"/>
  <c r="AC6" i="2"/>
  <c r="AC6" i="30"/>
  <c r="AD6" i="30" s="1"/>
  <c r="I10" i="29" s="1"/>
  <c r="AC10" i="2"/>
  <c r="AC10" i="30"/>
  <c r="AD10" i="30" s="1"/>
  <c r="I14" i="29" s="1"/>
  <c r="AC7" i="2"/>
  <c r="AC7" i="30"/>
  <c r="AD7" i="30" s="1"/>
  <c r="I11" i="29" s="1"/>
  <c r="AC5" i="2"/>
  <c r="AC5" i="30"/>
  <c r="AD5" i="30" s="1"/>
  <c r="I9" i="29" s="1"/>
  <c r="AM14" i="28"/>
  <c r="AM11" i="28"/>
  <c r="AM13" i="28"/>
  <c r="AM6" i="28"/>
  <c r="AM12" i="28"/>
  <c r="AM10" i="28"/>
  <c r="AM9" i="28"/>
  <c r="AM7" i="28"/>
  <c r="AC24" i="2"/>
  <c r="AM24" i="28" s="1"/>
  <c r="AC24" i="30"/>
  <c r="AC20" i="2"/>
  <c r="AC20" i="30"/>
  <c r="AM20" i="28"/>
  <c r="AD4" i="2"/>
  <c r="AD8" i="2"/>
  <c r="I12" i="17" s="1"/>
  <c r="J12" i="17" s="1"/>
  <c r="AD14" i="2"/>
  <c r="I18" i="17" s="1"/>
  <c r="J18" i="17" s="1"/>
  <c r="AD9" i="2"/>
  <c r="I13" i="17" s="1"/>
  <c r="J13" i="17" s="1"/>
  <c r="AD12" i="2"/>
  <c r="I16" i="17" s="1"/>
  <c r="J16" i="17" s="1"/>
  <c r="O18" i="3"/>
  <c r="AD10" i="2"/>
  <c r="I14" i="17" s="1"/>
  <c r="J14" i="17" s="1"/>
  <c r="AD20" i="2"/>
  <c r="AB32" i="2"/>
  <c r="AB42" i="2"/>
  <c r="AB16" i="2"/>
  <c r="AB39" i="2"/>
  <c r="AB19" i="2"/>
  <c r="AB40" i="2"/>
  <c r="AB17" i="2"/>
  <c r="AB30" i="2"/>
  <c r="AB25" i="2"/>
  <c r="AB27" i="2"/>
  <c r="AB38" i="2"/>
  <c r="AB35" i="2"/>
  <c r="AB33" i="2"/>
  <c r="AB41" i="2"/>
  <c r="AB43" i="2"/>
  <c r="AB29" i="2"/>
  <c r="AB21" i="2"/>
  <c r="AB18" i="2"/>
  <c r="AB37" i="2"/>
  <c r="AB26" i="2"/>
  <c r="AB28" i="2"/>
  <c r="AB22" i="2"/>
  <c r="AB34" i="2"/>
  <c r="AB31" i="2"/>
  <c r="AB23" i="2"/>
  <c r="AB36" i="2"/>
  <c r="AD13" i="2"/>
  <c r="I17" i="17" s="1"/>
  <c r="J17" i="17" s="1"/>
  <c r="AD11" i="2"/>
  <c r="I15" i="17" s="1"/>
  <c r="J15" i="17" s="1"/>
  <c r="AD7" i="2"/>
  <c r="AD6" i="2"/>
  <c r="I10" i="17" s="1"/>
  <c r="J10" i="17" s="1"/>
  <c r="AM15" i="28" l="1"/>
  <c r="J9" i="29"/>
  <c r="K9" i="29" s="1"/>
  <c r="J19" i="29"/>
  <c r="K19" i="29" s="1"/>
  <c r="J12" i="29"/>
  <c r="K12" i="29" s="1"/>
  <c r="J11" i="29"/>
  <c r="K11" i="29"/>
  <c r="J15" i="29"/>
  <c r="K15" i="29" s="1"/>
  <c r="J18" i="29"/>
  <c r="K18" i="29" s="1"/>
  <c r="AM8" i="28"/>
  <c r="J14" i="29"/>
  <c r="K14" i="29" s="1"/>
  <c r="J13" i="29"/>
  <c r="K13" i="29"/>
  <c r="J8" i="29"/>
  <c r="K8" i="29"/>
  <c r="AD5" i="2"/>
  <c r="AM5" i="28"/>
  <c r="J10" i="29"/>
  <c r="K10" i="29" s="1"/>
  <c r="J16" i="29"/>
  <c r="K16" i="29" s="1"/>
  <c r="J17" i="29"/>
  <c r="K17" i="29"/>
  <c r="K18" i="17"/>
  <c r="AD14" i="33"/>
  <c r="K10" i="17"/>
  <c r="AD6" i="33"/>
  <c r="K14" i="17"/>
  <c r="AD10" i="33"/>
  <c r="K12" i="17"/>
  <c r="AD8" i="33"/>
  <c r="K15" i="17"/>
  <c r="AD11" i="33"/>
  <c r="K19" i="17"/>
  <c r="AD15" i="33"/>
  <c r="K17" i="17"/>
  <c r="AD13" i="33"/>
  <c r="K16" i="17"/>
  <c r="AD12" i="33"/>
  <c r="K13" i="17"/>
  <c r="AD9" i="33"/>
  <c r="AD24" i="2"/>
  <c r="I28" i="17"/>
  <c r="J28" i="17" s="1"/>
  <c r="AD20" i="30"/>
  <c r="I24" i="29" s="1"/>
  <c r="I24" i="17"/>
  <c r="J24" i="17" s="1"/>
  <c r="AD24" i="30"/>
  <c r="I28" i="29" s="1"/>
  <c r="AL21" i="28"/>
  <c r="AL31" i="28"/>
  <c r="AL29" i="28"/>
  <c r="AL30" i="28"/>
  <c r="AL43" i="28"/>
  <c r="AL17" i="28"/>
  <c r="AL40" i="28"/>
  <c r="AL23" i="28"/>
  <c r="AL19" i="28"/>
  <c r="AL25" i="28"/>
  <c r="AL22" i="28"/>
  <c r="AL28" i="28"/>
  <c r="AL26" i="28"/>
  <c r="AL35" i="28"/>
  <c r="AL39" i="28"/>
  <c r="AL32" i="28"/>
  <c r="AL37" i="28"/>
  <c r="AL16" i="28"/>
  <c r="AL34" i="28"/>
  <c r="AL41" i="28"/>
  <c r="AL33" i="28"/>
  <c r="AL38" i="28"/>
  <c r="AL36" i="28"/>
  <c r="AL18" i="28"/>
  <c r="AL27" i="28"/>
  <c r="AL42" i="28"/>
  <c r="J11" i="21"/>
  <c r="I11" i="17"/>
  <c r="J11" i="17" s="1"/>
  <c r="J9" i="21"/>
  <c r="AG5" i="33" s="1"/>
  <c r="I9" i="17"/>
  <c r="J9" i="17" s="1"/>
  <c r="I8" i="17"/>
  <c r="J8" i="17" s="1"/>
  <c r="D51" i="17" s="1"/>
  <c r="H32" i="3"/>
  <c r="H45" i="3"/>
  <c r="H48" i="3"/>
  <c r="H59" i="3"/>
  <c r="H57" i="3"/>
  <c r="H58" i="3"/>
  <c r="H51" i="3"/>
  <c r="H46" i="3"/>
  <c r="H38" i="3"/>
  <c r="H33" i="3"/>
  <c r="H37" i="3"/>
  <c r="H47" i="3"/>
  <c r="H43" i="3"/>
  <c r="H39" i="3"/>
  <c r="H54" i="3"/>
  <c r="H53" i="3"/>
  <c r="H49" i="3"/>
  <c r="H50" i="3"/>
  <c r="H52" i="3"/>
  <c r="H34" i="3"/>
  <c r="H35" i="3"/>
  <c r="H42" i="3"/>
  <c r="H56" i="3"/>
  <c r="H41" i="3"/>
  <c r="H55" i="3"/>
  <c r="H44" i="3"/>
  <c r="D51" i="29" l="1"/>
  <c r="D52" i="29"/>
  <c r="D60" i="29"/>
  <c r="D56" i="29"/>
  <c r="D58" i="29"/>
  <c r="D59" i="29"/>
  <c r="D61" i="29"/>
  <c r="D57" i="29"/>
  <c r="D54" i="29"/>
  <c r="D55" i="29"/>
  <c r="D53" i="29"/>
  <c r="D62" i="29"/>
  <c r="K9" i="17"/>
  <c r="AD5" i="33"/>
  <c r="K24" i="17"/>
  <c r="AD20" i="33"/>
  <c r="K28" i="17"/>
  <c r="AD24" i="33"/>
  <c r="K11" i="17"/>
  <c r="AD7" i="33"/>
  <c r="D56" i="17"/>
  <c r="D57" i="17"/>
  <c r="D58" i="17"/>
  <c r="AD4" i="33"/>
  <c r="D59" i="17"/>
  <c r="D52" i="17"/>
  <c r="D60" i="17"/>
  <c r="D53" i="17"/>
  <c r="D61" i="17"/>
  <c r="D55" i="17"/>
  <c r="D54" i="17"/>
  <c r="D62" i="17"/>
  <c r="K11" i="21"/>
  <c r="AG7" i="33"/>
  <c r="AC25" i="2"/>
  <c r="AC25" i="30"/>
  <c r="AC37" i="2"/>
  <c r="AC37" i="30"/>
  <c r="AC30" i="2"/>
  <c r="AM30" i="28" s="1"/>
  <c r="AC30" i="30"/>
  <c r="AC39" i="2"/>
  <c r="AC39" i="30"/>
  <c r="AC42" i="2"/>
  <c r="AC42" i="30"/>
  <c r="J24" i="29"/>
  <c r="K24" i="29" s="1"/>
  <c r="AC35" i="2"/>
  <c r="AC35" i="30"/>
  <c r="AC19" i="2"/>
  <c r="AD19" i="2" s="1"/>
  <c r="AC19" i="30"/>
  <c r="AC27" i="2"/>
  <c r="AM27" i="28" s="1"/>
  <c r="AC27" i="30"/>
  <c r="AC41" i="2"/>
  <c r="AC41" i="30"/>
  <c r="AC43" i="2"/>
  <c r="AC43" i="30"/>
  <c r="AC40" i="2"/>
  <c r="AC40" i="30"/>
  <c r="AC23" i="2"/>
  <c r="AM23" i="28" s="1"/>
  <c r="AC23" i="30"/>
  <c r="AC31" i="2"/>
  <c r="AD31" i="2" s="1"/>
  <c r="AC31" i="30"/>
  <c r="AC21" i="2"/>
  <c r="AD21" i="2" s="1"/>
  <c r="AC21" i="30"/>
  <c r="AC32" i="2"/>
  <c r="AM32" i="28" s="1"/>
  <c r="AC32" i="30"/>
  <c r="AC38" i="2"/>
  <c r="AC38" i="30"/>
  <c r="AC26" i="2"/>
  <c r="AC26" i="30"/>
  <c r="AC18" i="2"/>
  <c r="AC18" i="30"/>
  <c r="AC36" i="2"/>
  <c r="AC36" i="30"/>
  <c r="AC28" i="2"/>
  <c r="AC28" i="30"/>
  <c r="AC34" i="2"/>
  <c r="AC34" i="30"/>
  <c r="AC17" i="2"/>
  <c r="AC17" i="30"/>
  <c r="AC29" i="2"/>
  <c r="AC29" i="30"/>
  <c r="J28" i="29"/>
  <c r="K28" i="29" s="1"/>
  <c r="AC33" i="2"/>
  <c r="AC33" i="30"/>
  <c r="AC22" i="2"/>
  <c r="AM22" i="28" s="1"/>
  <c r="AC22" i="30"/>
  <c r="AC16" i="2"/>
  <c r="AC16" i="30"/>
  <c r="AM25" i="28"/>
  <c r="AM42" i="28"/>
  <c r="AM40" i="28"/>
  <c r="AM41" i="28"/>
  <c r="AM37" i="28"/>
  <c r="K9" i="21"/>
  <c r="D57" i="21"/>
  <c r="G11" i="33" s="1"/>
  <c r="O11" i="33" s="1"/>
  <c r="D53" i="21"/>
  <c r="G7" i="33" s="1"/>
  <c r="O7" i="33" s="1"/>
  <c r="D58" i="21"/>
  <c r="G12" i="33" s="1"/>
  <c r="O12" i="33" s="1"/>
  <c r="D61" i="21"/>
  <c r="G15" i="33" s="1"/>
  <c r="O15" i="33" s="1"/>
  <c r="D59" i="21"/>
  <c r="G13" i="33" s="1"/>
  <c r="O13" i="33" s="1"/>
  <c r="D54" i="21"/>
  <c r="G8" i="33" s="1"/>
  <c r="O8" i="33" s="1"/>
  <c r="D52" i="21"/>
  <c r="G6" i="33" s="1"/>
  <c r="O6" i="33" s="1"/>
  <c r="D62" i="21"/>
  <c r="G16" i="33" s="1"/>
  <c r="O16" i="33" s="1"/>
  <c r="D60" i="21"/>
  <c r="G14" i="33" s="1"/>
  <c r="O14" i="33" s="1"/>
  <c r="D55" i="21"/>
  <c r="G9" i="33" s="1"/>
  <c r="O9" i="33" s="1"/>
  <c r="D56" i="21"/>
  <c r="G10" i="33" s="1"/>
  <c r="O10" i="33" s="1"/>
  <c r="D63" i="21"/>
  <c r="G17" i="33" s="1"/>
  <c r="O17" i="33" s="1"/>
  <c r="D64" i="21"/>
  <c r="G18" i="33" s="1"/>
  <c r="O18" i="33" s="1"/>
  <c r="D65" i="21"/>
  <c r="G19" i="33" s="1"/>
  <c r="O19" i="33" s="1"/>
  <c r="D66" i="21"/>
  <c r="G20" i="33" s="1"/>
  <c r="O20" i="33" s="1"/>
  <c r="D67" i="21"/>
  <c r="G21" i="33" s="1"/>
  <c r="O21" i="33" s="1"/>
  <c r="D68" i="21"/>
  <c r="G22" i="33" s="1"/>
  <c r="O22" i="33" s="1"/>
  <c r="D69" i="21"/>
  <c r="G23" i="33" s="1"/>
  <c r="O23" i="33" s="1"/>
  <c r="D70" i="21"/>
  <c r="G24" i="33" s="1"/>
  <c r="O24" i="33" s="1"/>
  <c r="D71" i="21"/>
  <c r="G25" i="33" s="1"/>
  <c r="O25" i="33" s="1"/>
  <c r="D72" i="21"/>
  <c r="G26" i="33" s="1"/>
  <c r="O26" i="33" s="1"/>
  <c r="D73" i="21"/>
  <c r="G27" i="33" s="1"/>
  <c r="O27" i="33" s="1"/>
  <c r="D74" i="21"/>
  <c r="G28" i="33" s="1"/>
  <c r="O28" i="33" s="1"/>
  <c r="D75" i="21"/>
  <c r="G29" i="33" s="1"/>
  <c r="O29" i="33" s="1"/>
  <c r="D76" i="21"/>
  <c r="G30" i="33" s="1"/>
  <c r="O30" i="33" s="1"/>
  <c r="D77" i="21"/>
  <c r="G31" i="33" s="1"/>
  <c r="O31" i="33" s="1"/>
  <c r="D78" i="21"/>
  <c r="G32" i="33" s="1"/>
  <c r="O32" i="33" s="1"/>
  <c r="D79" i="21"/>
  <c r="G33" i="33" s="1"/>
  <c r="O33" i="33" s="1"/>
  <c r="D80" i="21"/>
  <c r="G34" i="33" s="1"/>
  <c r="O34" i="33" s="1"/>
  <c r="D81" i="21"/>
  <c r="G35" i="33" s="1"/>
  <c r="O35" i="33" s="1"/>
  <c r="D82" i="21"/>
  <c r="G36" i="33" s="1"/>
  <c r="O36" i="33" s="1"/>
  <c r="D83" i="21"/>
  <c r="G37" i="33" s="1"/>
  <c r="O37" i="33" s="1"/>
  <c r="D84" i="21"/>
  <c r="G38" i="33" s="1"/>
  <c r="O38" i="33" s="1"/>
  <c r="D85" i="21"/>
  <c r="G39" i="33" s="1"/>
  <c r="O39" i="33" s="1"/>
  <c r="D86" i="21"/>
  <c r="G40" i="33" s="1"/>
  <c r="O40" i="33" s="1"/>
  <c r="D87" i="21"/>
  <c r="G41" i="33" s="1"/>
  <c r="O41" i="33" s="1"/>
  <c r="D88" i="21"/>
  <c r="G42" i="33" s="1"/>
  <c r="O42" i="33" s="1"/>
  <c r="D90" i="21"/>
  <c r="G44" i="33" s="1"/>
  <c r="O44" i="33" s="1"/>
  <c r="D89" i="21"/>
  <c r="G43" i="33" s="1"/>
  <c r="O43" i="33" s="1"/>
  <c r="K6" i="21"/>
  <c r="K5" i="21"/>
  <c r="J6" i="21"/>
  <c r="J5" i="21"/>
  <c r="T7" i="1" s="1"/>
  <c r="AB7" i="1" s="1"/>
  <c r="AD37" i="2"/>
  <c r="AD30" i="2"/>
  <c r="AD42" i="2"/>
  <c r="AD27" i="2"/>
  <c r="AD41" i="2"/>
  <c r="AD25" i="2"/>
  <c r="AD40" i="2"/>
  <c r="AD36" i="2"/>
  <c r="AD32" i="2"/>
  <c r="AD28" i="2"/>
  <c r="AD29" i="2"/>
  <c r="AD22" i="2"/>
  <c r="AD16" i="2"/>
  <c r="AD35" i="2" l="1"/>
  <c r="I39" i="17" s="1"/>
  <c r="J39" i="17" s="1"/>
  <c r="AD18" i="2"/>
  <c r="I22" i="17" s="1"/>
  <c r="J22" i="17" s="1"/>
  <c r="M53" i="17"/>
  <c r="D7" i="33"/>
  <c r="L7" i="33" s="1"/>
  <c r="M61" i="17"/>
  <c r="D15" i="33"/>
  <c r="L15" i="33" s="1"/>
  <c r="M57" i="17"/>
  <c r="D11" i="33"/>
  <c r="L11" i="33" s="1"/>
  <c r="M62" i="17"/>
  <c r="D16" i="33"/>
  <c r="L16" i="33" s="1"/>
  <c r="M58" i="17"/>
  <c r="D12" i="33"/>
  <c r="M54" i="17"/>
  <c r="D8" i="33"/>
  <c r="L8" i="33" s="1"/>
  <c r="M55" i="17"/>
  <c r="D9" i="33"/>
  <c r="L9" i="33" s="1"/>
  <c r="M59" i="17"/>
  <c r="D13" i="33"/>
  <c r="L13" i="33" s="1"/>
  <c r="M60" i="17"/>
  <c r="D14" i="33"/>
  <c r="L14" i="33" s="1"/>
  <c r="M56" i="17"/>
  <c r="D10" i="33"/>
  <c r="L10" i="33" s="1"/>
  <c r="M52" i="17"/>
  <c r="D6" i="33"/>
  <c r="L6" i="33" s="1"/>
  <c r="D5" i="33"/>
  <c r="L5" i="33" s="1"/>
  <c r="M51" i="17"/>
  <c r="AD38" i="2"/>
  <c r="AM29" i="28"/>
  <c r="AM36" i="28"/>
  <c r="AD23" i="2"/>
  <c r="AM19" i="28"/>
  <c r="AM28" i="28"/>
  <c r="AM38" i="28"/>
  <c r="AM16" i="28"/>
  <c r="AM26" i="28"/>
  <c r="I23" i="17"/>
  <c r="J23" i="17" s="1"/>
  <c r="I25" i="17"/>
  <c r="J25" i="17" s="1"/>
  <c r="I35" i="17"/>
  <c r="J35" i="17" s="1"/>
  <c r="I31" i="17"/>
  <c r="J31" i="17" s="1"/>
  <c r="AD17" i="30"/>
  <c r="I21" i="29" s="1"/>
  <c r="AD39" i="30"/>
  <c r="I43" i="29" s="1"/>
  <c r="I27" i="17"/>
  <c r="J27" i="17" s="1"/>
  <c r="I32" i="17"/>
  <c r="J32" i="17" s="1"/>
  <c r="AM43" i="28"/>
  <c r="AD34" i="30"/>
  <c r="I38" i="29" s="1"/>
  <c r="AD26" i="30"/>
  <c r="I30" i="29" s="1"/>
  <c r="AD31" i="30"/>
  <c r="I35" i="29" s="1"/>
  <c r="AD43" i="30"/>
  <c r="I47" i="29" s="1"/>
  <c r="AD35" i="30"/>
  <c r="I39" i="29" s="1"/>
  <c r="AD30" i="30"/>
  <c r="I34" i="29" s="1"/>
  <c r="AD21" i="30"/>
  <c r="I25" i="29" s="1"/>
  <c r="I33" i="17"/>
  <c r="J33" i="17" s="1"/>
  <c r="I46" i="17"/>
  <c r="J46" i="17" s="1"/>
  <c r="I41" i="17"/>
  <c r="J41" i="17" s="1"/>
  <c r="AM33" i="28"/>
  <c r="AM17" i="28"/>
  <c r="AM21" i="28"/>
  <c r="AM31" i="28"/>
  <c r="AD16" i="30"/>
  <c r="I20" i="29" s="1"/>
  <c r="J20" i="29" s="1"/>
  <c r="K20" i="29" s="1"/>
  <c r="AD28" i="30"/>
  <c r="I32" i="29" s="1"/>
  <c r="AD38" i="30"/>
  <c r="I42" i="29" s="1"/>
  <c r="AD23" i="30"/>
  <c r="I27" i="29" s="1"/>
  <c r="AD41" i="30"/>
  <c r="I45" i="29" s="1"/>
  <c r="AD37" i="30"/>
  <c r="I41" i="29" s="1"/>
  <c r="AD33" i="30"/>
  <c r="I37" i="29" s="1"/>
  <c r="AD19" i="30"/>
  <c r="I23" i="29" s="1"/>
  <c r="I42" i="17"/>
  <c r="J42" i="17" s="1"/>
  <c r="AD33" i="2"/>
  <c r="AD17" i="2"/>
  <c r="I36" i="17"/>
  <c r="J36" i="17" s="1"/>
  <c r="AD43" i="2"/>
  <c r="AD18" i="30"/>
  <c r="I22" i="29" s="1"/>
  <c r="I26" i="17"/>
  <c r="J26" i="17" s="1"/>
  <c r="I29" i="17"/>
  <c r="J29" i="17" s="1"/>
  <c r="I34" i="17"/>
  <c r="J34" i="17" s="1"/>
  <c r="I45" i="17"/>
  <c r="J45" i="17" s="1"/>
  <c r="AD26" i="2"/>
  <c r="AM39" i="28"/>
  <c r="AM34" i="28"/>
  <c r="AM18" i="28"/>
  <c r="AM35" i="28"/>
  <c r="AD22" i="30"/>
  <c r="I26" i="29" s="1"/>
  <c r="AD29" i="30"/>
  <c r="I33" i="29" s="1"/>
  <c r="AD36" i="30"/>
  <c r="I40" i="29" s="1"/>
  <c r="AD32" i="30"/>
  <c r="I36" i="29" s="1"/>
  <c r="AD40" i="30"/>
  <c r="I44" i="29" s="1"/>
  <c r="AD27" i="30"/>
  <c r="I31" i="29" s="1"/>
  <c r="AD42" i="30"/>
  <c r="I46" i="29" s="1"/>
  <c r="AD25" i="30"/>
  <c r="I29" i="29" s="1"/>
  <c r="I40" i="17"/>
  <c r="J40" i="17" s="1"/>
  <c r="I44" i="17"/>
  <c r="J44" i="17" s="1"/>
  <c r="AD39" i="2"/>
  <c r="AD34" i="2"/>
  <c r="K8" i="17"/>
  <c r="L12" i="33"/>
  <c r="I20" i="17"/>
  <c r="K23" i="17" l="1"/>
  <c r="AD19" i="33"/>
  <c r="K33" i="17"/>
  <c r="AD29" i="33"/>
  <c r="K25" i="17"/>
  <c r="AD21" i="33"/>
  <c r="K27" i="17"/>
  <c r="AD23" i="33"/>
  <c r="K22" i="17"/>
  <c r="AD18" i="33"/>
  <c r="K44" i="17"/>
  <c r="AD40" i="33"/>
  <c r="K45" i="17"/>
  <c r="AD41" i="33"/>
  <c r="K42" i="17"/>
  <c r="AD38" i="33"/>
  <c r="K40" i="17"/>
  <c r="AD36" i="33"/>
  <c r="K34" i="17"/>
  <c r="AD30" i="33"/>
  <c r="K32" i="17"/>
  <c r="AD28" i="33"/>
  <c r="K39" i="17"/>
  <c r="AD35" i="33"/>
  <c r="K29" i="17"/>
  <c r="AD25" i="33"/>
  <c r="K36" i="17"/>
  <c r="AD32" i="33"/>
  <c r="K41" i="17"/>
  <c r="AD37" i="33"/>
  <c r="K31" i="17"/>
  <c r="AD27" i="33"/>
  <c r="K26" i="17"/>
  <c r="AD22" i="33"/>
  <c r="K46" i="17"/>
  <c r="AD42" i="33"/>
  <c r="K35" i="17"/>
  <c r="AD31" i="33"/>
  <c r="AM3" i="28"/>
  <c r="I47" i="17"/>
  <c r="J47" i="17" s="1"/>
  <c r="J40" i="29"/>
  <c r="K40" i="29" s="1"/>
  <c r="J34" i="29"/>
  <c r="K34" i="29" s="1"/>
  <c r="J27" i="29"/>
  <c r="K27" i="29" s="1"/>
  <c r="J25" i="29"/>
  <c r="K25" i="29" s="1"/>
  <c r="J32" i="29"/>
  <c r="K32" i="29" s="1"/>
  <c r="J36" i="29"/>
  <c r="K36" i="29" s="1"/>
  <c r="J33" i="29"/>
  <c r="K33" i="29" s="1"/>
  <c r="AG4" i="2"/>
  <c r="I38" i="17"/>
  <c r="J38" i="17" s="1"/>
  <c r="J39" i="29"/>
  <c r="K39" i="29" s="1"/>
  <c r="I21" i="17"/>
  <c r="J21" i="17" s="1"/>
  <c r="J41" i="29"/>
  <c r="K41" i="29" s="1"/>
  <c r="J35" i="29"/>
  <c r="K35" i="29" s="1"/>
  <c r="J22" i="29"/>
  <c r="K22" i="29" s="1"/>
  <c r="I43" i="17"/>
  <c r="J43" i="17" s="1"/>
  <c r="J29" i="29"/>
  <c r="K29" i="29" s="1"/>
  <c r="I37" i="17"/>
  <c r="J37" i="17" s="1"/>
  <c r="J23" i="29"/>
  <c r="K23" i="29" s="1"/>
  <c r="J44" i="29"/>
  <c r="K44" i="29" s="1"/>
  <c r="I30" i="17"/>
  <c r="J30" i="17" s="1"/>
  <c r="AG4" i="30"/>
  <c r="J46" i="29"/>
  <c r="K46" i="29" s="1"/>
  <c r="D63" i="29"/>
  <c r="J45" i="29"/>
  <c r="K45" i="29" s="1"/>
  <c r="J26" i="29"/>
  <c r="K26" i="29" s="1"/>
  <c r="J42" i="29"/>
  <c r="K42" i="29" s="1"/>
  <c r="J31" i="29"/>
  <c r="K31" i="29" s="1"/>
  <c r="J20" i="17"/>
  <c r="I5" i="17" l="1"/>
  <c r="S4" i="1" s="1"/>
  <c r="AA4" i="1" s="1"/>
  <c r="K43" i="17"/>
  <c r="AD39" i="33"/>
  <c r="AD16" i="33"/>
  <c r="D65" i="17"/>
  <c r="D82" i="17"/>
  <c r="D69" i="17"/>
  <c r="D86" i="17"/>
  <c r="D70" i="17"/>
  <c r="D73" i="17"/>
  <c r="D90" i="17"/>
  <c r="D77" i="17"/>
  <c r="D83" i="17"/>
  <c r="D64" i="17"/>
  <c r="D81" i="17"/>
  <c r="D68" i="17"/>
  <c r="D85" i="17"/>
  <c r="D72" i="17"/>
  <c r="D89" i="17"/>
  <c r="D76" i="17"/>
  <c r="D66" i="17"/>
  <c r="D80" i="17"/>
  <c r="D79" i="17"/>
  <c r="D67" i="17"/>
  <c r="D84" i="17"/>
  <c r="D87" i="17"/>
  <c r="D88" i="17"/>
  <c r="D75" i="17"/>
  <c r="D63" i="17"/>
  <c r="D74" i="17"/>
  <c r="D71" i="17"/>
  <c r="D78" i="17"/>
  <c r="K21" i="17"/>
  <c r="AD17" i="33"/>
  <c r="K30" i="17"/>
  <c r="AD26" i="33"/>
  <c r="K37" i="17"/>
  <c r="AD33" i="33"/>
  <c r="K38" i="17"/>
  <c r="AD34" i="33"/>
  <c r="K47" i="17"/>
  <c r="AD43" i="33"/>
  <c r="I6" i="17"/>
  <c r="J21" i="29"/>
  <c r="K21" i="29" s="1"/>
  <c r="I5" i="29"/>
  <c r="I6" i="29"/>
  <c r="J30" i="29"/>
  <c r="K30" i="29" s="1"/>
  <c r="J43" i="29"/>
  <c r="K43" i="29" s="1"/>
  <c r="J37" i="29"/>
  <c r="K37" i="29" s="1"/>
  <c r="J38" i="29"/>
  <c r="K38" i="29" s="1"/>
  <c r="J47" i="29"/>
  <c r="K47" i="29" s="1"/>
  <c r="J5" i="17"/>
  <c r="T4" i="1" s="1"/>
  <c r="AB4" i="1" s="1"/>
  <c r="K20" i="17"/>
  <c r="J6" i="17"/>
  <c r="AC8" i="1" l="1"/>
  <c r="AC9" i="1"/>
  <c r="AC7" i="1"/>
  <c r="K5" i="17"/>
  <c r="M84" i="17"/>
  <c r="D38" i="33"/>
  <c r="L38" i="33" s="1"/>
  <c r="M85" i="17"/>
  <c r="D39" i="33"/>
  <c r="L39" i="33" s="1"/>
  <c r="M70" i="17"/>
  <c r="D24" i="33"/>
  <c r="L24" i="33" s="1"/>
  <c r="M67" i="17"/>
  <c r="D21" i="33"/>
  <c r="L21" i="33" s="1"/>
  <c r="M71" i="17"/>
  <c r="D25" i="33"/>
  <c r="L25" i="33" s="1"/>
  <c r="M79" i="17"/>
  <c r="D33" i="33"/>
  <c r="L33" i="33" s="1"/>
  <c r="M81" i="17"/>
  <c r="D35" i="33"/>
  <c r="L35" i="33" s="1"/>
  <c r="M69" i="17"/>
  <c r="D23" i="33"/>
  <c r="L23" i="33" s="1"/>
  <c r="M86" i="17"/>
  <c r="D40" i="33"/>
  <c r="L40" i="33" s="1"/>
  <c r="M74" i="17"/>
  <c r="D28" i="33"/>
  <c r="L28" i="33" s="1"/>
  <c r="M80" i="17"/>
  <c r="D34" i="33"/>
  <c r="L34" i="33" s="1"/>
  <c r="M64" i="17"/>
  <c r="D18" i="33"/>
  <c r="L18" i="33" s="1"/>
  <c r="M82" i="17"/>
  <c r="D36" i="33"/>
  <c r="L36" i="33" s="1"/>
  <c r="M68" i="17"/>
  <c r="D22" i="33"/>
  <c r="L22" i="33" s="1"/>
  <c r="M63" i="17"/>
  <c r="D17" i="33"/>
  <c r="L17" i="33" s="1"/>
  <c r="M66" i="17"/>
  <c r="D20" i="33"/>
  <c r="L20" i="33" s="1"/>
  <c r="M83" i="17"/>
  <c r="D37" i="33"/>
  <c r="L37" i="33" s="1"/>
  <c r="M65" i="17"/>
  <c r="D19" i="33"/>
  <c r="L19" i="33" s="1"/>
  <c r="M78" i="17"/>
  <c r="D32" i="33"/>
  <c r="L32" i="33" s="1"/>
  <c r="M75" i="17"/>
  <c r="D29" i="33"/>
  <c r="L29" i="33" s="1"/>
  <c r="M76" i="17"/>
  <c r="D30" i="33"/>
  <c r="L30" i="33" s="1"/>
  <c r="M77" i="17"/>
  <c r="D31" i="33"/>
  <c r="L31" i="33" s="1"/>
  <c r="M88" i="17"/>
  <c r="D42" i="33"/>
  <c r="L42" i="33" s="1"/>
  <c r="M89" i="17"/>
  <c r="D43" i="33"/>
  <c r="L43" i="33" s="1"/>
  <c r="M90" i="17"/>
  <c r="D44" i="33"/>
  <c r="L44" i="33" s="1"/>
  <c r="M87" i="17"/>
  <c r="D41" i="33"/>
  <c r="L41" i="33" s="1"/>
  <c r="M72" i="17"/>
  <c r="D26" i="33"/>
  <c r="L26" i="33" s="1"/>
  <c r="M73" i="17"/>
  <c r="D27" i="33"/>
  <c r="L27" i="33" s="1"/>
  <c r="K5" i="29"/>
  <c r="K6" i="29"/>
  <c r="J5" i="29"/>
  <c r="D73" i="29"/>
  <c r="D64" i="29"/>
  <c r="D75" i="29"/>
  <c r="D65" i="29"/>
  <c r="D69" i="29"/>
  <c r="D77" i="29"/>
  <c r="D76" i="29"/>
  <c r="D71" i="29"/>
  <c r="D89" i="29"/>
  <c r="D80" i="29"/>
  <c r="D70" i="29"/>
  <c r="D67" i="29"/>
  <c r="D66" i="29"/>
  <c r="J6" i="29"/>
  <c r="D85" i="29"/>
  <c r="D87" i="29"/>
  <c r="D88" i="29"/>
  <c r="D81" i="29"/>
  <c r="D90" i="29"/>
  <c r="D74" i="29"/>
  <c r="D82" i="29"/>
  <c r="D72" i="29"/>
  <c r="D79" i="29"/>
  <c r="D83" i="29"/>
  <c r="D86" i="29"/>
  <c r="D68" i="29"/>
  <c r="D78" i="29"/>
  <c r="D84" i="29"/>
  <c r="K6" i="17"/>
  <c r="P10" i="5" l="1"/>
  <c r="R10" i="5" s="1"/>
  <c r="Z10" i="5" s="1"/>
  <c r="AB10" i="5" s="1"/>
  <c r="P21" i="5" l="1"/>
  <c r="S21" i="5" s="1"/>
  <c r="P14" i="5"/>
  <c r="R14" i="5" s="1"/>
  <c r="S10" i="5"/>
  <c r="P12" i="5"/>
  <c r="P15" i="5"/>
  <c r="P22" i="5"/>
  <c r="P17" i="5"/>
  <c r="P20" i="5"/>
  <c r="P13" i="5"/>
  <c r="P23" i="5"/>
  <c r="P18" i="5"/>
  <c r="P11" i="5"/>
  <c r="P19" i="5"/>
  <c r="P16" i="5"/>
  <c r="S14" i="5" l="1"/>
  <c r="R21" i="5"/>
  <c r="U21" i="5" s="1"/>
  <c r="U14" i="5"/>
  <c r="Z14" i="5"/>
  <c r="AB14" i="5" s="1"/>
  <c r="P12" i="18" s="1"/>
  <c r="S19" i="5"/>
  <c r="R19" i="5"/>
  <c r="R17" i="5"/>
  <c r="S17" i="5"/>
  <c r="R22" i="5"/>
  <c r="U22" i="5" s="1"/>
  <c r="S22" i="5"/>
  <c r="V22" i="5" s="1"/>
  <c r="S15" i="5"/>
  <c r="R15" i="5"/>
  <c r="R23" i="5"/>
  <c r="U23" i="5" s="1"/>
  <c r="S23" i="5"/>
  <c r="V23" i="5" s="1"/>
  <c r="R12" i="5"/>
  <c r="S12" i="5"/>
  <c r="V14" i="5"/>
  <c r="R13" i="5"/>
  <c r="S13" i="5"/>
  <c r="U10" i="5"/>
  <c r="V21" i="5"/>
  <c r="R11" i="5"/>
  <c r="S11" i="5"/>
  <c r="R18" i="5"/>
  <c r="S18" i="5"/>
  <c r="R16" i="5"/>
  <c r="S16" i="5"/>
  <c r="S20" i="5"/>
  <c r="R20" i="5"/>
  <c r="V10" i="5"/>
  <c r="Z21" i="5" l="1"/>
  <c r="AB21" i="5" s="1"/>
  <c r="P19" i="18" s="1"/>
  <c r="V24" i="5"/>
  <c r="V12" i="5"/>
  <c r="V17" i="5"/>
  <c r="V20" i="5"/>
  <c r="Z12" i="5"/>
  <c r="AB12" i="5" s="1"/>
  <c r="P10" i="18" s="1"/>
  <c r="U12" i="5"/>
  <c r="U17" i="5"/>
  <c r="Z17" i="5"/>
  <c r="AB17" i="5" s="1"/>
  <c r="P15" i="18" s="1"/>
  <c r="U19" i="5"/>
  <c r="Z19" i="5"/>
  <c r="AB19" i="5" s="1"/>
  <c r="P17" i="18" s="1"/>
  <c r="U20" i="5"/>
  <c r="Z20" i="5"/>
  <c r="AB20" i="5" s="1"/>
  <c r="P18" i="18" s="1"/>
  <c r="Z16" i="5"/>
  <c r="AB16" i="5" s="1"/>
  <c r="P14" i="18" s="1"/>
  <c r="U16" i="5"/>
  <c r="V19" i="5"/>
  <c r="V18" i="5"/>
  <c r="V13" i="5"/>
  <c r="U15" i="5"/>
  <c r="Z15" i="5"/>
  <c r="AB15" i="5" s="1"/>
  <c r="P13" i="18" s="1"/>
  <c r="U18" i="5"/>
  <c r="Z18" i="5"/>
  <c r="AB18" i="5" s="1"/>
  <c r="P16" i="18" s="1"/>
  <c r="Z13" i="5"/>
  <c r="AB13" i="5" s="1"/>
  <c r="P11" i="18" s="1"/>
  <c r="U13" i="5"/>
  <c r="V15" i="5"/>
  <c r="U24" i="5"/>
  <c r="V16" i="5"/>
  <c r="P8" i="18"/>
  <c r="V11" i="5"/>
  <c r="U11" i="5"/>
  <c r="Z11" i="5"/>
  <c r="AB11" i="5" s="1"/>
  <c r="P9" i="18" s="1"/>
  <c r="J12" i="18" l="1"/>
  <c r="T12" i="18"/>
  <c r="Z43" i="5"/>
  <c r="AB43" i="5" s="1"/>
  <c r="P41" i="18" s="1"/>
  <c r="Z44" i="5"/>
  <c r="AB44" i="5" s="1"/>
  <c r="P42" i="18" s="1"/>
  <c r="Z46" i="5"/>
  <c r="AB46" i="5" s="1"/>
  <c r="P44" i="18" s="1"/>
  <c r="Z39" i="5"/>
  <c r="AB39" i="5" s="1"/>
  <c r="P37" i="18" s="1"/>
  <c r="Z26" i="5"/>
  <c r="AB26" i="5" s="1"/>
  <c r="P24" i="18" s="1"/>
  <c r="Z45" i="5"/>
  <c r="AB45" i="5" s="1"/>
  <c r="P43" i="18" s="1"/>
  <c r="Z38" i="5"/>
  <c r="AB38" i="5" s="1"/>
  <c r="P36" i="18" s="1"/>
  <c r="Z25" i="5"/>
  <c r="AB25" i="5" s="1"/>
  <c r="P23" i="18" s="1"/>
  <c r="Z40" i="5"/>
  <c r="AB40" i="5" s="1"/>
  <c r="P38" i="18" s="1"/>
  <c r="Z31" i="5"/>
  <c r="AB31" i="5" s="1"/>
  <c r="P29" i="18" s="1"/>
  <c r="Z28" i="5"/>
  <c r="AB28" i="5" s="1"/>
  <c r="P26" i="18" s="1"/>
  <c r="Z48" i="5"/>
  <c r="AB48" i="5" s="1"/>
  <c r="P46" i="18" s="1"/>
  <c r="Z23" i="5"/>
  <c r="AB23" i="5" s="1"/>
  <c r="P21" i="18" s="1"/>
  <c r="Z35" i="5"/>
  <c r="AB35" i="5" s="1"/>
  <c r="P33" i="18" s="1"/>
  <c r="Z22" i="5"/>
  <c r="Z34" i="5"/>
  <c r="AB34" i="5" s="1"/>
  <c r="P32" i="18" s="1"/>
  <c r="Z30" i="5"/>
  <c r="AB30" i="5" s="1"/>
  <c r="P28" i="18" s="1"/>
  <c r="Z32" i="5"/>
  <c r="AB32" i="5" s="1"/>
  <c r="P30" i="18" s="1"/>
  <c r="Z24" i="5"/>
  <c r="AB24" i="5" s="1"/>
  <c r="P22" i="18" s="1"/>
  <c r="Z36" i="5"/>
  <c r="AB36" i="5" s="1"/>
  <c r="P34" i="18" s="1"/>
  <c r="Z49" i="5"/>
  <c r="AB49" i="5" s="1"/>
  <c r="P47" i="18" s="1"/>
  <c r="Z41" i="5"/>
  <c r="AB41" i="5" s="1"/>
  <c r="P39" i="18" s="1"/>
  <c r="Z42" i="5"/>
  <c r="AB42" i="5" s="1"/>
  <c r="P40" i="18" s="1"/>
  <c r="Z47" i="5"/>
  <c r="AB47" i="5" s="1"/>
  <c r="P45" i="18" s="1"/>
  <c r="Z33" i="5"/>
  <c r="AB33" i="5" s="1"/>
  <c r="P31" i="18" s="1"/>
  <c r="Z27" i="5"/>
  <c r="AB27" i="5" s="1"/>
  <c r="P25" i="18" s="1"/>
  <c r="Z37" i="5"/>
  <c r="AB37" i="5" s="1"/>
  <c r="P35" i="18" s="1"/>
  <c r="Z29" i="5"/>
  <c r="AB29" i="5" s="1"/>
  <c r="P27" i="18" s="1"/>
  <c r="T19" i="18"/>
  <c r="J19" i="18"/>
  <c r="K19" i="18" l="1"/>
  <c r="AE15" i="33"/>
  <c r="U19" i="18"/>
  <c r="AF15" i="33"/>
  <c r="U12" i="18"/>
  <c r="AF8" i="33"/>
  <c r="K12" i="18"/>
  <c r="AE8" i="33"/>
  <c r="AB22" i="5"/>
  <c r="P20" i="18" s="1"/>
  <c r="Z8" i="5"/>
  <c r="T8" i="18"/>
  <c r="T17" i="18"/>
  <c r="J17" i="18"/>
  <c r="T14" i="18"/>
  <c r="T9" i="18"/>
  <c r="T18" i="18"/>
  <c r="J18" i="18"/>
  <c r="J15" i="18"/>
  <c r="T11" i="18"/>
  <c r="T16" i="18"/>
  <c r="J11" i="18"/>
  <c r="T13" i="18"/>
  <c r="T15" i="18"/>
  <c r="T10" i="18"/>
  <c r="J13" i="18"/>
  <c r="J8" i="18"/>
  <c r="J9" i="18"/>
  <c r="J10" i="18"/>
  <c r="J16" i="18"/>
  <c r="J14" i="18"/>
  <c r="U18" i="18" l="1"/>
  <c r="AF14" i="33"/>
  <c r="U9" i="18"/>
  <c r="AF5" i="33"/>
  <c r="K17" i="18"/>
  <c r="AE13" i="33"/>
  <c r="K14" i="18"/>
  <c r="AE10" i="33"/>
  <c r="K16" i="18"/>
  <c r="AE12" i="33"/>
  <c r="K10" i="18"/>
  <c r="AE6" i="33"/>
  <c r="K9" i="18"/>
  <c r="AE5" i="33"/>
  <c r="U11" i="18"/>
  <c r="AF7" i="33"/>
  <c r="N54" i="18"/>
  <c r="F8" i="33" s="1"/>
  <c r="N8" i="33" s="1"/>
  <c r="N62" i="18"/>
  <c r="F16" i="33" s="1"/>
  <c r="N16" i="33" s="1"/>
  <c r="N53" i="18"/>
  <c r="F7" i="33" s="1"/>
  <c r="N7" i="33" s="1"/>
  <c r="AF4" i="33"/>
  <c r="N55" i="18"/>
  <c r="F9" i="33" s="1"/>
  <c r="N9" i="33" s="1"/>
  <c r="N56" i="18"/>
  <c r="F10" i="33" s="1"/>
  <c r="N10" i="33" s="1"/>
  <c r="N57" i="18"/>
  <c r="F11" i="33" s="1"/>
  <c r="N11" i="33" s="1"/>
  <c r="N58" i="18"/>
  <c r="F12" i="33" s="1"/>
  <c r="N12" i="33" s="1"/>
  <c r="N51" i="18"/>
  <c r="F5" i="33" s="1"/>
  <c r="N5" i="33" s="1"/>
  <c r="N59" i="18"/>
  <c r="F13" i="33" s="1"/>
  <c r="N13" i="33" s="1"/>
  <c r="N61" i="18"/>
  <c r="F15" i="33" s="1"/>
  <c r="N15" i="33" s="1"/>
  <c r="N52" i="18"/>
  <c r="F6" i="33" s="1"/>
  <c r="N6" i="33" s="1"/>
  <c r="N60" i="18"/>
  <c r="F14" i="33" s="1"/>
  <c r="N14" i="33" s="1"/>
  <c r="U15" i="18"/>
  <c r="AF11" i="33"/>
  <c r="U13" i="18"/>
  <c r="AF9" i="33"/>
  <c r="U16" i="18"/>
  <c r="AF12" i="33"/>
  <c r="K15" i="18"/>
  <c r="AE11" i="33"/>
  <c r="U10" i="18"/>
  <c r="AF6" i="33"/>
  <c r="U14" i="18"/>
  <c r="AF10" i="33"/>
  <c r="K11" i="18"/>
  <c r="AE7" i="33"/>
  <c r="U17" i="18"/>
  <c r="AF13" i="33"/>
  <c r="D54" i="18"/>
  <c r="E8" i="33" s="1"/>
  <c r="M8" i="33" s="1"/>
  <c r="D62" i="18"/>
  <c r="E16" i="33" s="1"/>
  <c r="M16" i="33" s="1"/>
  <c r="D55" i="18"/>
  <c r="E9" i="33" s="1"/>
  <c r="M9" i="33" s="1"/>
  <c r="AE4" i="33"/>
  <c r="D56" i="18"/>
  <c r="E10" i="33" s="1"/>
  <c r="M10" i="33" s="1"/>
  <c r="D61" i="18"/>
  <c r="E15" i="33" s="1"/>
  <c r="M15" i="33" s="1"/>
  <c r="D57" i="18"/>
  <c r="E11" i="33" s="1"/>
  <c r="M11" i="33" s="1"/>
  <c r="D58" i="18"/>
  <c r="E12" i="33" s="1"/>
  <c r="M12" i="33" s="1"/>
  <c r="D53" i="18"/>
  <c r="E7" i="33" s="1"/>
  <c r="M7" i="33" s="1"/>
  <c r="D51" i="18"/>
  <c r="E5" i="33" s="1"/>
  <c r="M5" i="33" s="1"/>
  <c r="D59" i="18"/>
  <c r="E13" i="33" s="1"/>
  <c r="M13" i="33" s="1"/>
  <c r="D52" i="18"/>
  <c r="E6" i="33" s="1"/>
  <c r="M6" i="33" s="1"/>
  <c r="D60" i="18"/>
  <c r="E14" i="33" s="1"/>
  <c r="M14" i="33" s="1"/>
  <c r="K13" i="18"/>
  <c r="AE9" i="33"/>
  <c r="K18" i="18"/>
  <c r="AE14" i="33"/>
  <c r="AB5" i="5"/>
  <c r="K8" i="18"/>
  <c r="U8" i="18"/>
  <c r="F5" i="18"/>
  <c r="P6" i="1" s="1"/>
  <c r="X6" i="1" s="1"/>
  <c r="P6" i="18"/>
  <c r="J38" i="18"/>
  <c r="T32" i="18"/>
  <c r="P5" i="18"/>
  <c r="P5" i="1" s="1"/>
  <c r="X5" i="1" s="1"/>
  <c r="J21" i="18"/>
  <c r="J41" i="18"/>
  <c r="T33" i="18"/>
  <c r="T36" i="18"/>
  <c r="T40" i="18"/>
  <c r="J25" i="18"/>
  <c r="T37" i="18"/>
  <c r="T44" i="18"/>
  <c r="T41" i="18"/>
  <c r="J39" i="18"/>
  <c r="J32" i="18"/>
  <c r="J30" i="18"/>
  <c r="J37" i="18"/>
  <c r="J44" i="18"/>
  <c r="T22" i="18"/>
  <c r="J28" i="18"/>
  <c r="T43" i="18"/>
  <c r="T28" i="18"/>
  <c r="T29" i="18"/>
  <c r="T21" i="18"/>
  <c r="J27" i="18"/>
  <c r="J36" i="18"/>
  <c r="T31" i="18"/>
  <c r="T30" i="18"/>
  <c r="J26" i="18"/>
  <c r="J35" i="18"/>
  <c r="T46" i="18"/>
  <c r="J24" i="18"/>
  <c r="J43" i="18"/>
  <c r="J29" i="18"/>
  <c r="T34" i="18"/>
  <c r="J22" i="18"/>
  <c r="T27" i="18"/>
  <c r="J33" i="18"/>
  <c r="J40" i="18"/>
  <c r="T23" i="18"/>
  <c r="J45" i="18"/>
  <c r="J31" i="18"/>
  <c r="J42" i="18"/>
  <c r="T35" i="18"/>
  <c r="J46" i="18"/>
  <c r="T38" i="18"/>
  <c r="T24" i="18"/>
  <c r="J20" i="18"/>
  <c r="AE16" i="33" s="1"/>
  <c r="T42" i="18"/>
  <c r="J47" i="18"/>
  <c r="J34" i="18"/>
  <c r="T47" i="18"/>
  <c r="F6" i="18"/>
  <c r="T39" i="18"/>
  <c r="T20" i="18"/>
  <c r="AF16" i="33" s="1"/>
  <c r="J23" i="18"/>
  <c r="T45" i="18"/>
  <c r="T25" i="18"/>
  <c r="T26" i="18"/>
  <c r="N64" i="18" l="1"/>
  <c r="F18" i="33" s="1"/>
  <c r="N18" i="33" s="1"/>
  <c r="U41" i="18"/>
  <c r="AF37" i="33"/>
  <c r="U45" i="18"/>
  <c r="AF41" i="33"/>
  <c r="U39" i="18"/>
  <c r="AF35" i="33"/>
  <c r="U38" i="18"/>
  <c r="AF34" i="33"/>
  <c r="K33" i="18"/>
  <c r="AE29" i="33"/>
  <c r="K35" i="18"/>
  <c r="AE31" i="33"/>
  <c r="U28" i="18"/>
  <c r="AF24" i="33"/>
  <c r="K39" i="18"/>
  <c r="AE35" i="33"/>
  <c r="K41" i="18"/>
  <c r="AE37" i="33"/>
  <c r="D68" i="18"/>
  <c r="E22" i="33" s="1"/>
  <c r="M22" i="33" s="1"/>
  <c r="D81" i="18"/>
  <c r="E35" i="33" s="1"/>
  <c r="M35" i="33" s="1"/>
  <c r="D64" i="18"/>
  <c r="E18" i="33" s="1"/>
  <c r="M18" i="33" s="1"/>
  <c r="N84" i="18"/>
  <c r="F38" i="33" s="1"/>
  <c r="N38" i="33" s="1"/>
  <c r="N67" i="18"/>
  <c r="F21" i="33" s="1"/>
  <c r="N21" i="33" s="1"/>
  <c r="N85" i="18"/>
  <c r="F39" i="33" s="1"/>
  <c r="N39" i="33" s="1"/>
  <c r="N72" i="18"/>
  <c r="F26" i="33" s="1"/>
  <c r="N26" i="33" s="1"/>
  <c r="U27" i="18"/>
  <c r="AF23" i="33"/>
  <c r="K21" i="18"/>
  <c r="AE17" i="33"/>
  <c r="D77" i="18"/>
  <c r="E31" i="33" s="1"/>
  <c r="M31" i="33" s="1"/>
  <c r="U47" i="18"/>
  <c r="AF43" i="33"/>
  <c r="U35" i="18"/>
  <c r="AF31" i="33"/>
  <c r="K22" i="18"/>
  <c r="AE18" i="33"/>
  <c r="U30" i="18"/>
  <c r="AF26" i="33"/>
  <c r="K28" i="18"/>
  <c r="AE24" i="33"/>
  <c r="U44" i="18"/>
  <c r="AF40" i="33"/>
  <c r="D90" i="18"/>
  <c r="E44" i="33" s="1"/>
  <c r="M44" i="33" s="1"/>
  <c r="D65" i="18"/>
  <c r="E19" i="33" s="1"/>
  <c r="M19" i="33" s="1"/>
  <c r="D86" i="18"/>
  <c r="E40" i="33" s="1"/>
  <c r="M40" i="33" s="1"/>
  <c r="N68" i="18"/>
  <c r="F22" i="33" s="1"/>
  <c r="N22" i="33" s="1"/>
  <c r="N81" i="18"/>
  <c r="F35" i="33" s="1"/>
  <c r="N35" i="33" s="1"/>
  <c r="K46" i="18"/>
  <c r="AE42" i="33"/>
  <c r="U26" i="18"/>
  <c r="AF22" i="33"/>
  <c r="K34" i="18"/>
  <c r="AE30" i="33"/>
  <c r="K42" i="18"/>
  <c r="AE38" i="33"/>
  <c r="U34" i="18"/>
  <c r="AF30" i="33"/>
  <c r="U31" i="18"/>
  <c r="AF27" i="33"/>
  <c r="U22" i="18"/>
  <c r="AF18" i="33"/>
  <c r="U37" i="18"/>
  <c r="AF33" i="33"/>
  <c r="U32" i="18"/>
  <c r="AF28" i="33"/>
  <c r="D85" i="18"/>
  <c r="E39" i="33" s="1"/>
  <c r="M39" i="33" s="1"/>
  <c r="D82" i="18"/>
  <c r="E36" i="33" s="1"/>
  <c r="M36" i="33" s="1"/>
  <c r="D69" i="18"/>
  <c r="E23" i="33" s="1"/>
  <c r="M23" i="33" s="1"/>
  <c r="D78" i="18"/>
  <c r="E32" i="33" s="1"/>
  <c r="M32" i="33" s="1"/>
  <c r="N90" i="18"/>
  <c r="F44" i="33" s="1"/>
  <c r="N44" i="33" s="1"/>
  <c r="N73" i="18"/>
  <c r="F27" i="33" s="1"/>
  <c r="N27" i="33" s="1"/>
  <c r="N69" i="18"/>
  <c r="F23" i="33" s="1"/>
  <c r="N23" i="33" s="1"/>
  <c r="N86" i="18"/>
  <c r="F40" i="33" s="1"/>
  <c r="N40" i="33" s="1"/>
  <c r="U43" i="18"/>
  <c r="AF39" i="33"/>
  <c r="D73" i="18"/>
  <c r="E27" i="33" s="1"/>
  <c r="M27" i="33" s="1"/>
  <c r="U25" i="18"/>
  <c r="AF21" i="33"/>
  <c r="K47" i="18"/>
  <c r="AE43" i="33"/>
  <c r="K31" i="18"/>
  <c r="AE27" i="33"/>
  <c r="K29" i="18"/>
  <c r="AE25" i="33"/>
  <c r="K36" i="18"/>
  <c r="AE32" i="33"/>
  <c r="K44" i="18"/>
  <c r="AE40" i="33"/>
  <c r="K25" i="18"/>
  <c r="AE21" i="33"/>
  <c r="K38" i="18"/>
  <c r="AE34" i="33"/>
  <c r="D83" i="18"/>
  <c r="E37" i="33" s="1"/>
  <c r="M37" i="33" s="1"/>
  <c r="D74" i="18"/>
  <c r="E28" i="33" s="1"/>
  <c r="M28" i="33" s="1"/>
  <c r="D87" i="18"/>
  <c r="E41" i="33" s="1"/>
  <c r="M41" i="33" s="1"/>
  <c r="D70" i="18"/>
  <c r="E24" i="33" s="1"/>
  <c r="M24" i="33" s="1"/>
  <c r="N82" i="18"/>
  <c r="F36" i="33" s="1"/>
  <c r="N36" i="33" s="1"/>
  <c r="N65" i="18"/>
  <c r="F19" i="33" s="1"/>
  <c r="N19" i="33" s="1"/>
  <c r="N87" i="18"/>
  <c r="F41" i="33" s="1"/>
  <c r="N41" i="33" s="1"/>
  <c r="N78" i="18"/>
  <c r="F32" i="33" s="1"/>
  <c r="N32" i="33" s="1"/>
  <c r="N76" i="18"/>
  <c r="F30" i="33" s="1"/>
  <c r="N30" i="33" s="1"/>
  <c r="U42" i="18"/>
  <c r="AF38" i="33"/>
  <c r="K27" i="18"/>
  <c r="AE23" i="33"/>
  <c r="K37" i="18"/>
  <c r="AE33" i="33"/>
  <c r="U40" i="18"/>
  <c r="AF36" i="33"/>
  <c r="D75" i="18"/>
  <c r="E29" i="33" s="1"/>
  <c r="M29" i="33" s="1"/>
  <c r="D66" i="18"/>
  <c r="E20" i="33" s="1"/>
  <c r="M20" i="33" s="1"/>
  <c r="D88" i="18"/>
  <c r="E42" i="33" s="1"/>
  <c r="M42" i="33" s="1"/>
  <c r="D79" i="18"/>
  <c r="E33" i="33" s="1"/>
  <c r="M33" i="33" s="1"/>
  <c r="N74" i="18"/>
  <c r="F28" i="33" s="1"/>
  <c r="N28" i="33" s="1"/>
  <c r="N79" i="18"/>
  <c r="F33" i="33" s="1"/>
  <c r="N33" i="33" s="1"/>
  <c r="N70" i="18"/>
  <c r="F24" i="33" s="1"/>
  <c r="N24" i="33" s="1"/>
  <c r="K26" i="18"/>
  <c r="AE22" i="33"/>
  <c r="K45" i="18"/>
  <c r="AE41" i="33"/>
  <c r="K23" i="18"/>
  <c r="AE19" i="33"/>
  <c r="U23" i="18"/>
  <c r="AF19" i="33"/>
  <c r="K24" i="18"/>
  <c r="AE20" i="33"/>
  <c r="U21" i="18"/>
  <c r="AF17" i="33"/>
  <c r="K30" i="18"/>
  <c r="AE26" i="33"/>
  <c r="U36" i="18"/>
  <c r="AF32" i="33"/>
  <c r="D84" i="18"/>
  <c r="E38" i="33" s="1"/>
  <c r="M38" i="33" s="1"/>
  <c r="D67" i="18"/>
  <c r="E21" i="33" s="1"/>
  <c r="M21" i="33" s="1"/>
  <c r="D80" i="18"/>
  <c r="E34" i="33" s="1"/>
  <c r="M34" i="33" s="1"/>
  <c r="D71" i="18"/>
  <c r="E25" i="33" s="1"/>
  <c r="M25" i="33" s="1"/>
  <c r="N83" i="18"/>
  <c r="F37" i="33" s="1"/>
  <c r="N37" i="33" s="1"/>
  <c r="N66" i="18"/>
  <c r="F20" i="33" s="1"/>
  <c r="N20" i="33" s="1"/>
  <c r="N88" i="18"/>
  <c r="F42" i="33" s="1"/>
  <c r="N42" i="33" s="1"/>
  <c r="N71" i="18"/>
  <c r="F25" i="33" s="1"/>
  <c r="N25" i="33" s="1"/>
  <c r="N89" i="18"/>
  <c r="F43" i="33" s="1"/>
  <c r="N43" i="33" s="1"/>
  <c r="K43" i="18"/>
  <c r="AE39" i="33"/>
  <c r="U24" i="18"/>
  <c r="AF20" i="33"/>
  <c r="K40" i="18"/>
  <c r="AE36" i="33"/>
  <c r="U46" i="18"/>
  <c r="AF42" i="33"/>
  <c r="U29" i="18"/>
  <c r="AF25" i="33"/>
  <c r="K32" i="18"/>
  <c r="AE28" i="33"/>
  <c r="U33" i="18"/>
  <c r="AF29" i="33"/>
  <c r="D76" i="18"/>
  <c r="E30" i="33" s="1"/>
  <c r="M30" i="33" s="1"/>
  <c r="D89" i="18"/>
  <c r="E43" i="33" s="1"/>
  <c r="M43" i="33" s="1"/>
  <c r="D72" i="18"/>
  <c r="E26" i="33" s="1"/>
  <c r="M26" i="33" s="1"/>
  <c r="D63" i="18"/>
  <c r="E17" i="33" s="1"/>
  <c r="M17" i="33" s="1"/>
  <c r="N77" i="18"/>
  <c r="F31" i="33" s="1"/>
  <c r="N31" i="33" s="1"/>
  <c r="N75" i="18"/>
  <c r="F29" i="33" s="1"/>
  <c r="N29" i="33" s="1"/>
  <c r="N80" i="18"/>
  <c r="F34" i="33" s="1"/>
  <c r="N34" i="33" s="1"/>
  <c r="N63" i="18"/>
  <c r="F17" i="33" s="1"/>
  <c r="N17" i="33" s="1"/>
  <c r="U20" i="18"/>
  <c r="K20" i="18"/>
  <c r="T5" i="18"/>
  <c r="T5" i="1" s="1"/>
  <c r="AB5" i="1" s="1"/>
  <c r="AC5" i="1" s="1"/>
  <c r="T6" i="18"/>
  <c r="J6" i="18"/>
  <c r="J5" i="18"/>
  <c r="T6" i="1" s="1"/>
  <c r="AB6" i="1" s="1"/>
  <c r="AC6" i="1" s="1"/>
  <c r="K6" i="18" l="1"/>
  <c r="U6" i="18"/>
  <c r="U5" i="18"/>
  <c r="K5"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S3" authorId="0" shapeId="0" xr:uid="{216FA1CF-88DD-4806-AAE7-508AD7397D0C}">
      <text>
        <r>
          <rPr>
            <b/>
            <sz val="9"/>
            <color indexed="81"/>
            <rFont val="Tahoma"/>
            <family val="2"/>
          </rPr>
          <t>Mi, Niki:</t>
        </r>
        <r>
          <rPr>
            <sz val="9"/>
            <color indexed="81"/>
            <rFont val="Tahoma"/>
            <family val="2"/>
          </rPr>
          <t xml:space="preserve">
includes variable fuel costs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G3" authorId="0" shapeId="0" xr:uid="{D17C5A5B-80F3-42C8-AFBC-0C35CEFD5AFE}">
      <text>
        <r>
          <rPr>
            <sz val="9"/>
            <color indexed="81"/>
            <rFont val="Tahoma"/>
            <family val="2"/>
          </rPr>
          <t>Delta of top 10 days commodity price between Iroquois and Dawn (2015-2022 winter)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I3" authorId="0" shapeId="0" xr:uid="{9ED7699F-C613-4235-B7AA-C88B20FB9C2E}">
      <text>
        <r>
          <rPr>
            <b/>
            <sz val="9"/>
            <color indexed="81"/>
            <rFont val="Tahoma"/>
            <family val="2"/>
          </rPr>
          <t>Mi, Niki:</t>
        </r>
        <r>
          <rPr>
            <sz val="9"/>
            <color indexed="81"/>
            <rFont val="Tahoma"/>
            <family val="2"/>
          </rPr>
          <t xml:space="preserve">
includes variable fuel costs</t>
        </r>
      </text>
    </comment>
    <comment ref="E5" authorId="0" shapeId="0" xr:uid="{7DEE2B69-DBFE-41CF-9928-BF67C7B8690D}">
      <text>
        <r>
          <rPr>
            <b/>
            <sz val="9"/>
            <color indexed="81"/>
            <rFont val="Tahoma"/>
            <family val="2"/>
          </rPr>
          <t>Mi, Niki:</t>
        </r>
        <r>
          <rPr>
            <sz val="9"/>
            <color indexed="81"/>
            <rFont val="Tahoma"/>
            <family val="2"/>
          </rPr>
          <t xml:space="preserve">
Adjusted for 2023 cashflow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I3" authorId="0" shapeId="0" xr:uid="{04B8805E-A305-42DE-8F96-6DF7CA180983}">
      <text>
        <r>
          <rPr>
            <b/>
            <sz val="9"/>
            <color indexed="81"/>
            <rFont val="Tahoma"/>
            <family val="2"/>
          </rPr>
          <t>Mi, Niki:</t>
        </r>
        <r>
          <rPr>
            <sz val="9"/>
            <color indexed="81"/>
            <rFont val="Tahoma"/>
            <family val="2"/>
          </rPr>
          <t xml:space="preserve">
includes variable fuel costs</t>
        </r>
      </text>
    </comment>
    <comment ref="E5" authorId="0" shapeId="0" xr:uid="{ADFD85BE-D729-43A3-97CE-F97A61D25C47}">
      <text>
        <r>
          <rPr>
            <b/>
            <sz val="9"/>
            <color indexed="81"/>
            <rFont val="Tahoma"/>
            <family val="2"/>
          </rPr>
          <t>Mi, Niki:</t>
        </r>
        <r>
          <rPr>
            <sz val="9"/>
            <color indexed="81"/>
            <rFont val="Tahoma"/>
            <family val="2"/>
          </rPr>
          <t xml:space="preserve">
Adjusted for 2023 cashflow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C2" authorId="0" shapeId="0" xr:uid="{46D489B9-A036-4C23-B502-A2610D47D0AA}">
      <text>
        <r>
          <rPr>
            <sz val="9"/>
            <color indexed="81"/>
            <rFont val="Tahoma"/>
            <family val="2"/>
          </rPr>
          <t>ICF used historical data on market-based storage contracts from the Enbridge storage STAR Report and the Enbridge Storage Holders Index of Customers, as well as responses to recent Enbridge RFPs for market-based storage.</t>
        </r>
      </text>
    </comment>
    <comment ref="M2" authorId="0" shapeId="0" xr:uid="{E02265F7-A262-47D6-B10D-CEB5254BBEE2}">
      <text>
        <r>
          <rPr>
            <sz val="9"/>
            <color indexed="81"/>
            <rFont val="Tahoma"/>
            <family val="2"/>
          </rPr>
          <t xml:space="preserve">ICF estimates the cost of market-based storage using the GSVM to project the change in storage values over time. The projected storage value is based on an allocation of storage prices between space and deliverability consistent with the current Enbridge in-franchise storage cost of service. Based on the Enbridge storage costs for 2019 deliverability represented 51% of the storage value and space represented 49% of storage costs </t>
        </r>
      </text>
    </comment>
    <comment ref="I3" authorId="0" shapeId="0" xr:uid="{2EAFA409-0FDC-4289-9E30-07CBEC27D236}">
      <text>
        <r>
          <rPr>
            <b/>
            <sz val="9"/>
            <color indexed="81"/>
            <rFont val="Tahoma"/>
            <family val="2"/>
          </rPr>
          <t>Mi, Niki:</t>
        </r>
        <r>
          <rPr>
            <sz val="9"/>
            <color indexed="81"/>
            <rFont val="Tahoma"/>
            <family val="2"/>
          </rPr>
          <t xml:space="preserve">
includes variable fuel costs</t>
        </r>
      </text>
    </comment>
    <comment ref="S3" authorId="0" shapeId="0" xr:uid="{C508B2C6-76E5-4755-BD77-631562C4EDBC}">
      <text>
        <r>
          <rPr>
            <b/>
            <sz val="9"/>
            <color indexed="81"/>
            <rFont val="Tahoma"/>
            <family val="2"/>
          </rPr>
          <t>Mi, Niki:</t>
        </r>
        <r>
          <rPr>
            <sz val="9"/>
            <color indexed="81"/>
            <rFont val="Tahoma"/>
            <family val="2"/>
          </rPr>
          <t xml:space="preserve">
includes variable fuel costs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K9" authorId="0" shapeId="0" xr:uid="{F1A3D389-6C2C-42EF-93CF-B509FA7DC3C0}">
      <text>
        <r>
          <rPr>
            <b/>
            <sz val="9"/>
            <color indexed="81"/>
            <rFont val="Tahoma"/>
            <family val="2"/>
          </rPr>
          <t>Mi, Niki:</t>
        </r>
        <r>
          <rPr>
            <sz val="9"/>
            <color indexed="81"/>
            <rFont val="Tahoma"/>
            <family val="2"/>
          </rPr>
          <t xml:space="preserve">
Should be the same across cases</t>
        </r>
      </text>
    </comment>
    <comment ref="L9" authorId="0" shapeId="0" xr:uid="{D0496F14-3131-4773-925A-61B62879672D}">
      <text>
        <r>
          <rPr>
            <b/>
            <sz val="9"/>
            <color indexed="81"/>
            <rFont val="Tahoma"/>
            <family val="2"/>
          </rPr>
          <t>Mi, Niki:</t>
        </r>
        <r>
          <rPr>
            <sz val="9"/>
            <color indexed="81"/>
            <rFont val="Tahoma"/>
            <family val="2"/>
          </rPr>
          <t xml:space="preserve">
Should be the same across cases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I3" authorId="0" shapeId="0" xr:uid="{A20F7CC4-FFF1-4D81-83D0-AB04C5A83D79}">
      <text>
        <r>
          <rPr>
            <b/>
            <sz val="9"/>
            <color indexed="81"/>
            <rFont val="Tahoma"/>
            <family val="2"/>
          </rPr>
          <t>Mi, Niki:</t>
        </r>
        <r>
          <rPr>
            <sz val="9"/>
            <color indexed="81"/>
            <rFont val="Tahoma"/>
            <family val="2"/>
          </rPr>
          <t xml:space="preserve">
includes variable fuel costs</t>
        </r>
      </text>
    </comment>
    <comment ref="S3" authorId="0" shapeId="0" xr:uid="{4C664725-5775-4C45-BE9E-C26121190832}">
      <text>
        <r>
          <rPr>
            <b/>
            <sz val="9"/>
            <color indexed="81"/>
            <rFont val="Tahoma"/>
            <family val="2"/>
          </rPr>
          <t>Mi, Niki:</t>
        </r>
        <r>
          <rPr>
            <sz val="9"/>
            <color indexed="81"/>
            <rFont val="Tahoma"/>
            <family val="2"/>
          </rPr>
          <t xml:space="preserve">
includes variable fuel costs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K9" authorId="0" shapeId="0" xr:uid="{2BACD23E-5D1D-4D82-B751-C44EE2BC073F}">
      <text>
        <r>
          <rPr>
            <b/>
            <sz val="9"/>
            <color indexed="81"/>
            <rFont val="Tahoma"/>
            <family val="2"/>
          </rPr>
          <t>Mi, Niki:</t>
        </r>
        <r>
          <rPr>
            <sz val="9"/>
            <color indexed="81"/>
            <rFont val="Tahoma"/>
            <family val="2"/>
          </rPr>
          <t xml:space="preserve">
Should be the same across cases</t>
        </r>
      </text>
    </comment>
    <comment ref="L9" authorId="0" shapeId="0" xr:uid="{BEBBDD8F-1D64-46B7-A17C-14DABCE2BB6E}">
      <text>
        <r>
          <rPr>
            <b/>
            <sz val="9"/>
            <color indexed="81"/>
            <rFont val="Tahoma"/>
            <family val="2"/>
          </rPr>
          <t>Mi, Niki:</t>
        </r>
        <r>
          <rPr>
            <sz val="9"/>
            <color indexed="81"/>
            <rFont val="Tahoma"/>
            <family val="2"/>
          </rPr>
          <t xml:space="preserve">
Should be the same across cases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I3" authorId="0" shapeId="0" xr:uid="{79CC3547-2482-4CD7-A012-2B619F93C893}">
      <text>
        <r>
          <rPr>
            <b/>
            <sz val="9"/>
            <color indexed="81"/>
            <rFont val="Tahoma"/>
            <family val="2"/>
          </rPr>
          <t>Mi, Niki:</t>
        </r>
        <r>
          <rPr>
            <sz val="9"/>
            <color indexed="81"/>
            <rFont val="Tahoma"/>
            <family val="2"/>
          </rPr>
          <t xml:space="preserve">
includes variable fuel costs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 Niki</author>
  </authors>
  <commentList>
    <comment ref="I3" authorId="0" shapeId="0" xr:uid="{54A48044-35AA-4472-9D71-E922E8484744}">
      <text>
        <r>
          <rPr>
            <b/>
            <sz val="9"/>
            <color indexed="81"/>
            <rFont val="Tahoma"/>
            <family val="2"/>
          </rPr>
          <t>Mi, Niki:</t>
        </r>
        <r>
          <rPr>
            <sz val="9"/>
            <color indexed="81"/>
            <rFont val="Tahoma"/>
            <family val="2"/>
          </rPr>
          <t xml:space="preserve">
includes variable fuel costs</t>
        </r>
      </text>
    </comment>
    <comment ref="S3" authorId="0" shapeId="0" xr:uid="{4DA1D0B3-81E1-4BFE-8661-8C81AE0A75EB}">
      <text>
        <r>
          <rPr>
            <b/>
            <sz val="9"/>
            <color indexed="81"/>
            <rFont val="Tahoma"/>
            <family val="2"/>
          </rPr>
          <t>Mi, Niki:</t>
        </r>
        <r>
          <rPr>
            <sz val="9"/>
            <color indexed="81"/>
            <rFont val="Tahoma"/>
            <family val="2"/>
          </rPr>
          <t xml:space="preserve">
includes variable fuel costs</t>
        </r>
      </text>
    </comment>
  </commentList>
</comments>
</file>

<file path=xl/sharedStrings.xml><?xml version="1.0" encoding="utf-8"?>
<sst xmlns="http://schemas.openxmlformats.org/spreadsheetml/2006/main" count="815" uniqueCount="220">
  <si>
    <t>GMM Prices</t>
  </si>
  <si>
    <t>Storage Capacity in GSVM</t>
  </si>
  <si>
    <t>Pipeline Capacity</t>
  </si>
  <si>
    <t>Run #</t>
  </si>
  <si>
    <t>Stage</t>
  </si>
  <si>
    <t>Additional Case to Compare</t>
  </si>
  <si>
    <t>Options</t>
  </si>
  <si>
    <t>Incremental Infrastructure Costs</t>
  </si>
  <si>
    <t>Incremental Storage Capacity Cost</t>
  </si>
  <si>
    <t>Incremental Pipeline Capacity Contract Cost/Delivered Service Contract Cost</t>
  </si>
  <si>
    <t>Incremental Pipeline Capacity Release</t>
  </si>
  <si>
    <t>Incremental Commodity Cost</t>
  </si>
  <si>
    <t>Total Incremental Costs</t>
  </si>
  <si>
    <t>Incremental Contract Cost (Pipeline or Delivered Service)</t>
  </si>
  <si>
    <t>Option 1a: Dawn Corunna (Low Cost Estimate)</t>
  </si>
  <si>
    <t>Base Case</t>
  </si>
  <si>
    <t>Base Case Storage</t>
  </si>
  <si>
    <t>Original</t>
  </si>
  <si>
    <t>No Volatility Case</t>
  </si>
  <si>
    <t>Option 1a: Dawn to Corunna Project</t>
  </si>
  <si>
    <t>Option 1b: Dawn Corunna (High Cost Estimate)</t>
  </si>
  <si>
    <t>Option 2a: Market Based Storage - Projected Storage Pricing</t>
  </si>
  <si>
    <t>Option 2a: Market Based Storage (Historical Price)</t>
  </si>
  <si>
    <t xml:space="preserve">Low Storage </t>
  </si>
  <si>
    <t>Option 2b: Market Based Storage - Historical Average Storgae Pricing</t>
  </si>
  <si>
    <t>Option 2b: Market Based Storage (Projected Price)</t>
  </si>
  <si>
    <t>Option 3: Incremental Contracted Pipeline Capacity</t>
  </si>
  <si>
    <t>Option 2c: Market Based Storage (1.2% Deliverability, projected price)</t>
  </si>
  <si>
    <t>Option 4a: Delivered Services (Low Cost Estimate)</t>
  </si>
  <si>
    <t>Option 3: Incremental contracted Pipeline Capacity</t>
  </si>
  <si>
    <t>low storage</t>
  </si>
  <si>
    <t>Additional</t>
  </si>
  <si>
    <t>Option 4b: Delivered Services (High Cost Estimate)</t>
  </si>
  <si>
    <t>NA</t>
  </si>
  <si>
    <t>Baseline - Market after removal of storage compression</t>
  </si>
  <si>
    <t>Low Storage</t>
  </si>
  <si>
    <t>Weather Run</t>
  </si>
  <si>
    <t>Start Year</t>
  </si>
  <si>
    <t>After Tax Cost of Capital</t>
  </si>
  <si>
    <t>Gross Rate of Return on Rate Base</t>
  </si>
  <si>
    <t>Annual Cost of Service</t>
  </si>
  <si>
    <t>Option 1</t>
  </si>
  <si>
    <t>Option 2 Low</t>
  </si>
  <si>
    <t>Option2 High</t>
  </si>
  <si>
    <t>Option 3</t>
  </si>
  <si>
    <t>Option 4 Low</t>
  </si>
  <si>
    <t>Option 4 High</t>
  </si>
  <si>
    <t>Option 2b</t>
  </si>
  <si>
    <t>Option 2a</t>
  </si>
  <si>
    <t>Option 4a</t>
  </si>
  <si>
    <t>Option 4b</t>
  </si>
  <si>
    <t>Low Cost Estimation</t>
  </si>
  <si>
    <t>Year</t>
  </si>
  <si>
    <t>Total Portfolio Cost without Replacement</t>
  </si>
  <si>
    <t>Incremental Pipeline Capacity Cost</t>
  </si>
  <si>
    <t>Total Portfolio Cost + Incremental Contract Cost in Option</t>
  </si>
  <si>
    <t>NPV Summary</t>
  </si>
  <si>
    <t>NPV 2024-2063</t>
  </si>
  <si>
    <t>NPV 2024-2043</t>
  </si>
  <si>
    <t>Cash Flow</t>
  </si>
  <si>
    <t>In Nominal Dollar in USD$</t>
  </si>
  <si>
    <t>Total Variable Decision Cost_With Dawn Corunna</t>
  </si>
  <si>
    <t>Total Variable Decision Cost_Without Dawn Corunna</t>
  </si>
  <si>
    <t>Capacity Release Saving_With</t>
  </si>
  <si>
    <t>Capacity Release Saving_Without</t>
  </si>
  <si>
    <t>Total Variable Cost Delta</t>
  </si>
  <si>
    <t>In Nominal Dollar in CAD$</t>
  </si>
  <si>
    <t>Capacity Release Delta</t>
  </si>
  <si>
    <t>In Real Dollar in CAD$</t>
  </si>
  <si>
    <t>Incremental Gas Supply Cash Flow Model Results</t>
  </si>
  <si>
    <t>Incremental Gas Supply Cash Flow 0 Volatility</t>
  </si>
  <si>
    <t>High Storage Value Estimate</t>
  </si>
  <si>
    <t>Capacity Release Saving</t>
  </si>
  <si>
    <t>NPV of the High Storage Value Estimate</t>
  </si>
  <si>
    <t>Incremental Gas Supply Cash Flow</t>
  </si>
  <si>
    <t>Rate Base</t>
  </si>
  <si>
    <t>Rate of Return</t>
  </si>
  <si>
    <t>Return</t>
  </si>
  <si>
    <t>Depreciation</t>
  </si>
  <si>
    <t>Cost of Service</t>
  </si>
  <si>
    <t>NPV of Cost of Service</t>
  </si>
  <si>
    <t>Storage Capacity</t>
  </si>
  <si>
    <t>Calculation of Revenue Requirements</t>
  </si>
  <si>
    <t>Revenue Requirement Calculation</t>
  </si>
  <si>
    <t>Dawn Corunna Storage Project</t>
  </si>
  <si>
    <t>Excluding Indirect Overheads</t>
  </si>
  <si>
    <t>InService Date: Nov-01-2023</t>
  </si>
  <si>
    <t>Figures in $ 000's</t>
  </si>
  <si>
    <t>Particulars</t>
  </si>
  <si>
    <t>Notes</t>
  </si>
  <si>
    <t>Rate Base Investment</t>
  </si>
  <si>
    <t>Capital Expenditures</t>
  </si>
  <si>
    <t>$ 000's</t>
  </si>
  <si>
    <t>Average Investment</t>
  </si>
  <si>
    <t>Cumulative Capex</t>
  </si>
  <si>
    <t>Total Cost of Service</t>
  </si>
  <si>
    <t>Operating Costs:</t>
  </si>
  <si>
    <t>O&amp;M</t>
  </si>
  <si>
    <t>ICF Substract Fuel Cost</t>
  </si>
  <si>
    <t>Depreciation Expense</t>
  </si>
  <si>
    <t>Municipal taxes</t>
  </si>
  <si>
    <t>Total Operating Costs</t>
  </si>
  <si>
    <t xml:space="preserve">Rev Req Interest expense </t>
  </si>
  <si>
    <t>AfterTx Req'd Return on Equity</t>
  </si>
  <si>
    <t>Total Utility Req'd Return</t>
  </si>
  <si>
    <t>Income Taxes</t>
  </si>
  <si>
    <t>Income tax on Req Rtrn on Equity</t>
  </si>
  <si>
    <t>Income Tax Exp (Credit) on timing differences</t>
  </si>
  <si>
    <t>Total  Income Taxes</t>
  </si>
  <si>
    <t>Required Return and Taxes</t>
  </si>
  <si>
    <t>Fuel Cost</t>
  </si>
  <si>
    <t>NPV Cost of Service</t>
  </si>
  <si>
    <t>Flow</t>
  </si>
  <si>
    <t>Price</t>
  </si>
  <si>
    <t>Scenario Year</t>
  </si>
  <si>
    <t>Chicago</t>
  </si>
  <si>
    <t>Clarington</t>
  </si>
  <si>
    <t>Niagara</t>
  </si>
  <si>
    <t>Empress</t>
  </si>
  <si>
    <t>Dawn</t>
  </si>
  <si>
    <t>Storage Injection</t>
  </si>
  <si>
    <t>Storage Withdrawal</t>
  </si>
  <si>
    <t>Historical Average Storage Pricing (Regression)</t>
  </si>
  <si>
    <t>Projected Storage Pricing (50%)</t>
  </si>
  <si>
    <t>Deliverability</t>
  </si>
  <si>
    <t>Space</t>
  </si>
  <si>
    <t>With Dawn Corunna</t>
  </si>
  <si>
    <t>Without Dawn Corunna</t>
  </si>
  <si>
    <t>NPV</t>
  </si>
  <si>
    <t>Dawn Corunna</t>
  </si>
  <si>
    <t>With Volatility</t>
  </si>
  <si>
    <t>Without Volatility</t>
  </si>
  <si>
    <t>Real Term</t>
  </si>
  <si>
    <t>1.9% Deliverability Storage (Model Output)</t>
  </si>
  <si>
    <t>1.5% Deliverability Storage (Model Output)</t>
  </si>
  <si>
    <t>With Market Storage</t>
  </si>
  <si>
    <t>Without Market Storage</t>
  </si>
  <si>
    <t>Space Charge-Model Result (With)</t>
  </si>
  <si>
    <t>Space Charge-0 Volatility (With)</t>
  </si>
  <si>
    <t>Space Charge Estimation</t>
  </si>
  <si>
    <t>Deliverability Charge (Dawn Corunna Equivalent)</t>
  </si>
  <si>
    <t>Total Storage Charge Dawn Corunna- High Estimation</t>
  </si>
  <si>
    <t>Total Storage Charge Dawn Corunna- Low Estimation</t>
  </si>
  <si>
    <t>Total Storage Charge - High Estimation</t>
  </si>
  <si>
    <t>Total Storage Charge - Low Estimation</t>
  </si>
  <si>
    <t>Storage Model (High Cose)</t>
  </si>
  <si>
    <t>Regression (Low Case)</t>
  </si>
  <si>
    <t>High Cost Estimation - Cash Flow</t>
  </si>
  <si>
    <t>Regression - Cash Flow</t>
  </si>
  <si>
    <t>Total Variable Decision Cost_With Market Storage</t>
  </si>
  <si>
    <t>Reference</t>
  </si>
  <si>
    <t>Low Storage Value Estimate</t>
  </si>
  <si>
    <t>NPV of the Low Storage Value Estimate</t>
  </si>
  <si>
    <t>Total Variable Decision Cost_With Market</t>
  </si>
  <si>
    <t>Historical Average Storgae Pricing in Foot Note</t>
  </si>
  <si>
    <t>Without Corunna</t>
  </si>
  <si>
    <t>Storage Model</t>
  </si>
  <si>
    <t>Regression</t>
  </si>
  <si>
    <t>difference between 4.5% and 1.2%, commodity and capacity realease and pipeline flow, with 2 volatility</t>
  </si>
  <si>
    <t>Total Variable Decision Cost_With Market Storage 4.5%</t>
  </si>
  <si>
    <t>Total Variable Decision Cost_With Market Storage 1.2%</t>
  </si>
  <si>
    <t>Capacity Release Saving_With 4.5%</t>
  </si>
  <si>
    <t>Capacity Release Saving_With 1.2%</t>
  </si>
  <si>
    <t>Total Variable Cost Delta (4.5% with 1.2%)</t>
  </si>
  <si>
    <t>Capacity Release Delta (4.5% and 1.2%)</t>
  </si>
  <si>
    <t>Delta - Cost (C$)</t>
  </si>
  <si>
    <t>Delta - Flow (GJ)</t>
  </si>
  <si>
    <t>C$ per GJ</t>
  </si>
  <si>
    <t>Chicago Monthly</t>
  </si>
  <si>
    <t>Clarington (Monthly)</t>
  </si>
  <si>
    <t>Niagara (Monthly)</t>
  </si>
  <si>
    <t>Empress (Monthly)</t>
  </si>
  <si>
    <t>Dawn (Daily)</t>
  </si>
  <si>
    <t>Storage</t>
  </si>
  <si>
    <t>Total</t>
  </si>
  <si>
    <t>Total Gas Supply</t>
  </si>
  <si>
    <t>Winter Price</t>
  </si>
  <si>
    <t>More Summer Purchases and Less Winter Purchases</t>
  </si>
  <si>
    <t>Total Variable Decision Cost_Pipeline</t>
  </si>
  <si>
    <t>Capacity Release Saving_Pipeline</t>
  </si>
  <si>
    <t>Commodity Cost</t>
  </si>
  <si>
    <t>Capacity Release Saving Loss</t>
  </si>
  <si>
    <t>Incremental Pipeline Fixed Cost (Firm Transportation)</t>
  </si>
  <si>
    <t>High Cost Estimation</t>
  </si>
  <si>
    <t>Incremental Delivered Service Cost</t>
  </si>
  <si>
    <t>Commodity Cost Adder</t>
  </si>
  <si>
    <t>Total Cost</t>
  </si>
  <si>
    <t>Days in A Year</t>
  </si>
  <si>
    <t>Capacity (GJ)</t>
  </si>
  <si>
    <t>Completed</t>
  </si>
  <si>
    <t>Gas Storage Valuation Model (GSVM) Run - Option Metrix</t>
  </si>
  <si>
    <t>Model Results from GSVM</t>
  </si>
  <si>
    <t>NPV of Commodity Cost</t>
  </si>
  <si>
    <t>NPV Calculation</t>
  </si>
  <si>
    <t>NPV Calculation - For Chart Creation</t>
  </si>
  <si>
    <t>Cost Estimation-Annual Cash Flow</t>
  </si>
  <si>
    <t xml:space="preserve">Unit Conversion </t>
  </si>
  <si>
    <t>Market Storage Value (Projected Storage Pricing)</t>
  </si>
  <si>
    <t>Initial Investment</t>
  </si>
  <si>
    <t xml:space="preserve">NPV Calculation </t>
  </si>
  <si>
    <t>Annual Cash Flow</t>
  </si>
  <si>
    <t>otal Incremental Costs Relative to Dawn to Corunna Option</t>
  </si>
  <si>
    <t>n.a.</t>
  </si>
  <si>
    <t>NPV Results Summary (in Million C$)</t>
  </si>
  <si>
    <t>Inflation Rate</t>
  </si>
  <si>
    <t>Cumulative Net Present Values of Alternative Supply Options (C$)</t>
  </si>
  <si>
    <t>Cumulative Net Present Values of Alternative Supply Options (Including Initial Investment, Million C$)</t>
  </si>
  <si>
    <t>Deliverability %</t>
  </si>
  <si>
    <t>Scenario</t>
  </si>
  <si>
    <t>Deliverability Cost</t>
  </si>
  <si>
    <t>Space Cost</t>
  </si>
  <si>
    <t>With Dawn to Corunna Project (TJ)</t>
  </si>
  <si>
    <t>With Dawn to Corunna Project (Mcf)</t>
  </si>
  <si>
    <t>Without Dawn to Corunna Project (Mcf)</t>
  </si>
  <si>
    <t>Without Dawn to Corunna Project (TJ)</t>
  </si>
  <si>
    <t>Delta (TJ)</t>
  </si>
  <si>
    <t>With Dawn to Corunna Project (US$ Per Mcf)</t>
  </si>
  <si>
    <t>Without Dawn to Corunna Project (US$ Per Mcf)</t>
  </si>
  <si>
    <t>With Dawn to Corunna Project (CAD$ Per GJ)</t>
  </si>
  <si>
    <t>Without Dawn to Corunna Project (CAD$ Per GJ)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</si>
</sst>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1" formatCode="_(* #,##0_);_(* \(#,##0\);_(* &quot;-&quot;_);_(@_)"/>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0.0%"/>
    <numFmt numFmtId="168" formatCode="_-* #,##0_-;\-* #,##0_-;_-* &quot;-&quot;_-;_-@_-"/>
    <numFmt numFmtId="169" formatCode="#,##0.0000_);\(#,##0.0000\);&quot;-  &quot;;&quot; &quot;@"/>
    <numFmt numFmtId="170" formatCode="_(&quot;$&quot;* #,##0_);_(&quot;$&quot;* \(#,##0\);_(&quot;$&quot;* &quot;-&quot;??_);_(@_)"/>
    <numFmt numFmtId="171" formatCode="&quot;$&quot;#,##0.000"/>
    <numFmt numFmtId="172" formatCode="&quot;$&quot;#,##0.0_);[Red]\(&quot;$&quot;#,##0.0\)"/>
  </numFmts>
  <fonts count="2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9"/>
      <color indexed="81"/>
      <name val="Tahoma"/>
      <family val="2"/>
    </font>
    <font>
      <sz val="9"/>
      <color indexed="81"/>
      <name val="Tahoma"/>
      <family val="2"/>
    </font>
    <font>
      <sz val="11"/>
      <name val="Calibri"/>
      <family val="2"/>
      <scheme val="minor"/>
    </font>
    <font>
      <sz val="10"/>
      <name val="Arial"/>
      <family val="2"/>
    </font>
    <font>
      <b/>
      <sz val="11"/>
      <color rgb="FF0070C0"/>
      <name val="Calibri"/>
      <family val="2"/>
      <scheme val="minor"/>
    </font>
    <font>
      <sz val="12"/>
      <name val="Arial MT"/>
    </font>
    <font>
      <b/>
      <sz val="10"/>
      <name val="Arial"/>
      <family val="2"/>
    </font>
    <font>
      <b/>
      <sz val="14"/>
      <name val="Arial"/>
      <family val="2"/>
    </font>
    <font>
      <b/>
      <sz val="12"/>
      <name val="Arial"/>
      <family val="2"/>
    </font>
    <font>
      <b/>
      <sz val="12"/>
      <color rgb="FF0000FF"/>
      <name val="Arial MT"/>
    </font>
    <font>
      <b/>
      <sz val="12"/>
      <color rgb="FF0000FF"/>
      <name val="Arial"/>
      <family val="2"/>
    </font>
    <font>
      <b/>
      <u/>
      <sz val="10"/>
      <name val="Arial"/>
      <family val="2"/>
    </font>
    <font>
      <sz val="10"/>
      <color rgb="FF0000FF"/>
      <name val="Arial"/>
      <family val="2"/>
    </font>
    <font>
      <b/>
      <u/>
      <sz val="10"/>
      <name val="Times New Roman"/>
      <family val="1"/>
    </font>
    <font>
      <sz val="10"/>
      <name val="Times New Roman"/>
      <family val="1"/>
    </font>
    <font>
      <u val="doubleAccounting"/>
      <sz val="10"/>
      <color rgb="FF0000FF"/>
      <name val="Arial"/>
      <family val="2"/>
    </font>
    <font>
      <u val="singleAccounting"/>
      <sz val="10"/>
      <name val="Arial"/>
      <family val="2"/>
    </font>
    <font>
      <sz val="10"/>
      <color indexed="12"/>
      <name val="Arial"/>
      <family val="2"/>
    </font>
    <font>
      <u val="singleAccounting"/>
      <sz val="10"/>
      <color indexed="12"/>
      <name val="Arial"/>
      <family val="2"/>
    </font>
    <font>
      <u val="singleAccounting"/>
      <sz val="10"/>
      <color rgb="FF0000FF"/>
      <name val="Arial"/>
      <family val="2"/>
    </font>
    <font>
      <b/>
      <u val="doubleAccounting"/>
      <sz val="10"/>
      <name val="Arial"/>
      <family val="2"/>
    </font>
    <font>
      <sz val="10"/>
      <name val="Arial Narrow"/>
      <family val="2"/>
    </font>
    <font>
      <b/>
      <sz val="10"/>
      <name val="Arial Narrow"/>
      <family val="2"/>
    </font>
    <font>
      <b/>
      <sz val="9"/>
      <name val="Arial Narrow"/>
      <family val="2"/>
    </font>
    <font>
      <b/>
      <sz val="11"/>
      <color rgb="FFFF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rgb="FF0070C0"/>
        <bgColor indexed="64"/>
      </patternFill>
    </fill>
    <fill>
      <patternFill patternType="solid">
        <fgColor rgb="FFD9D9D9"/>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rgb="FF031D40"/>
      </left>
      <right/>
      <top style="medium">
        <color rgb="FF031D40"/>
      </top>
      <bottom style="medium">
        <color rgb="FF031D40"/>
      </bottom>
      <diagonal/>
    </border>
    <border>
      <left/>
      <right/>
      <top style="medium">
        <color rgb="FF031D40"/>
      </top>
      <bottom style="medium">
        <color rgb="FF031D40"/>
      </bottom>
      <diagonal/>
    </border>
    <border>
      <left/>
      <right style="medium">
        <color rgb="FF031D40"/>
      </right>
      <top style="medium">
        <color rgb="FF031D40"/>
      </top>
      <bottom style="medium">
        <color rgb="FF031D40"/>
      </bottom>
      <diagonal/>
    </border>
    <border>
      <left style="medium">
        <color rgb="FF0B69E8"/>
      </left>
      <right style="medium">
        <color rgb="FF0B69E8"/>
      </right>
      <top/>
      <bottom style="medium">
        <color rgb="FF0B69E8"/>
      </bottom>
      <diagonal/>
    </border>
    <border>
      <left/>
      <right style="medium">
        <color rgb="FF0B69E8"/>
      </right>
      <top/>
      <bottom style="medium">
        <color rgb="FF0B69E8"/>
      </bottom>
      <diagonal/>
    </border>
    <border>
      <left/>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Protection="0"/>
  </cellStyleXfs>
  <cellXfs count="175">
    <xf numFmtId="0" fontId="0" fillId="0" borderId="0" xfId="0"/>
    <xf numFmtId="0" fontId="3" fillId="0" borderId="1" xfId="0" applyFont="1" applyBorder="1" applyAlignment="1">
      <alignment horizontal="center" vertical="center" wrapText="1"/>
    </xf>
    <xf numFmtId="0" fontId="0" fillId="0" borderId="1" xfId="0" applyBorder="1"/>
    <xf numFmtId="0" fontId="0" fillId="0" borderId="0" xfId="0" applyAlignment="1">
      <alignment horizontal="center"/>
    </xf>
    <xf numFmtId="164" fontId="0" fillId="0" borderId="1" xfId="0" applyNumberFormat="1" applyBorder="1"/>
    <xf numFmtId="165" fontId="0" fillId="0" borderId="1" xfId="0" applyNumberFormat="1" applyBorder="1"/>
    <xf numFmtId="43" fontId="0" fillId="0" borderId="0" xfId="1" applyFont="1"/>
    <xf numFmtId="166" fontId="0" fillId="0" borderId="0" xfId="1" applyNumberFormat="1" applyFont="1"/>
    <xf numFmtId="0" fontId="0" fillId="0" borderId="1" xfId="0" applyBorder="1" applyAlignment="1">
      <alignment horizontal="left"/>
    </xf>
    <xf numFmtId="0" fontId="0" fillId="0" borderId="0" xfId="0" applyAlignment="1">
      <alignment horizontal="center" vertical="center"/>
    </xf>
    <xf numFmtId="0" fontId="3"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0" fillId="0" borderId="1" xfId="1" applyNumberFormat="1" applyFont="1" applyBorder="1" applyAlignment="1">
      <alignment horizontal="center"/>
    </xf>
    <xf numFmtId="165" fontId="7" fillId="0" borderId="1" xfId="0" applyNumberFormat="1" applyFont="1" applyBorder="1" applyAlignment="1">
      <alignment horizontal="right" vertical="center" wrapText="1"/>
    </xf>
    <xf numFmtId="0" fontId="7" fillId="0" borderId="1" xfId="0" applyFont="1" applyBorder="1" applyAlignment="1">
      <alignment horizontal="center"/>
    </xf>
    <xf numFmtId="0" fontId="3" fillId="0" borderId="0" xfId="0" applyFont="1"/>
    <xf numFmtId="0" fontId="3" fillId="3" borderId="0" xfId="0" applyFont="1" applyFill="1"/>
    <xf numFmtId="0" fontId="7"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165" fontId="0" fillId="0" borderId="0" xfId="0" applyNumberFormat="1"/>
    <xf numFmtId="165" fontId="8" fillId="0" borderId="0" xfId="0" applyNumberFormat="1" applyFont="1"/>
    <xf numFmtId="0" fontId="7" fillId="5" borderId="1" xfId="0" applyFont="1" applyFill="1" applyBorder="1" applyAlignment="1">
      <alignment horizontal="center"/>
    </xf>
    <xf numFmtId="165" fontId="7" fillId="5" borderId="1" xfId="0" applyNumberFormat="1" applyFont="1" applyFill="1" applyBorder="1" applyAlignment="1">
      <alignment horizontal="right" vertical="center" wrapText="1"/>
    </xf>
    <xf numFmtId="164" fontId="0" fillId="0" borderId="0" xfId="0" applyNumberFormat="1"/>
    <xf numFmtId="166" fontId="0" fillId="0" borderId="0" xfId="0" applyNumberFormat="1"/>
    <xf numFmtId="166" fontId="0" fillId="0" borderId="1" xfId="1" applyNumberFormat="1" applyFont="1" applyBorder="1"/>
    <xf numFmtId="166" fontId="0" fillId="0" borderId="1" xfId="0" applyNumberFormat="1" applyBorder="1"/>
    <xf numFmtId="9" fontId="0" fillId="4" borderId="1" xfId="0" applyNumberFormat="1" applyFill="1" applyBorder="1"/>
    <xf numFmtId="0" fontId="3" fillId="3" borderId="1" xfId="0" applyFont="1" applyFill="1" applyBorder="1" applyAlignment="1">
      <alignment horizontal="center" vertical="center" wrapText="1"/>
    </xf>
    <xf numFmtId="166" fontId="0" fillId="3" borderId="1" xfId="0" applyNumberFormat="1" applyFill="1" applyBorder="1"/>
    <xf numFmtId="166" fontId="3" fillId="3" borderId="1" xfId="1" applyNumberFormat="1" applyFont="1" applyFill="1" applyBorder="1"/>
    <xf numFmtId="10" fontId="0" fillId="0" borderId="1" xfId="0" applyNumberFormat="1" applyBorder="1"/>
    <xf numFmtId="0" fontId="3" fillId="0" borderId="1" xfId="0" applyFont="1" applyBorder="1"/>
    <xf numFmtId="0" fontId="3" fillId="3" borderId="1" xfId="0" applyFont="1" applyFill="1" applyBorder="1"/>
    <xf numFmtId="167" fontId="0" fillId="0" borderId="0" xfId="3" applyNumberFormat="1" applyFont="1"/>
    <xf numFmtId="44" fontId="0" fillId="0" borderId="0" xfId="0" applyNumberFormat="1"/>
    <xf numFmtId="9" fontId="0" fillId="3" borderId="0" xfId="3" applyFont="1" applyFill="1"/>
    <xf numFmtId="9" fontId="0" fillId="4" borderId="4" xfId="0" applyNumberFormat="1" applyFill="1" applyBorder="1"/>
    <xf numFmtId="44" fontId="0" fillId="0" borderId="1" xfId="0" applyNumberFormat="1" applyBorder="1"/>
    <xf numFmtId="164" fontId="0" fillId="3" borderId="1" xfId="0" applyNumberFormat="1" applyFill="1" applyBorder="1"/>
    <xf numFmtId="164" fontId="0" fillId="4" borderId="1" xfId="0" applyNumberFormat="1" applyFill="1" applyBorder="1"/>
    <xf numFmtId="164" fontId="0" fillId="5" borderId="1" xfId="0" applyNumberFormat="1" applyFill="1" applyBorder="1"/>
    <xf numFmtId="0" fontId="3" fillId="3" borderId="0" xfId="0" applyFont="1" applyFill="1" applyAlignment="1">
      <alignment horizontal="center" vertical="center"/>
    </xf>
    <xf numFmtId="165" fontId="3" fillId="3" borderId="0" xfId="0" applyNumberFormat="1" applyFont="1" applyFill="1" applyAlignment="1">
      <alignment horizontal="center" vertical="center"/>
    </xf>
    <xf numFmtId="165" fontId="0" fillId="3" borderId="1" xfId="2" applyNumberFormat="1" applyFont="1" applyFill="1" applyBorder="1"/>
    <xf numFmtId="0" fontId="3" fillId="6" borderId="1" xfId="0" applyFont="1" applyFill="1" applyBorder="1" applyAlignment="1">
      <alignment horizontal="center" vertical="center" wrapText="1"/>
    </xf>
    <xf numFmtId="0" fontId="3" fillId="0" borderId="5" xfId="0" applyFont="1" applyBorder="1" applyAlignment="1">
      <alignment horizontal="center" vertical="center" wrapText="1"/>
    </xf>
    <xf numFmtId="165" fontId="3" fillId="3" borderId="1" xfId="0" applyNumberFormat="1" applyFont="1" applyFill="1" applyBorder="1"/>
    <xf numFmtId="166" fontId="0" fillId="4" borderId="1" xfId="1" applyNumberFormat="1" applyFont="1" applyFill="1" applyBorder="1"/>
    <xf numFmtId="6" fontId="3" fillId="3" borderId="0" xfId="0" applyNumberFormat="1" applyFont="1" applyFill="1"/>
    <xf numFmtId="166" fontId="3" fillId="0" borderId="0" xfId="1" applyNumberFormat="1" applyFont="1"/>
    <xf numFmtId="0" fontId="3" fillId="0" borderId="1" xfId="0" applyFont="1" applyBorder="1" applyAlignment="1">
      <alignment horizontal="left"/>
    </xf>
    <xf numFmtId="165" fontId="0" fillId="0" borderId="1" xfId="1" applyNumberFormat="1" applyFont="1" applyBorder="1"/>
    <xf numFmtId="0" fontId="3" fillId="0" borderId="1" xfId="0" applyFont="1" applyBorder="1" applyAlignment="1">
      <alignment horizontal="left" vertical="center"/>
    </xf>
    <xf numFmtId="6" fontId="3" fillId="0" borderId="1" xfId="0" applyNumberFormat="1" applyFont="1" applyBorder="1" applyAlignment="1">
      <alignment horizontal="center" vertical="center" wrapText="1"/>
    </xf>
    <xf numFmtId="0" fontId="2" fillId="7" borderId="1" xfId="0" applyFont="1" applyFill="1" applyBorder="1" applyAlignment="1">
      <alignment horizontal="center" vertical="center"/>
    </xf>
    <xf numFmtId="0" fontId="2" fillId="7" borderId="1" xfId="0" applyFont="1" applyFill="1" applyBorder="1" applyAlignment="1">
      <alignment horizontal="center" vertical="center" wrapText="1"/>
    </xf>
    <xf numFmtId="0" fontId="9" fillId="0" borderId="0" xfId="0" applyFont="1"/>
    <xf numFmtId="0" fontId="10" fillId="0" borderId="0" xfId="0" applyFont="1"/>
    <xf numFmtId="0" fontId="11" fillId="0" borderId="0" xfId="0" applyFont="1" applyAlignment="1">
      <alignment horizontal="left"/>
    </xf>
    <xf numFmtId="0" fontId="10" fillId="0" borderId="0" xfId="0" applyFont="1" applyAlignment="1">
      <alignment horizontal="center"/>
    </xf>
    <xf numFmtId="0" fontId="12" fillId="0" borderId="0" xfId="0" applyFont="1" applyAlignment="1">
      <alignment horizontal="right"/>
    </xf>
    <xf numFmtId="0" fontId="13" fillId="0" borderId="0" xfId="0" applyFont="1"/>
    <xf numFmtId="0" fontId="9" fillId="0" borderId="0" xfId="0" applyFont="1" applyAlignment="1">
      <alignment horizontal="left"/>
    </xf>
    <xf numFmtId="0" fontId="9" fillId="0" borderId="0" xfId="0" applyFont="1" applyAlignment="1">
      <alignment horizontal="center"/>
    </xf>
    <xf numFmtId="0" fontId="12" fillId="0" borderId="0" xfId="0" applyFont="1" applyAlignment="1">
      <alignment horizontal="left"/>
    </xf>
    <xf numFmtId="0" fontId="14" fillId="0" borderId="0" xfId="0" applyFont="1" applyAlignment="1">
      <alignment horizontal="left"/>
    </xf>
    <xf numFmtId="0" fontId="7" fillId="0" borderId="0" xfId="0" applyFont="1"/>
    <xf numFmtId="0" fontId="15" fillId="0" borderId="0" xfId="0" applyFont="1"/>
    <xf numFmtId="0" fontId="7" fillId="0" borderId="0" xfId="0" applyFont="1" applyAlignment="1">
      <alignment horizontal="right"/>
    </xf>
    <xf numFmtId="168" fontId="7" fillId="0" borderId="0" xfId="0" applyNumberFormat="1" applyFont="1" applyAlignment="1">
      <alignment horizontal="center"/>
    </xf>
    <xf numFmtId="0" fontId="7" fillId="8" borderId="0" xfId="0" applyFont="1" applyFill="1"/>
    <xf numFmtId="0" fontId="10" fillId="8" borderId="0" xfId="0" applyFont="1" applyFill="1"/>
    <xf numFmtId="0" fontId="16" fillId="8" borderId="0" xfId="0" applyFont="1" applyFill="1" applyAlignment="1">
      <alignment horizontal="center"/>
    </xf>
    <xf numFmtId="0" fontId="17" fillId="0" borderId="0" xfId="0" applyFont="1"/>
    <xf numFmtId="0" fontId="18" fillId="0" borderId="0" xfId="0" applyFont="1"/>
    <xf numFmtId="169" fontId="10" fillId="0" borderId="0" xfId="4" applyFont="1" applyBorder="1"/>
    <xf numFmtId="1" fontId="15" fillId="8" borderId="0" xfId="0" applyNumberFormat="1" applyFont="1" applyFill="1" applyAlignment="1">
      <alignment horizontal="center"/>
    </xf>
    <xf numFmtId="0" fontId="15" fillId="0" borderId="0" xfId="0" applyFont="1" applyAlignment="1">
      <alignment horizontal="center"/>
    </xf>
    <xf numFmtId="1" fontId="10" fillId="0" borderId="0" xfId="0" applyNumberFormat="1" applyFont="1" applyAlignment="1">
      <alignment horizontal="center"/>
    </xf>
    <xf numFmtId="49" fontId="12" fillId="0" borderId="0" xfId="0" applyNumberFormat="1" applyFont="1"/>
    <xf numFmtId="49" fontId="7" fillId="0" borderId="0" xfId="0" applyNumberFormat="1" applyFont="1"/>
    <xf numFmtId="49" fontId="7" fillId="0" borderId="0" xfId="0" applyNumberFormat="1" applyFont="1" applyAlignment="1">
      <alignment horizontal="center"/>
    </xf>
    <xf numFmtId="41" fontId="16" fillId="0" borderId="0" xfId="0" applyNumberFormat="1" applyFont="1"/>
    <xf numFmtId="41" fontId="19" fillId="0" borderId="0" xfId="0" applyNumberFormat="1" applyFont="1"/>
    <xf numFmtId="41" fontId="7" fillId="0" borderId="0" xfId="0" applyNumberFormat="1" applyFont="1"/>
    <xf numFmtId="49" fontId="10" fillId="0" borderId="0" xfId="0" applyNumberFormat="1" applyFont="1" applyAlignment="1">
      <alignment horizontal="center"/>
    </xf>
    <xf numFmtId="41" fontId="10" fillId="0" borderId="0" xfId="0" applyNumberFormat="1" applyFont="1"/>
    <xf numFmtId="0" fontId="7" fillId="0" borderId="0" xfId="0" applyFont="1" applyAlignment="1">
      <alignment horizontal="left" indent="1"/>
    </xf>
    <xf numFmtId="41" fontId="20" fillId="0" borderId="0" xfId="0" applyNumberFormat="1" applyFont="1"/>
    <xf numFmtId="41" fontId="16" fillId="0" borderId="0" xfId="0" applyNumberFormat="1" applyFont="1" applyAlignment="1">
      <alignment horizontal="left"/>
    </xf>
    <xf numFmtId="41" fontId="7" fillId="0" borderId="0" xfId="0" applyNumberFormat="1" applyFont="1" applyAlignment="1">
      <alignment horizontal="left"/>
    </xf>
    <xf numFmtId="41" fontId="21" fillId="0" borderId="0" xfId="0" applyNumberFormat="1" applyFont="1" applyAlignment="1">
      <alignment horizontal="left" indent="1"/>
    </xf>
    <xf numFmtId="41" fontId="21" fillId="0" borderId="0" xfId="0" applyNumberFormat="1" applyFont="1"/>
    <xf numFmtId="0" fontId="21" fillId="0" borderId="0" xfId="0" applyFont="1" applyAlignment="1">
      <alignment horizontal="left" indent="1"/>
    </xf>
    <xf numFmtId="41" fontId="22" fillId="0" borderId="0" xfId="0" applyNumberFormat="1" applyFont="1"/>
    <xf numFmtId="41" fontId="23" fillId="0" borderId="0" xfId="0" applyNumberFormat="1" applyFont="1"/>
    <xf numFmtId="41" fontId="24" fillId="0" borderId="0" xfId="0" applyNumberFormat="1" applyFont="1"/>
    <xf numFmtId="49" fontId="10" fillId="0" borderId="0" xfId="0" applyNumberFormat="1" applyFont="1"/>
    <xf numFmtId="9" fontId="16" fillId="0" borderId="0" xfId="3" applyFont="1"/>
    <xf numFmtId="167" fontId="16" fillId="0" borderId="0" xfId="3" applyNumberFormat="1" applyFont="1"/>
    <xf numFmtId="10" fontId="16" fillId="0" borderId="0" xfId="3" applyNumberFormat="1" applyFont="1"/>
    <xf numFmtId="41" fontId="24" fillId="9" borderId="0" xfId="0" applyNumberFormat="1" applyFont="1" applyFill="1"/>
    <xf numFmtId="41" fontId="16" fillId="4" borderId="0" xfId="0" applyNumberFormat="1" applyFont="1" applyFill="1"/>
    <xf numFmtId="170" fontId="3" fillId="3" borderId="0" xfId="2" applyNumberFormat="1" applyFont="1" applyFill="1"/>
    <xf numFmtId="10" fontId="7" fillId="0" borderId="0" xfId="3" applyNumberFormat="1" applyFont="1"/>
    <xf numFmtId="0" fontId="2" fillId="7" borderId="0" xfId="0" applyFont="1" applyFill="1" applyAlignment="1">
      <alignment horizontal="center" vertical="center" wrapText="1"/>
    </xf>
    <xf numFmtId="0" fontId="3" fillId="5" borderId="1" xfId="0" applyFont="1" applyFill="1" applyBorder="1" applyAlignment="1">
      <alignment horizontal="center" vertical="center"/>
    </xf>
    <xf numFmtId="164" fontId="0" fillId="6" borderId="1" xfId="0" applyNumberFormat="1" applyFill="1" applyBorder="1"/>
    <xf numFmtId="166" fontId="10" fillId="0" borderId="0" xfId="1" applyNumberFormat="1" applyFont="1"/>
    <xf numFmtId="6" fontId="10" fillId="0" borderId="0" xfId="0" applyNumberFormat="1" applyFont="1"/>
    <xf numFmtId="165" fontId="7" fillId="10" borderId="1" xfId="0" applyNumberFormat="1" applyFont="1" applyFill="1" applyBorder="1" applyAlignment="1">
      <alignment horizontal="right" vertical="center" wrapText="1"/>
    </xf>
    <xf numFmtId="164" fontId="0" fillId="10" borderId="1" xfId="0" applyNumberFormat="1" applyFill="1" applyBorder="1"/>
    <xf numFmtId="165" fontId="0" fillId="0" borderId="0" xfId="1" applyNumberFormat="1" applyFont="1"/>
    <xf numFmtId="0" fontId="3" fillId="11" borderId="1" xfId="0" applyFont="1" applyFill="1" applyBorder="1" applyAlignment="1">
      <alignment horizontal="center" vertical="center" wrapText="1"/>
    </xf>
    <xf numFmtId="166" fontId="0" fillId="11" borderId="1" xfId="0" applyNumberFormat="1" applyFill="1" applyBorder="1"/>
    <xf numFmtId="6" fontId="0" fillId="0" borderId="1" xfId="0" applyNumberFormat="1" applyBorder="1"/>
    <xf numFmtId="41" fontId="0" fillId="0" borderId="1" xfId="0" applyNumberFormat="1" applyBorder="1"/>
    <xf numFmtId="6" fontId="6" fillId="0" borderId="1" xfId="0" applyNumberFormat="1" applyFont="1" applyBorder="1"/>
    <xf numFmtId="0" fontId="2" fillId="7" borderId="1" xfId="0" applyFont="1" applyFill="1" applyBorder="1" applyAlignment="1">
      <alignment horizontal="left" vertical="center" wrapText="1"/>
    </xf>
    <xf numFmtId="6" fontId="0" fillId="10" borderId="1" xfId="0" applyNumberFormat="1" applyFill="1" applyBorder="1"/>
    <xf numFmtId="0" fontId="6" fillId="0" borderId="0" xfId="0" applyFont="1"/>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3" fontId="25" fillId="0" borderId="11" xfId="0" applyNumberFormat="1" applyFont="1" applyBorder="1" applyAlignment="1">
      <alignment horizontal="center" vertical="center"/>
    </xf>
    <xf numFmtId="0" fontId="26" fillId="0" borderId="10" xfId="0" applyFont="1" applyBorder="1" applyAlignment="1">
      <alignment horizontal="center" vertical="center"/>
    </xf>
    <xf numFmtId="164" fontId="25" fillId="0" borderId="11" xfId="0" applyNumberFormat="1" applyFont="1" applyBorder="1" applyAlignment="1">
      <alignment horizontal="center" vertical="center"/>
    </xf>
    <xf numFmtId="164" fontId="6" fillId="0" borderId="0" xfId="0" applyNumberFormat="1" applyFont="1"/>
    <xf numFmtId="164" fontId="26" fillId="0" borderId="10" xfId="0" applyNumberFormat="1" applyFont="1" applyBorder="1" applyAlignment="1">
      <alignment horizontal="center" vertical="center"/>
    </xf>
    <xf numFmtId="164" fontId="27" fillId="0" borderId="10" xfId="0" applyNumberFormat="1" applyFont="1" applyBorder="1" applyAlignment="1">
      <alignment horizontal="center" vertical="center"/>
    </xf>
    <xf numFmtId="164" fontId="25" fillId="0" borderId="8" xfId="0" applyNumberFormat="1" applyFont="1" applyBorder="1" applyAlignment="1">
      <alignment horizontal="center" vertical="center"/>
    </xf>
    <xf numFmtId="164" fontId="25" fillId="0" borderId="9" xfId="0" applyNumberFormat="1" applyFont="1" applyBorder="1" applyAlignment="1">
      <alignment horizontal="center" vertical="center"/>
    </xf>
    <xf numFmtId="164" fontId="25" fillId="0" borderId="7" xfId="0" applyNumberFormat="1" applyFont="1" applyBorder="1" applyAlignment="1">
      <alignment horizontal="center" vertical="center"/>
    </xf>
    <xf numFmtId="171" fontId="25" fillId="0" borderId="11" xfId="0" applyNumberFormat="1" applyFont="1" applyBorder="1" applyAlignment="1">
      <alignment horizontal="center" vertical="center"/>
    </xf>
    <xf numFmtId="6" fontId="0" fillId="0" borderId="1" xfId="0" applyNumberFormat="1" applyBorder="1" applyAlignment="1">
      <alignment horizontal="center" vertical="center" wrapText="1"/>
    </xf>
    <xf numFmtId="167" fontId="0" fillId="3" borderId="0" xfId="3" applyNumberFormat="1" applyFont="1" applyFill="1"/>
    <xf numFmtId="43" fontId="0" fillId="0" borderId="0" xfId="0" applyNumberFormat="1"/>
    <xf numFmtId="10" fontId="0" fillId="0" borderId="0" xfId="0" applyNumberFormat="1"/>
    <xf numFmtId="0" fontId="0" fillId="0" borderId="0" xfId="0" applyAlignment="1">
      <alignment horizontal="left"/>
    </xf>
    <xf numFmtId="0" fontId="0" fillId="0" borderId="12" xfId="0" applyBorder="1" applyAlignment="1">
      <alignment horizontal="center"/>
    </xf>
    <xf numFmtId="0" fontId="2" fillId="7" borderId="2" xfId="0" applyFont="1" applyFill="1" applyBorder="1" applyAlignment="1">
      <alignment horizontal="center" vertical="center" wrapText="1"/>
    </xf>
    <xf numFmtId="6" fontId="0" fillId="12" borderId="1" xfId="0" applyNumberFormat="1" applyFill="1" applyBorder="1"/>
    <xf numFmtId="0" fontId="3" fillId="0" borderId="1" xfId="0" applyFont="1" applyBorder="1" applyAlignment="1">
      <alignment horizontal="center"/>
    </xf>
    <xf numFmtId="0" fontId="3" fillId="0" borderId="1" xfId="0" applyFont="1" applyFill="1" applyBorder="1"/>
    <xf numFmtId="0" fontId="0" fillId="0" borderId="0" xfId="0" applyAlignment="1">
      <alignment vertical="center"/>
    </xf>
    <xf numFmtId="0" fontId="0" fillId="0" borderId="2" xfId="0" applyBorder="1" applyAlignment="1">
      <alignment vertical="center"/>
    </xf>
    <xf numFmtId="0" fontId="0" fillId="0" borderId="1" xfId="0" applyBorder="1" applyAlignment="1">
      <alignment vertical="center"/>
    </xf>
    <xf numFmtId="0" fontId="1" fillId="0" borderId="1" xfId="1" applyNumberFormat="1" applyFont="1" applyBorder="1" applyAlignment="1">
      <alignment horizontal="center" vertical="center"/>
    </xf>
    <xf numFmtId="0" fontId="1" fillId="0" borderId="1" xfId="1" applyNumberFormat="1" applyFont="1" applyBorder="1" applyAlignment="1">
      <alignment horizontal="left" vertical="center"/>
    </xf>
    <xf numFmtId="0" fontId="1" fillId="0" borderId="1" xfId="0" applyFont="1" applyBorder="1" applyAlignment="1">
      <alignment vertical="center"/>
    </xf>
    <xf numFmtId="0" fontId="1" fillId="0" borderId="2" xfId="0" applyFont="1" applyBorder="1" applyAlignment="1">
      <alignment horizontal="center" vertical="center"/>
    </xf>
    <xf numFmtId="165" fontId="0" fillId="0" borderId="1" xfId="0" applyNumberFormat="1" applyBorder="1" applyAlignment="1">
      <alignment horizontal="center" vertical="center"/>
    </xf>
    <xf numFmtId="0" fontId="0" fillId="0" borderId="1" xfId="0" applyBorder="1" applyAlignment="1">
      <alignment horizontal="center" vertical="center"/>
    </xf>
    <xf numFmtId="0" fontId="6" fillId="0" borderId="2" xfId="0" applyFont="1" applyBorder="1" applyAlignment="1">
      <alignment vertical="center"/>
    </xf>
    <xf numFmtId="0" fontId="0" fillId="0" borderId="1" xfId="0" applyBorder="1" applyAlignment="1">
      <alignment vertical="center" wrapText="1"/>
    </xf>
    <xf numFmtId="0" fontId="1" fillId="0" borderId="1" xfId="1"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0" fillId="12" borderId="1" xfId="0" applyFill="1" applyBorder="1"/>
    <xf numFmtId="172" fontId="0" fillId="0" borderId="1" xfId="0" applyNumberFormat="1" applyBorder="1"/>
    <xf numFmtId="0" fontId="3" fillId="4" borderId="1" xfId="0" applyFont="1" applyFill="1" applyBorder="1"/>
    <xf numFmtId="10" fontId="3" fillId="4" borderId="1" xfId="0" applyNumberFormat="1" applyFont="1" applyFill="1" applyBorder="1"/>
    <xf numFmtId="0" fontId="3" fillId="5" borderId="2"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3" xfId="0" applyFont="1" applyFill="1" applyBorder="1" applyAlignment="1">
      <alignment horizontal="center" vertical="center"/>
    </xf>
    <xf numFmtId="0" fontId="28" fillId="0" borderId="13" xfId="0" applyFont="1" applyBorder="1" applyAlignment="1">
      <alignment horizontal="center"/>
    </xf>
    <xf numFmtId="0" fontId="6" fillId="5" borderId="1" xfId="0" applyFont="1" applyFill="1" applyBorder="1" applyAlignment="1">
      <alignment horizontal="center"/>
    </xf>
    <xf numFmtId="0" fontId="6" fillId="0" borderId="0" xfId="0" applyFont="1" applyAlignment="1">
      <alignment horizontal="center"/>
    </xf>
  </cellXfs>
  <cellStyles count="5">
    <cellStyle name="Comma" xfId="1" builtinId="3"/>
    <cellStyle name="Currency" xfId="2" builtinId="4"/>
    <cellStyle name="Factor" xfId="4" xr:uid="{59773623-D0CE-4FC1-85F3-84C913B909D1}"/>
    <cellStyle name="Normal" xfId="0" builtinId="0"/>
    <cellStyle name="Percent" xfId="3" builtinId="5"/>
  </cellStyles>
  <dxfs count="4">
    <dxf>
      <font>
        <color theme="5" tint="-0.24994659260841701"/>
      </font>
      <fill>
        <patternFill>
          <bgColor theme="5" tint="0.79998168889431442"/>
        </patternFill>
      </fill>
    </dxf>
    <dxf>
      <font>
        <color theme="5" tint="-0.24994659260841701"/>
      </font>
      <fill>
        <patternFill>
          <bgColor theme="5" tint="0.79998168889431442"/>
        </patternFill>
      </fill>
    </dxf>
    <dxf>
      <font>
        <color theme="5" tint="-0.24994659260841701"/>
      </font>
      <fill>
        <patternFill>
          <bgColor theme="5" tint="0.79998168889431442"/>
        </patternFill>
      </fill>
    </dxf>
    <dxf>
      <font>
        <color theme="5" tint="-0.24994659260841701"/>
      </font>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Cumulative Net Present Value Cashflow of Alternative Supply Options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'NPV Summary'!$L$3</c:f>
              <c:strCache>
                <c:ptCount val="1"/>
                <c:pt idx="0">
                  <c:v>Option 1</c:v>
                </c:pt>
              </c:strCache>
            </c:strRef>
          </c:tx>
          <c:spPr>
            <a:ln w="28575" cap="rnd">
              <a:solidFill>
                <a:schemeClr val="accent1"/>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Summary'!$L$4:$L$21</c:f>
              <c:numCache>
                <c:formatCode>"$"#,##0_);[Red]\("$"#,##0\)</c:formatCode>
                <c:ptCount val="18"/>
                <c:pt idx="0">
                  <c:v>206.4</c:v>
                </c:pt>
                <c:pt idx="1">
                  <c:v>199.28583332089804</c:v>
                </c:pt>
                <c:pt idx="2">
                  <c:v>198.63915560239801</c:v>
                </c:pt>
                <c:pt idx="3">
                  <c:v>196.19701093743592</c:v>
                </c:pt>
                <c:pt idx="4">
                  <c:v>188.76642050297394</c:v>
                </c:pt>
                <c:pt idx="5">
                  <c:v>169.89508866368158</c:v>
                </c:pt>
                <c:pt idx="6">
                  <c:v>152.58518473915788</c:v>
                </c:pt>
                <c:pt idx="7">
                  <c:v>139.2308400180531</c:v>
                </c:pt>
                <c:pt idx="8">
                  <c:v>120.07392034396119</c:v>
                </c:pt>
                <c:pt idx="9">
                  <c:v>102.48971577653629</c:v>
                </c:pt>
                <c:pt idx="10">
                  <c:v>84.176716069555255</c:v>
                </c:pt>
                <c:pt idx="11">
                  <c:v>64.817695755715818</c:v>
                </c:pt>
                <c:pt idx="12">
                  <c:v>47.99366876878387</c:v>
                </c:pt>
                <c:pt idx="13">
                  <c:v>28.533942729794173</c:v>
                </c:pt>
                <c:pt idx="14">
                  <c:v>9.3240263520913427</c:v>
                </c:pt>
                <c:pt idx="15">
                  <c:v>-9.6307225620252783</c:v>
                </c:pt>
                <c:pt idx="16">
                  <c:v>-28.325389021873324</c:v>
                </c:pt>
                <c:pt idx="17">
                  <c:v>-35.132828790120989</c:v>
                </c:pt>
              </c:numCache>
            </c:numRef>
          </c:val>
          <c:smooth val="0"/>
          <c:extLst>
            <c:ext xmlns:c16="http://schemas.microsoft.com/office/drawing/2014/chart" uri="{C3380CC4-5D6E-409C-BE32-E72D297353CC}">
              <c16:uniqueId val="{00000000-752F-4379-9BA7-F66249A31726}"/>
            </c:ext>
          </c:extLst>
        </c:ser>
        <c:ser>
          <c:idx val="2"/>
          <c:order val="1"/>
          <c:tx>
            <c:strRef>
              <c:f>'NPV Summary'!$N$3</c:f>
              <c:strCache>
                <c:ptCount val="1"/>
                <c:pt idx="0">
                  <c:v>Option 2a</c:v>
                </c:pt>
              </c:strCache>
            </c:strRef>
          </c:tx>
          <c:spPr>
            <a:ln w="28575" cap="rnd">
              <a:solidFill>
                <a:schemeClr val="accent3"/>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Summary'!$N$4:$N$21</c:f>
              <c:numCache>
                <c:formatCode>"$"#,##0_);[Red]\("$"#,##0\)</c:formatCode>
                <c:ptCount val="18"/>
                <c:pt idx="0">
                  <c:v>0</c:v>
                </c:pt>
                <c:pt idx="1">
                  <c:v>-1.6584471824426301</c:v>
                </c:pt>
                <c:pt idx="2">
                  <c:v>-5.0472921818776673</c:v>
                </c:pt>
                <c:pt idx="3">
                  <c:v>-4.7358237501674854</c:v>
                </c:pt>
                <c:pt idx="4">
                  <c:v>-4.6557788355617991</c:v>
                </c:pt>
                <c:pt idx="5">
                  <c:v>-4.9084116074936528</c:v>
                </c:pt>
                <c:pt idx="6">
                  <c:v>-5.2329172784115343</c:v>
                </c:pt>
                <c:pt idx="7">
                  <c:v>-3.3932027066826436</c:v>
                </c:pt>
                <c:pt idx="8">
                  <c:v>-4.340005929438739</c:v>
                </c:pt>
                <c:pt idx="9">
                  <c:v>-4.2703611697538806</c:v>
                </c:pt>
                <c:pt idx="10">
                  <c:v>-4.1978191262939779</c:v>
                </c:pt>
                <c:pt idx="11">
                  <c:v>-5.1290133811945919</c:v>
                </c:pt>
                <c:pt idx="12">
                  <c:v>-6.3114644184599413</c:v>
                </c:pt>
                <c:pt idx="13">
                  <c:v>-8.0219970676668879</c:v>
                </c:pt>
                <c:pt idx="14">
                  <c:v>-9.68655466854403</c:v>
                </c:pt>
                <c:pt idx="15">
                  <c:v>-11.306372921017873</c:v>
                </c:pt>
                <c:pt idx="16">
                  <c:v>-12.882654312340593</c:v>
                </c:pt>
                <c:pt idx="17">
                  <c:v>-10.974028515200704</c:v>
                </c:pt>
              </c:numCache>
            </c:numRef>
          </c:val>
          <c:smooth val="0"/>
          <c:extLst>
            <c:ext xmlns:c16="http://schemas.microsoft.com/office/drawing/2014/chart" uri="{C3380CC4-5D6E-409C-BE32-E72D297353CC}">
              <c16:uniqueId val="{00000002-752F-4379-9BA7-F66249A31726}"/>
            </c:ext>
          </c:extLst>
        </c:ser>
        <c:ser>
          <c:idx val="1"/>
          <c:order val="2"/>
          <c:tx>
            <c:strRef>
              <c:f>'NPV Summary'!$M$3</c:f>
              <c:strCache>
                <c:ptCount val="1"/>
                <c:pt idx="0">
                  <c:v>Option 2b</c:v>
                </c:pt>
              </c:strCache>
            </c:strRef>
          </c:tx>
          <c:spPr>
            <a:ln w="28575" cap="rnd">
              <a:solidFill>
                <a:schemeClr val="accent2"/>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Summary'!$M$4:$M$21</c:f>
              <c:numCache>
                <c:formatCode>"$"#,##0_);[Red]\("$"#,##0\)</c:formatCode>
                <c:ptCount val="18"/>
                <c:pt idx="0">
                  <c:v>0</c:v>
                </c:pt>
                <c:pt idx="1">
                  <c:v>0.83000716229463645</c:v>
                </c:pt>
                <c:pt idx="2">
                  <c:v>4.6001151196508703</c:v>
                </c:pt>
                <c:pt idx="3">
                  <c:v>5.769311876509839</c:v>
                </c:pt>
                <c:pt idx="4">
                  <c:v>3.1785173772245234</c:v>
                </c:pt>
                <c:pt idx="5">
                  <c:v>0.10313020363476193</c:v>
                </c:pt>
                <c:pt idx="6">
                  <c:v>-3.4045445987758689</c:v>
                </c:pt>
                <c:pt idx="7">
                  <c:v>-5.0512320289295785</c:v>
                </c:pt>
                <c:pt idx="8">
                  <c:v>-9.8075790510360861</c:v>
                </c:pt>
                <c:pt idx="9">
                  <c:v>-12.521639518063344</c:v>
                </c:pt>
                <c:pt idx="10">
                  <c:v>-15.875944734972625</c:v>
                </c:pt>
                <c:pt idx="11">
                  <c:v>-19.709979843891354</c:v>
                </c:pt>
                <c:pt idx="12">
                  <c:v>-22.532014320526866</c:v>
                </c:pt>
                <c:pt idx="13">
                  <c:v>-25.280083094636836</c:v>
                </c:pt>
                <c:pt idx="14">
                  <c:v>-27.954290317631774</c:v>
                </c:pt>
                <c:pt idx="15">
                  <c:v>-30.556621212292299</c:v>
                </c:pt>
                <c:pt idx="16">
                  <c:v>-33.089007643333474</c:v>
                </c:pt>
                <c:pt idx="17">
                  <c:v>-32.110789056975662</c:v>
                </c:pt>
              </c:numCache>
            </c:numRef>
          </c:val>
          <c:smooth val="0"/>
          <c:extLst>
            <c:ext xmlns:c16="http://schemas.microsoft.com/office/drawing/2014/chart" uri="{C3380CC4-5D6E-409C-BE32-E72D297353CC}">
              <c16:uniqueId val="{00000001-752F-4379-9BA7-F66249A31726}"/>
            </c:ext>
          </c:extLst>
        </c:ser>
        <c:ser>
          <c:idx val="3"/>
          <c:order val="3"/>
          <c:tx>
            <c:strRef>
              <c:f>'NPV Summary'!$O$3</c:f>
              <c:strCache>
                <c:ptCount val="1"/>
                <c:pt idx="0">
                  <c:v>Option 3</c:v>
                </c:pt>
              </c:strCache>
            </c:strRef>
          </c:tx>
          <c:spPr>
            <a:ln w="28575" cap="rnd">
              <a:solidFill>
                <a:schemeClr val="accent4"/>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Summary'!$O$4:$O$21</c:f>
              <c:numCache>
                <c:formatCode>"$"#,##0_);[Red]\("$"#,##0\)</c:formatCode>
                <c:ptCount val="18"/>
                <c:pt idx="0">
                  <c:v>0</c:v>
                </c:pt>
                <c:pt idx="1">
                  <c:v>203.84228486126577</c:v>
                </c:pt>
                <c:pt idx="2">
                  <c:v>388.36158144695014</c:v>
                </c:pt>
                <c:pt idx="3">
                  <c:v>565.58185213199226</c:v>
                </c:pt>
                <c:pt idx="4">
                  <c:v>739.15894191356074</c:v>
                </c:pt>
                <c:pt idx="5">
                  <c:v>906.73788593689528</c:v>
                </c:pt>
                <c:pt idx="6">
                  <c:v>1074.7827638230985</c:v>
                </c:pt>
                <c:pt idx="7">
                  <c:v>1233.7207919453795</c:v>
                </c:pt>
                <c:pt idx="8">
                  <c:v>1383.238455128479</c:v>
                </c:pt>
                <c:pt idx="9">
                  <c:v>1532.3775126488081</c:v>
                </c:pt>
                <c:pt idx="10">
                  <c:v>1673.544293918286</c:v>
                </c:pt>
                <c:pt idx="11">
                  <c:v>1810.0888267004877</c:v>
                </c:pt>
                <c:pt idx="12">
                  <c:v>1942.5305973363454</c:v>
                </c:pt>
                <c:pt idx="13">
                  <c:v>2047.6747496417358</c:v>
                </c:pt>
                <c:pt idx="14">
                  <c:v>2149.9928772664061</c:v>
                </c:pt>
                <c:pt idx="15">
                  <c:v>2249.5609370307866</c:v>
                </c:pt>
                <c:pt idx="16">
                  <c:v>2346.4528442166734</c:v>
                </c:pt>
                <c:pt idx="17">
                  <c:v>2455.5001150427993</c:v>
                </c:pt>
              </c:numCache>
            </c:numRef>
          </c:val>
          <c:smooth val="0"/>
          <c:extLst>
            <c:ext xmlns:c16="http://schemas.microsoft.com/office/drawing/2014/chart" uri="{C3380CC4-5D6E-409C-BE32-E72D297353CC}">
              <c16:uniqueId val="{00000004-752F-4379-9BA7-F66249A31726}"/>
            </c:ext>
          </c:extLst>
        </c:ser>
        <c:ser>
          <c:idx val="4"/>
          <c:order val="4"/>
          <c:tx>
            <c:strRef>
              <c:f>'NPV Summary'!$P$3</c:f>
              <c:strCache>
                <c:ptCount val="1"/>
                <c:pt idx="0">
                  <c:v>Option 4a</c:v>
                </c:pt>
              </c:strCache>
            </c:strRef>
          </c:tx>
          <c:spPr>
            <a:ln w="28575" cap="rnd">
              <a:solidFill>
                <a:schemeClr val="accent5"/>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Summary'!$P$4:$P$21</c:f>
              <c:numCache>
                <c:formatCode>"$"#,##0_);[Red]\("$"#,##0\)</c:formatCode>
                <c:ptCount val="18"/>
                <c:pt idx="0">
                  <c:v>0</c:v>
                </c:pt>
                <c:pt idx="1">
                  <c:v>25.122390348303281</c:v>
                </c:pt>
                <c:pt idx="2">
                  <c:v>49.569550609090207</c:v>
                </c:pt>
                <c:pt idx="3">
                  <c:v>73.359629360770967</c:v>
                </c:pt>
                <c:pt idx="4">
                  <c:v>96.510287391142739</c:v>
                </c:pt>
                <c:pt idx="5">
                  <c:v>119.03871080804093</c:v>
                </c:pt>
                <c:pt idx="6">
                  <c:v>140.9616237976073</c:v>
                </c:pt>
                <c:pt idx="7">
                  <c:v>162.29530103964623</c:v>
                </c:pt>
                <c:pt idx="8">
                  <c:v>183.05557978928576</c:v>
                </c:pt>
                <c:pt idx="9">
                  <c:v>203.25787163391206</c:v>
                </c:pt>
                <c:pt idx="10">
                  <c:v>222.91717393410596</c:v>
                </c:pt>
                <c:pt idx="11">
                  <c:v>242.04808095707395</c:v>
                </c:pt>
                <c:pt idx="12">
                  <c:v>260.66479471083898</c:v>
                </c:pt>
                <c:pt idx="13">
                  <c:v>278.78113548723445</c:v>
                </c:pt>
                <c:pt idx="14">
                  <c:v>296.41055212152708</c:v>
                </c:pt>
                <c:pt idx="15">
                  <c:v>313.5661319762857</c:v>
                </c:pt>
                <c:pt idx="16">
                  <c:v>330.26061065690766</c:v>
                </c:pt>
                <c:pt idx="17">
                  <c:v>346.50638146601455</c:v>
                </c:pt>
              </c:numCache>
            </c:numRef>
          </c:val>
          <c:smooth val="0"/>
          <c:extLst>
            <c:ext xmlns:c16="http://schemas.microsoft.com/office/drawing/2014/chart" uri="{C3380CC4-5D6E-409C-BE32-E72D297353CC}">
              <c16:uniqueId val="{00000005-752F-4379-9BA7-F66249A31726}"/>
            </c:ext>
          </c:extLst>
        </c:ser>
        <c:ser>
          <c:idx val="5"/>
          <c:order val="5"/>
          <c:tx>
            <c:strRef>
              <c:f>'NPV Summary'!$Q$3</c:f>
              <c:strCache>
                <c:ptCount val="1"/>
                <c:pt idx="0">
                  <c:v>Option 4b</c:v>
                </c:pt>
              </c:strCache>
            </c:strRef>
          </c:tx>
          <c:spPr>
            <a:ln w="28575" cap="rnd">
              <a:solidFill>
                <a:schemeClr val="accent6"/>
              </a:solidFill>
              <a:round/>
            </a:ln>
            <a:effectLst/>
          </c:spPr>
          <c:marker>
            <c:symbol val="none"/>
          </c:marker>
          <c:cat>
            <c:numRef>
              <c:f>'NPV Summary'!$K$4:$K$21</c:f>
              <c:numCache>
                <c:formatCode>General</c:formatCode>
                <c:ptCount val="18"/>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numCache>
            </c:numRef>
          </c:cat>
          <c:val>
            <c:numRef>
              <c:f>'NPV Summary'!$Q$4:$Q$21</c:f>
              <c:numCache>
                <c:formatCode>"$"#,##0_);[Red]\("$"#,##0\)</c:formatCode>
                <c:ptCount val="18"/>
                <c:pt idx="0">
                  <c:v>0</c:v>
                </c:pt>
                <c:pt idx="1">
                  <c:v>65.329269162705089</c:v>
                </c:pt>
                <c:pt idx="2">
                  <c:v>128.90264298573393</c:v>
                </c:pt>
                <c:pt idx="3">
                  <c:v>190.76731575862038</c:v>
                </c:pt>
                <c:pt idx="4">
                  <c:v>250.96921330066866</c:v>
                </c:pt>
                <c:pt idx="5">
                  <c:v>309.55302705441557</c:v>
                </c:pt>
                <c:pt idx="6">
                  <c:v>366.56224726274155</c:v>
                </c:pt>
                <c:pt idx="7">
                  <c:v>422.03919525425977</c:v>
                </c:pt>
                <c:pt idx="8">
                  <c:v>476.0250548609506</c:v>
                </c:pt>
                <c:pt idx="9">
                  <c:v>528.55990299136556</c:v>
                </c:pt>
                <c:pt idx="10">
                  <c:v>579.68273938209529</c:v>
                </c:pt>
                <c:pt idx="11">
                  <c:v>629.43151554958968</c:v>
                </c:pt>
                <c:pt idx="12">
                  <c:v>677.84316296382121</c:v>
                </c:pt>
                <c:pt idx="13">
                  <c:v>724.9536204647078</c:v>
                </c:pt>
                <c:pt idx="14">
                  <c:v>770.79786094164774</c:v>
                </c:pt>
                <c:pt idx="15">
                  <c:v>815.40991729597079</c:v>
                </c:pt>
                <c:pt idx="16">
                  <c:v>858.82290770558166</c:v>
                </c:pt>
                <c:pt idx="17">
                  <c:v>901.06906021054999</c:v>
                </c:pt>
              </c:numCache>
            </c:numRef>
          </c:val>
          <c:smooth val="0"/>
          <c:extLst>
            <c:ext xmlns:c16="http://schemas.microsoft.com/office/drawing/2014/chart" uri="{C3380CC4-5D6E-409C-BE32-E72D297353CC}">
              <c16:uniqueId val="{00000006-752F-4379-9BA7-F66249A31726}"/>
            </c:ext>
          </c:extLst>
        </c:ser>
        <c:dLbls>
          <c:showLegendKey val="0"/>
          <c:showVal val="0"/>
          <c:showCatName val="0"/>
          <c:showSerName val="0"/>
          <c:showPercent val="0"/>
          <c:showBubbleSize val="0"/>
        </c:dLbls>
        <c:smooth val="0"/>
        <c:axId val="102966864"/>
        <c:axId val="102968528"/>
      </c:lineChart>
      <c:catAx>
        <c:axId val="1029668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68528"/>
        <c:crosses val="autoZero"/>
        <c:auto val="1"/>
        <c:lblAlgn val="ctr"/>
        <c:lblOffset val="100"/>
        <c:tickLblSkip val="2"/>
        <c:noMultiLvlLbl val="0"/>
      </c:catAx>
      <c:valAx>
        <c:axId val="102968528"/>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Million</a:t>
                </a:r>
                <a:r>
                  <a:rPr lang="en-US" baseline="0"/>
                  <a:t> C$</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66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Annual Cashflow of Alternative Supply Options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'NPV Summary'!$AD$2</c:f>
              <c:strCache>
                <c:ptCount val="1"/>
                <c:pt idx="0">
                  <c:v>Option 1</c:v>
                </c:pt>
              </c:strCache>
            </c:strRef>
          </c:tx>
          <c:spPr>
            <a:ln w="28575" cap="rnd">
              <a:solidFill>
                <a:schemeClr val="accent1"/>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Summary'!$AD$4:$AD$43</c:f>
              <c:numCache>
                <c:formatCode>"$"#,##0.0_);[Red]\("$"#,##0.0\)</c:formatCode>
                <c:ptCount val="40"/>
                <c:pt idx="0">
                  <c:v>-7.4641836797137948</c:v>
                </c:pt>
                <c:pt idx="1">
                  <c:v>-0.71187617995291019</c:v>
                </c:pt>
                <c:pt idx="2">
                  <c:v>-2.820630725106541</c:v>
                </c:pt>
                <c:pt idx="3">
                  <c:v>-9.0044346772452784</c:v>
                </c:pt>
                <c:pt idx="4">
                  <c:v>-23.993519706561127</c:v>
                </c:pt>
                <c:pt idx="5">
                  <c:v>-23.091085476769429</c:v>
                </c:pt>
                <c:pt idx="6">
                  <c:v>-18.690914725564404</c:v>
                </c:pt>
                <c:pt idx="7">
                  <c:v>-28.131438059948614</c:v>
                </c:pt>
                <c:pt idx="8">
                  <c:v>-27.092386634355012</c:v>
                </c:pt>
                <c:pt idx="9">
                  <c:v>-29.603448687733977</c:v>
                </c:pt>
                <c:pt idx="10">
                  <c:v>-32.834051621264564</c:v>
                </c:pt>
                <c:pt idx="11">
                  <c:v>-29.938451890771152</c:v>
                </c:pt>
                <c:pt idx="12">
                  <c:v>-36.332425086723006</c:v>
                </c:pt>
                <c:pt idx="13">
                  <c:v>-37.630624108246849</c:v>
                </c:pt>
                <c:pt idx="14">
                  <c:v>-38.95760632615098</c:v>
                </c:pt>
                <c:pt idx="15">
                  <c:v>-40.313474636657837</c:v>
                </c:pt>
                <c:pt idx="16">
                  <c:v>-15.40191066461577</c:v>
                </c:pt>
                <c:pt idx="17">
                  <c:v>-43.111801236400154</c:v>
                </c:pt>
                <c:pt idx="18">
                  <c:v>-44.40830101630555</c:v>
                </c:pt>
                <c:pt idx="19">
                  <c:v>-45.297367745554126</c:v>
                </c:pt>
                <c:pt idx="20">
                  <c:v>-42.046694322920338</c:v>
                </c:pt>
                <c:pt idx="21">
                  <c:v>-49.059230862073512</c:v>
                </c:pt>
                <c:pt idx="22">
                  <c:v>-50.621487331209657</c:v>
                </c:pt>
                <c:pt idx="23">
                  <c:v>-52.214532941398637</c:v>
                </c:pt>
                <c:pt idx="24">
                  <c:v>-53.838727664240977</c:v>
                </c:pt>
                <c:pt idx="25">
                  <c:v>-55.494456353070291</c:v>
                </c:pt>
                <c:pt idx="26">
                  <c:v>-57.182128229600117</c:v>
                </c:pt>
                <c:pt idx="27">
                  <c:v>-58.901535921953034</c:v>
                </c:pt>
                <c:pt idx="28">
                  <c:v>-60.47555158239475</c:v>
                </c:pt>
                <c:pt idx="29">
                  <c:v>-61.550126520352272</c:v>
                </c:pt>
                <c:pt idx="30">
                  <c:v>-64.256776914811326</c:v>
                </c:pt>
                <c:pt idx="31">
                  <c:v>-66.109845271837813</c:v>
                </c:pt>
                <c:pt idx="32">
                  <c:v>-67.997801289353745</c:v>
                </c:pt>
                <c:pt idx="33">
                  <c:v>-71.907717893993492</c:v>
                </c:pt>
                <c:pt idx="34">
                  <c:v>-74.892054387901467</c:v>
                </c:pt>
                <c:pt idx="35">
                  <c:v>-76.731970344923354</c:v>
                </c:pt>
                <c:pt idx="36">
                  <c:v>-78.609182632583284</c:v>
                </c:pt>
                <c:pt idx="37">
                  <c:v>-81.031014635485832</c:v>
                </c:pt>
                <c:pt idx="38">
                  <c:v>-83.504244553223046</c:v>
                </c:pt>
                <c:pt idx="39">
                  <c:v>-86.016938825736815</c:v>
                </c:pt>
              </c:numCache>
            </c:numRef>
          </c:val>
          <c:smooth val="0"/>
          <c:extLst>
            <c:ext xmlns:c16="http://schemas.microsoft.com/office/drawing/2014/chart" uri="{C3380CC4-5D6E-409C-BE32-E72D297353CC}">
              <c16:uniqueId val="{00000000-0F53-4875-A998-AA11574BCA77}"/>
            </c:ext>
          </c:extLst>
        </c:ser>
        <c:ser>
          <c:idx val="1"/>
          <c:order val="1"/>
          <c:tx>
            <c:strRef>
              <c:f>'NPV Summary'!$AE$2</c:f>
              <c:strCache>
                <c:ptCount val="1"/>
                <c:pt idx="0">
                  <c:v>Option 2b</c:v>
                </c:pt>
              </c:strCache>
            </c:strRef>
          </c:tx>
          <c:spPr>
            <a:ln w="28575" cap="rnd">
              <a:solidFill>
                <a:schemeClr val="accent2"/>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Summary'!$AE$4:$AE$43</c:f>
              <c:numCache>
                <c:formatCode>"$"#,##0.0_);[Red]\("$"#,##0.0\)</c:formatCode>
                <c:ptCount val="40"/>
                <c:pt idx="0">
                  <c:v>0.87084351467953247</c:v>
                </c:pt>
                <c:pt idx="1">
                  <c:v>4.1502126544859816</c:v>
                </c:pt>
                <c:pt idx="2">
                  <c:v>1.3504000575422459</c:v>
                </c:pt>
                <c:pt idx="3">
                  <c:v>-3.1395405300211756</c:v>
                </c:pt>
                <c:pt idx="4">
                  <c:v>-3.9101301054540833</c:v>
                </c:pt>
                <c:pt idx="5">
                  <c:v>-4.6791720531980321</c:v>
                </c:pt>
                <c:pt idx="6">
                  <c:v>-2.304725164688997</c:v>
                </c:pt>
                <c:pt idx="7">
                  <c:v>-6.9845718372441157</c:v>
                </c:pt>
                <c:pt idx="8">
                  <c:v>-4.1816151102983099</c:v>
                </c:pt>
                <c:pt idx="9">
                  <c:v>-5.4223231562614478</c:v>
                </c:pt>
                <c:pt idx="10">
                  <c:v>-6.5027519287215103</c:v>
                </c:pt>
                <c:pt idx="11">
                  <c:v>-5.0218264318331851</c:v>
                </c:pt>
                <c:pt idx="12">
                  <c:v>-5.1308020816153848</c:v>
                </c:pt>
                <c:pt idx="13">
                  <c:v>-5.2385489253293205</c:v>
                </c:pt>
                <c:pt idx="14">
                  <c:v>-5.3485584527612176</c:v>
                </c:pt>
                <c:pt idx="15">
                  <c:v>-5.4608781802692192</c:v>
                </c:pt>
                <c:pt idx="16">
                  <c:v>2.2132307872667685</c:v>
                </c:pt>
                <c:pt idx="17">
                  <c:v>-5.6926433111180215</c:v>
                </c:pt>
                <c:pt idx="18">
                  <c:v>-5.8121888206515013</c:v>
                </c:pt>
                <c:pt idx="19">
                  <c:v>-5.9342447858851628</c:v>
                </c:pt>
                <c:pt idx="20">
                  <c:v>4.2926111419092043</c:v>
                </c:pt>
                <c:pt idx="21">
                  <c:v>-6.1861000688429328</c:v>
                </c:pt>
                <c:pt idx="22">
                  <c:v>-6.3160081702886295</c:v>
                </c:pt>
                <c:pt idx="23">
                  <c:v>-6.4486443418646902</c:v>
                </c:pt>
                <c:pt idx="24">
                  <c:v>-6.5840658730438424</c:v>
                </c:pt>
                <c:pt idx="25">
                  <c:v>-6.722331256377764</c:v>
                </c:pt>
                <c:pt idx="26">
                  <c:v>-6.8635002127617151</c:v>
                </c:pt>
                <c:pt idx="27">
                  <c:v>-7.0076337172296865</c:v>
                </c:pt>
                <c:pt idx="28">
                  <c:v>-7.1547940252915101</c:v>
                </c:pt>
                <c:pt idx="29">
                  <c:v>-7.3050446998226342</c:v>
                </c:pt>
                <c:pt idx="30">
                  <c:v>-7.4584506385189</c:v>
                </c:pt>
                <c:pt idx="31">
                  <c:v>-7.6150781019278098</c:v>
                </c:pt>
                <c:pt idx="32">
                  <c:v>-7.7749947420682908</c:v>
                </c:pt>
                <c:pt idx="33">
                  <c:v>-7.938269631651707</c:v>
                </c:pt>
                <c:pt idx="34">
                  <c:v>-8.1049732939164034</c:v>
                </c:pt>
                <c:pt idx="35">
                  <c:v>-8.2751777330886505</c:v>
                </c:pt>
                <c:pt idx="36">
                  <c:v>-8.4489564654835085</c:v>
                </c:pt>
                <c:pt idx="37">
                  <c:v>-8.6263845512586617</c:v>
                </c:pt>
                <c:pt idx="38">
                  <c:v>-8.8075386268351004</c:v>
                </c:pt>
                <c:pt idx="39">
                  <c:v>-8.9924969379986379</c:v>
                </c:pt>
              </c:numCache>
            </c:numRef>
          </c:val>
          <c:smooth val="0"/>
          <c:extLst>
            <c:ext xmlns:c16="http://schemas.microsoft.com/office/drawing/2014/chart" uri="{C3380CC4-5D6E-409C-BE32-E72D297353CC}">
              <c16:uniqueId val="{00000001-0F53-4875-A998-AA11574BCA77}"/>
            </c:ext>
          </c:extLst>
        </c:ser>
        <c:ser>
          <c:idx val="2"/>
          <c:order val="2"/>
          <c:tx>
            <c:strRef>
              <c:f>'NPV Summary'!$AF$2</c:f>
              <c:strCache>
                <c:ptCount val="1"/>
                <c:pt idx="0">
                  <c:v>Option 2a</c:v>
                </c:pt>
              </c:strCache>
            </c:strRef>
          </c:tx>
          <c:spPr>
            <a:ln w="28575" cap="rnd">
              <a:solidFill>
                <a:schemeClr val="accent3"/>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Summary'!$AF$4:$AF$43</c:f>
              <c:numCache>
                <c:formatCode>"$"#,##0.0_);[Red]\("$"#,##0.0\)</c:formatCode>
                <c:ptCount val="40"/>
                <c:pt idx="0">
                  <c:v>-1.7400427838188075</c:v>
                </c:pt>
                <c:pt idx="1">
                  <c:v>-3.7305105211388767</c:v>
                </c:pt>
                <c:pt idx="2">
                  <c:v>0.35974012554908169</c:v>
                </c:pt>
                <c:pt idx="3">
                  <c:v>9.6998914308317002E-2</c:v>
                </c:pt>
                <c:pt idx="4">
                  <c:v>-0.32120411232710255</c:v>
                </c:pt>
                <c:pt idx="5">
                  <c:v>-0.43288444681921601</c:v>
                </c:pt>
                <c:pt idx="6">
                  <c:v>2.5748884649668038</c:v>
                </c:pt>
                <c:pt idx="7">
                  <c:v>-1.3903558958878071</c:v>
                </c:pt>
                <c:pt idx="8">
                  <c:v>0.10730327602843941</c:v>
                </c:pt>
                <c:pt idx="9">
                  <c:v>0.11726613310925663</c:v>
                </c:pt>
                <c:pt idx="10">
                  <c:v>-1.5793609252516925</c:v>
                </c:pt>
                <c:pt idx="11">
                  <c:v>-2.1041783587162941</c:v>
                </c:pt>
                <c:pt idx="12">
                  <c:v>-3.1936626040461884</c:v>
                </c:pt>
                <c:pt idx="13">
                  <c:v>-3.2607295187311696</c:v>
                </c:pt>
                <c:pt idx="14">
                  <c:v>-3.3292048386245146</c:v>
                </c:pt>
                <c:pt idx="15">
                  <c:v>-3.3991181402356325</c:v>
                </c:pt>
                <c:pt idx="16">
                  <c:v>4.3182877881410642</c:v>
                </c:pt>
                <c:pt idx="17">
                  <c:v>-3.5433801132253708</c:v>
                </c:pt>
                <c:pt idx="18">
                  <c:v>-3.617791095603101</c:v>
                </c:pt>
                <c:pt idx="19">
                  <c:v>-3.6937647086107583</c:v>
                </c:pt>
                <c:pt idx="20">
                  <c:v>6.5801413008063658</c:v>
                </c:pt>
                <c:pt idx="21">
                  <c:v>-3.8505317766089142</c:v>
                </c:pt>
                <c:pt idx="22">
                  <c:v>-3.9313929439176993</c:v>
                </c:pt>
                <c:pt idx="23">
                  <c:v>-4.0139521957399698</c:v>
                </c:pt>
                <c:pt idx="24">
                  <c:v>-4.0982451918505136</c:v>
                </c:pt>
                <c:pt idx="25">
                  <c:v>-4.1843083408793733</c:v>
                </c:pt>
                <c:pt idx="26">
                  <c:v>-4.2721788160378411</c:v>
                </c:pt>
                <c:pt idx="27">
                  <c:v>-4.3618945711746289</c:v>
                </c:pt>
                <c:pt idx="28">
                  <c:v>-4.4534943571693004</c:v>
                </c:pt>
                <c:pt idx="29">
                  <c:v>-4.54701773866985</c:v>
                </c:pt>
                <c:pt idx="30">
                  <c:v>-4.6425051111819222</c:v>
                </c:pt>
                <c:pt idx="31">
                  <c:v>-4.7399977185167295</c:v>
                </c:pt>
                <c:pt idx="32">
                  <c:v>-4.8395376706055995</c:v>
                </c:pt>
                <c:pt idx="33">
                  <c:v>-4.9411679616882953</c:v>
                </c:pt>
                <c:pt idx="34">
                  <c:v>-5.0449324888837488</c:v>
                </c:pt>
                <c:pt idx="35">
                  <c:v>-5.1508760711503179</c:v>
                </c:pt>
                <c:pt idx="36">
                  <c:v>-5.2590444686444702</c:v>
                </c:pt>
                <c:pt idx="37">
                  <c:v>-5.3694844024860116</c:v>
                </c:pt>
                <c:pt idx="38">
                  <c:v>-5.4822435749382077</c:v>
                </c:pt>
                <c:pt idx="39">
                  <c:v>-5.5973706900119113</c:v>
                </c:pt>
              </c:numCache>
            </c:numRef>
          </c:val>
          <c:smooth val="0"/>
          <c:extLst>
            <c:ext xmlns:c16="http://schemas.microsoft.com/office/drawing/2014/chart" uri="{C3380CC4-5D6E-409C-BE32-E72D297353CC}">
              <c16:uniqueId val="{00000002-0F53-4875-A998-AA11574BCA77}"/>
            </c:ext>
          </c:extLst>
        </c:ser>
        <c:ser>
          <c:idx val="3"/>
          <c:order val="3"/>
          <c:tx>
            <c:strRef>
              <c:f>'NPV Summary'!$AG$2</c:f>
              <c:strCache>
                <c:ptCount val="1"/>
                <c:pt idx="0">
                  <c:v>Option 3</c:v>
                </c:pt>
              </c:strCache>
            </c:strRef>
          </c:tx>
          <c:spPr>
            <a:ln w="28575" cap="rnd">
              <a:solidFill>
                <a:schemeClr val="accent4"/>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Summary'!$AG$4:$AG$43</c:f>
              <c:numCache>
                <c:formatCode>"$"#,##0.0_);[Red]\("$"#,##0.0\)</c:formatCode>
                <c:ptCount val="40"/>
                <c:pt idx="0">
                  <c:v>213.87132527644002</c:v>
                </c:pt>
                <c:pt idx="1">
                  <c:v>203.12265015980279</c:v>
                </c:pt>
                <c:pt idx="2">
                  <c:v>204.68604820086819</c:v>
                </c:pt>
                <c:pt idx="3">
                  <c:v>210.34177299769891</c:v>
                </c:pt>
                <c:pt idx="4">
                  <c:v>213.06438411817734</c:v>
                </c:pt>
                <c:pt idx="5">
                  <c:v>224.16869880520599</c:v>
                </c:pt>
                <c:pt idx="6">
                  <c:v>222.45173329906035</c:v>
                </c:pt>
                <c:pt idx="7">
                  <c:v>219.56279779113322</c:v>
                </c:pt>
                <c:pt idx="8">
                  <c:v>229.78196102820772</c:v>
                </c:pt>
                <c:pt idx="9">
                  <c:v>228.19983796158195</c:v>
                </c:pt>
                <c:pt idx="10">
                  <c:v>231.58766121895241</c:v>
                </c:pt>
                <c:pt idx="11">
                  <c:v>235.68088553293788</c:v>
                </c:pt>
                <c:pt idx="12">
                  <c:v>196.31016537892285</c:v>
                </c:pt>
                <c:pt idx="13">
                  <c:v>200.43267885188018</c:v>
                </c:pt>
                <c:pt idx="14">
                  <c:v>204.64176510776971</c:v>
                </c:pt>
                <c:pt idx="15">
                  <c:v>208.9392421750328</c:v>
                </c:pt>
                <c:pt idx="16">
                  <c:v>246.72070274027575</c:v>
                </c:pt>
                <c:pt idx="17">
                  <c:v>217.80683255218341</c:v>
                </c:pt>
                <c:pt idx="18">
                  <c:v>222.38077603577918</c:v>
                </c:pt>
                <c:pt idx="19">
                  <c:v>227.05077233253053</c:v>
                </c:pt>
                <c:pt idx="20">
                  <c:v>283.44373858306813</c:v>
                </c:pt>
                <c:pt idx="21">
                  <c:v>236.68703416109534</c:v>
                </c:pt>
                <c:pt idx="22">
                  <c:v>241.65746187847839</c:v>
                </c:pt>
                <c:pt idx="23">
                  <c:v>246.73226857792648</c:v>
                </c:pt>
                <c:pt idx="24">
                  <c:v>251.91364621806284</c:v>
                </c:pt>
                <c:pt idx="25">
                  <c:v>257.20383278864216</c:v>
                </c:pt>
                <c:pt idx="26">
                  <c:v>262.60511327720349</c:v>
                </c:pt>
                <c:pt idx="27">
                  <c:v>268.1198206560249</c:v>
                </c:pt>
                <c:pt idx="28">
                  <c:v>273.75033688980125</c:v>
                </c:pt>
                <c:pt idx="29">
                  <c:v>279.49909396448703</c:v>
                </c:pt>
                <c:pt idx="30">
                  <c:v>285.3685749377413</c:v>
                </c:pt>
                <c:pt idx="31">
                  <c:v>291.36131501143382</c:v>
                </c:pt>
                <c:pt idx="32">
                  <c:v>297.47990262667395</c:v>
                </c:pt>
                <c:pt idx="33">
                  <c:v>303.72698058183397</c:v>
                </c:pt>
                <c:pt idx="34">
                  <c:v>310.10524717405235</c:v>
                </c:pt>
                <c:pt idx="35">
                  <c:v>316.6174573647076</c:v>
                </c:pt>
                <c:pt idx="36">
                  <c:v>323.26642396936643</c:v>
                </c:pt>
                <c:pt idx="37">
                  <c:v>330.05501887272305</c:v>
                </c:pt>
                <c:pt idx="38">
                  <c:v>336.98617426905014</c:v>
                </c:pt>
                <c:pt idx="39">
                  <c:v>344.0628839287001</c:v>
                </c:pt>
              </c:numCache>
            </c:numRef>
          </c:val>
          <c:smooth val="0"/>
          <c:extLst>
            <c:ext xmlns:c16="http://schemas.microsoft.com/office/drawing/2014/chart" uri="{C3380CC4-5D6E-409C-BE32-E72D297353CC}">
              <c16:uniqueId val="{00000003-0F53-4875-A998-AA11574BCA77}"/>
            </c:ext>
          </c:extLst>
        </c:ser>
        <c:ser>
          <c:idx val="4"/>
          <c:order val="4"/>
          <c:tx>
            <c:strRef>
              <c:f>'NPV Summary'!$AH$2</c:f>
              <c:strCache>
                <c:ptCount val="1"/>
                <c:pt idx="0">
                  <c:v>Option 4a</c:v>
                </c:pt>
              </c:strCache>
            </c:strRef>
          </c:tx>
          <c:spPr>
            <a:ln w="28575" cap="rnd">
              <a:solidFill>
                <a:schemeClr val="accent5"/>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Summary'!$AH$4:$AH$43</c:f>
              <c:numCache>
                <c:formatCode>"$"#,##0.0_);[Red]\("$"#,##0.0\)</c:formatCode>
                <c:ptCount val="40"/>
                <c:pt idx="0">
                  <c:v>26.358411953439798</c:v>
                </c:pt>
                <c:pt idx="1">
                  <c:v>26.911938604462026</c:v>
                </c:pt>
                <c:pt idx="2">
                  <c:v>27.47708931515573</c:v>
                </c:pt>
                <c:pt idx="3">
                  <c:v>28.054108190773999</c:v>
                </c:pt>
                <c:pt idx="4">
                  <c:v>28.643244462780249</c:v>
                </c:pt>
                <c:pt idx="5">
                  <c:v>29.244752596498632</c:v>
                </c:pt>
                <c:pt idx="6">
                  <c:v>29.858892401025095</c:v>
                </c:pt>
                <c:pt idx="7">
                  <c:v>30.485929141446618</c:v>
                </c:pt>
                <c:pt idx="8">
                  <c:v>31.126133653417</c:v>
                </c:pt>
                <c:pt idx="9">
                  <c:v>31.779782460138744</c:v>
                </c:pt>
                <c:pt idx="10">
                  <c:v>32.447157891801652</c:v>
                </c:pt>
                <c:pt idx="11">
                  <c:v>33.128548207529491</c:v>
                </c:pt>
                <c:pt idx="12">
                  <c:v>33.824247719887602</c:v>
                </c:pt>
                <c:pt idx="13">
                  <c:v>34.534556922005244</c:v>
                </c:pt>
                <c:pt idx="14">
                  <c:v>35.25978261736735</c:v>
                </c:pt>
                <c:pt idx="15">
                  <c:v>36.000238052332051</c:v>
                </c:pt>
                <c:pt idx="16">
                  <c:v>36.756243051431021</c:v>
                </c:pt>
                <c:pt idx="17">
                  <c:v>37.528124155511065</c:v>
                </c:pt>
                <c:pt idx="18">
                  <c:v>38.316214762776809</c:v>
                </c:pt>
                <c:pt idx="19">
                  <c:v>39.120855272795112</c:v>
                </c:pt>
                <c:pt idx="20">
                  <c:v>39.942393233523802</c:v>
                </c:pt>
                <c:pt idx="21">
                  <c:v>40.781183491427797</c:v>
                </c:pt>
                <c:pt idx="22">
                  <c:v>41.637588344747769</c:v>
                </c:pt>
                <c:pt idx="23">
                  <c:v>42.511977699987462</c:v>
                </c:pt>
                <c:pt idx="24">
                  <c:v>43.40472923168722</c:v>
                </c:pt>
                <c:pt idx="25">
                  <c:v>44.316228545552626</c:v>
                </c:pt>
                <c:pt idx="26">
                  <c:v>45.24686934500923</c:v>
                </c:pt>
                <c:pt idx="27">
                  <c:v>46.197053601254417</c:v>
                </c:pt>
                <c:pt idx="28">
                  <c:v>47.167191726880752</c:v>
                </c:pt>
                <c:pt idx="29">
                  <c:v>48.157702753145237</c:v>
                </c:pt>
                <c:pt idx="30">
                  <c:v>49.169014510961297</c:v>
                </c:pt>
                <c:pt idx="31">
                  <c:v>50.201563815691472</c:v>
                </c:pt>
                <c:pt idx="32">
                  <c:v>51.255796655820987</c:v>
                </c:pt>
                <c:pt idx="33">
                  <c:v>52.332168385593221</c:v>
                </c:pt>
                <c:pt idx="34">
                  <c:v>53.431143921690662</c:v>
                </c:pt>
                <c:pt idx="35">
                  <c:v>54.553197944046168</c:v>
                </c:pt>
                <c:pt idx="36">
                  <c:v>55.698815100871123</c:v>
                </c:pt>
                <c:pt idx="37">
                  <c:v>56.868490217989425</c:v>
                </c:pt>
                <c:pt idx="38">
                  <c:v>58.062728512567183</c:v>
                </c:pt>
                <c:pt idx="39">
                  <c:v>59.282045811331095</c:v>
                </c:pt>
              </c:numCache>
            </c:numRef>
          </c:val>
          <c:smooth val="0"/>
          <c:extLst>
            <c:ext xmlns:c16="http://schemas.microsoft.com/office/drawing/2014/chart" uri="{C3380CC4-5D6E-409C-BE32-E72D297353CC}">
              <c16:uniqueId val="{00000004-0F53-4875-A998-AA11574BCA77}"/>
            </c:ext>
          </c:extLst>
        </c:ser>
        <c:ser>
          <c:idx val="5"/>
          <c:order val="5"/>
          <c:tx>
            <c:strRef>
              <c:f>'NPV Summary'!$AI$2</c:f>
              <c:strCache>
                <c:ptCount val="1"/>
                <c:pt idx="0">
                  <c:v>Option 4b</c:v>
                </c:pt>
              </c:strCache>
            </c:strRef>
          </c:tx>
          <c:spPr>
            <a:ln w="28575" cap="rnd">
              <a:solidFill>
                <a:schemeClr val="accent6"/>
              </a:solidFill>
              <a:round/>
            </a:ln>
            <a:effectLst/>
          </c:spPr>
          <c:marker>
            <c:symbol val="none"/>
          </c:marker>
          <c:cat>
            <c:numRef>
              <c:f>'NPV Summary'!$AC$3:$AC$43</c:f>
              <c:numCache>
                <c:formatCode>General</c:formatCode>
                <c:ptCount val="41"/>
                <c:pt idx="0">
                  <c:v>2023</c:v>
                </c:pt>
                <c:pt idx="1">
                  <c:v>2024</c:v>
                </c:pt>
                <c:pt idx="2">
                  <c:v>2025</c:v>
                </c:pt>
                <c:pt idx="3">
                  <c:v>2026</c:v>
                </c:pt>
                <c:pt idx="4">
                  <c:v>2027</c:v>
                </c:pt>
                <c:pt idx="5">
                  <c:v>2028</c:v>
                </c:pt>
                <c:pt idx="6">
                  <c:v>2029</c:v>
                </c:pt>
                <c:pt idx="7">
                  <c:v>2030</c:v>
                </c:pt>
                <c:pt idx="8">
                  <c:v>2031</c:v>
                </c:pt>
                <c:pt idx="9">
                  <c:v>2032</c:v>
                </c:pt>
                <c:pt idx="10">
                  <c:v>2033</c:v>
                </c:pt>
                <c:pt idx="11">
                  <c:v>2034</c:v>
                </c:pt>
                <c:pt idx="12">
                  <c:v>2035</c:v>
                </c:pt>
                <c:pt idx="13">
                  <c:v>2036</c:v>
                </c:pt>
                <c:pt idx="14">
                  <c:v>2037</c:v>
                </c:pt>
                <c:pt idx="15">
                  <c:v>2038</c:v>
                </c:pt>
                <c:pt idx="16">
                  <c:v>2039</c:v>
                </c:pt>
                <c:pt idx="17">
                  <c:v>2040</c:v>
                </c:pt>
                <c:pt idx="18">
                  <c:v>2041</c:v>
                </c:pt>
                <c:pt idx="19">
                  <c:v>2042</c:v>
                </c:pt>
                <c:pt idx="20">
                  <c:v>2043</c:v>
                </c:pt>
                <c:pt idx="21">
                  <c:v>2044</c:v>
                </c:pt>
                <c:pt idx="22">
                  <c:v>2045</c:v>
                </c:pt>
                <c:pt idx="23">
                  <c:v>2046</c:v>
                </c:pt>
                <c:pt idx="24">
                  <c:v>2047</c:v>
                </c:pt>
                <c:pt idx="25">
                  <c:v>2048</c:v>
                </c:pt>
                <c:pt idx="26">
                  <c:v>2049</c:v>
                </c:pt>
                <c:pt idx="27">
                  <c:v>2050</c:v>
                </c:pt>
                <c:pt idx="28">
                  <c:v>2051</c:v>
                </c:pt>
                <c:pt idx="29">
                  <c:v>2052</c:v>
                </c:pt>
                <c:pt idx="30">
                  <c:v>2053</c:v>
                </c:pt>
                <c:pt idx="31">
                  <c:v>2054</c:v>
                </c:pt>
                <c:pt idx="32">
                  <c:v>2055</c:v>
                </c:pt>
                <c:pt idx="33">
                  <c:v>2056</c:v>
                </c:pt>
                <c:pt idx="34">
                  <c:v>2057</c:v>
                </c:pt>
                <c:pt idx="35">
                  <c:v>2058</c:v>
                </c:pt>
                <c:pt idx="36">
                  <c:v>2059</c:v>
                </c:pt>
                <c:pt idx="37">
                  <c:v>2060</c:v>
                </c:pt>
                <c:pt idx="38">
                  <c:v>2061</c:v>
                </c:pt>
                <c:pt idx="39">
                  <c:v>2062</c:v>
                </c:pt>
                <c:pt idx="40">
                  <c:v>2063</c:v>
                </c:pt>
              </c:numCache>
            </c:numRef>
          </c:cat>
          <c:val>
            <c:numRef>
              <c:f>'NPV Summary'!$AI$4:$AI$43</c:f>
              <c:numCache>
                <c:formatCode>"$"#,##0.0_);[Red]\("$"#,##0.0\)</c:formatCode>
                <c:ptCount val="40"/>
                <c:pt idx="0">
                  <c:v>68.543469205510164</c:v>
                </c:pt>
                <c:pt idx="1">
                  <c:v>69.982882058825865</c:v>
                </c:pt>
                <c:pt idx="2">
                  <c:v>71.452522582061206</c:v>
                </c:pt>
                <c:pt idx="3">
                  <c:v>72.953025556284473</c:v>
                </c:pt>
                <c:pt idx="4">
                  <c:v>74.485039092966431</c:v>
                </c:pt>
                <c:pt idx="5">
                  <c:v>76.049224913918721</c:v>
                </c:pt>
                <c:pt idx="6">
                  <c:v>77.646258637110989</c:v>
                </c:pt>
                <c:pt idx="7">
                  <c:v>79.276830068490327</c:v>
                </c:pt>
                <c:pt idx="8">
                  <c:v>80.941643499928617</c:v>
                </c:pt>
                <c:pt idx="9">
                  <c:v>82.641418013427099</c:v>
                </c:pt>
                <c:pt idx="10">
                  <c:v>84.376887791709052</c:v>
                </c:pt>
                <c:pt idx="11">
                  <c:v>86.148802435334957</c:v>
                </c:pt>
                <c:pt idx="12">
                  <c:v>87.957927286476973</c:v>
                </c:pt>
                <c:pt idx="13">
                  <c:v>89.805043759492989</c:v>
                </c:pt>
                <c:pt idx="14">
                  <c:v>91.690949678442323</c:v>
                </c:pt>
                <c:pt idx="15">
                  <c:v>93.6164596216896</c:v>
                </c:pt>
                <c:pt idx="16">
                  <c:v>95.582405273745081</c:v>
                </c:pt>
                <c:pt idx="17">
                  <c:v>97.589635784493694</c:v>
                </c:pt>
                <c:pt idx="18">
                  <c:v>99.639018135968058</c:v>
                </c:pt>
                <c:pt idx="19">
                  <c:v>101.73143751682338</c:v>
                </c:pt>
                <c:pt idx="20">
                  <c:v>103.86779770467668</c:v>
                </c:pt>
                <c:pt idx="21">
                  <c:v>106.04902145647486</c:v>
                </c:pt>
                <c:pt idx="22">
                  <c:v>108.27605090706081</c:v>
                </c:pt>
                <c:pt idx="23">
                  <c:v>110.54984797610908</c:v>
                </c:pt>
                <c:pt idx="24">
                  <c:v>112.87139478360736</c:v>
                </c:pt>
                <c:pt idx="25">
                  <c:v>115.24169407406309</c:v>
                </c:pt>
                <c:pt idx="26">
                  <c:v>117.66176964961839</c:v>
                </c:pt>
                <c:pt idx="27">
                  <c:v>120.13266681226037</c:v>
                </c:pt>
                <c:pt idx="28">
                  <c:v>122.65545281531783</c:v>
                </c:pt>
                <c:pt idx="29">
                  <c:v>125.23121732443948</c:v>
                </c:pt>
                <c:pt idx="30">
                  <c:v>127.86107288825272</c:v>
                </c:pt>
                <c:pt idx="31">
                  <c:v>130.54615541890598</c:v>
                </c:pt>
                <c:pt idx="32">
                  <c:v>133.28762468270301</c:v>
                </c:pt>
                <c:pt idx="33">
                  <c:v>136.08666480103975</c:v>
                </c:pt>
                <c:pt idx="34">
                  <c:v>138.94448476186156</c:v>
                </c:pt>
                <c:pt idx="35">
                  <c:v>141.86231894186065</c:v>
                </c:pt>
                <c:pt idx="36">
                  <c:v>144.8414276396397</c:v>
                </c:pt>
                <c:pt idx="37">
                  <c:v>147.88309762007214</c:v>
                </c:pt>
                <c:pt idx="38">
                  <c:v>150.98864267009358</c:v>
                </c:pt>
                <c:pt idx="39">
                  <c:v>154.15940416616556</c:v>
                </c:pt>
              </c:numCache>
            </c:numRef>
          </c:val>
          <c:smooth val="0"/>
          <c:extLst>
            <c:ext xmlns:c16="http://schemas.microsoft.com/office/drawing/2014/chart" uri="{C3380CC4-5D6E-409C-BE32-E72D297353CC}">
              <c16:uniqueId val="{00000005-0F53-4875-A998-AA11574BCA77}"/>
            </c:ext>
          </c:extLst>
        </c:ser>
        <c:dLbls>
          <c:showLegendKey val="0"/>
          <c:showVal val="0"/>
          <c:showCatName val="0"/>
          <c:showSerName val="0"/>
          <c:showPercent val="0"/>
          <c:showBubbleSize val="0"/>
        </c:dLbls>
        <c:smooth val="0"/>
        <c:axId val="1013801711"/>
        <c:axId val="1013799215"/>
      </c:lineChart>
      <c:catAx>
        <c:axId val="1013801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3799215"/>
        <c:crosses val="autoZero"/>
        <c:auto val="1"/>
        <c:lblAlgn val="ctr"/>
        <c:lblOffset val="100"/>
        <c:tickLblSkip val="5"/>
        <c:noMultiLvlLbl val="0"/>
      </c:catAx>
      <c:valAx>
        <c:axId val="10137992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Million</a:t>
                </a:r>
                <a:r>
                  <a:rPr lang="en-US" baseline="0"/>
                  <a:t> C$</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_);[Red]\(&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3801711"/>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NPV</c:v>
          </c:tx>
          <c:spPr>
            <a:solidFill>
              <a:schemeClr val="accent1"/>
            </a:solidFill>
            <a:ln>
              <a:noFill/>
            </a:ln>
            <a:effectLst/>
          </c:spPr>
          <c:invertIfNegative val="0"/>
          <c:cat>
            <c:numRef>
              <c:f>'Option 1 Dawn Corunna'!$C$51:$C$90</c:f>
              <c:numCache>
                <c:formatCode>General</c:formatCode>
                <c:ptCount val="4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numCache>
            </c:numRef>
          </c:cat>
          <c:val>
            <c:numRef>
              <c:f>'Option 1 Dawn Corunna'!$D$51:$D$90</c:f>
              <c:numCache>
                <c:formatCode>"$"#,##0_);[Red]\("$"#,##0\)</c:formatCode>
                <c:ptCount val="40"/>
                <c:pt idx="0">
                  <c:v>-7114166.6791019784</c:v>
                </c:pt>
                <c:pt idx="1">
                  <c:v>-7760844.3976019779</c:v>
                </c:pt>
                <c:pt idx="2">
                  <c:v>-10202989.06256409</c:v>
                </c:pt>
                <c:pt idx="3">
                  <c:v>-17633579.49702606</c:v>
                </c:pt>
                <c:pt idx="4">
                  <c:v>-36504911.336318426</c:v>
                </c:pt>
                <c:pt idx="5">
                  <c:v>-53814815.260842122</c:v>
                </c:pt>
                <c:pt idx="6">
                  <c:v>-67169159.981946871</c:v>
                </c:pt>
                <c:pt idx="7">
                  <c:v>-86326079.656038806</c:v>
                </c:pt>
                <c:pt idx="8">
                  <c:v>-103910284.22346371</c:v>
                </c:pt>
                <c:pt idx="9">
                  <c:v>-122223283.93044475</c:v>
                </c:pt>
                <c:pt idx="10">
                  <c:v>-141582304.24428418</c:v>
                </c:pt>
                <c:pt idx="11">
                  <c:v>-158406331.23121613</c:v>
                </c:pt>
                <c:pt idx="12">
                  <c:v>-177866057.27020583</c:v>
                </c:pt>
                <c:pt idx="13">
                  <c:v>-197075973.64790866</c:v>
                </c:pt>
                <c:pt idx="14">
                  <c:v>-216030722.56202528</c:v>
                </c:pt>
                <c:pt idx="15">
                  <c:v>-234725389.02187333</c:v>
                </c:pt>
                <c:pt idx="16">
                  <c:v>-241532828.79012099</c:v>
                </c:pt>
                <c:pt idx="17">
                  <c:v>-259694135.53732133</c:v>
                </c:pt>
                <c:pt idx="18">
                  <c:v>-277524359.6388998</c:v>
                </c:pt>
                <c:pt idx="19">
                  <c:v>-294858700.30240488</c:v>
                </c:pt>
                <c:pt idx="20">
                  <c:v>-310194553.31296325</c:v>
                </c:pt>
                <c:pt idx="21">
                  <c:v>-327249035.31116712</c:v>
                </c:pt>
                <c:pt idx="22">
                  <c:v>-344021404.64167267</c:v>
                </c:pt>
                <c:pt idx="23">
                  <c:v>-360510340.61181623</c:v>
                </c:pt>
                <c:pt idx="24">
                  <c:v>-376714919.14802718</c:v>
                </c:pt>
                <c:pt idx="25">
                  <c:v>-392634596.85951614</c:v>
                </c:pt>
                <c:pt idx="26">
                  <c:v>-408269194.29207867</c:v>
                </c:pt>
                <c:pt idx="27">
                  <c:v>-423618711.70735317</c:v>
                </c:pt>
                <c:pt idx="28">
                  <c:v>-438639394.07612026</c:v>
                </c:pt>
                <c:pt idx="29">
                  <c:v>-453210096.6245693</c:v>
                </c:pt>
                <c:pt idx="30">
                  <c:v>-467708233.59187603</c:v>
                </c:pt>
                <c:pt idx="31">
                  <c:v>-481925009.54630721</c:v>
                </c:pt>
                <c:pt idx="32">
                  <c:v>-495862082.28630203</c:v>
                </c:pt>
                <c:pt idx="33">
                  <c:v>-509909416.67653292</c:v>
                </c:pt>
                <c:pt idx="34">
                  <c:v>-523853689.67998749</c:v>
                </c:pt>
                <c:pt idx="35">
                  <c:v>-537470588.21022141</c:v>
                </c:pt>
                <c:pt idx="36">
                  <c:v>-550766460.94807756</c:v>
                </c:pt>
                <c:pt idx="37">
                  <c:v>-563829269.56626284</c:v>
                </c:pt>
                <c:pt idx="38">
                  <c:v>-576659532.50052834</c:v>
                </c:pt>
                <c:pt idx="39">
                  <c:v>-589256114.15046537</c:v>
                </c:pt>
              </c:numCache>
            </c:numRef>
          </c:val>
          <c:extLst>
            <c:ext xmlns:c16="http://schemas.microsoft.com/office/drawing/2014/chart" uri="{C3380CC4-5D6E-409C-BE32-E72D297353CC}">
              <c16:uniqueId val="{00000000-2822-4E63-B4E9-2E733FFC4DBB}"/>
            </c:ext>
          </c:extLst>
        </c:ser>
        <c:dLbls>
          <c:showLegendKey val="0"/>
          <c:showVal val="0"/>
          <c:showCatName val="0"/>
          <c:showSerName val="0"/>
          <c:showPercent val="0"/>
          <c:showBubbleSize val="0"/>
        </c:dLbls>
        <c:gapWidth val="150"/>
        <c:axId val="204097503"/>
        <c:axId val="204082527"/>
      </c:barChart>
      <c:lineChart>
        <c:grouping val="standard"/>
        <c:varyColors val="0"/>
        <c:ser>
          <c:idx val="1"/>
          <c:order val="1"/>
          <c:tx>
            <c:v>Initial Investment</c:v>
          </c:tx>
          <c:spPr>
            <a:ln w="28575" cap="rnd">
              <a:solidFill>
                <a:schemeClr val="accent2"/>
              </a:solidFill>
              <a:prstDash val="dash"/>
              <a:round/>
            </a:ln>
            <a:effectLst/>
          </c:spPr>
          <c:marker>
            <c:symbol val="none"/>
          </c:marker>
          <c:val>
            <c:numRef>
              <c:f>'Option 1 Dawn Corunna'!$E$51:$E$90</c:f>
              <c:numCache>
                <c:formatCode>_(* #,##0_);_(* \(#,##0\);_(* "-"_);_(@_)</c:formatCode>
                <c:ptCount val="40"/>
                <c:pt idx="0">
                  <c:v>206387444.4063471</c:v>
                </c:pt>
                <c:pt idx="1">
                  <c:v>206387444.4063471</c:v>
                </c:pt>
                <c:pt idx="2">
                  <c:v>206387444.4063471</c:v>
                </c:pt>
                <c:pt idx="3">
                  <c:v>206387444.4063471</c:v>
                </c:pt>
                <c:pt idx="4">
                  <c:v>206387444.4063471</c:v>
                </c:pt>
                <c:pt idx="5">
                  <c:v>206387444.4063471</c:v>
                </c:pt>
                <c:pt idx="6">
                  <c:v>206387444.4063471</c:v>
                </c:pt>
                <c:pt idx="7">
                  <c:v>206387444.4063471</c:v>
                </c:pt>
                <c:pt idx="8">
                  <c:v>206387444.4063471</c:v>
                </c:pt>
                <c:pt idx="9">
                  <c:v>206387444.4063471</c:v>
                </c:pt>
                <c:pt idx="10">
                  <c:v>206387444.4063471</c:v>
                </c:pt>
                <c:pt idx="11">
                  <c:v>206387444.4063471</c:v>
                </c:pt>
                <c:pt idx="12">
                  <c:v>206387444.4063471</c:v>
                </c:pt>
                <c:pt idx="13">
                  <c:v>206387444.4063471</c:v>
                </c:pt>
                <c:pt idx="14">
                  <c:v>206387444.4063471</c:v>
                </c:pt>
                <c:pt idx="15">
                  <c:v>206387444.4063471</c:v>
                </c:pt>
                <c:pt idx="16">
                  <c:v>206387444.4063471</c:v>
                </c:pt>
                <c:pt idx="17">
                  <c:v>206387444.4063471</c:v>
                </c:pt>
                <c:pt idx="18">
                  <c:v>206387444.4063471</c:v>
                </c:pt>
                <c:pt idx="19">
                  <c:v>206387444.4063471</c:v>
                </c:pt>
                <c:pt idx="20">
                  <c:v>206387444.4063471</c:v>
                </c:pt>
                <c:pt idx="21">
                  <c:v>206387444.4063471</c:v>
                </c:pt>
                <c:pt idx="22">
                  <c:v>206387444.4063471</c:v>
                </c:pt>
                <c:pt idx="23">
                  <c:v>206387444.4063471</c:v>
                </c:pt>
                <c:pt idx="24">
                  <c:v>206387444.4063471</c:v>
                </c:pt>
                <c:pt idx="25">
                  <c:v>206387444.4063471</c:v>
                </c:pt>
                <c:pt idx="26">
                  <c:v>206387444.4063471</c:v>
                </c:pt>
                <c:pt idx="27">
                  <c:v>206387444.4063471</c:v>
                </c:pt>
                <c:pt idx="28">
                  <c:v>206387444.4063471</c:v>
                </c:pt>
                <c:pt idx="29">
                  <c:v>206387444.4063471</c:v>
                </c:pt>
                <c:pt idx="30">
                  <c:v>206387444.4063471</c:v>
                </c:pt>
                <c:pt idx="31">
                  <c:v>206387444.4063471</c:v>
                </c:pt>
                <c:pt idx="32">
                  <c:v>206387444.4063471</c:v>
                </c:pt>
                <c:pt idx="33">
                  <c:v>206387444.4063471</c:v>
                </c:pt>
                <c:pt idx="34">
                  <c:v>206387444.4063471</c:v>
                </c:pt>
                <c:pt idx="35">
                  <c:v>206387444.4063471</c:v>
                </c:pt>
                <c:pt idx="36">
                  <c:v>206387444.4063471</c:v>
                </c:pt>
                <c:pt idx="37">
                  <c:v>206387444.4063471</c:v>
                </c:pt>
                <c:pt idx="38">
                  <c:v>206387444.4063471</c:v>
                </c:pt>
                <c:pt idx="39">
                  <c:v>206387444.4063471</c:v>
                </c:pt>
              </c:numCache>
            </c:numRef>
          </c:val>
          <c:smooth val="0"/>
          <c:extLst>
            <c:ext xmlns:c16="http://schemas.microsoft.com/office/drawing/2014/chart" uri="{C3380CC4-5D6E-409C-BE32-E72D297353CC}">
              <c16:uniqueId val="{00000001-2822-4E63-B4E9-2E733FFC4DBB}"/>
            </c:ext>
          </c:extLst>
        </c:ser>
        <c:dLbls>
          <c:showLegendKey val="0"/>
          <c:showVal val="0"/>
          <c:showCatName val="0"/>
          <c:showSerName val="0"/>
          <c:showPercent val="0"/>
          <c:showBubbleSize val="0"/>
        </c:dLbls>
        <c:marker val="1"/>
        <c:smooth val="0"/>
        <c:axId val="204097503"/>
        <c:axId val="204082527"/>
      </c:lineChart>
      <c:catAx>
        <c:axId val="20409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82527"/>
        <c:crosses val="autoZero"/>
        <c:auto val="1"/>
        <c:lblAlgn val="ctr"/>
        <c:lblOffset val="100"/>
        <c:tickLblSkip val="5"/>
        <c:noMultiLvlLbl val="0"/>
      </c:catAx>
      <c:valAx>
        <c:axId val="20408252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9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Net Present Value of Cumulative Savings</c:v>
          </c:tx>
          <c:spPr>
            <a:solidFill>
              <a:schemeClr val="accent1"/>
            </a:solidFill>
            <a:ln>
              <a:noFill/>
            </a:ln>
            <a:effectLst/>
          </c:spPr>
          <c:invertIfNegative val="0"/>
          <c:cat>
            <c:numRef>
              <c:f>'Option 1 Dawn Corunna'!$C$51:$C$90</c:f>
              <c:numCache>
                <c:formatCode>General</c:formatCode>
                <c:ptCount val="4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numCache>
            </c:numRef>
          </c:cat>
          <c:val>
            <c:numRef>
              <c:f>'Option 1 Dawn Corunna'!$M$51:$M$90</c:f>
              <c:numCache>
                <c:formatCode>"$"#,##0_);[Red]\("$"#,##0\)</c:formatCode>
                <c:ptCount val="40"/>
                <c:pt idx="0">
                  <c:v>7114166.6791019784</c:v>
                </c:pt>
                <c:pt idx="1">
                  <c:v>7760844.3976019779</c:v>
                </c:pt>
                <c:pt idx="2">
                  <c:v>10202989.06256409</c:v>
                </c:pt>
                <c:pt idx="3">
                  <c:v>17633579.49702606</c:v>
                </c:pt>
                <c:pt idx="4">
                  <c:v>36504911.336318426</c:v>
                </c:pt>
                <c:pt idx="5">
                  <c:v>53814815.260842122</c:v>
                </c:pt>
                <c:pt idx="6">
                  <c:v>67169159.981946871</c:v>
                </c:pt>
                <c:pt idx="7">
                  <c:v>86326079.656038806</c:v>
                </c:pt>
                <c:pt idx="8">
                  <c:v>103910284.22346371</c:v>
                </c:pt>
                <c:pt idx="9">
                  <c:v>122223283.93044475</c:v>
                </c:pt>
                <c:pt idx="10">
                  <c:v>141582304.24428418</c:v>
                </c:pt>
                <c:pt idx="11">
                  <c:v>158406331.23121613</c:v>
                </c:pt>
                <c:pt idx="12">
                  <c:v>177866057.27020583</c:v>
                </c:pt>
                <c:pt idx="13">
                  <c:v>197075973.64790866</c:v>
                </c:pt>
                <c:pt idx="14">
                  <c:v>216030722.56202528</c:v>
                </c:pt>
                <c:pt idx="15">
                  <c:v>234725389.02187333</c:v>
                </c:pt>
                <c:pt idx="16">
                  <c:v>241532828.79012099</c:v>
                </c:pt>
                <c:pt idx="17">
                  <c:v>259694135.53732133</c:v>
                </c:pt>
                <c:pt idx="18">
                  <c:v>277524359.6388998</c:v>
                </c:pt>
                <c:pt idx="19">
                  <c:v>294858700.30240488</c:v>
                </c:pt>
                <c:pt idx="20">
                  <c:v>310194553.31296325</c:v>
                </c:pt>
                <c:pt idx="21">
                  <c:v>327249035.31116712</c:v>
                </c:pt>
                <c:pt idx="22">
                  <c:v>344021404.64167267</c:v>
                </c:pt>
                <c:pt idx="23">
                  <c:v>360510340.61181623</c:v>
                </c:pt>
                <c:pt idx="24">
                  <c:v>376714919.14802718</c:v>
                </c:pt>
                <c:pt idx="25">
                  <c:v>392634596.85951614</c:v>
                </c:pt>
                <c:pt idx="26">
                  <c:v>408269194.29207867</c:v>
                </c:pt>
                <c:pt idx="27">
                  <c:v>423618711.70735317</c:v>
                </c:pt>
                <c:pt idx="28">
                  <c:v>438639394.07612026</c:v>
                </c:pt>
                <c:pt idx="29">
                  <c:v>453210096.6245693</c:v>
                </c:pt>
                <c:pt idx="30">
                  <c:v>467708233.59187603</c:v>
                </c:pt>
                <c:pt idx="31">
                  <c:v>481925009.54630721</c:v>
                </c:pt>
                <c:pt idx="32">
                  <c:v>495862082.28630203</c:v>
                </c:pt>
                <c:pt idx="33">
                  <c:v>509909416.67653292</c:v>
                </c:pt>
                <c:pt idx="34">
                  <c:v>523853689.67998749</c:v>
                </c:pt>
                <c:pt idx="35">
                  <c:v>537470588.21022141</c:v>
                </c:pt>
                <c:pt idx="36">
                  <c:v>550766460.94807756</c:v>
                </c:pt>
                <c:pt idx="37">
                  <c:v>563829269.56626284</c:v>
                </c:pt>
                <c:pt idx="38">
                  <c:v>576659532.50052834</c:v>
                </c:pt>
                <c:pt idx="39">
                  <c:v>589256114.15046537</c:v>
                </c:pt>
              </c:numCache>
            </c:numRef>
          </c:val>
          <c:extLst>
            <c:ext xmlns:c16="http://schemas.microsoft.com/office/drawing/2014/chart" uri="{C3380CC4-5D6E-409C-BE32-E72D297353CC}">
              <c16:uniqueId val="{00000000-83C3-4610-813D-7629D96F4DE9}"/>
            </c:ext>
          </c:extLst>
        </c:ser>
        <c:dLbls>
          <c:showLegendKey val="0"/>
          <c:showVal val="0"/>
          <c:showCatName val="0"/>
          <c:showSerName val="0"/>
          <c:showPercent val="0"/>
          <c:showBubbleSize val="0"/>
        </c:dLbls>
        <c:gapWidth val="150"/>
        <c:axId val="204097503"/>
        <c:axId val="204082527"/>
      </c:barChart>
      <c:lineChart>
        <c:grouping val="standard"/>
        <c:varyColors val="0"/>
        <c:ser>
          <c:idx val="1"/>
          <c:order val="1"/>
          <c:tx>
            <c:v>Initial Investment</c:v>
          </c:tx>
          <c:spPr>
            <a:ln w="28575" cap="rnd">
              <a:solidFill>
                <a:schemeClr val="accent2"/>
              </a:solidFill>
              <a:prstDash val="lgDash"/>
              <a:round/>
            </a:ln>
            <a:effectLst/>
          </c:spPr>
          <c:marker>
            <c:symbol val="none"/>
          </c:marker>
          <c:cat>
            <c:numRef>
              <c:f>'Option 1 Dawn Corunna'!$C$51:$C$90</c:f>
              <c:numCache>
                <c:formatCode>General</c:formatCode>
                <c:ptCount val="4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numCache>
            </c:numRef>
          </c:cat>
          <c:val>
            <c:numRef>
              <c:f>'Option 1 Dawn Corunna'!$N$51:$N$90</c:f>
              <c:numCache>
                <c:formatCode>_(* #,##0_);_(* \(#,##0\);_(* "-"_);_(@_)</c:formatCode>
                <c:ptCount val="40"/>
                <c:pt idx="0">
                  <c:v>206387444.4063471</c:v>
                </c:pt>
                <c:pt idx="1">
                  <c:v>206387444.4063471</c:v>
                </c:pt>
                <c:pt idx="2">
                  <c:v>206387444.4063471</c:v>
                </c:pt>
                <c:pt idx="3">
                  <c:v>206387444.4063471</c:v>
                </c:pt>
                <c:pt idx="4">
                  <c:v>206387444.4063471</c:v>
                </c:pt>
                <c:pt idx="5">
                  <c:v>206387444.4063471</c:v>
                </c:pt>
                <c:pt idx="6">
                  <c:v>206387444.4063471</c:v>
                </c:pt>
                <c:pt idx="7">
                  <c:v>206387444.4063471</c:v>
                </c:pt>
                <c:pt idx="8">
                  <c:v>206387444.4063471</c:v>
                </c:pt>
                <c:pt idx="9">
                  <c:v>206387444.4063471</c:v>
                </c:pt>
                <c:pt idx="10">
                  <c:v>206387444.4063471</c:v>
                </c:pt>
                <c:pt idx="11">
                  <c:v>206387444.4063471</c:v>
                </c:pt>
                <c:pt idx="12">
                  <c:v>206387444.4063471</c:v>
                </c:pt>
                <c:pt idx="13">
                  <c:v>206387444.4063471</c:v>
                </c:pt>
                <c:pt idx="14">
                  <c:v>206387444.4063471</c:v>
                </c:pt>
                <c:pt idx="15">
                  <c:v>206387444.4063471</c:v>
                </c:pt>
                <c:pt idx="16">
                  <c:v>206387444.4063471</c:v>
                </c:pt>
                <c:pt idx="17">
                  <c:v>206387444.4063471</c:v>
                </c:pt>
                <c:pt idx="18">
                  <c:v>206387444.4063471</c:v>
                </c:pt>
                <c:pt idx="19">
                  <c:v>206387444.4063471</c:v>
                </c:pt>
                <c:pt idx="20">
                  <c:v>206387444.4063471</c:v>
                </c:pt>
                <c:pt idx="21">
                  <c:v>206387444.4063471</c:v>
                </c:pt>
                <c:pt idx="22">
                  <c:v>206387444.4063471</c:v>
                </c:pt>
                <c:pt idx="23">
                  <c:v>206387444.4063471</c:v>
                </c:pt>
                <c:pt idx="24">
                  <c:v>206387444.4063471</c:v>
                </c:pt>
                <c:pt idx="25">
                  <c:v>206387444.4063471</c:v>
                </c:pt>
                <c:pt idx="26">
                  <c:v>206387444.4063471</c:v>
                </c:pt>
                <c:pt idx="27">
                  <c:v>206387444.4063471</c:v>
                </c:pt>
                <c:pt idx="28">
                  <c:v>206387444.4063471</c:v>
                </c:pt>
                <c:pt idx="29">
                  <c:v>206387444.4063471</c:v>
                </c:pt>
                <c:pt idx="30">
                  <c:v>206387444.4063471</c:v>
                </c:pt>
                <c:pt idx="31">
                  <c:v>206387444.4063471</c:v>
                </c:pt>
                <c:pt idx="32">
                  <c:v>206387444.4063471</c:v>
                </c:pt>
                <c:pt idx="33">
                  <c:v>206387444.4063471</c:v>
                </c:pt>
                <c:pt idx="34">
                  <c:v>206387444.4063471</c:v>
                </c:pt>
                <c:pt idx="35">
                  <c:v>206387444.4063471</c:v>
                </c:pt>
                <c:pt idx="36">
                  <c:v>206387444.4063471</c:v>
                </c:pt>
                <c:pt idx="37">
                  <c:v>206387444.4063471</c:v>
                </c:pt>
                <c:pt idx="38">
                  <c:v>206387444.4063471</c:v>
                </c:pt>
                <c:pt idx="39">
                  <c:v>206387444.4063471</c:v>
                </c:pt>
              </c:numCache>
            </c:numRef>
          </c:val>
          <c:smooth val="0"/>
          <c:extLst>
            <c:ext xmlns:c16="http://schemas.microsoft.com/office/drawing/2014/chart" uri="{C3380CC4-5D6E-409C-BE32-E72D297353CC}">
              <c16:uniqueId val="{00000001-83C3-4610-813D-7629D96F4DE9}"/>
            </c:ext>
          </c:extLst>
        </c:ser>
        <c:dLbls>
          <c:showLegendKey val="0"/>
          <c:showVal val="0"/>
          <c:showCatName val="0"/>
          <c:showSerName val="0"/>
          <c:showPercent val="0"/>
          <c:showBubbleSize val="0"/>
        </c:dLbls>
        <c:marker val="1"/>
        <c:smooth val="0"/>
        <c:axId val="204097503"/>
        <c:axId val="204082527"/>
      </c:lineChart>
      <c:catAx>
        <c:axId val="20409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82527"/>
        <c:crosses val="autoZero"/>
        <c:auto val="1"/>
        <c:lblAlgn val="ctr"/>
        <c:lblOffset val="100"/>
        <c:tickLblSkip val="5"/>
        <c:noMultiLvlLbl val="0"/>
      </c:catAx>
      <c:valAx>
        <c:axId val="20408252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9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NPV</c:v>
          </c:tx>
          <c:spPr>
            <a:solidFill>
              <a:schemeClr val="accent1"/>
            </a:solidFill>
            <a:ln>
              <a:noFill/>
            </a:ln>
            <a:effectLst/>
          </c:spPr>
          <c:invertIfNegative val="0"/>
          <c:cat>
            <c:numRef>
              <c:f>'Option 1 Dawn Corunna Weather'!$C$51:$C$90</c:f>
              <c:numCache>
                <c:formatCode>General</c:formatCode>
                <c:ptCount val="40"/>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pt idx="19">
                  <c:v>2043</c:v>
                </c:pt>
                <c:pt idx="20">
                  <c:v>2044</c:v>
                </c:pt>
                <c:pt idx="21">
                  <c:v>2045</c:v>
                </c:pt>
                <c:pt idx="22">
                  <c:v>2046</c:v>
                </c:pt>
                <c:pt idx="23">
                  <c:v>2047</c:v>
                </c:pt>
                <c:pt idx="24">
                  <c:v>2048</c:v>
                </c:pt>
                <c:pt idx="25">
                  <c:v>2049</c:v>
                </c:pt>
                <c:pt idx="26">
                  <c:v>2050</c:v>
                </c:pt>
                <c:pt idx="27">
                  <c:v>2051</c:v>
                </c:pt>
                <c:pt idx="28">
                  <c:v>2052</c:v>
                </c:pt>
                <c:pt idx="29">
                  <c:v>2053</c:v>
                </c:pt>
                <c:pt idx="30">
                  <c:v>2054</c:v>
                </c:pt>
                <c:pt idx="31">
                  <c:v>2055</c:v>
                </c:pt>
                <c:pt idx="32">
                  <c:v>2056</c:v>
                </c:pt>
                <c:pt idx="33">
                  <c:v>2057</c:v>
                </c:pt>
                <c:pt idx="34">
                  <c:v>2058</c:v>
                </c:pt>
                <c:pt idx="35">
                  <c:v>2059</c:v>
                </c:pt>
                <c:pt idx="36">
                  <c:v>2060</c:v>
                </c:pt>
                <c:pt idx="37">
                  <c:v>2061</c:v>
                </c:pt>
                <c:pt idx="38">
                  <c:v>2062</c:v>
                </c:pt>
                <c:pt idx="39">
                  <c:v>2063</c:v>
                </c:pt>
              </c:numCache>
            </c:numRef>
          </c:cat>
          <c:val>
            <c:numRef>
              <c:f>'Option 1 Dawn Corunna Weather'!$D$51:$D$90</c:f>
              <c:numCache>
                <c:formatCode>"$"#,##0_);[Red]\("$"#,##0\)</c:formatCode>
                <c:ptCount val="40"/>
                <c:pt idx="0">
                  <c:v>6852089.2689887434</c:v>
                </c:pt>
                <c:pt idx="1">
                  <c:v>7422310.7920014299</c:v>
                </c:pt>
                <c:pt idx="2">
                  <c:v>9698324.7643278074</c:v>
                </c:pt>
                <c:pt idx="3">
                  <c:v>17114227.219094157</c:v>
                </c:pt>
                <c:pt idx="4">
                  <c:v>35897031.033372216</c:v>
                </c:pt>
                <c:pt idx="5">
                  <c:v>53123933.958598003</c:v>
                </c:pt>
                <c:pt idx="6">
                  <c:v>66409474.317698605</c:v>
                </c:pt>
                <c:pt idx="7">
                  <c:v>85548073.362591729</c:v>
                </c:pt>
                <c:pt idx="8">
                  <c:v>103121643.97269852</c:v>
                </c:pt>
                <c:pt idx="9">
                  <c:v>121436818.26116113</c:v>
                </c:pt>
                <c:pt idx="10">
                  <c:v>140755140.23244315</c:v>
                </c:pt>
                <c:pt idx="11">
                  <c:v>157594065.84039435</c:v>
                </c:pt>
                <c:pt idx="12">
                  <c:v>177112693.42371494</c:v>
                </c:pt>
                <c:pt idx="13">
                  <c:v>196379928.21236122</c:v>
                </c:pt>
                <c:pt idx="14">
                  <c:v>215390454.95489311</c:v>
                </c:pt>
                <c:pt idx="15">
                  <c:v>234139400.06782156</c:v>
                </c:pt>
                <c:pt idx="16">
                  <c:v>240951497.1096566</c:v>
                </c:pt>
                <c:pt idx="17">
                  <c:v>259164203.95905328</c:v>
                </c:pt>
                <c:pt idx="18">
                  <c:v>277044446.65035957</c:v>
                </c:pt>
                <c:pt idx="19">
                  <c:v>294427461.52289265</c:v>
                </c:pt>
                <c:pt idx="20">
                  <c:v>309800320.72073317</c:v>
                </c:pt>
                <c:pt idx="21">
                  <c:v>326900895.59664083</c:v>
                </c:pt>
                <c:pt idx="22">
                  <c:v>343718118.93795037</c:v>
                </c:pt>
                <c:pt idx="23">
                  <c:v>360250703.3497932</c:v>
                </c:pt>
                <c:pt idx="24">
                  <c:v>376497757.16142827</c:v>
                </c:pt>
                <c:pt idx="25">
                  <c:v>392458768.51398474</c:v>
                </c:pt>
                <c:pt idx="26">
                  <c:v>408133588.63767374</c:v>
                </c:pt>
                <c:pt idx="27">
                  <c:v>423522247.65382516</c:v>
                </c:pt>
                <c:pt idx="28">
                  <c:v>438581019.59035373</c:v>
                </c:pt>
                <c:pt idx="29">
                  <c:v>453188787.94959629</c:v>
                </c:pt>
                <c:pt idx="30">
                  <c:v>467722994.48688024</c:v>
                </c:pt>
                <c:pt idx="31">
                  <c:v>481974870.54705554</c:v>
                </c:pt>
                <c:pt idx="32">
                  <c:v>495946099.98545378</c:v>
                </c:pt>
                <c:pt idx="33">
                  <c:v>510026673.02329218</c:v>
                </c:pt>
                <c:pt idx="34">
                  <c:v>524003291.29857987</c:v>
                </c:pt>
                <c:pt idx="35">
                  <c:v>537651665.7366879</c:v>
                </c:pt>
                <c:pt idx="36">
                  <c:v>550978168.38489449</c:v>
                </c:pt>
                <c:pt idx="37">
                  <c:v>564070783.65430701</c:v>
                </c:pt>
                <c:pt idx="38">
                  <c:v>576930052.10792351</c:v>
                </c:pt>
                <c:pt idx="39">
                  <c:v>589554859.67785418</c:v>
                </c:pt>
              </c:numCache>
            </c:numRef>
          </c:val>
          <c:extLst>
            <c:ext xmlns:c16="http://schemas.microsoft.com/office/drawing/2014/chart" uri="{C3380CC4-5D6E-409C-BE32-E72D297353CC}">
              <c16:uniqueId val="{00000000-DA31-4B6C-8295-18CAB4A8758D}"/>
            </c:ext>
          </c:extLst>
        </c:ser>
        <c:dLbls>
          <c:showLegendKey val="0"/>
          <c:showVal val="0"/>
          <c:showCatName val="0"/>
          <c:showSerName val="0"/>
          <c:showPercent val="0"/>
          <c:showBubbleSize val="0"/>
        </c:dLbls>
        <c:gapWidth val="150"/>
        <c:axId val="204097503"/>
        <c:axId val="204082527"/>
      </c:barChart>
      <c:lineChart>
        <c:grouping val="standard"/>
        <c:varyColors val="0"/>
        <c:ser>
          <c:idx val="1"/>
          <c:order val="1"/>
          <c:tx>
            <c:v>Initial Investment</c:v>
          </c:tx>
          <c:spPr>
            <a:ln w="28575" cap="rnd">
              <a:solidFill>
                <a:schemeClr val="accent2"/>
              </a:solidFill>
              <a:prstDash val="dash"/>
              <a:round/>
            </a:ln>
            <a:effectLst/>
          </c:spPr>
          <c:marker>
            <c:symbol val="none"/>
          </c:marker>
          <c:val>
            <c:numRef>
              <c:f>'Option 1 Dawn Corunna Weather'!$E$51:$E$90</c:f>
              <c:numCache>
                <c:formatCode>_(* #,##0_);_(* \(#,##0\);_(* "-"_);_(@_)</c:formatCode>
                <c:ptCount val="40"/>
                <c:pt idx="0">
                  <c:v>206387444.4063471</c:v>
                </c:pt>
                <c:pt idx="1">
                  <c:v>206387444.4063471</c:v>
                </c:pt>
                <c:pt idx="2">
                  <c:v>206387444.4063471</c:v>
                </c:pt>
                <c:pt idx="3">
                  <c:v>206387444.4063471</c:v>
                </c:pt>
                <c:pt idx="4">
                  <c:v>206387444.4063471</c:v>
                </c:pt>
                <c:pt idx="5">
                  <c:v>206387444.4063471</c:v>
                </c:pt>
                <c:pt idx="6">
                  <c:v>206387444.4063471</c:v>
                </c:pt>
                <c:pt idx="7">
                  <c:v>206387444.4063471</c:v>
                </c:pt>
                <c:pt idx="8">
                  <c:v>206387444.4063471</c:v>
                </c:pt>
                <c:pt idx="9">
                  <c:v>206387444.4063471</c:v>
                </c:pt>
                <c:pt idx="10">
                  <c:v>206387444.4063471</c:v>
                </c:pt>
                <c:pt idx="11">
                  <c:v>206387444.4063471</c:v>
                </c:pt>
                <c:pt idx="12">
                  <c:v>206387444.4063471</c:v>
                </c:pt>
                <c:pt idx="13">
                  <c:v>206387444.4063471</c:v>
                </c:pt>
                <c:pt idx="14">
                  <c:v>206387444.4063471</c:v>
                </c:pt>
                <c:pt idx="15">
                  <c:v>206387444.4063471</c:v>
                </c:pt>
                <c:pt idx="16">
                  <c:v>206387444.4063471</c:v>
                </c:pt>
                <c:pt idx="17">
                  <c:v>206387444.4063471</c:v>
                </c:pt>
                <c:pt idx="18">
                  <c:v>206387444.4063471</c:v>
                </c:pt>
                <c:pt idx="19">
                  <c:v>206387444.4063471</c:v>
                </c:pt>
                <c:pt idx="20">
                  <c:v>206387444.4063471</c:v>
                </c:pt>
                <c:pt idx="21">
                  <c:v>206387444.4063471</c:v>
                </c:pt>
                <c:pt idx="22">
                  <c:v>206387444.4063471</c:v>
                </c:pt>
                <c:pt idx="23">
                  <c:v>206387444.4063471</c:v>
                </c:pt>
                <c:pt idx="24">
                  <c:v>206387444.4063471</c:v>
                </c:pt>
                <c:pt idx="25">
                  <c:v>206387444.4063471</c:v>
                </c:pt>
                <c:pt idx="26">
                  <c:v>206387444.4063471</c:v>
                </c:pt>
                <c:pt idx="27">
                  <c:v>206387444.4063471</c:v>
                </c:pt>
                <c:pt idx="28">
                  <c:v>206387444.4063471</c:v>
                </c:pt>
                <c:pt idx="29">
                  <c:v>206387444.4063471</c:v>
                </c:pt>
                <c:pt idx="30">
                  <c:v>206387444.4063471</c:v>
                </c:pt>
                <c:pt idx="31">
                  <c:v>206387444.4063471</c:v>
                </c:pt>
                <c:pt idx="32">
                  <c:v>206387444.4063471</c:v>
                </c:pt>
                <c:pt idx="33">
                  <c:v>206387444.4063471</c:v>
                </c:pt>
                <c:pt idx="34">
                  <c:v>206387444.4063471</c:v>
                </c:pt>
                <c:pt idx="35">
                  <c:v>206387444.4063471</c:v>
                </c:pt>
                <c:pt idx="36">
                  <c:v>206387444.4063471</c:v>
                </c:pt>
                <c:pt idx="37">
                  <c:v>206387444.4063471</c:v>
                </c:pt>
                <c:pt idx="38">
                  <c:v>206387444.4063471</c:v>
                </c:pt>
                <c:pt idx="39">
                  <c:v>206387444.4063471</c:v>
                </c:pt>
              </c:numCache>
            </c:numRef>
          </c:val>
          <c:smooth val="0"/>
          <c:extLst>
            <c:ext xmlns:c16="http://schemas.microsoft.com/office/drawing/2014/chart" uri="{C3380CC4-5D6E-409C-BE32-E72D297353CC}">
              <c16:uniqueId val="{00000002-DA31-4B6C-8295-18CAB4A8758D}"/>
            </c:ext>
          </c:extLst>
        </c:ser>
        <c:dLbls>
          <c:showLegendKey val="0"/>
          <c:showVal val="0"/>
          <c:showCatName val="0"/>
          <c:showSerName val="0"/>
          <c:showPercent val="0"/>
          <c:showBubbleSize val="0"/>
        </c:dLbls>
        <c:marker val="1"/>
        <c:smooth val="0"/>
        <c:axId val="204097503"/>
        <c:axId val="204082527"/>
      </c:lineChart>
      <c:catAx>
        <c:axId val="20409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82527"/>
        <c:crosses val="autoZero"/>
        <c:auto val="1"/>
        <c:lblAlgn val="ctr"/>
        <c:lblOffset val="100"/>
        <c:tickLblSkip val="5"/>
        <c:noMultiLvlLbl val="0"/>
      </c:catAx>
      <c:valAx>
        <c:axId val="204082527"/>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09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17</xdr:col>
      <xdr:colOff>319473</xdr:colOff>
      <xdr:row>3</xdr:row>
      <xdr:rowOff>79545</xdr:rowOff>
    </xdr:from>
    <xdr:to>
      <xdr:col>26</xdr:col>
      <xdr:colOff>354827</xdr:colOff>
      <xdr:row>23</xdr:row>
      <xdr:rowOff>139441</xdr:rowOff>
    </xdr:to>
    <xdr:graphicFrame macro="">
      <xdr:nvGraphicFramePr>
        <xdr:cNvPr id="4" name="Chart 3">
          <a:extLst>
            <a:ext uri="{FF2B5EF4-FFF2-40B4-BE49-F238E27FC236}">
              <a16:creationId xmlns:a16="http://schemas.microsoft.com/office/drawing/2014/main" id="{61602540-2C84-44B4-B582-7B72575E8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35</xdr:col>
      <xdr:colOff>507963</xdr:colOff>
      <xdr:row>3</xdr:row>
      <xdr:rowOff>14364</xdr:rowOff>
    </xdr:from>
    <xdr:to>
      <xdr:col>44</xdr:col>
      <xdr:colOff>543317</xdr:colOff>
      <xdr:row>23</xdr:row>
      <xdr:rowOff>67910</xdr:rowOff>
    </xdr:to>
    <xdr:graphicFrame macro="">
      <xdr:nvGraphicFramePr>
        <xdr:cNvPr id="6" name="Chart 5">
          <a:extLst>
            <a:ext uri="{FF2B5EF4-FFF2-40B4-BE49-F238E27FC236}">
              <a16:creationId xmlns:a16="http://schemas.microsoft.com/office/drawing/2014/main" id="{C917CB15-50E7-4DAE-9A19-6D2D4842AA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962704</xdr:colOff>
      <xdr:row>50</xdr:row>
      <xdr:rowOff>108176</xdr:rowOff>
    </xdr:from>
    <xdr:to>
      <xdr:col>10</xdr:col>
      <xdr:colOff>90714</xdr:colOff>
      <xdr:row>66</xdr:row>
      <xdr:rowOff>113393</xdr:rowOff>
    </xdr:to>
    <xdr:graphicFrame macro="">
      <xdr:nvGraphicFramePr>
        <xdr:cNvPr id="2" name="Chart 1">
          <a:extLst>
            <a:ext uri="{FF2B5EF4-FFF2-40B4-BE49-F238E27FC236}">
              <a16:creationId xmlns:a16="http://schemas.microsoft.com/office/drawing/2014/main" id="{BB0B9AA1-2C7C-470B-8931-56235B5AE0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89298</xdr:colOff>
      <xdr:row>50</xdr:row>
      <xdr:rowOff>14883</xdr:rowOff>
    </xdr:from>
    <xdr:to>
      <xdr:col>25</xdr:col>
      <xdr:colOff>50746</xdr:colOff>
      <xdr:row>66</xdr:row>
      <xdr:rowOff>26450</xdr:rowOff>
    </xdr:to>
    <xdr:graphicFrame macro="">
      <xdr:nvGraphicFramePr>
        <xdr:cNvPr id="3" name="Chart 2">
          <a:extLst>
            <a:ext uri="{FF2B5EF4-FFF2-40B4-BE49-F238E27FC236}">
              <a16:creationId xmlns:a16="http://schemas.microsoft.com/office/drawing/2014/main" id="{5034EAC2-6D4C-4614-A1F6-C4E04002A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962704</xdr:colOff>
      <xdr:row>50</xdr:row>
      <xdr:rowOff>108176</xdr:rowOff>
    </xdr:from>
    <xdr:to>
      <xdr:col>10</xdr:col>
      <xdr:colOff>90714</xdr:colOff>
      <xdr:row>66</xdr:row>
      <xdr:rowOff>113393</xdr:rowOff>
    </xdr:to>
    <xdr:graphicFrame macro="">
      <xdr:nvGraphicFramePr>
        <xdr:cNvPr id="7" name="Chart 1">
          <a:extLst>
            <a:ext uri="{FF2B5EF4-FFF2-40B4-BE49-F238E27FC236}">
              <a16:creationId xmlns:a16="http://schemas.microsoft.com/office/drawing/2014/main" id="{9BE00698-02BD-43FE-9AF4-2F7C68A69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D39AF-C6F4-494D-ADA0-D5A954AE0EB8}">
  <sheetPr>
    <tabColor rgb="FF0070C0"/>
  </sheetPr>
  <dimension ref="C3:AC25"/>
  <sheetViews>
    <sheetView showGridLines="0" topLeftCell="F1" zoomScale="68" zoomScaleNormal="68" workbookViewId="0">
      <selection activeCell="V17" sqref="V17"/>
    </sheetView>
  </sheetViews>
  <sheetFormatPr defaultRowHeight="15"/>
  <cols>
    <col min="3" max="3" width="69.28515625" bestFit="1" customWidth="1"/>
    <col min="4" max="4" width="15.5703125" customWidth="1"/>
    <col min="5" max="5" width="24.7109375" customWidth="1"/>
    <col min="6" max="6" width="15.5703125" customWidth="1"/>
    <col min="7" max="7" width="9.140625" customWidth="1"/>
    <col min="8" max="8" width="13" customWidth="1"/>
    <col min="9" max="9" width="27.5703125" customWidth="1"/>
    <col min="10" max="10" width="9.7109375" customWidth="1"/>
    <col min="11" max="11" width="13.85546875" customWidth="1"/>
    <col min="12" max="13" width="10.28515625" customWidth="1"/>
    <col min="14" max="14" width="59.42578125" hidden="1" customWidth="1"/>
    <col min="15" max="16" width="15.5703125" hidden="1" customWidth="1"/>
    <col min="17" max="17" width="21" hidden="1" customWidth="1"/>
    <col min="18" max="20" width="15.5703125" hidden="1" customWidth="1"/>
    <col min="22" max="22" width="61.42578125" bestFit="1" customWidth="1"/>
    <col min="23" max="28" width="16" customWidth="1"/>
    <col min="29" max="29" width="19.28515625" customWidth="1"/>
  </cols>
  <sheetData>
    <row r="3" spans="3:29" s="9" customFormat="1" ht="75">
      <c r="C3" s="56" t="s">
        <v>190</v>
      </c>
      <c r="D3" s="57" t="s">
        <v>0</v>
      </c>
      <c r="E3" s="57" t="s">
        <v>1</v>
      </c>
      <c r="F3" s="57" t="s">
        <v>2</v>
      </c>
      <c r="G3" s="57" t="s">
        <v>3</v>
      </c>
      <c r="H3" s="57" t="s">
        <v>4</v>
      </c>
      <c r="I3" s="57" t="s">
        <v>5</v>
      </c>
      <c r="J3" s="145" t="s">
        <v>3</v>
      </c>
      <c r="K3" s="57" t="s">
        <v>4</v>
      </c>
      <c r="L3" s="149"/>
      <c r="M3" s="149"/>
      <c r="N3" s="57" t="s">
        <v>6</v>
      </c>
      <c r="O3" s="57" t="s">
        <v>7</v>
      </c>
      <c r="P3" s="57" t="s">
        <v>8</v>
      </c>
      <c r="Q3" s="57" t="s">
        <v>9</v>
      </c>
      <c r="R3" s="57" t="s">
        <v>10</v>
      </c>
      <c r="S3" s="57" t="s">
        <v>11</v>
      </c>
      <c r="T3" s="57" t="s">
        <v>12</v>
      </c>
      <c r="V3" s="120" t="s">
        <v>203</v>
      </c>
      <c r="W3" s="57" t="s">
        <v>7</v>
      </c>
      <c r="X3" s="57" t="s">
        <v>8</v>
      </c>
      <c r="Y3" s="57" t="s">
        <v>13</v>
      </c>
      <c r="Z3" s="57" t="s">
        <v>10</v>
      </c>
      <c r="AA3" s="57" t="s">
        <v>11</v>
      </c>
      <c r="AB3" s="57" t="s">
        <v>12</v>
      </c>
      <c r="AC3" s="57" t="s">
        <v>201</v>
      </c>
    </row>
    <row r="4" spans="3:29" s="149" customFormat="1" ht="22.15" customHeight="1">
      <c r="C4" s="150" t="s">
        <v>14</v>
      </c>
      <c r="D4" s="151" t="s">
        <v>15</v>
      </c>
      <c r="E4" s="151" t="s">
        <v>16</v>
      </c>
      <c r="F4" s="151" t="s">
        <v>17</v>
      </c>
      <c r="G4" s="152">
        <v>1</v>
      </c>
      <c r="H4" s="153" t="s">
        <v>189</v>
      </c>
      <c r="I4" s="154" t="s">
        <v>18</v>
      </c>
      <c r="J4" s="155">
        <v>2</v>
      </c>
      <c r="K4" s="153" t="s">
        <v>189</v>
      </c>
      <c r="N4" s="150" t="s">
        <v>19</v>
      </c>
      <c r="O4" s="156">
        <f>'Option 1 Dawn Corunna'!E5</f>
        <v>275604504.21492529</v>
      </c>
      <c r="P4" s="156">
        <f>'Option 1 Dawn Corunna'!F5</f>
        <v>0</v>
      </c>
      <c r="Q4" s="156">
        <f>'Option 1 Dawn Corunna'!G5</f>
        <v>0</v>
      </c>
      <c r="R4" s="156">
        <f>'Option 1 Dawn Corunna'!H5</f>
        <v>-74444577.970155969</v>
      </c>
      <c r="S4" s="156">
        <f>'Option 1 Dawn Corunna'!I5</f>
        <v>-794470249.78508949</v>
      </c>
      <c r="T4" s="156">
        <f>'Option 1 Dawn Corunna'!J5</f>
        <v>-589256114.15046537</v>
      </c>
      <c r="V4" s="150" t="s">
        <v>19</v>
      </c>
      <c r="W4" s="156">
        <f t="shared" ref="W4:W9" si="0">O4/10^6</f>
        <v>275.60450421492527</v>
      </c>
      <c r="X4" s="156">
        <f t="shared" ref="X4:AB4" si="1">P4/10^6</f>
        <v>0</v>
      </c>
      <c r="Y4" s="156">
        <f t="shared" si="1"/>
        <v>0</v>
      </c>
      <c r="Z4" s="156">
        <f t="shared" si="1"/>
        <v>-74.444577970155976</v>
      </c>
      <c r="AA4" s="156">
        <f t="shared" si="1"/>
        <v>-794.47024978508944</v>
      </c>
      <c r="AB4" s="156">
        <f t="shared" si="1"/>
        <v>-589.25611415046535</v>
      </c>
      <c r="AC4" s="157" t="s">
        <v>202</v>
      </c>
    </row>
    <row r="5" spans="3:29" s="149" customFormat="1" ht="22.15" customHeight="1">
      <c r="C5" s="150" t="s">
        <v>20</v>
      </c>
      <c r="D5" s="151" t="s">
        <v>15</v>
      </c>
      <c r="E5" s="151" t="s">
        <v>16</v>
      </c>
      <c r="F5" s="151" t="s">
        <v>17</v>
      </c>
      <c r="G5" s="152">
        <v>1</v>
      </c>
      <c r="H5" s="153" t="s">
        <v>189</v>
      </c>
      <c r="I5" s="154" t="s">
        <v>18</v>
      </c>
      <c r="J5" s="155">
        <v>2</v>
      </c>
      <c r="K5" s="153" t="s">
        <v>189</v>
      </c>
      <c r="N5" s="150" t="s">
        <v>21</v>
      </c>
      <c r="O5" s="156">
        <f>'Option 2 Market Storage'!O5</f>
        <v>0</v>
      </c>
      <c r="P5" s="156">
        <f>'Option 2 Market Storage'!P5</f>
        <v>713892240.58351827</v>
      </c>
      <c r="Q5" s="156">
        <f>'Option 2 Market Storage'!Q5</f>
        <v>0</v>
      </c>
      <c r="R5" s="156">
        <f>'Option 2 Market Storage'!R5</f>
        <v>-84810609.572634861</v>
      </c>
      <c r="S5" s="156">
        <f>'Option 2 Market Storage'!S5</f>
        <v>-662138896.83151746</v>
      </c>
      <c r="T5" s="156">
        <f>'Option 2 Market Storage'!T5</f>
        <v>-33057265.820634119</v>
      </c>
      <c r="V5" s="150" t="s">
        <v>21</v>
      </c>
      <c r="W5" s="156">
        <f t="shared" si="0"/>
        <v>0</v>
      </c>
      <c r="X5" s="156">
        <f t="shared" ref="X5:AB9" si="2">P5/10^6</f>
        <v>713.89224058351829</v>
      </c>
      <c r="Y5" s="156">
        <f t="shared" si="2"/>
        <v>0</v>
      </c>
      <c r="Z5" s="156">
        <f t="shared" si="2"/>
        <v>-84.81060957263486</v>
      </c>
      <c r="AA5" s="156">
        <f t="shared" si="2"/>
        <v>-662.13889683151751</v>
      </c>
      <c r="AB5" s="156">
        <f t="shared" si="2"/>
        <v>-33.057265820634122</v>
      </c>
      <c r="AC5" s="156">
        <f>AB5-$AB$4</f>
        <v>556.19884832983121</v>
      </c>
    </row>
    <row r="6" spans="3:29" s="149" customFormat="1" ht="22.15" customHeight="1">
      <c r="C6" s="150" t="s">
        <v>22</v>
      </c>
      <c r="D6" s="151" t="s">
        <v>23</v>
      </c>
      <c r="E6" s="151" t="s">
        <v>16</v>
      </c>
      <c r="F6" s="151" t="s">
        <v>17</v>
      </c>
      <c r="G6" s="152">
        <v>3</v>
      </c>
      <c r="H6" s="153" t="s">
        <v>189</v>
      </c>
      <c r="I6" s="154" t="s">
        <v>18</v>
      </c>
      <c r="J6" s="155">
        <v>4</v>
      </c>
      <c r="K6" s="153" t="s">
        <v>189</v>
      </c>
      <c r="N6" s="158" t="s">
        <v>24</v>
      </c>
      <c r="O6" s="156">
        <f>'Option 2 Market Storage'!E5</f>
        <v>0</v>
      </c>
      <c r="P6" s="156">
        <f>'Option 2 Market Storage'!F5</f>
        <v>677070652.98080587</v>
      </c>
      <c r="Q6" s="156">
        <f>'Option 2 Market Storage'!G5</f>
        <v>0</v>
      </c>
      <c r="R6" s="156">
        <f>'Option 2 Market Storage'!H5</f>
        <v>-84810609.572634861</v>
      </c>
      <c r="S6" s="156">
        <f>'Option 2 Market Storage'!I5</f>
        <v>-662138896.83151746</v>
      </c>
      <c r="T6" s="156">
        <f>'Option 2 Market Storage'!J5</f>
        <v>-69878853.423346341</v>
      </c>
      <c r="V6" s="158" t="s">
        <v>24</v>
      </c>
      <c r="W6" s="156">
        <f t="shared" si="0"/>
        <v>0</v>
      </c>
      <c r="X6" s="156">
        <f t="shared" si="2"/>
        <v>677.0706529808059</v>
      </c>
      <c r="Y6" s="156">
        <f t="shared" si="2"/>
        <v>0</v>
      </c>
      <c r="Z6" s="156">
        <f t="shared" si="2"/>
        <v>-84.81060957263486</v>
      </c>
      <c r="AA6" s="156">
        <f t="shared" si="2"/>
        <v>-662.13889683151751</v>
      </c>
      <c r="AB6" s="156">
        <f t="shared" si="2"/>
        <v>-69.878853423346342</v>
      </c>
      <c r="AC6" s="156">
        <f t="shared" ref="AC6:AC9" si="3">AB6-$AB$4</f>
        <v>519.37726072711905</v>
      </c>
    </row>
    <row r="7" spans="3:29" s="149" customFormat="1" ht="22.15" customHeight="1">
      <c r="C7" s="150" t="s">
        <v>25</v>
      </c>
      <c r="D7" s="151" t="s">
        <v>23</v>
      </c>
      <c r="E7" s="151" t="s">
        <v>16</v>
      </c>
      <c r="F7" s="151" t="s">
        <v>17</v>
      </c>
      <c r="G7" s="152">
        <v>3</v>
      </c>
      <c r="H7" s="153" t="s">
        <v>189</v>
      </c>
      <c r="I7" s="154" t="s">
        <v>18</v>
      </c>
      <c r="J7" s="155">
        <v>4</v>
      </c>
      <c r="K7" s="153" t="s">
        <v>189</v>
      </c>
      <c r="N7" s="150" t="s">
        <v>26</v>
      </c>
      <c r="O7" s="156">
        <f>'Option 3 Pipeline'!E5</f>
        <v>0</v>
      </c>
      <c r="P7" s="156">
        <f>'Option 3 Pipeline'!F5</f>
        <v>0</v>
      </c>
      <c r="Q7" s="156">
        <f>'Option 3 Pipeline'!G5</f>
        <v>7199549901.4038115</v>
      </c>
      <c r="R7" s="156">
        <f>'Option 3 Pipeline'!H5</f>
        <v>-645695341.76927054</v>
      </c>
      <c r="S7" s="156">
        <f>'Option 3 Pipeline'!I5</f>
        <v>-2490021071.8588767</v>
      </c>
      <c r="T7" s="156">
        <f>'Option 3 Pipeline'!J5</f>
        <v>4063833487.7756648</v>
      </c>
      <c r="V7" s="150" t="s">
        <v>26</v>
      </c>
      <c r="W7" s="156">
        <f t="shared" si="0"/>
        <v>0</v>
      </c>
      <c r="X7" s="156">
        <f t="shared" si="2"/>
        <v>0</v>
      </c>
      <c r="Y7" s="156">
        <f t="shared" si="2"/>
        <v>7199.5499014038114</v>
      </c>
      <c r="Z7" s="156">
        <f t="shared" si="2"/>
        <v>-645.6953417692705</v>
      </c>
      <c r="AA7" s="156">
        <f t="shared" si="2"/>
        <v>-2490.0210718588769</v>
      </c>
      <c r="AB7" s="156">
        <f t="shared" si="2"/>
        <v>4063.8334877756647</v>
      </c>
      <c r="AC7" s="156">
        <f t="shared" si="3"/>
        <v>4653.0896019261299</v>
      </c>
    </row>
    <row r="8" spans="3:29" s="149" customFormat="1" ht="22.15" customHeight="1">
      <c r="C8" s="150" t="s">
        <v>27</v>
      </c>
      <c r="D8" s="151" t="s">
        <v>23</v>
      </c>
      <c r="E8" s="151" t="s">
        <v>16</v>
      </c>
      <c r="F8" s="151" t="s">
        <v>17</v>
      </c>
      <c r="G8" s="152">
        <v>5</v>
      </c>
      <c r="H8" s="153" t="s">
        <v>189</v>
      </c>
      <c r="I8" s="154" t="s">
        <v>18</v>
      </c>
      <c r="J8" s="155">
        <v>6</v>
      </c>
      <c r="K8" s="153" t="s">
        <v>189</v>
      </c>
      <c r="N8" s="150" t="s">
        <v>28</v>
      </c>
      <c r="O8" s="156">
        <f>'Option 4 Delivered Service'!E5</f>
        <v>0</v>
      </c>
      <c r="P8" s="156">
        <f>'Option 4 Delivered Service'!F5</f>
        <v>0</v>
      </c>
      <c r="Q8" s="156">
        <f>'Option 4 Delivered Service'!G5</f>
        <v>620377975.17204261</v>
      </c>
      <c r="R8" s="156">
        <f>'Option 4 Delivered Service'!H5</f>
        <v>0</v>
      </c>
      <c r="S8" s="156">
        <f>'Option 4 Delivered Service'!I5</f>
        <v>0</v>
      </c>
      <c r="T8" s="156">
        <f>'Option 4 Delivered Service'!J5</f>
        <v>620377975.17204261</v>
      </c>
      <c r="V8" s="150" t="s">
        <v>28</v>
      </c>
      <c r="W8" s="156">
        <f t="shared" si="0"/>
        <v>0</v>
      </c>
      <c r="X8" s="156">
        <f t="shared" si="2"/>
        <v>0</v>
      </c>
      <c r="Y8" s="156">
        <f t="shared" si="2"/>
        <v>620.37797517204262</v>
      </c>
      <c r="Z8" s="156">
        <f t="shared" si="2"/>
        <v>0</v>
      </c>
      <c r="AA8" s="156">
        <f t="shared" si="2"/>
        <v>0</v>
      </c>
      <c r="AB8" s="156">
        <f t="shared" si="2"/>
        <v>620.37797517204262</v>
      </c>
      <c r="AC8" s="156">
        <f t="shared" si="3"/>
        <v>1209.6340893225079</v>
      </c>
    </row>
    <row r="9" spans="3:29" s="149" customFormat="1" ht="22.15" customHeight="1">
      <c r="C9" s="150" t="s">
        <v>29</v>
      </c>
      <c r="D9" s="151" t="s">
        <v>23</v>
      </c>
      <c r="E9" s="159" t="s">
        <v>30</v>
      </c>
      <c r="F9" s="151" t="s">
        <v>31</v>
      </c>
      <c r="G9" s="160">
        <v>7</v>
      </c>
      <c r="H9" s="153" t="s">
        <v>189</v>
      </c>
      <c r="I9" s="154" t="s">
        <v>18</v>
      </c>
      <c r="J9" s="161">
        <v>8</v>
      </c>
      <c r="K9" s="153" t="s">
        <v>189</v>
      </c>
      <c r="N9" s="150" t="s">
        <v>32</v>
      </c>
      <c r="O9" s="156">
        <f>'Option 4 Delivered Service'!O5</f>
        <v>0</v>
      </c>
      <c r="P9" s="156">
        <f>'Option 4 Delivered Service'!P5</f>
        <v>0</v>
      </c>
      <c r="Q9" s="156">
        <f>'Option 4 Delivered Service'!Q5</f>
        <v>1613255711.76652</v>
      </c>
      <c r="R9" s="156">
        <f>'Option 4 Delivered Service'!R5</f>
        <v>0</v>
      </c>
      <c r="S9" s="156">
        <f>'Option 4 Delivered Service'!S5</f>
        <v>0</v>
      </c>
      <c r="T9" s="156">
        <f>'Option 4 Delivered Service'!T5</f>
        <v>1613255711.76652</v>
      </c>
      <c r="V9" s="150" t="s">
        <v>32</v>
      </c>
      <c r="W9" s="156">
        <f t="shared" si="0"/>
        <v>0</v>
      </c>
      <c r="X9" s="156">
        <f t="shared" si="2"/>
        <v>0</v>
      </c>
      <c r="Y9" s="156">
        <f t="shared" si="2"/>
        <v>1613.2557117665201</v>
      </c>
      <c r="Z9" s="156">
        <f t="shared" si="2"/>
        <v>0</v>
      </c>
      <c r="AA9" s="156">
        <f t="shared" si="2"/>
        <v>0</v>
      </c>
      <c r="AB9" s="156">
        <f t="shared" si="2"/>
        <v>1613.2557117665201</v>
      </c>
      <c r="AC9" s="156">
        <f t="shared" si="3"/>
        <v>2202.5118259169853</v>
      </c>
    </row>
    <row r="10" spans="3:29" s="149" customFormat="1" ht="22.15" customHeight="1">
      <c r="C10" s="150" t="s">
        <v>28</v>
      </c>
      <c r="D10" s="151" t="s">
        <v>23</v>
      </c>
      <c r="E10" s="159" t="s">
        <v>30</v>
      </c>
      <c r="F10" s="159" t="s">
        <v>17</v>
      </c>
      <c r="G10" s="160">
        <v>9</v>
      </c>
      <c r="H10" s="153" t="s">
        <v>189</v>
      </c>
      <c r="I10" s="162" t="s">
        <v>33</v>
      </c>
      <c r="J10" s="161"/>
      <c r="K10" s="153" t="s">
        <v>189</v>
      </c>
    </row>
    <row r="11" spans="3:29" s="149" customFormat="1" ht="22.15" customHeight="1">
      <c r="C11" s="150" t="s">
        <v>32</v>
      </c>
      <c r="D11" s="151" t="s">
        <v>23</v>
      </c>
      <c r="E11" s="159" t="s">
        <v>30</v>
      </c>
      <c r="F11" s="159" t="s">
        <v>17</v>
      </c>
      <c r="G11" s="160">
        <v>9</v>
      </c>
      <c r="H11" s="153" t="s">
        <v>189</v>
      </c>
      <c r="I11" s="162" t="s">
        <v>33</v>
      </c>
      <c r="J11" s="161"/>
      <c r="K11" s="153" t="s">
        <v>189</v>
      </c>
    </row>
    <row r="12" spans="3:29" s="149" customFormat="1">
      <c r="G12" s="163"/>
      <c r="H12" s="164"/>
      <c r="I12" s="164"/>
      <c r="J12" s="163"/>
      <c r="K12" s="154"/>
    </row>
    <row r="13" spans="3:29" s="149" customFormat="1" ht="21.4" customHeight="1">
      <c r="C13" s="151" t="s">
        <v>34</v>
      </c>
      <c r="D13" s="151" t="s">
        <v>35</v>
      </c>
      <c r="E13" s="159" t="s">
        <v>35</v>
      </c>
      <c r="F13" s="159" t="s">
        <v>17</v>
      </c>
      <c r="G13" s="160">
        <v>9</v>
      </c>
      <c r="H13" s="153" t="s">
        <v>189</v>
      </c>
      <c r="I13" s="154" t="s">
        <v>18</v>
      </c>
      <c r="J13" s="155">
        <v>10</v>
      </c>
      <c r="K13" s="153" t="s">
        <v>189</v>
      </c>
    </row>
    <row r="14" spans="3:29" s="149" customFormat="1">
      <c r="G14" s="163"/>
      <c r="H14" s="164"/>
      <c r="I14" s="164"/>
      <c r="J14" s="163"/>
      <c r="K14" s="164"/>
    </row>
    <row r="15" spans="3:29" s="149" customFormat="1">
      <c r="C15" s="149" t="s">
        <v>36</v>
      </c>
      <c r="G15" s="163"/>
      <c r="H15" s="164"/>
      <c r="I15" s="164"/>
      <c r="J15" s="163"/>
      <c r="K15" s="164"/>
    </row>
    <row r="16" spans="3:29" s="149" customFormat="1" ht="21.4" customHeight="1">
      <c r="C16" s="150" t="s">
        <v>14</v>
      </c>
      <c r="D16" s="151" t="s">
        <v>15</v>
      </c>
      <c r="E16" s="151" t="s">
        <v>16</v>
      </c>
      <c r="F16" s="159" t="s">
        <v>17</v>
      </c>
      <c r="G16" s="152">
        <v>11</v>
      </c>
      <c r="H16" s="153" t="s">
        <v>189</v>
      </c>
      <c r="I16" s="154" t="s">
        <v>18</v>
      </c>
      <c r="J16" s="155">
        <v>12</v>
      </c>
      <c r="K16" s="153" t="s">
        <v>189</v>
      </c>
    </row>
    <row r="17" spans="3:11" s="149" customFormat="1" ht="21.4" customHeight="1">
      <c r="C17" s="150" t="s">
        <v>20</v>
      </c>
      <c r="D17" s="151" t="s">
        <v>15</v>
      </c>
      <c r="E17" s="151" t="s">
        <v>16</v>
      </c>
      <c r="F17" s="159" t="s">
        <v>17</v>
      </c>
      <c r="G17" s="152">
        <v>11</v>
      </c>
      <c r="H17" s="153" t="s">
        <v>189</v>
      </c>
      <c r="I17" s="154" t="s">
        <v>18</v>
      </c>
      <c r="J17" s="155">
        <v>12</v>
      </c>
      <c r="K17" s="153" t="s">
        <v>189</v>
      </c>
    </row>
    <row r="18" spans="3:11" s="149" customFormat="1" ht="21.4" customHeight="1">
      <c r="C18" s="151" t="s">
        <v>34</v>
      </c>
      <c r="D18" s="151" t="s">
        <v>35</v>
      </c>
      <c r="E18" s="159" t="s">
        <v>35</v>
      </c>
      <c r="F18" s="159" t="s">
        <v>17</v>
      </c>
      <c r="G18" s="160">
        <v>13</v>
      </c>
      <c r="H18" s="153" t="s">
        <v>189</v>
      </c>
      <c r="I18" s="154" t="s">
        <v>18</v>
      </c>
      <c r="J18" s="155">
        <v>14</v>
      </c>
      <c r="K18" s="153" t="s">
        <v>189</v>
      </c>
    </row>
    <row r="19" spans="3:11" s="149" customFormat="1"/>
    <row r="22" spans="3:11">
      <c r="C22" s="167" t="s">
        <v>37</v>
      </c>
      <c r="D22" s="167">
        <v>2023</v>
      </c>
    </row>
    <row r="23" spans="3:11">
      <c r="C23" s="167" t="s">
        <v>204</v>
      </c>
      <c r="D23" s="168">
        <v>2.1000000000000001E-2</v>
      </c>
    </row>
    <row r="24" spans="3:11">
      <c r="C24" s="167" t="s">
        <v>38</v>
      </c>
      <c r="D24" s="168">
        <v>4.9200000000000001E-2</v>
      </c>
    </row>
    <row r="25" spans="3:11">
      <c r="C25" s="167" t="s">
        <v>39</v>
      </c>
      <c r="D25" s="168">
        <v>7.3800000000000004E-2</v>
      </c>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3C3B-8E0B-4401-9549-ADD7B6071AC6}">
  <sheetPr>
    <tabColor theme="0" tint="-0.249977111117893"/>
  </sheetPr>
  <dimension ref="B2:AH64"/>
  <sheetViews>
    <sheetView showGridLines="0" zoomScale="95" zoomScaleNormal="95" workbookViewId="0">
      <selection activeCell="M30" sqref="M30"/>
    </sheetView>
  </sheetViews>
  <sheetFormatPr defaultRowHeight="15"/>
  <cols>
    <col min="3" max="7" width="17.5703125" customWidth="1"/>
    <col min="10" max="15" width="17.5703125" customWidth="1"/>
    <col min="18" max="23" width="17.5703125" customWidth="1"/>
    <col min="24" max="26" width="4.42578125" customWidth="1"/>
    <col min="28" max="28" width="18.42578125" customWidth="1"/>
    <col min="29" max="29" width="18" customWidth="1"/>
    <col min="30" max="30" width="13.5703125" bestFit="1" customWidth="1"/>
    <col min="31" max="31" width="14.7109375" customWidth="1"/>
    <col min="33" max="33" width="18.28515625" customWidth="1"/>
    <col min="34" max="34" width="12.5703125" bestFit="1" customWidth="1"/>
  </cols>
  <sheetData>
    <row r="2" spans="2:34">
      <c r="C2" s="172" t="s">
        <v>191</v>
      </c>
      <c r="D2" s="172"/>
      <c r="E2" s="172"/>
      <c r="F2" s="172"/>
      <c r="AD2" s="28">
        <v>0.5</v>
      </c>
    </row>
    <row r="3" spans="2:34" ht="70.150000000000006" customHeight="1">
      <c r="B3" s="11" t="s">
        <v>60</v>
      </c>
      <c r="C3" s="11" t="s">
        <v>61</v>
      </c>
      <c r="D3" s="11" t="s">
        <v>62</v>
      </c>
      <c r="E3" s="11" t="s">
        <v>63</v>
      </c>
      <c r="F3" s="11" t="s">
        <v>64</v>
      </c>
      <c r="G3" s="11" t="s">
        <v>65</v>
      </c>
      <c r="I3" s="11" t="s">
        <v>66</v>
      </c>
      <c r="J3" s="11" t="s">
        <v>61</v>
      </c>
      <c r="K3" s="11" t="s">
        <v>62</v>
      </c>
      <c r="L3" s="11" t="s">
        <v>63</v>
      </c>
      <c r="M3" s="11" t="s">
        <v>64</v>
      </c>
      <c r="N3" s="11" t="s">
        <v>65</v>
      </c>
      <c r="O3" s="11" t="s">
        <v>67</v>
      </c>
      <c r="Q3" s="11" t="s">
        <v>68</v>
      </c>
      <c r="R3" s="11" t="s">
        <v>61</v>
      </c>
      <c r="S3" s="11" t="s">
        <v>62</v>
      </c>
      <c r="T3" s="11" t="s">
        <v>63</v>
      </c>
      <c r="U3" s="11" t="s">
        <v>64</v>
      </c>
      <c r="V3" s="11" t="s">
        <v>65</v>
      </c>
      <c r="W3" s="11" t="s">
        <v>67</v>
      </c>
      <c r="AA3" s="10" t="s">
        <v>52</v>
      </c>
      <c r="AB3" s="1" t="s">
        <v>69</v>
      </c>
      <c r="AC3" s="1" t="s">
        <v>70</v>
      </c>
      <c r="AD3" s="29" t="s">
        <v>71</v>
      </c>
      <c r="AE3" s="29" t="s">
        <v>72</v>
      </c>
      <c r="AG3" s="29" t="s">
        <v>73</v>
      </c>
      <c r="AH3" s="29" t="s">
        <v>72</v>
      </c>
    </row>
    <row r="4" spans="2:34">
      <c r="B4" s="12">
        <v>2024</v>
      </c>
      <c r="C4" s="112">
        <v>1392146281.8347917</v>
      </c>
      <c r="D4" s="112">
        <v>1412498983.1549063</v>
      </c>
      <c r="E4" s="112">
        <v>-5556145.6177713238</v>
      </c>
      <c r="F4" s="112">
        <v>-1818452.6768844659</v>
      </c>
      <c r="G4" s="13">
        <f t="shared" ref="G4:G17" si="0">C4-D4</f>
        <v>-20352701.320114613</v>
      </c>
      <c r="I4" s="12">
        <v>2024</v>
      </c>
      <c r="J4" s="13">
        <f t="shared" ref="J4:J17" si="1">C4*1.3</f>
        <v>1809790166.3852291</v>
      </c>
      <c r="K4" s="13">
        <f t="shared" ref="K4:K17" si="2">D4*1.3</f>
        <v>1836248678.1013782</v>
      </c>
      <c r="L4" s="13">
        <f t="shared" ref="L4:L17" si="3">E4*1.3</f>
        <v>-7222989.3031027215</v>
      </c>
      <c r="M4" s="13">
        <f t="shared" ref="M4:M17" si="4">F4*1.3</f>
        <v>-2363988.4799498059</v>
      </c>
      <c r="N4" s="13">
        <f t="shared" ref="N4:N17" si="5">J4-K4</f>
        <v>-26458511.716149092</v>
      </c>
      <c r="O4" s="13">
        <f t="shared" ref="O4:O17" si="6">L4-M4</f>
        <v>-4859000.8231529156</v>
      </c>
      <c r="Q4" s="12">
        <v>2024</v>
      </c>
      <c r="R4" s="13">
        <f t="shared" ref="R4:R17" si="7">J4/1.021^($I4-Start_Year)</f>
        <v>1772566274.6182461</v>
      </c>
      <c r="S4" s="13">
        <f t="shared" ref="S4:S17" si="8">K4/1.021^($I4-Start_Year)</f>
        <v>1798480585.799587</v>
      </c>
      <c r="T4" s="13">
        <f t="shared" ref="T4:T17" si="9">L4/1.021^($I4-Start_Year)</f>
        <v>-7074426.3497578083</v>
      </c>
      <c r="U4" s="13">
        <f t="shared" ref="U4:U17" si="10">M4/1.021^($I4-Start_Year)</f>
        <v>-2315365.7981878612</v>
      </c>
      <c r="V4" s="13">
        <f t="shared" ref="V4:V17" si="11">R4-S4</f>
        <v>-25914311.181340933</v>
      </c>
      <c r="W4" s="13">
        <f t="shared" ref="W4:W17" si="12">T4-U4</f>
        <v>-4759060.551569947</v>
      </c>
      <c r="AA4" s="14">
        <v>2024</v>
      </c>
      <c r="AB4" s="5">
        <f t="shared" ref="AB4:AB15" si="13">N4</f>
        <v>-26458511.716149092</v>
      </c>
      <c r="AC4" s="26">
        <f>'#1-Without Volatility'!H20</f>
        <v>-13907067.487240791</v>
      </c>
      <c r="AD4" s="30">
        <f t="shared" ref="AD4:AD43" si="14">AC4+(AB4-AC4)*$AD$2</f>
        <v>-20182789.601694942</v>
      </c>
      <c r="AE4" s="30">
        <f t="shared" ref="AE4:AE15" si="15">O4</f>
        <v>-4859000.8231529156</v>
      </c>
      <c r="AG4" s="31">
        <f>NPV(After_Tax_Cost_of_Capital,AD4:AD43)</f>
        <v>-798259661.91961181</v>
      </c>
      <c r="AH4" s="31">
        <f>NPV(After_Tax_Cost_of_Capital,AE4:AE43)</f>
        <v>-70953911.363022327</v>
      </c>
    </row>
    <row r="5" spans="2:34">
      <c r="B5" s="12">
        <v>2025</v>
      </c>
      <c r="C5" s="112">
        <v>1364548520.0040774</v>
      </c>
      <c r="D5" s="112">
        <v>1380688613.1360981</v>
      </c>
      <c r="E5" s="112">
        <v>-5021809.7636452354</v>
      </c>
      <c r="F5" s="112">
        <v>-1891392.2102667389</v>
      </c>
      <c r="G5" s="13">
        <f t="shared" si="0"/>
        <v>-16140093.132020712</v>
      </c>
      <c r="I5" s="12">
        <v>2025</v>
      </c>
      <c r="J5" s="13">
        <f t="shared" si="1"/>
        <v>1773913076.0053008</v>
      </c>
      <c r="K5" s="13">
        <f t="shared" si="2"/>
        <v>1794895197.0769277</v>
      </c>
      <c r="L5" s="13">
        <f t="shared" si="3"/>
        <v>-6528352.6927388059</v>
      </c>
      <c r="M5" s="13">
        <f t="shared" si="4"/>
        <v>-2458809.8733467609</v>
      </c>
      <c r="N5" s="13">
        <f t="shared" si="5"/>
        <v>-20982121.071626902</v>
      </c>
      <c r="O5" s="13">
        <f t="shared" si="6"/>
        <v>-4069542.819392045</v>
      </c>
      <c r="Q5" s="12">
        <v>2025</v>
      </c>
      <c r="R5" s="13">
        <f t="shared" si="7"/>
        <v>1701691583.5095716</v>
      </c>
      <c r="S5" s="13">
        <f t="shared" si="8"/>
        <v>1721819457.4819372</v>
      </c>
      <c r="T5" s="13">
        <f t="shared" si="9"/>
        <v>-6262563.2460146975</v>
      </c>
      <c r="U5" s="13">
        <f t="shared" si="10"/>
        <v>-2358704.1121241027</v>
      </c>
      <c r="V5" s="13">
        <f t="shared" si="11"/>
        <v>-20127873.972365618</v>
      </c>
      <c r="W5" s="13">
        <f t="shared" si="12"/>
        <v>-3903859.1338905948</v>
      </c>
      <c r="AA5" s="14">
        <v>2025</v>
      </c>
      <c r="AB5" s="5">
        <f t="shared" si="13"/>
        <v>-20982121.071626902</v>
      </c>
      <c r="AC5" s="26">
        <f>'#1-Without Volatility'!H21</f>
        <v>-7961716.319996357</v>
      </c>
      <c r="AD5" s="30">
        <f t="shared" si="14"/>
        <v>-14471918.695811629</v>
      </c>
      <c r="AE5" s="30">
        <f t="shared" si="15"/>
        <v>-4069542.819392045</v>
      </c>
    </row>
    <row r="6" spans="2:34">
      <c r="B6" s="14">
        <v>2026</v>
      </c>
      <c r="C6" s="112">
        <v>1279770798.1816962</v>
      </c>
      <c r="D6" s="112">
        <v>1297426194.4225459</v>
      </c>
      <c r="E6" s="112">
        <v>-3268302.7665863466</v>
      </c>
      <c r="F6" s="112">
        <v>-1070300.9077666993</v>
      </c>
      <c r="G6" s="13">
        <f t="shared" si="0"/>
        <v>-17655396.240849733</v>
      </c>
      <c r="I6" s="14">
        <v>2026</v>
      </c>
      <c r="J6" s="13">
        <f t="shared" si="1"/>
        <v>1663702037.6362052</v>
      </c>
      <c r="K6" s="13">
        <f t="shared" si="2"/>
        <v>1686654052.7493098</v>
      </c>
      <c r="L6" s="13">
        <f t="shared" si="3"/>
        <v>-4248793.5965622505</v>
      </c>
      <c r="M6" s="13">
        <f t="shared" si="4"/>
        <v>-1391391.1800967092</v>
      </c>
      <c r="N6" s="13">
        <f t="shared" si="5"/>
        <v>-22952015.113104582</v>
      </c>
      <c r="O6" s="13">
        <f t="shared" si="6"/>
        <v>-2857402.4164655413</v>
      </c>
      <c r="Q6" s="14">
        <v>2026</v>
      </c>
      <c r="R6" s="13">
        <f t="shared" si="7"/>
        <v>1563141603.9884615</v>
      </c>
      <c r="S6" s="13">
        <f t="shared" si="8"/>
        <v>1584706312.6364355</v>
      </c>
      <c r="T6" s="13">
        <f t="shared" si="9"/>
        <v>-3991980.4672370558</v>
      </c>
      <c r="U6" s="13">
        <f t="shared" si="10"/>
        <v>-1307290.2429824118</v>
      </c>
      <c r="V6" s="13">
        <f t="shared" si="11"/>
        <v>-21564708.647974014</v>
      </c>
      <c r="W6" s="13">
        <f t="shared" si="12"/>
        <v>-2684690.224254644</v>
      </c>
      <c r="AA6" s="14">
        <v>2026</v>
      </c>
      <c r="AB6" s="5">
        <f t="shared" si="13"/>
        <v>-22952015.113104582</v>
      </c>
      <c r="AC6" s="26">
        <f>'#1-Without Volatility'!H22</f>
        <v>-12417189.941564322</v>
      </c>
      <c r="AD6" s="30">
        <f t="shared" si="14"/>
        <v>-17684602.527334452</v>
      </c>
      <c r="AE6" s="30">
        <f t="shared" si="15"/>
        <v>-2857402.4164655413</v>
      </c>
    </row>
    <row r="7" spans="2:34">
      <c r="B7" s="14">
        <v>2027</v>
      </c>
      <c r="C7" s="112">
        <v>1308035676.795541</v>
      </c>
      <c r="D7" s="112">
        <v>1329948244.1935539</v>
      </c>
      <c r="E7" s="112">
        <v>-4449048.4369680751</v>
      </c>
      <c r="F7" s="112">
        <v>-1336941.5943754958</v>
      </c>
      <c r="G7" s="13">
        <f t="shared" si="0"/>
        <v>-21912567.398012877</v>
      </c>
      <c r="I7" s="14">
        <v>2027</v>
      </c>
      <c r="J7" s="13">
        <f t="shared" si="1"/>
        <v>1700446379.8342035</v>
      </c>
      <c r="K7" s="13">
        <f t="shared" si="2"/>
        <v>1728932717.4516201</v>
      </c>
      <c r="L7" s="13">
        <f t="shared" si="3"/>
        <v>-5783762.9680584976</v>
      </c>
      <c r="M7" s="13">
        <f t="shared" si="4"/>
        <v>-1738024.0726881446</v>
      </c>
      <c r="N7" s="13">
        <f t="shared" si="5"/>
        <v>-28486337.61741662</v>
      </c>
      <c r="O7" s="13">
        <f t="shared" si="6"/>
        <v>-4045738.895370353</v>
      </c>
      <c r="Q7" s="14">
        <v>2027</v>
      </c>
      <c r="R7" s="13">
        <f t="shared" si="7"/>
        <v>1564804093.4275768</v>
      </c>
      <c r="S7" s="13">
        <f t="shared" si="8"/>
        <v>1591018114.7805109</v>
      </c>
      <c r="T7" s="13">
        <f t="shared" si="9"/>
        <v>-5322400.0916248849</v>
      </c>
      <c r="U7" s="13">
        <f t="shared" si="10"/>
        <v>-1599384.2650206054</v>
      </c>
      <c r="V7" s="13">
        <f t="shared" si="11"/>
        <v>-26214021.352934122</v>
      </c>
      <c r="W7" s="13">
        <f t="shared" si="12"/>
        <v>-3723015.8266042797</v>
      </c>
      <c r="AA7" s="14">
        <v>2027</v>
      </c>
      <c r="AB7" s="5">
        <f t="shared" si="13"/>
        <v>-28486337.61741662</v>
      </c>
      <c r="AC7" s="26">
        <f>'#1-Without Volatility'!H23</f>
        <v>-17197894.113091707</v>
      </c>
      <c r="AD7" s="30">
        <f t="shared" si="14"/>
        <v>-22842115.865254164</v>
      </c>
      <c r="AE7" s="30">
        <f t="shared" si="15"/>
        <v>-4045738.895370353</v>
      </c>
    </row>
    <row r="8" spans="2:34">
      <c r="B8" s="14">
        <v>2028</v>
      </c>
      <c r="C8" s="112">
        <v>1365342300.8911922</v>
      </c>
      <c r="D8" s="112">
        <v>1398709607.2122047</v>
      </c>
      <c r="E8" s="112">
        <v>-5127483.4654575512</v>
      </c>
      <c r="F8" s="112">
        <v>-1175739.6782438376</v>
      </c>
      <c r="G8" s="13">
        <f t="shared" si="0"/>
        <v>-33367306.321012497</v>
      </c>
      <c r="I8" s="14">
        <v>2028</v>
      </c>
      <c r="J8" s="13">
        <f t="shared" si="1"/>
        <v>1774944991.15855</v>
      </c>
      <c r="K8" s="13">
        <f t="shared" si="2"/>
        <v>1818322489.3758662</v>
      </c>
      <c r="L8" s="13">
        <f t="shared" si="3"/>
        <v>-6665728.5050948169</v>
      </c>
      <c r="M8" s="13">
        <f t="shared" si="4"/>
        <v>-1528461.5817169889</v>
      </c>
      <c r="N8" s="13">
        <f t="shared" si="5"/>
        <v>-43377498.217316151</v>
      </c>
      <c r="O8" s="13">
        <f t="shared" si="6"/>
        <v>-5137266.9233778277</v>
      </c>
      <c r="Q8" s="14">
        <v>2028</v>
      </c>
      <c r="R8" s="13">
        <f t="shared" si="7"/>
        <v>1599764987.4888322</v>
      </c>
      <c r="S8" s="13">
        <f t="shared" si="8"/>
        <v>1638861299.3399541</v>
      </c>
      <c r="T8" s="13">
        <f t="shared" si="9"/>
        <v>-6007847.6412931364</v>
      </c>
      <c r="U8" s="13">
        <f t="shared" si="10"/>
        <v>-1377608.5091834937</v>
      </c>
      <c r="V8" s="13">
        <f t="shared" si="11"/>
        <v>-39096311.851121902</v>
      </c>
      <c r="W8" s="13">
        <f t="shared" si="12"/>
        <v>-4630239.132109643</v>
      </c>
      <c r="AA8" s="14">
        <v>2028</v>
      </c>
      <c r="AB8" s="5">
        <f t="shared" si="13"/>
        <v>-43377498.217316151</v>
      </c>
      <c r="AC8" s="26">
        <f>'#1-Without Volatility'!H24</f>
        <v>-29866694.833969831</v>
      </c>
      <c r="AD8" s="30">
        <f t="shared" si="14"/>
        <v>-36622096.525642991</v>
      </c>
      <c r="AE8" s="30">
        <f t="shared" si="15"/>
        <v>-5137266.9233778277</v>
      </c>
    </row>
    <row r="9" spans="2:34">
      <c r="B9" s="14">
        <v>2029</v>
      </c>
      <c r="C9" s="112">
        <v>1463499593.1630468</v>
      </c>
      <c r="D9" s="112">
        <v>1496662125.8536394</v>
      </c>
      <c r="E9" s="112">
        <v>-5458720.7011080869</v>
      </c>
      <c r="F9" s="112">
        <v>-1847034.761794853</v>
      </c>
      <c r="G9" s="13">
        <f t="shared" si="0"/>
        <v>-33162532.690592527</v>
      </c>
      <c r="I9" s="14">
        <v>2029</v>
      </c>
      <c r="J9" s="13">
        <f t="shared" si="1"/>
        <v>1902549471.1119609</v>
      </c>
      <c r="K9" s="13">
        <f t="shared" si="2"/>
        <v>1945660763.6097312</v>
      </c>
      <c r="L9" s="13">
        <f t="shared" si="3"/>
        <v>-7096336.9114405131</v>
      </c>
      <c r="M9" s="13">
        <f t="shared" si="4"/>
        <v>-2401145.1903333091</v>
      </c>
      <c r="N9" s="13">
        <f t="shared" si="5"/>
        <v>-43111292.497770309</v>
      </c>
      <c r="O9" s="13">
        <f t="shared" si="6"/>
        <v>-4695191.7211072035</v>
      </c>
      <c r="Q9" s="14">
        <v>2029</v>
      </c>
      <c r="R9" s="13">
        <f t="shared" si="7"/>
        <v>1679505791.7033257</v>
      </c>
      <c r="S9" s="13">
        <f t="shared" si="8"/>
        <v>1717562970.5242808</v>
      </c>
      <c r="T9" s="13">
        <f t="shared" si="9"/>
        <v>-6264404.2237055004</v>
      </c>
      <c r="U9" s="13">
        <f t="shared" si="10"/>
        <v>-2119649.0893497821</v>
      </c>
      <c r="V9" s="13">
        <f t="shared" si="11"/>
        <v>-38057178.820955038</v>
      </c>
      <c r="W9" s="13">
        <f t="shared" si="12"/>
        <v>-4144755.1343557183</v>
      </c>
      <c r="AA9" s="14">
        <v>2029</v>
      </c>
      <c r="AB9" s="5">
        <f t="shared" si="13"/>
        <v>-43111292.497770309</v>
      </c>
      <c r="AC9" s="26">
        <f>'#1-Without Volatility'!H25</f>
        <v>-29072105.078477144</v>
      </c>
      <c r="AD9" s="30">
        <f t="shared" si="14"/>
        <v>-36091698.788123727</v>
      </c>
      <c r="AE9" s="30">
        <f t="shared" si="15"/>
        <v>-4695191.7211072035</v>
      </c>
    </row>
    <row r="10" spans="2:34">
      <c r="B10" s="14">
        <v>2030</v>
      </c>
      <c r="C10" s="112">
        <v>1523179282.9795687</v>
      </c>
      <c r="D10" s="112">
        <v>1554706235.7393808</v>
      </c>
      <c r="E10" s="112">
        <v>-3605354.3631955823</v>
      </c>
      <c r="F10" s="112">
        <v>-1582499.7380335946</v>
      </c>
      <c r="G10" s="13">
        <f t="shared" si="0"/>
        <v>-31526952.759812117</v>
      </c>
      <c r="I10" s="14">
        <v>2030</v>
      </c>
      <c r="J10" s="13">
        <f t="shared" si="1"/>
        <v>1980133067.8734393</v>
      </c>
      <c r="K10" s="13">
        <f t="shared" si="2"/>
        <v>2021118106.4611952</v>
      </c>
      <c r="L10" s="13">
        <f t="shared" si="3"/>
        <v>-4686960.6721542571</v>
      </c>
      <c r="M10" s="13">
        <f t="shared" si="4"/>
        <v>-2057249.659443673</v>
      </c>
      <c r="N10" s="13">
        <f t="shared" si="5"/>
        <v>-40985038.587755919</v>
      </c>
      <c r="O10" s="13">
        <f t="shared" si="6"/>
        <v>-2629711.0127105843</v>
      </c>
      <c r="Q10" s="14">
        <v>2030</v>
      </c>
      <c r="R10" s="13">
        <f t="shared" si="7"/>
        <v>1712041082.4113071</v>
      </c>
      <c r="S10" s="13">
        <f t="shared" si="8"/>
        <v>1747477120.0013504</v>
      </c>
      <c r="T10" s="13">
        <f t="shared" si="9"/>
        <v>-4052388.878587767</v>
      </c>
      <c r="U10" s="13">
        <f t="shared" si="10"/>
        <v>-1778716.7897391804</v>
      </c>
      <c r="V10" s="13">
        <f t="shared" si="11"/>
        <v>-35436037.590043306</v>
      </c>
      <c r="W10" s="13">
        <f t="shared" si="12"/>
        <v>-2273672.0888485867</v>
      </c>
      <c r="AA10" s="14">
        <v>2030</v>
      </c>
      <c r="AB10" s="5">
        <f t="shared" si="13"/>
        <v>-40985038.587755919</v>
      </c>
      <c r="AC10" s="26">
        <f>'#1-Without Volatility'!H26</f>
        <v>-26475630.948000193</v>
      </c>
      <c r="AD10" s="30">
        <f t="shared" si="14"/>
        <v>-33730334.767878056</v>
      </c>
      <c r="AE10" s="30">
        <f t="shared" si="15"/>
        <v>-2629711.0127105843</v>
      </c>
    </row>
    <row r="11" spans="2:34">
      <c r="B11" s="14">
        <v>2031</v>
      </c>
      <c r="C11" s="112">
        <v>1613301658.9412601</v>
      </c>
      <c r="D11" s="112">
        <v>1651615818.2370574</v>
      </c>
      <c r="E11" s="112">
        <v>-4751000.0265842266</v>
      </c>
      <c r="F11" s="112">
        <v>-1132041.4231820782</v>
      </c>
      <c r="G11" s="13">
        <f t="shared" si="0"/>
        <v>-38314159.295797348</v>
      </c>
      <c r="I11" s="14">
        <v>2031</v>
      </c>
      <c r="J11" s="13">
        <f t="shared" si="1"/>
        <v>2097292156.6236382</v>
      </c>
      <c r="K11" s="13">
        <f t="shared" si="2"/>
        <v>2147100563.7081747</v>
      </c>
      <c r="L11" s="13">
        <f t="shared" si="3"/>
        <v>-6176300.0345594948</v>
      </c>
      <c r="M11" s="13">
        <f t="shared" si="4"/>
        <v>-1471653.8501367017</v>
      </c>
      <c r="N11" s="13">
        <f t="shared" si="5"/>
        <v>-49808407.084536552</v>
      </c>
      <c r="O11" s="13">
        <f t="shared" si="6"/>
        <v>-4704646.1844227929</v>
      </c>
      <c r="Q11" s="14">
        <v>2031</v>
      </c>
      <c r="R11" s="13">
        <f t="shared" si="7"/>
        <v>1776041035.6952674</v>
      </c>
      <c r="S11" s="13">
        <f t="shared" si="8"/>
        <v>1818220078.1454921</v>
      </c>
      <c r="T11" s="13">
        <f t="shared" si="9"/>
        <v>-5230250.0037967898</v>
      </c>
      <c r="U11" s="13">
        <f t="shared" si="10"/>
        <v>-1246234.3979722185</v>
      </c>
      <c r="V11" s="13">
        <f t="shared" si="11"/>
        <v>-42179042.450224638</v>
      </c>
      <c r="W11" s="13">
        <f t="shared" si="12"/>
        <v>-3984015.6058245711</v>
      </c>
      <c r="AA11" s="14">
        <v>2031</v>
      </c>
      <c r="AB11" s="5">
        <f t="shared" si="13"/>
        <v>-49808407.084536552</v>
      </c>
      <c r="AC11" s="26">
        <f>'#1-Without Volatility'!H27</f>
        <v>-32392762.922955275</v>
      </c>
      <c r="AD11" s="30">
        <f t="shared" si="14"/>
        <v>-41100585.003745914</v>
      </c>
      <c r="AE11" s="30">
        <f t="shared" si="15"/>
        <v>-4704646.1844227929</v>
      </c>
    </row>
    <row r="12" spans="2:34">
      <c r="B12" s="14">
        <v>2032</v>
      </c>
      <c r="C12" s="112">
        <v>1703349394.597558</v>
      </c>
      <c r="D12" s="112">
        <v>1741267752.7549691</v>
      </c>
      <c r="E12" s="112">
        <v>-4684405.2075952534</v>
      </c>
      <c r="F12" s="112">
        <v>-1520874.9463174157</v>
      </c>
      <c r="G12" s="13">
        <f t="shared" si="0"/>
        <v>-37918358.157411098</v>
      </c>
      <c r="I12" s="14">
        <v>2032</v>
      </c>
      <c r="J12" s="13">
        <f t="shared" si="1"/>
        <v>2214354212.9768257</v>
      </c>
      <c r="K12" s="13">
        <f t="shared" si="2"/>
        <v>2263648078.58146</v>
      </c>
      <c r="L12" s="13">
        <f t="shared" si="3"/>
        <v>-6089726.7698738296</v>
      </c>
      <c r="M12" s="13">
        <f t="shared" si="4"/>
        <v>-1977137.4302126404</v>
      </c>
      <c r="N12" s="13">
        <f t="shared" si="5"/>
        <v>-49293865.604634285</v>
      </c>
      <c r="O12" s="13">
        <f t="shared" si="6"/>
        <v>-4112589.3396611894</v>
      </c>
      <c r="Q12" s="14">
        <v>2032</v>
      </c>
      <c r="R12" s="13">
        <f t="shared" si="7"/>
        <v>1836603527.0910826</v>
      </c>
      <c r="S12" s="13">
        <f t="shared" si="8"/>
        <v>1877488263.1025441</v>
      </c>
      <c r="T12" s="13">
        <f t="shared" si="9"/>
        <v>-5050869.277835953</v>
      </c>
      <c r="U12" s="13">
        <f t="shared" si="10"/>
        <v>-1639853.9838803725</v>
      </c>
      <c r="V12" s="13">
        <f t="shared" si="11"/>
        <v>-40884736.011461496</v>
      </c>
      <c r="W12" s="13">
        <f t="shared" si="12"/>
        <v>-3411015.2939555803</v>
      </c>
      <c r="AA12" s="14">
        <v>2032</v>
      </c>
      <c r="AB12" s="5">
        <f t="shared" si="13"/>
        <v>-49293865.604634285</v>
      </c>
      <c r="AC12" s="26">
        <f>'#1-Without Volatility'!H28</f>
        <v>-31979018.879654408</v>
      </c>
      <c r="AD12" s="30">
        <f t="shared" si="14"/>
        <v>-40636442.242144346</v>
      </c>
      <c r="AE12" s="30">
        <f t="shared" si="15"/>
        <v>-4112589.3396611894</v>
      </c>
    </row>
    <row r="13" spans="2:34">
      <c r="B13" s="14">
        <v>2033</v>
      </c>
      <c r="C13" s="112">
        <v>1800949495.4468973</v>
      </c>
      <c r="D13" s="112">
        <v>1841476137.8280878</v>
      </c>
      <c r="E13" s="112">
        <v>-5213969.1515362673</v>
      </c>
      <c r="F13" s="112">
        <v>-1499149.4407775172</v>
      </c>
      <c r="G13" s="13">
        <f t="shared" si="0"/>
        <v>-40526642.381190538</v>
      </c>
      <c r="I13" s="14">
        <v>2033</v>
      </c>
      <c r="J13" s="13">
        <f t="shared" si="1"/>
        <v>2341234344.0809665</v>
      </c>
      <c r="K13" s="13">
        <f t="shared" si="2"/>
        <v>2393918979.1765141</v>
      </c>
      <c r="L13" s="13">
        <f t="shared" si="3"/>
        <v>-6778159.8969971472</v>
      </c>
      <c r="M13" s="13">
        <f t="shared" si="4"/>
        <v>-1948894.2730107724</v>
      </c>
      <c r="N13" s="13">
        <f t="shared" si="5"/>
        <v>-52684635.095547676</v>
      </c>
      <c r="O13" s="13">
        <f t="shared" si="6"/>
        <v>-4829265.6239863746</v>
      </c>
      <c r="Q13" s="14">
        <v>2033</v>
      </c>
      <c r="R13" s="13">
        <f t="shared" si="7"/>
        <v>1901899066.9879274</v>
      </c>
      <c r="S13" s="13">
        <f t="shared" si="8"/>
        <v>1944697370.6204305</v>
      </c>
      <c r="T13" s="13">
        <f t="shared" si="9"/>
        <v>-5506230.5132271033</v>
      </c>
      <c r="U13" s="13">
        <f t="shared" si="10"/>
        <v>-1583182.054743136</v>
      </c>
      <c r="V13" s="13">
        <f t="shared" si="11"/>
        <v>-42798303.632503033</v>
      </c>
      <c r="W13" s="13">
        <f t="shared" si="12"/>
        <v>-3923048.458483967</v>
      </c>
      <c r="AA13" s="14">
        <v>2033</v>
      </c>
      <c r="AB13" s="5">
        <f t="shared" si="13"/>
        <v>-52684635.095547676</v>
      </c>
      <c r="AC13" s="26">
        <f>'#1-Without Volatility'!H29</f>
        <v>-32863251.67856741</v>
      </c>
      <c r="AD13" s="30">
        <f t="shared" si="14"/>
        <v>-42773943.387057543</v>
      </c>
      <c r="AE13" s="30">
        <f t="shared" si="15"/>
        <v>-4829265.6239863746</v>
      </c>
    </row>
    <row r="14" spans="2:34">
      <c r="B14" s="14">
        <v>2034</v>
      </c>
      <c r="C14" s="112">
        <v>1910487711.6068425</v>
      </c>
      <c r="D14" s="112">
        <v>1953944029.4534969</v>
      </c>
      <c r="E14" s="112">
        <v>-5390888.4319910975</v>
      </c>
      <c r="F14" s="112">
        <v>-1386556.8119225418</v>
      </c>
      <c r="G14" s="13">
        <f t="shared" si="0"/>
        <v>-43456317.846654415</v>
      </c>
      <c r="I14" s="14">
        <v>2034</v>
      </c>
      <c r="J14" s="13">
        <f t="shared" si="1"/>
        <v>2483634025.0888953</v>
      </c>
      <c r="K14" s="13">
        <f t="shared" si="2"/>
        <v>2540127238.289546</v>
      </c>
      <c r="L14" s="13">
        <f t="shared" si="3"/>
        <v>-7008154.9615884274</v>
      </c>
      <c r="M14" s="13">
        <f t="shared" si="4"/>
        <v>-1802523.8554993044</v>
      </c>
      <c r="N14" s="13">
        <f t="shared" si="5"/>
        <v>-56493213.200650692</v>
      </c>
      <c r="O14" s="13">
        <f t="shared" si="6"/>
        <v>-5205631.1060891226</v>
      </c>
      <c r="Q14" s="14">
        <v>2034</v>
      </c>
      <c r="R14" s="13">
        <f t="shared" si="7"/>
        <v>1976079614.6205423</v>
      </c>
      <c r="S14" s="13">
        <f t="shared" si="8"/>
        <v>2021027898.4024987</v>
      </c>
      <c r="T14" s="13">
        <f t="shared" si="9"/>
        <v>-5575971.3451344846</v>
      </c>
      <c r="U14" s="13">
        <f t="shared" si="10"/>
        <v>-1434160.8343813494</v>
      </c>
      <c r="V14" s="13">
        <f t="shared" si="11"/>
        <v>-44948283.781956434</v>
      </c>
      <c r="W14" s="13">
        <f t="shared" si="12"/>
        <v>-4141810.5107531352</v>
      </c>
      <c r="AA14" s="14">
        <v>2034</v>
      </c>
      <c r="AB14" s="5">
        <f t="shared" si="13"/>
        <v>-56493213.200650692</v>
      </c>
      <c r="AC14" s="26">
        <f>'#1-Without Volatility'!H30</f>
        <v>-33099088.55891037</v>
      </c>
      <c r="AD14" s="30">
        <f t="shared" si="14"/>
        <v>-44796150.879780531</v>
      </c>
      <c r="AE14" s="30">
        <f t="shared" si="15"/>
        <v>-5205631.1060891226</v>
      </c>
    </row>
    <row r="15" spans="2:34">
      <c r="B15" s="14">
        <v>2035</v>
      </c>
      <c r="C15" s="112">
        <v>1953905526.0273476</v>
      </c>
      <c r="D15" s="112">
        <v>1995233714.0839691</v>
      </c>
      <c r="E15" s="112">
        <v>-5089670.599729877</v>
      </c>
      <c r="F15" s="112">
        <v>-1513583.2653200389</v>
      </c>
      <c r="G15" s="13">
        <f t="shared" si="0"/>
        <v>-41328188.056621552</v>
      </c>
      <c r="I15" s="14">
        <v>2035</v>
      </c>
      <c r="J15" s="13">
        <f t="shared" si="1"/>
        <v>2540077183.8355517</v>
      </c>
      <c r="K15" s="13">
        <f t="shared" si="2"/>
        <v>2593803828.3091598</v>
      </c>
      <c r="L15" s="13">
        <f t="shared" si="3"/>
        <v>-6616571.7796488404</v>
      </c>
      <c r="M15" s="13">
        <f t="shared" si="4"/>
        <v>-1967658.2449160507</v>
      </c>
      <c r="N15" s="13">
        <f t="shared" si="5"/>
        <v>-53726644.473608017</v>
      </c>
      <c r="O15" s="13">
        <f t="shared" si="6"/>
        <v>-4648913.5347327897</v>
      </c>
      <c r="Q15" s="22">
        <v>2035</v>
      </c>
      <c r="R15" s="23">
        <f t="shared" si="7"/>
        <v>1979420247.8509164</v>
      </c>
      <c r="S15" s="23">
        <f t="shared" si="8"/>
        <v>2021288112.5744445</v>
      </c>
      <c r="T15" s="23">
        <f t="shared" si="9"/>
        <v>-5156133.1424658801</v>
      </c>
      <c r="U15" s="23">
        <f t="shared" si="10"/>
        <v>-1533348.1185624416</v>
      </c>
      <c r="V15" s="23">
        <f t="shared" si="11"/>
        <v>-41867864.723528147</v>
      </c>
      <c r="W15" s="23">
        <f t="shared" si="12"/>
        <v>-3622785.0239034388</v>
      </c>
      <c r="AA15" s="14">
        <v>2035</v>
      </c>
      <c r="AB15" s="5">
        <f t="shared" si="13"/>
        <v>-53726644.473608017</v>
      </c>
      <c r="AC15" s="26">
        <f>'#1-Without Volatility'!H31</f>
        <v>-31041832.922673225</v>
      </c>
      <c r="AD15" s="30">
        <f t="shared" si="14"/>
        <v>-42384238.698140621</v>
      </c>
      <c r="AE15" s="30">
        <f t="shared" si="15"/>
        <v>-4648913.5347327897</v>
      </c>
    </row>
    <row r="16" spans="2:34">
      <c r="B16" s="14">
        <v>2040</v>
      </c>
      <c r="C16" s="112">
        <v>2232668454.2103076</v>
      </c>
      <c r="D16" s="112">
        <v>2273467678.2355819</v>
      </c>
      <c r="E16" s="112">
        <v>-3240117.1169067374</v>
      </c>
      <c r="F16" s="112">
        <v>-676311.87165641866</v>
      </c>
      <c r="G16" s="13">
        <f t="shared" si="0"/>
        <v>-40799224.025274277</v>
      </c>
      <c r="I16" s="14">
        <v>2040</v>
      </c>
      <c r="J16" s="13">
        <f t="shared" si="1"/>
        <v>2902468990.4734001</v>
      </c>
      <c r="K16" s="13">
        <f t="shared" si="2"/>
        <v>2955507981.7062564</v>
      </c>
      <c r="L16" s="13">
        <f t="shared" si="3"/>
        <v>-4212152.2519787587</v>
      </c>
      <c r="M16" s="13">
        <f t="shared" si="4"/>
        <v>-879205.43315334432</v>
      </c>
      <c r="N16" s="13">
        <f t="shared" si="5"/>
        <v>-53038991.232856274</v>
      </c>
      <c r="O16" s="13">
        <f t="shared" si="6"/>
        <v>-3332946.8188254144</v>
      </c>
      <c r="Q16" s="22">
        <v>2040</v>
      </c>
      <c r="R16" s="23">
        <f t="shared" si="7"/>
        <v>2038590391.993989</v>
      </c>
      <c r="S16" s="23">
        <f t="shared" si="8"/>
        <v>2075843082.128921</v>
      </c>
      <c r="T16" s="23">
        <f t="shared" si="9"/>
        <v>-2958465.0649787663</v>
      </c>
      <c r="U16" s="23">
        <f t="shared" si="10"/>
        <v>-617522.44537261571</v>
      </c>
      <c r="V16" s="23">
        <f t="shared" si="11"/>
        <v>-37252690.134932041</v>
      </c>
      <c r="W16" s="23">
        <f t="shared" si="12"/>
        <v>-2340942.6196061503</v>
      </c>
      <c r="AA16" s="14">
        <v>2036</v>
      </c>
      <c r="AB16" s="5">
        <f>$V$18*1.021^(AA16-Start_Year)</f>
        <v>-61728544.423716232</v>
      </c>
      <c r="AC16" s="26">
        <f>'#1-Without Volatility'!H32</f>
        <v>-38768693.115041852</v>
      </c>
      <c r="AD16" s="30">
        <f t="shared" si="14"/>
        <v>-50248618.769379042</v>
      </c>
      <c r="AE16" s="30">
        <f t="shared" ref="AE16:AE43" si="16">$W$18*1.021^(AA16-Start_Year)</f>
        <v>-3087235.577106507</v>
      </c>
    </row>
    <row r="17" spans="2:31">
      <c r="B17" s="14">
        <v>2044</v>
      </c>
      <c r="C17" s="112">
        <v>2443759836.0675101</v>
      </c>
      <c r="D17" s="112">
        <v>2517812473.6597633</v>
      </c>
      <c r="E17" s="112">
        <v>-2264338.4341641767</v>
      </c>
      <c r="F17" s="112">
        <v>-948943.1430297055</v>
      </c>
      <c r="G17" s="13">
        <f t="shared" si="0"/>
        <v>-74052637.592253208</v>
      </c>
      <c r="I17" s="14">
        <v>2044</v>
      </c>
      <c r="J17" s="13">
        <f t="shared" si="1"/>
        <v>3176887786.8877635</v>
      </c>
      <c r="K17" s="13">
        <f t="shared" si="2"/>
        <v>3273156215.7576923</v>
      </c>
      <c r="L17" s="13">
        <f t="shared" si="3"/>
        <v>-2943639.9644134296</v>
      </c>
      <c r="M17" s="13">
        <f t="shared" si="4"/>
        <v>-1233626.0859386171</v>
      </c>
      <c r="N17" s="13">
        <f t="shared" si="5"/>
        <v>-96268428.869928837</v>
      </c>
      <c r="O17" s="13">
        <f t="shared" si="6"/>
        <v>-1710013.8784748125</v>
      </c>
      <c r="Q17" s="22">
        <v>2044</v>
      </c>
      <c r="R17" s="23">
        <f t="shared" si="7"/>
        <v>2053342003.530648</v>
      </c>
      <c r="S17" s="23">
        <f t="shared" si="8"/>
        <v>2115563908.0714364</v>
      </c>
      <c r="T17" s="23">
        <f t="shared" si="9"/>
        <v>-1902585.1675179412</v>
      </c>
      <c r="U17" s="23">
        <f t="shared" si="10"/>
        <v>-797338.91431852512</v>
      </c>
      <c r="V17" s="23">
        <f t="shared" si="11"/>
        <v>-62221904.540788412</v>
      </c>
      <c r="W17" s="23">
        <f t="shared" si="12"/>
        <v>-1105246.2531994162</v>
      </c>
      <c r="AA17" s="14">
        <v>2037</v>
      </c>
      <c r="AB17" s="5">
        <f>$V$18*1.021^(AA17-Start_Year)</f>
        <v>-63024843.856614277</v>
      </c>
      <c r="AC17" s="26">
        <f>'#1-Without Volatility'!H33</f>
        <v>-39582835.670457728</v>
      </c>
      <c r="AD17" s="30">
        <f t="shared" si="14"/>
        <v>-51303839.763536006</v>
      </c>
      <c r="AE17" s="30">
        <f t="shared" si="16"/>
        <v>-3152067.5242257435</v>
      </c>
    </row>
    <row r="18" spans="2:31">
      <c r="R18" s="21">
        <f t="shared" ref="R18:W18" si="17">AVERAGE(R15:R17)</f>
        <v>2023784214.4585178</v>
      </c>
      <c r="S18" s="21">
        <f t="shared" si="17"/>
        <v>2070898367.5916004</v>
      </c>
      <c r="T18" s="21">
        <f t="shared" si="17"/>
        <v>-3339061.1249875291</v>
      </c>
      <c r="U18" s="21">
        <f t="shared" si="17"/>
        <v>-982736.49275119416</v>
      </c>
      <c r="V18" s="21">
        <f t="shared" si="17"/>
        <v>-47114153.133082867</v>
      </c>
      <c r="W18" s="21">
        <f t="shared" si="17"/>
        <v>-2356324.632236335</v>
      </c>
      <c r="AA18" s="14">
        <v>2038</v>
      </c>
      <c r="AB18" s="5">
        <f>$V$18*1.021^(AA18-Start_Year)</f>
        <v>-64348365.577603161</v>
      </c>
      <c r="AC18" s="26">
        <f>'#1-Without Volatility'!H34</f>
        <v>-40414075.219537333</v>
      </c>
      <c r="AD18" s="30">
        <f t="shared" si="14"/>
        <v>-52381220.398570247</v>
      </c>
      <c r="AE18" s="30">
        <f t="shared" si="16"/>
        <v>-3218260.9422344835</v>
      </c>
    </row>
    <row r="19" spans="2:31">
      <c r="V19" s="21"/>
      <c r="AA19" s="14">
        <v>2039</v>
      </c>
      <c r="AB19" s="5">
        <f>$V$18*1.021^(AA19-Start_Year)</f>
        <v>-65699681.254732825</v>
      </c>
      <c r="AC19" s="26">
        <f>'#1-Without Volatility'!H35</f>
        <v>-41262770.799147613</v>
      </c>
      <c r="AD19" s="30">
        <f t="shared" si="14"/>
        <v>-53481226.026940219</v>
      </c>
      <c r="AE19" s="30">
        <f t="shared" si="16"/>
        <v>-3285844.4220214076</v>
      </c>
    </row>
    <row r="20" spans="2:31">
      <c r="AA20" s="14">
        <v>2040</v>
      </c>
      <c r="AB20" s="5">
        <f>V16</f>
        <v>-37252690.134932041</v>
      </c>
      <c r="AC20" s="26">
        <f>'#1-Without Volatility'!H36</f>
        <v>-19145129.759803534</v>
      </c>
      <c r="AD20" s="30">
        <f t="shared" si="14"/>
        <v>-28198909.947367787</v>
      </c>
      <c r="AE20" s="30">
        <f t="shared" si="16"/>
        <v>-3354847.1548838569</v>
      </c>
    </row>
    <row r="21" spans="2:31">
      <c r="AA21" s="14">
        <v>2041</v>
      </c>
      <c r="AB21" s="5">
        <f>$V$18*1.021^(AA21-Start_Year)</f>
        <v>-68488041.426864922</v>
      </c>
      <c r="AC21" s="26">
        <f>'#1-Without Volatility'!H37</f>
        <v>-43014004.054634228</v>
      </c>
      <c r="AD21" s="30">
        <f t="shared" si="14"/>
        <v>-55751022.740749575</v>
      </c>
      <c r="AE21" s="30">
        <f t="shared" si="16"/>
        <v>-3425298.9451364172</v>
      </c>
    </row>
    <row r="22" spans="2:31">
      <c r="AA22" s="14">
        <v>2042</v>
      </c>
      <c r="AB22" s="5">
        <f>$V$18*1.021^(AA22-Start_Year)</f>
        <v>-69926290.29682909</v>
      </c>
      <c r="AC22" s="26">
        <f>'#1-Without Volatility'!H38</f>
        <v>-43917298.139781542</v>
      </c>
      <c r="AD22" s="30">
        <f t="shared" si="14"/>
        <v>-56921794.21830532</v>
      </c>
      <c r="AE22" s="30">
        <f t="shared" si="16"/>
        <v>-3497230.2229842818</v>
      </c>
    </row>
    <row r="23" spans="2:31">
      <c r="AA23" s="14">
        <v>2043</v>
      </c>
      <c r="AB23" s="5">
        <f>$V$18*1.021^(AA23-Start_Year)</f>
        <v>-71394742.393062487</v>
      </c>
      <c r="AC23" s="26">
        <f>'#1-Without Volatility'!H39</f>
        <v>-44839561.400716946</v>
      </c>
      <c r="AD23" s="30">
        <f t="shared" si="14"/>
        <v>-58117151.896889716</v>
      </c>
      <c r="AE23" s="30">
        <f t="shared" si="16"/>
        <v>-3570672.0576669509</v>
      </c>
    </row>
    <row r="24" spans="2:31">
      <c r="AA24" s="14">
        <v>2044</v>
      </c>
      <c r="AB24" s="5">
        <f>V17</f>
        <v>-62221904.540788412</v>
      </c>
      <c r="AC24" s="26">
        <f>'#1-Without Volatility'!H40</f>
        <v>-45435042.944315434</v>
      </c>
      <c r="AD24" s="30">
        <f t="shared" si="14"/>
        <v>-53828473.742551923</v>
      </c>
      <c r="AE24" s="30">
        <f t="shared" si="16"/>
        <v>-3645656.1708779563</v>
      </c>
    </row>
    <row r="25" spans="2:31">
      <c r="AA25" s="14">
        <v>2045</v>
      </c>
      <c r="AB25" s="5">
        <f t="shared" ref="AB25:AB43" si="18">$V$18*1.021^(AA25-Start_Year)</f>
        <v>-74424806.654966429</v>
      </c>
      <c r="AC25" s="26">
        <f>'#1-Without Volatility'!H41</f>
        <v>-46742597.226124771</v>
      </c>
      <c r="AD25" s="30">
        <f t="shared" si="14"/>
        <v>-60583701.940545604</v>
      </c>
      <c r="AE25" s="30">
        <f t="shared" si="16"/>
        <v>-3722214.9504663935</v>
      </c>
    </row>
    <row r="26" spans="2:31">
      <c r="AA26" s="14">
        <v>2046</v>
      </c>
      <c r="AB26" s="5">
        <f t="shared" si="18"/>
        <v>-75987727.594720721</v>
      </c>
      <c r="AC26" s="26">
        <f>'#1-Without Volatility'!H42</f>
        <v>-47724191.767873384</v>
      </c>
      <c r="AD26" s="30">
        <f t="shared" si="14"/>
        <v>-61855959.681297049</v>
      </c>
      <c r="AE26" s="30">
        <f t="shared" si="16"/>
        <v>-3800381.4644261873</v>
      </c>
    </row>
    <row r="27" spans="2:31">
      <c r="AA27" s="14">
        <v>2047</v>
      </c>
      <c r="AB27" s="5">
        <f t="shared" si="18"/>
        <v>-77583469.874209836</v>
      </c>
      <c r="AC27" s="26">
        <f>'#1-Without Volatility'!H43</f>
        <v>-48726399.794998713</v>
      </c>
      <c r="AD27" s="30">
        <f t="shared" si="14"/>
        <v>-63154934.834604278</v>
      </c>
      <c r="AE27" s="30">
        <f t="shared" si="16"/>
        <v>-3880189.4751791363</v>
      </c>
    </row>
    <row r="28" spans="2:31">
      <c r="AA28" s="14">
        <v>2048</v>
      </c>
      <c r="AB28" s="5">
        <f t="shared" si="18"/>
        <v>-79212722.741568238</v>
      </c>
      <c r="AC28" s="26">
        <f>'#1-Without Volatility'!H44</f>
        <v>-49749654.190693676</v>
      </c>
      <c r="AD28" s="30">
        <f t="shared" si="14"/>
        <v>-64481188.466130957</v>
      </c>
      <c r="AE28" s="30">
        <f t="shared" si="16"/>
        <v>-3961673.4541578977</v>
      </c>
    </row>
    <row r="29" spans="2:31">
      <c r="AA29" s="14">
        <v>2049</v>
      </c>
      <c r="AB29" s="5">
        <f t="shared" si="18"/>
        <v>-80876189.919141158</v>
      </c>
      <c r="AC29" s="26">
        <f>'#1-Without Volatility'!H45</f>
        <v>-50794396.928698242</v>
      </c>
      <c r="AD29" s="30">
        <f t="shared" si="14"/>
        <v>-65835293.4239197</v>
      </c>
      <c r="AE29" s="30">
        <f t="shared" si="16"/>
        <v>-4044868.5966952131</v>
      </c>
    </row>
    <row r="30" spans="2:31">
      <c r="AA30" s="14">
        <v>2050</v>
      </c>
      <c r="AB30" s="5">
        <f t="shared" si="18"/>
        <v>-82574589.907443121</v>
      </c>
      <c r="AC30" s="26">
        <f>'#1-Without Volatility'!H46</f>
        <v>-51861079.264200911</v>
      </c>
      <c r="AD30" s="30">
        <f t="shared" si="14"/>
        <v>-67217834.585822016</v>
      </c>
      <c r="AE30" s="30">
        <f t="shared" si="16"/>
        <v>-4129810.837225813</v>
      </c>
    </row>
    <row r="31" spans="2:31">
      <c r="AA31" s="14">
        <v>2051</v>
      </c>
      <c r="AB31" s="5">
        <f t="shared" si="18"/>
        <v>-84308656.295499414</v>
      </c>
      <c r="AC31" s="26">
        <f>'#1-Without Volatility'!H47</f>
        <v>-52950161.928749107</v>
      </c>
      <c r="AD31" s="30">
        <f t="shared" si="14"/>
        <v>-68629409.112124264</v>
      </c>
      <c r="AE31" s="30">
        <f t="shared" si="16"/>
        <v>-4216536.8648075536</v>
      </c>
    </row>
    <row r="32" spans="2:31">
      <c r="AA32" s="14">
        <v>2052</v>
      </c>
      <c r="AB32" s="5">
        <f t="shared" si="18"/>
        <v>-86079138.077704877</v>
      </c>
      <c r="AC32" s="26">
        <f>'#1-Without Volatility'!H48</f>
        <v>-54062115.329252832</v>
      </c>
      <c r="AD32" s="30">
        <f t="shared" si="14"/>
        <v>-70070626.703478858</v>
      </c>
      <c r="AE32" s="30">
        <f t="shared" si="16"/>
        <v>-4305084.1389685115</v>
      </c>
    </row>
    <row r="33" spans="27:31">
      <c r="AA33" s="14">
        <v>2053</v>
      </c>
      <c r="AB33" s="5">
        <f t="shared" si="18"/>
        <v>-87886799.97733669</v>
      </c>
      <c r="AC33" s="26">
        <f>'#1-Without Volatility'!H49</f>
        <v>-55197419.751167141</v>
      </c>
      <c r="AD33" s="30">
        <f t="shared" si="14"/>
        <v>-71542109.864251912</v>
      </c>
      <c r="AE33" s="30">
        <f t="shared" si="16"/>
        <v>-4395490.9058868503</v>
      </c>
    </row>
    <row r="34" spans="27:31">
      <c r="AA34" s="14">
        <v>2054</v>
      </c>
      <c r="AB34" s="5">
        <f t="shared" si="18"/>
        <v>-89732422.776860744</v>
      </c>
      <c r="AC34" s="26">
        <f>'#1-Without Volatility'!H50</f>
        <v>-56356565.565941639</v>
      </c>
      <c r="AD34" s="30">
        <f t="shared" si="14"/>
        <v>-73044494.171401188</v>
      </c>
      <c r="AE34" s="30">
        <f t="shared" si="16"/>
        <v>-4487796.2149104737</v>
      </c>
    </row>
    <row r="35" spans="27:31">
      <c r="AA35" s="14">
        <v>2055</v>
      </c>
      <c r="AB35" s="5">
        <f t="shared" si="18"/>
        <v>-91616803.655174807</v>
      </c>
      <c r="AC35" s="26">
        <f>'#1-Without Volatility'!H51</f>
        <v>-57540053.442826413</v>
      </c>
      <c r="AD35" s="30">
        <f t="shared" si="14"/>
        <v>-74578428.549000606</v>
      </c>
      <c r="AE35" s="30">
        <f t="shared" si="16"/>
        <v>-4582039.935423593</v>
      </c>
    </row>
    <row r="36" spans="27:31">
      <c r="AA36" s="14">
        <v>2056</v>
      </c>
      <c r="AB36" s="5">
        <f t="shared" si="18"/>
        <v>-93540756.531933472</v>
      </c>
      <c r="AC36" s="26">
        <f>'#1-Without Volatility'!H52</f>
        <v>-58748394.565125763</v>
      </c>
      <c r="AD36" s="30">
        <f t="shared" si="14"/>
        <v>-76144575.548529625</v>
      </c>
      <c r="AE36" s="30">
        <f t="shared" si="16"/>
        <v>-4678262.7740674876</v>
      </c>
    </row>
    <row r="37" spans="27:31">
      <c r="AA37" s="14">
        <v>2057</v>
      </c>
      <c r="AB37" s="5">
        <f t="shared" si="18"/>
        <v>-95505112.419104055</v>
      </c>
      <c r="AC37" s="26">
        <f>'#1-Without Volatility'!H53</f>
        <v>-59982110.850993387</v>
      </c>
      <c r="AD37" s="30">
        <f t="shared" si="14"/>
        <v>-77743611.635048717</v>
      </c>
      <c r="AE37" s="30">
        <f t="shared" si="16"/>
        <v>-4776506.2923229039</v>
      </c>
    </row>
    <row r="38" spans="27:31">
      <c r="AA38" s="14">
        <v>2058</v>
      </c>
      <c r="AB38" s="5">
        <f t="shared" si="18"/>
        <v>-97510719.77990523</v>
      </c>
      <c r="AC38" s="26">
        <f>'#1-Without Volatility'!H54</f>
        <v>-61241735.178864248</v>
      </c>
      <c r="AD38" s="30">
        <f t="shared" si="14"/>
        <v>-79376227.479384735</v>
      </c>
      <c r="AE38" s="30">
        <f t="shared" si="16"/>
        <v>-4876812.9244616851</v>
      </c>
    </row>
    <row r="39" spans="27:31">
      <c r="AA39" s="14">
        <v>2059</v>
      </c>
      <c r="AB39" s="5">
        <f t="shared" si="18"/>
        <v>-99558444.895283237</v>
      </c>
      <c r="AC39" s="26">
        <f>'#1-Without Volatility'!H55</f>
        <v>-62527811.617620386</v>
      </c>
      <c r="AD39" s="30">
        <f t="shared" si="14"/>
        <v>-81043128.256451815</v>
      </c>
      <c r="AE39" s="30">
        <f t="shared" si="16"/>
        <v>-4979225.99587538</v>
      </c>
    </row>
    <row r="40" spans="27:31">
      <c r="AA40" s="14">
        <v>2060</v>
      </c>
      <c r="AB40" s="5">
        <f t="shared" si="18"/>
        <v>-101649172.23808415</v>
      </c>
      <c r="AC40" s="26">
        <f>'#1-Without Volatility'!H56</f>
        <v>-63840895.661590405</v>
      </c>
      <c r="AD40" s="30">
        <f t="shared" si="14"/>
        <v>-82745033.949837282</v>
      </c>
      <c r="AE40" s="30">
        <f t="shared" si="16"/>
        <v>-5083789.7417887617</v>
      </c>
    </row>
    <row r="41" spans="27:31">
      <c r="AA41" s="14">
        <v>2061</v>
      </c>
      <c r="AB41" s="5">
        <f t="shared" si="18"/>
        <v>-103783804.85508391</v>
      </c>
      <c r="AC41" s="26">
        <f>'#1-Without Volatility'!H57</f>
        <v>-65181554.470483802</v>
      </c>
      <c r="AD41" s="30">
        <f t="shared" si="14"/>
        <v>-84482679.662783861</v>
      </c>
      <c r="AE41" s="30">
        <f t="shared" si="16"/>
        <v>-5190549.3263663249</v>
      </c>
    </row>
    <row r="42" spans="27:31">
      <c r="AA42" s="14">
        <v>2062</v>
      </c>
      <c r="AB42" s="5">
        <f t="shared" si="18"/>
        <v>-105963264.75704066</v>
      </c>
      <c r="AC42" s="26">
        <f>'#1-Without Volatility'!H58</f>
        <v>-66550367.114363946</v>
      </c>
      <c r="AD42" s="30">
        <f t="shared" si="14"/>
        <v>-86256815.935702309</v>
      </c>
      <c r="AE42" s="30">
        <f t="shared" si="16"/>
        <v>-5299550.8622200172</v>
      </c>
    </row>
    <row r="43" spans="27:31">
      <c r="AA43" s="14">
        <v>2063</v>
      </c>
      <c r="AB43" s="5">
        <f t="shared" si="18"/>
        <v>-108188493.31693852</v>
      </c>
      <c r="AC43" s="26">
        <f>'#1-Without Volatility'!H59</f>
        <v>-67947924.823765591</v>
      </c>
      <c r="AD43" s="30">
        <f t="shared" si="14"/>
        <v>-88068209.070352048</v>
      </c>
      <c r="AE43" s="30">
        <f t="shared" si="16"/>
        <v>-5410841.4303266378</v>
      </c>
    </row>
    <row r="61" spans="9:9">
      <c r="I61" s="17"/>
    </row>
    <row r="62" spans="9:9">
      <c r="I62" s="17"/>
    </row>
    <row r="63" spans="9:9">
      <c r="I63" s="17"/>
    </row>
    <row r="64" spans="9:9">
      <c r="I64" s="17"/>
    </row>
  </sheetData>
  <mergeCells count="1">
    <mergeCell ref="C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6250A-C1D3-4810-8B23-D896287F92A2}">
  <sheetPr>
    <tabColor theme="0" tint="-0.249977111117893"/>
  </sheetPr>
  <dimension ref="B2:O59"/>
  <sheetViews>
    <sheetView showGridLines="0" zoomScale="87" zoomScaleNormal="87" workbookViewId="0">
      <selection activeCell="D9" sqref="D9"/>
    </sheetView>
  </sheetViews>
  <sheetFormatPr defaultRowHeight="15"/>
  <cols>
    <col min="3" max="5" width="17.5703125" customWidth="1"/>
    <col min="7" max="10" width="23.28515625" customWidth="1"/>
    <col min="11" max="11" width="8.7109375" customWidth="1"/>
    <col min="13" max="15" width="17.5703125" customWidth="1"/>
    <col min="17" max="17" width="8.7109375" customWidth="1"/>
  </cols>
  <sheetData>
    <row r="2" spans="2:15">
      <c r="C2" s="172" t="s">
        <v>191</v>
      </c>
      <c r="D2" s="172"/>
    </row>
    <row r="3" spans="2:15" ht="70.150000000000006" customHeight="1">
      <c r="B3" s="11" t="s">
        <v>60</v>
      </c>
      <c r="C3" s="11" t="s">
        <v>61</v>
      </c>
      <c r="D3" s="11" t="s">
        <v>62</v>
      </c>
      <c r="E3" s="11" t="s">
        <v>65</v>
      </c>
      <c r="G3" s="11" t="s">
        <v>66</v>
      </c>
      <c r="H3" s="11" t="s">
        <v>61</v>
      </c>
      <c r="I3" s="11" t="s">
        <v>62</v>
      </c>
      <c r="J3" s="11" t="s">
        <v>65</v>
      </c>
      <c r="L3" s="11" t="s">
        <v>68</v>
      </c>
      <c r="M3" s="11" t="s">
        <v>61</v>
      </c>
      <c r="N3" s="11" t="s">
        <v>62</v>
      </c>
      <c r="O3" s="11" t="s">
        <v>65</v>
      </c>
    </row>
    <row r="4" spans="2:15">
      <c r="B4" s="12">
        <v>2024</v>
      </c>
      <c r="C4" s="112">
        <v>1423717569.7738123</v>
      </c>
      <c r="D4" s="112">
        <v>1434466569.3181725</v>
      </c>
      <c r="E4" s="13">
        <f t="shared" ref="E4:E17" si="0">C4-D4</f>
        <v>-10748999.544360161</v>
      </c>
      <c r="G4" s="12">
        <v>2024</v>
      </c>
      <c r="H4" s="13">
        <f t="shared" ref="H4:H17" si="1">C4*1.3</f>
        <v>1850832840.705956</v>
      </c>
      <c r="I4" s="13">
        <f t="shared" ref="I4:I17" si="2">D4*1.3</f>
        <v>1864806540.1136243</v>
      </c>
      <c r="J4" s="13">
        <f t="shared" ref="J4:J17" si="3">H4-I4</f>
        <v>-13973699.407668352</v>
      </c>
      <c r="L4" s="12">
        <v>2024</v>
      </c>
      <c r="M4" s="13">
        <f t="shared" ref="M4:M17" si="4">H4/1.021^($G4-Start_Year)</f>
        <v>1812764780.3192518</v>
      </c>
      <c r="N4" s="13">
        <f t="shared" ref="N4:N17" si="5">I4/1.021^($G4-Start_Year)</f>
        <v>1826451067.6920905</v>
      </c>
      <c r="O4" s="13">
        <f t="shared" ref="O4:O17" si="6">M4-N4</f>
        <v>-13686287.372838736</v>
      </c>
    </row>
    <row r="5" spans="2:15">
      <c r="B5" s="12">
        <v>2025</v>
      </c>
      <c r="C5" s="112">
        <v>1397354850.5207469</v>
      </c>
      <c r="D5" s="112">
        <v>1403532098.1167753</v>
      </c>
      <c r="E5" s="13">
        <f t="shared" si="0"/>
        <v>-6177247.5960283279</v>
      </c>
      <c r="G5" s="12">
        <v>2025</v>
      </c>
      <c r="H5" s="13">
        <f t="shared" si="1"/>
        <v>1816561305.6769712</v>
      </c>
      <c r="I5" s="13">
        <f t="shared" si="2"/>
        <v>1824591727.5518079</v>
      </c>
      <c r="J5" s="13">
        <f t="shared" si="3"/>
        <v>-8030421.8748366833</v>
      </c>
      <c r="L5" s="12">
        <v>2025</v>
      </c>
      <c r="M5" s="13">
        <f t="shared" si="4"/>
        <v>1742603471.7331452</v>
      </c>
      <c r="N5" s="13">
        <f t="shared" si="5"/>
        <v>1750306950.2751794</v>
      </c>
      <c r="O5" s="13">
        <f t="shared" si="6"/>
        <v>-7703478.5420341492</v>
      </c>
    </row>
    <row r="6" spans="2:15">
      <c r="B6" s="14">
        <v>2026</v>
      </c>
      <c r="C6" s="112">
        <v>1306445626.3166709</v>
      </c>
      <c r="D6" s="112">
        <v>1316028733.0937073</v>
      </c>
      <c r="E6" s="13">
        <f t="shared" si="0"/>
        <v>-9583106.7770364285</v>
      </c>
      <c r="G6" s="14">
        <v>2026</v>
      </c>
      <c r="H6" s="13">
        <f t="shared" si="1"/>
        <v>1698379314.2116723</v>
      </c>
      <c r="I6" s="13">
        <f t="shared" si="2"/>
        <v>1710837353.0218196</v>
      </c>
      <c r="J6" s="13">
        <f t="shared" si="3"/>
        <v>-12458038.810147285</v>
      </c>
      <c r="L6" s="14">
        <v>2026</v>
      </c>
      <c r="M6" s="13">
        <f t="shared" si="4"/>
        <v>1595722855.01893</v>
      </c>
      <c r="N6" s="13">
        <f t="shared" si="5"/>
        <v>1607427882.9191856</v>
      </c>
      <c r="O6" s="13">
        <f t="shared" si="6"/>
        <v>-11705027.90025568</v>
      </c>
    </row>
    <row r="7" spans="2:15">
      <c r="B7" s="14">
        <v>2027</v>
      </c>
      <c r="C7" s="112">
        <v>1338235367.1467576</v>
      </c>
      <c r="D7" s="112">
        <v>1351513771.8927951</v>
      </c>
      <c r="E7" s="13">
        <f t="shared" si="0"/>
        <v>-13278404.746037483</v>
      </c>
      <c r="G7" s="14">
        <v>2027</v>
      </c>
      <c r="H7" s="13">
        <f t="shared" si="1"/>
        <v>1739705977.2907848</v>
      </c>
      <c r="I7" s="13">
        <f t="shared" si="2"/>
        <v>1756967903.4606338</v>
      </c>
      <c r="J7" s="13">
        <f t="shared" si="3"/>
        <v>-17261926.169848919</v>
      </c>
      <c r="L7" s="14">
        <v>2027</v>
      </c>
      <c r="M7" s="13">
        <f t="shared" si="4"/>
        <v>1600932006.3890941</v>
      </c>
      <c r="N7" s="13">
        <f t="shared" si="5"/>
        <v>1616816972.2729685</v>
      </c>
      <c r="O7" s="13">
        <f t="shared" si="6"/>
        <v>-15884965.883874416</v>
      </c>
    </row>
    <row r="8" spans="2:15">
      <c r="B8" s="14">
        <v>2028</v>
      </c>
      <c r="C8" s="112">
        <v>1395148699.2211468</v>
      </c>
      <c r="D8" s="112">
        <v>1418189474.6473975</v>
      </c>
      <c r="E8" s="13">
        <f t="shared" si="0"/>
        <v>-23040775.426250696</v>
      </c>
      <c r="G8" s="14">
        <v>2028</v>
      </c>
      <c r="H8" s="13">
        <f t="shared" si="1"/>
        <v>1813693308.9874909</v>
      </c>
      <c r="I8" s="13">
        <f t="shared" si="2"/>
        <v>1843646317.0416169</v>
      </c>
      <c r="J8" s="13">
        <f t="shared" si="3"/>
        <v>-29953008.054126024</v>
      </c>
      <c r="L8" s="14">
        <v>2028</v>
      </c>
      <c r="M8" s="13">
        <f t="shared" si="4"/>
        <v>1634689000.6247931</v>
      </c>
      <c r="N8" s="13">
        <f t="shared" si="5"/>
        <v>1661685766.0421171</v>
      </c>
      <c r="O8" s="13">
        <f t="shared" si="6"/>
        <v>-26996765.417324066</v>
      </c>
    </row>
    <row r="9" spans="2:15">
      <c r="B9" s="14">
        <v>2029</v>
      </c>
      <c r="C9" s="112">
        <v>1504103551.9522245</v>
      </c>
      <c r="D9" s="112">
        <v>1526533595.169333</v>
      </c>
      <c r="E9" s="13">
        <f t="shared" si="0"/>
        <v>-22430043.217108488</v>
      </c>
      <c r="G9" s="14">
        <v>2029</v>
      </c>
      <c r="H9" s="13">
        <f t="shared" si="1"/>
        <v>1955334617.5378919</v>
      </c>
      <c r="I9" s="13">
        <f t="shared" si="2"/>
        <v>1984493673.7201328</v>
      </c>
      <c r="J9" s="13">
        <f t="shared" si="3"/>
        <v>-29159056.182240963</v>
      </c>
      <c r="L9" s="14">
        <v>2029</v>
      </c>
      <c r="M9" s="13">
        <f t="shared" si="4"/>
        <v>1726102718.8709779</v>
      </c>
      <c r="N9" s="13">
        <f t="shared" si="5"/>
        <v>1751843339.2765298</v>
      </c>
      <c r="O9" s="13">
        <f t="shared" si="6"/>
        <v>-25740620.40555191</v>
      </c>
    </row>
    <row r="10" spans="2:15">
      <c r="B10" s="14">
        <v>2030</v>
      </c>
      <c r="C10" s="112">
        <v>1559784412.1735599</v>
      </c>
      <c r="D10" s="112">
        <v>1580208232.647805</v>
      </c>
      <c r="E10" s="13">
        <f t="shared" si="0"/>
        <v>-20423820.474245071</v>
      </c>
      <c r="G10" s="14">
        <v>2030</v>
      </c>
      <c r="H10" s="13">
        <f t="shared" si="1"/>
        <v>2027719735.825628</v>
      </c>
      <c r="I10" s="13">
        <f t="shared" si="2"/>
        <v>2054270702.4421465</v>
      </c>
      <c r="J10" s="13">
        <f t="shared" si="3"/>
        <v>-26550966.616518497</v>
      </c>
      <c r="L10" s="14">
        <v>2030</v>
      </c>
      <c r="M10" s="13">
        <f t="shared" si="4"/>
        <v>1753184948.8670638</v>
      </c>
      <c r="N10" s="13">
        <f t="shared" si="5"/>
        <v>1776141156.3880203</v>
      </c>
      <c r="O10" s="13">
        <f t="shared" si="6"/>
        <v>-22956207.520956516</v>
      </c>
    </row>
    <row r="11" spans="2:15">
      <c r="B11" s="14">
        <v>2031</v>
      </c>
      <c r="C11" s="112">
        <v>1645874781.5722134</v>
      </c>
      <c r="D11" s="112">
        <v>1670863697.0018697</v>
      </c>
      <c r="E11" s="13">
        <f t="shared" si="0"/>
        <v>-24988915.429656267</v>
      </c>
      <c r="G11" s="14">
        <v>2031</v>
      </c>
      <c r="H11" s="13">
        <f t="shared" si="1"/>
        <v>2139637216.0438776</v>
      </c>
      <c r="I11" s="13">
        <f t="shared" si="2"/>
        <v>2172122806.1024308</v>
      </c>
      <c r="J11" s="13">
        <f t="shared" si="3"/>
        <v>-32485590.058553219</v>
      </c>
      <c r="L11" s="14">
        <v>2031</v>
      </c>
      <c r="M11" s="13">
        <f t="shared" si="4"/>
        <v>1811899923.047601</v>
      </c>
      <c r="N11" s="13">
        <f t="shared" si="5"/>
        <v>1839409557.7117801</v>
      </c>
      <c r="O11" s="13">
        <f t="shared" si="6"/>
        <v>-27509634.664179087</v>
      </c>
    </row>
    <row r="12" spans="2:15">
      <c r="B12" s="14">
        <v>2032</v>
      </c>
      <c r="C12" s="112">
        <v>1744873192.3047931</v>
      </c>
      <c r="D12" s="112">
        <v>1769553088.1449654</v>
      </c>
      <c r="E12" s="13">
        <f t="shared" si="0"/>
        <v>-24679895.840172291</v>
      </c>
      <c r="G12" s="14">
        <v>2032</v>
      </c>
      <c r="H12" s="13">
        <f t="shared" si="1"/>
        <v>2268335149.9962311</v>
      </c>
      <c r="I12" s="13">
        <f t="shared" si="2"/>
        <v>2300419014.5884552</v>
      </c>
      <c r="J12" s="13">
        <f t="shared" si="3"/>
        <v>-32083864.592224121</v>
      </c>
      <c r="L12" s="14">
        <v>2032</v>
      </c>
      <c r="M12" s="13">
        <f t="shared" si="4"/>
        <v>1881375758.5364945</v>
      </c>
      <c r="N12" s="13">
        <f t="shared" si="5"/>
        <v>1907986378.7017193</v>
      </c>
      <c r="O12" s="13">
        <f t="shared" si="6"/>
        <v>-26610620.165224791</v>
      </c>
    </row>
    <row r="13" spans="2:15">
      <c r="B13" s="14">
        <v>2033</v>
      </c>
      <c r="C13" s="112">
        <v>1838790990.4492049</v>
      </c>
      <c r="D13" s="112">
        <v>1864149260.8043025</v>
      </c>
      <c r="E13" s="13">
        <f t="shared" si="0"/>
        <v>-25358270.355097532</v>
      </c>
      <c r="G13" s="14">
        <v>2033</v>
      </c>
      <c r="H13" s="13">
        <f t="shared" si="1"/>
        <v>2390428287.5839663</v>
      </c>
      <c r="I13" s="13">
        <f t="shared" si="2"/>
        <v>2423394039.0455933</v>
      </c>
      <c r="J13" s="13">
        <f t="shared" si="3"/>
        <v>-32965751.461627007</v>
      </c>
      <c r="L13" s="14">
        <v>2033</v>
      </c>
      <c r="M13" s="13">
        <f t="shared" si="4"/>
        <v>1941861711.259891</v>
      </c>
      <c r="N13" s="13">
        <f t="shared" si="5"/>
        <v>1968641402.1122546</v>
      </c>
      <c r="O13" s="13">
        <f t="shared" si="6"/>
        <v>-26779690.852363586</v>
      </c>
    </row>
    <row r="14" spans="2:15">
      <c r="B14" s="14">
        <v>2034</v>
      </c>
      <c r="C14" s="112">
        <v>1955334536.8723085</v>
      </c>
      <c r="D14" s="112">
        <v>1980872119.5658097</v>
      </c>
      <c r="E14" s="13">
        <f t="shared" si="0"/>
        <v>-25537582.693501234</v>
      </c>
      <c r="G14" s="14">
        <v>2034</v>
      </c>
      <c r="H14" s="13">
        <f t="shared" si="1"/>
        <v>2541934897.934001</v>
      </c>
      <c r="I14" s="13">
        <f t="shared" si="2"/>
        <v>2575133755.4355526</v>
      </c>
      <c r="J14" s="13">
        <f t="shared" si="3"/>
        <v>-33198857.501551628</v>
      </c>
      <c r="L14" s="14">
        <v>2034</v>
      </c>
      <c r="M14" s="13">
        <f t="shared" si="4"/>
        <v>2022466145.478153</v>
      </c>
      <c r="N14" s="13">
        <f t="shared" si="5"/>
        <v>2048880498.3476987</v>
      </c>
      <c r="O14" s="13">
        <f t="shared" si="6"/>
        <v>-26414352.869545698</v>
      </c>
    </row>
    <row r="15" spans="2:15">
      <c r="B15" s="14">
        <v>2035</v>
      </c>
      <c r="C15" s="112">
        <v>2004892434.1318974</v>
      </c>
      <c r="D15" s="112">
        <v>2028824681.4188864</v>
      </c>
      <c r="E15" s="13">
        <f t="shared" si="0"/>
        <v>-23932247.286988974</v>
      </c>
      <c r="G15" s="14">
        <v>2035</v>
      </c>
      <c r="H15" s="13">
        <f t="shared" si="1"/>
        <v>2606360164.3714666</v>
      </c>
      <c r="I15" s="13">
        <f t="shared" si="2"/>
        <v>2637472085.8445525</v>
      </c>
      <c r="J15" s="13">
        <f t="shared" si="3"/>
        <v>-31111921.47308588</v>
      </c>
      <c r="L15" s="22">
        <v>2035</v>
      </c>
      <c r="M15" s="23">
        <f t="shared" si="4"/>
        <v>2031072959.270725</v>
      </c>
      <c r="N15" s="23">
        <f t="shared" si="5"/>
        <v>2055317721.4792426</v>
      </c>
      <c r="O15" s="13">
        <f t="shared" si="6"/>
        <v>-24244762.208517551</v>
      </c>
    </row>
    <row r="16" spans="2:15">
      <c r="B16" s="14">
        <v>2040</v>
      </c>
      <c r="C16" s="112">
        <v>2284836175.1851845</v>
      </c>
      <c r="D16" s="112">
        <v>2305847204.7174525</v>
      </c>
      <c r="E16" s="13">
        <f t="shared" si="0"/>
        <v>-21011029.532268047</v>
      </c>
      <c r="G16" s="14">
        <v>2040</v>
      </c>
      <c r="H16" s="13">
        <f t="shared" si="1"/>
        <v>2970287027.7407398</v>
      </c>
      <c r="I16" s="13">
        <f t="shared" si="2"/>
        <v>2997601366.1326885</v>
      </c>
      <c r="J16" s="13">
        <f t="shared" si="3"/>
        <v>-27314338.3919487</v>
      </c>
      <c r="L16" s="22">
        <v>2040</v>
      </c>
      <c r="M16" s="23">
        <f t="shared" si="4"/>
        <v>2086223355.3885574</v>
      </c>
      <c r="N16" s="23">
        <f t="shared" si="5"/>
        <v>2105407969.5884895</v>
      </c>
      <c r="O16" s="13">
        <f t="shared" si="6"/>
        <v>-19184614.199932098</v>
      </c>
    </row>
    <row r="17" spans="2:15">
      <c r="B17" s="14">
        <v>2044</v>
      </c>
      <c r="C17" s="112">
        <v>2488574395.1896009</v>
      </c>
      <c r="D17" s="112">
        <v>2542860756.7150984</v>
      </c>
      <c r="E17" s="13">
        <f t="shared" si="0"/>
        <v>-54286361.525497437</v>
      </c>
      <c r="G17" s="14">
        <v>2044</v>
      </c>
      <c r="H17" s="13">
        <f t="shared" si="1"/>
        <v>3235146713.7464814</v>
      </c>
      <c r="I17" s="13">
        <f t="shared" si="2"/>
        <v>3305718983.7296281</v>
      </c>
      <c r="J17" s="13">
        <f t="shared" si="3"/>
        <v>-70572269.983146667</v>
      </c>
      <c r="L17" s="22">
        <v>2044</v>
      </c>
      <c r="M17" s="23">
        <f t="shared" si="4"/>
        <v>2090996938.0528448</v>
      </c>
      <c r="N17" s="23">
        <f t="shared" si="5"/>
        <v>2136610449.1245909</v>
      </c>
      <c r="O17" s="13">
        <f t="shared" si="6"/>
        <v>-45613511.071746111</v>
      </c>
    </row>
    <row r="18" spans="2:15">
      <c r="O18" s="21">
        <f>AVERAGE(O15:O17)</f>
        <v>-29680962.493398588</v>
      </c>
    </row>
    <row r="19" spans="2:15" ht="50.1" customHeight="1">
      <c r="G19" s="19" t="s">
        <v>52</v>
      </c>
      <c r="H19" s="18" t="s">
        <v>74</v>
      </c>
    </row>
    <row r="20" spans="2:15">
      <c r="G20" s="17">
        <v>2024</v>
      </c>
      <c r="H20" s="20">
        <f t="shared" ref="H20:H31" si="7">J4</f>
        <v>-13973699.407668352</v>
      </c>
    </row>
    <row r="21" spans="2:15">
      <c r="G21" s="17">
        <v>2025</v>
      </c>
      <c r="H21" s="20">
        <f t="shared" si="7"/>
        <v>-8030421.8748366833</v>
      </c>
    </row>
    <row r="22" spans="2:15">
      <c r="G22" s="17">
        <v>2026</v>
      </c>
      <c r="H22" s="20">
        <f t="shared" si="7"/>
        <v>-12458038.810147285</v>
      </c>
    </row>
    <row r="23" spans="2:15">
      <c r="G23" s="17">
        <v>2027</v>
      </c>
      <c r="H23" s="20">
        <f t="shared" si="7"/>
        <v>-17261926.169848919</v>
      </c>
    </row>
    <row r="24" spans="2:15">
      <c r="G24" s="17">
        <v>2028</v>
      </c>
      <c r="H24" s="20">
        <f t="shared" si="7"/>
        <v>-29953008.054126024</v>
      </c>
    </row>
    <row r="25" spans="2:15">
      <c r="G25" s="17">
        <v>2029</v>
      </c>
      <c r="H25" s="20">
        <f t="shared" si="7"/>
        <v>-29159056.182240963</v>
      </c>
    </row>
    <row r="26" spans="2:15">
      <c r="G26" s="17">
        <v>2030</v>
      </c>
      <c r="H26" s="20">
        <f t="shared" si="7"/>
        <v>-26550966.616518497</v>
      </c>
    </row>
    <row r="27" spans="2:15">
      <c r="G27" s="17">
        <v>2031</v>
      </c>
      <c r="H27" s="20">
        <f t="shared" si="7"/>
        <v>-32485590.058553219</v>
      </c>
    </row>
    <row r="28" spans="2:15">
      <c r="G28" s="17">
        <v>2032</v>
      </c>
      <c r="H28" s="20">
        <f t="shared" si="7"/>
        <v>-32083864.592224121</v>
      </c>
    </row>
    <row r="29" spans="2:15">
      <c r="G29" s="17">
        <v>2033</v>
      </c>
      <c r="H29" s="20">
        <f t="shared" si="7"/>
        <v>-32965751.461627007</v>
      </c>
    </row>
    <row r="30" spans="2:15">
      <c r="G30" s="17">
        <v>2034</v>
      </c>
      <c r="H30" s="20">
        <f t="shared" si="7"/>
        <v>-33198857.501551628</v>
      </c>
    </row>
    <row r="31" spans="2:15">
      <c r="G31" s="17">
        <v>2035</v>
      </c>
      <c r="H31" s="20">
        <f t="shared" si="7"/>
        <v>-31111921.47308588</v>
      </c>
    </row>
    <row r="32" spans="2:15">
      <c r="G32" s="17">
        <v>2036</v>
      </c>
      <c r="H32" s="20">
        <f>$O$18*1.021^(G32-Start_Year)</f>
        <v>-38887733.090248257</v>
      </c>
    </row>
    <row r="33" spans="7:8">
      <c r="G33" s="17">
        <v>2037</v>
      </c>
      <c r="H33" s="20">
        <f>$O$18*1.021^(G33-Start_Year)</f>
        <v>-39704375.485143468</v>
      </c>
    </row>
    <row r="34" spans="7:8">
      <c r="G34" s="17">
        <v>2038</v>
      </c>
      <c r="H34" s="20">
        <f>$O$18*1.021^(G34-Start_Year)</f>
        <v>-40538167.370331474</v>
      </c>
    </row>
    <row r="35" spans="7:8">
      <c r="G35" s="17">
        <v>2039</v>
      </c>
      <c r="H35" s="20">
        <f>$O$18*1.021^(G35-Start_Year)</f>
        <v>-41389468.885108434</v>
      </c>
    </row>
    <row r="36" spans="7:8">
      <c r="G36" s="17">
        <v>2040</v>
      </c>
      <c r="H36" s="20">
        <f>O16</f>
        <v>-19184614.199932098</v>
      </c>
    </row>
    <row r="37" spans="7:8">
      <c r="G37" s="17">
        <v>2041</v>
      </c>
      <c r="H37" s="20">
        <f>$O$18*1.021^(G37-Start_Year)</f>
        <v>-43146079.33406131</v>
      </c>
    </row>
    <row r="38" spans="7:8">
      <c r="G38" s="17">
        <v>2042</v>
      </c>
      <c r="H38" s="20">
        <f>$O$18*1.021^(G38-Start_Year)</f>
        <v>-44052147.000076592</v>
      </c>
    </row>
    <row r="39" spans="7:8">
      <c r="G39" s="17">
        <v>2043</v>
      </c>
      <c r="H39" s="20">
        <f>$O$18*1.021^(G39-Start_Year)</f>
        <v>-44977242.087078191</v>
      </c>
    </row>
    <row r="40" spans="7:8">
      <c r="G40" s="17">
        <v>2044</v>
      </c>
      <c r="H40" s="20">
        <f>O17</f>
        <v>-45613511.071746111</v>
      </c>
    </row>
    <row r="41" spans="7:8">
      <c r="G41" s="17">
        <v>2045</v>
      </c>
      <c r="H41" s="20">
        <f t="shared" ref="H41:H59" si="8">$O$18*1.021^(G41-Start_Year)</f>
        <v>-46886121.218495876</v>
      </c>
    </row>
    <row r="42" spans="7:8">
      <c r="G42" s="17">
        <v>2046</v>
      </c>
      <c r="H42" s="20">
        <f t="shared" si="8"/>
        <v>-47870729.76408428</v>
      </c>
    </row>
    <row r="43" spans="7:8">
      <c r="G43" s="17">
        <v>2047</v>
      </c>
      <c r="H43" s="20">
        <f t="shared" si="8"/>
        <v>-48876015.089130044</v>
      </c>
    </row>
    <row r="44" spans="7:8">
      <c r="G44" s="17">
        <v>2048</v>
      </c>
      <c r="H44" s="20">
        <f t="shared" si="8"/>
        <v>-49902411.406001762</v>
      </c>
    </row>
    <row r="45" spans="7:8">
      <c r="G45" s="17">
        <v>2049</v>
      </c>
      <c r="H45" s="20">
        <f t="shared" si="8"/>
        <v>-50950362.045527793</v>
      </c>
    </row>
    <row r="46" spans="7:8">
      <c r="G46" s="17">
        <v>2050</v>
      </c>
      <c r="H46" s="20">
        <f t="shared" si="8"/>
        <v>-52020319.64848388</v>
      </c>
    </row>
    <row r="47" spans="7:8">
      <c r="G47" s="17">
        <v>2051</v>
      </c>
      <c r="H47" s="20">
        <f t="shared" si="8"/>
        <v>-53112746.36110203</v>
      </c>
    </row>
    <row r="48" spans="7:8">
      <c r="G48" s="17">
        <v>2052</v>
      </c>
      <c r="H48" s="20">
        <f t="shared" si="8"/>
        <v>-54228114.034685157</v>
      </c>
    </row>
    <row r="49" spans="7:8">
      <c r="G49" s="17">
        <v>2053</v>
      </c>
      <c r="H49" s="20">
        <f t="shared" si="8"/>
        <v>-55366904.42941355</v>
      </c>
    </row>
    <row r="50" spans="7:8">
      <c r="G50" s="17">
        <v>2054</v>
      </c>
      <c r="H50" s="20">
        <f t="shared" si="8"/>
        <v>-56529609.422431223</v>
      </c>
    </row>
    <row r="51" spans="7:8">
      <c r="G51" s="17">
        <v>2055</v>
      </c>
      <c r="H51" s="20">
        <f t="shared" si="8"/>
        <v>-57716731.220302276</v>
      </c>
    </row>
    <row r="52" spans="7:8">
      <c r="G52" s="17">
        <v>2056</v>
      </c>
      <c r="H52" s="20">
        <f t="shared" si="8"/>
        <v>-58928782.575928614</v>
      </c>
    </row>
    <row r="53" spans="7:8">
      <c r="G53" s="17">
        <v>2057</v>
      </c>
      <c r="H53" s="20">
        <f t="shared" si="8"/>
        <v>-60166287.010023102</v>
      </c>
    </row>
    <row r="54" spans="7:8">
      <c r="G54" s="17">
        <v>2058</v>
      </c>
      <c r="H54" s="20">
        <f t="shared" si="8"/>
        <v>-61429779.037233591</v>
      </c>
    </row>
    <row r="55" spans="7:8">
      <c r="G55" s="17">
        <v>2059</v>
      </c>
      <c r="H55" s="20">
        <f t="shared" si="8"/>
        <v>-62719804.397015482</v>
      </c>
    </row>
    <row r="56" spans="7:8">
      <c r="G56" s="17">
        <v>2060</v>
      </c>
      <c r="H56" s="20">
        <f t="shared" si="8"/>
        <v>-64036920.289352797</v>
      </c>
    </row>
    <row r="57" spans="7:8">
      <c r="G57" s="17">
        <v>2061</v>
      </c>
      <c r="H57" s="20">
        <f t="shared" si="8"/>
        <v>-65381695.6154292</v>
      </c>
    </row>
    <row r="58" spans="7:8">
      <c r="G58" s="17">
        <v>2062</v>
      </c>
      <c r="H58" s="20">
        <f t="shared" si="8"/>
        <v>-66754711.223353207</v>
      </c>
    </row>
    <row r="59" spans="7:8">
      <c r="G59" s="17">
        <v>2063</v>
      </c>
      <c r="H59" s="20">
        <f t="shared" si="8"/>
        <v>-68156560.159043625</v>
      </c>
    </row>
  </sheetData>
  <mergeCells count="1">
    <mergeCell ref="C2:D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88EE-8392-4BD8-9ACF-9C890746F6DE}">
  <sheetPr>
    <tabColor rgb="FFC00000"/>
  </sheetPr>
  <dimension ref="B2:V90"/>
  <sheetViews>
    <sheetView showGridLines="0" topLeftCell="A22" zoomScale="71" zoomScaleNormal="71" workbookViewId="0">
      <selection activeCell="J67" sqref="J67"/>
    </sheetView>
  </sheetViews>
  <sheetFormatPr defaultRowHeight="15"/>
  <cols>
    <col min="3" max="3" width="19.28515625" customWidth="1"/>
    <col min="4" max="4" width="20.28515625" bestFit="1" customWidth="1"/>
    <col min="5" max="5" width="19.7109375" bestFit="1" customWidth="1"/>
    <col min="6" max="6" width="18.42578125" customWidth="1"/>
    <col min="7" max="7" width="16" customWidth="1"/>
    <col min="8" max="8" width="18.7109375" customWidth="1"/>
    <col min="9" max="9" width="20.28515625" customWidth="1"/>
    <col min="10" max="10" width="18.42578125" customWidth="1"/>
    <col min="11" max="11" width="20.5703125" bestFit="1" customWidth="1"/>
    <col min="12" max="12" width="13.5703125" bestFit="1" customWidth="1"/>
    <col min="13" max="13" width="19.28515625" customWidth="1"/>
    <col min="14" max="14" width="21.28515625" customWidth="1"/>
    <col min="15" max="15" width="19.7109375" bestFit="1" customWidth="1"/>
    <col min="16" max="16" width="20.5703125" customWidth="1"/>
    <col min="17" max="17" width="16" customWidth="1"/>
    <col min="18" max="18" width="20.7109375" customWidth="1"/>
    <col min="19" max="19" width="19.28515625" customWidth="1"/>
    <col min="20" max="20" width="19.7109375" customWidth="1"/>
    <col min="21" max="21" width="20.5703125" bestFit="1" customWidth="1"/>
    <col min="22" max="22" width="15.7109375" bestFit="1" customWidth="1"/>
  </cols>
  <sheetData>
    <row r="2" spans="3:22">
      <c r="C2" s="15" t="s">
        <v>122</v>
      </c>
      <c r="M2" s="15" t="s">
        <v>197</v>
      </c>
    </row>
    <row r="3" spans="3:22" ht="62.65" customHeight="1">
      <c r="C3" s="56" t="s">
        <v>52</v>
      </c>
      <c r="D3" s="57" t="s">
        <v>53</v>
      </c>
      <c r="E3" s="57" t="s">
        <v>7</v>
      </c>
      <c r="F3" s="57" t="s">
        <v>8</v>
      </c>
      <c r="G3" s="57" t="s">
        <v>54</v>
      </c>
      <c r="H3" s="57" t="s">
        <v>10</v>
      </c>
      <c r="I3" s="57" t="s">
        <v>11</v>
      </c>
      <c r="J3" s="57" t="s">
        <v>12</v>
      </c>
      <c r="K3" s="107" t="s">
        <v>55</v>
      </c>
      <c r="M3" s="56" t="s">
        <v>52</v>
      </c>
      <c r="N3" s="57" t="s">
        <v>53</v>
      </c>
      <c r="O3" s="57" t="s">
        <v>7</v>
      </c>
      <c r="P3" s="57" t="s">
        <v>8</v>
      </c>
      <c r="Q3" s="57" t="s">
        <v>54</v>
      </c>
      <c r="R3" s="57" t="s">
        <v>10</v>
      </c>
      <c r="S3" s="57" t="s">
        <v>11</v>
      </c>
      <c r="T3" s="57" t="s">
        <v>12</v>
      </c>
      <c r="U3" s="107" t="s">
        <v>55</v>
      </c>
    </row>
    <row r="4" spans="3:22">
      <c r="C4" s="169" t="s">
        <v>56</v>
      </c>
      <c r="D4" s="170"/>
      <c r="E4" s="170"/>
      <c r="F4" s="170"/>
      <c r="G4" s="170"/>
      <c r="H4" s="170"/>
      <c r="I4" s="170"/>
      <c r="J4" s="171"/>
      <c r="K4" s="108"/>
      <c r="M4" s="169" t="s">
        <v>56</v>
      </c>
      <c r="N4" s="170"/>
      <c r="O4" s="170"/>
      <c r="P4" s="170"/>
      <c r="Q4" s="170"/>
      <c r="R4" s="170"/>
      <c r="S4" s="170"/>
      <c r="T4" s="171"/>
      <c r="U4" s="108"/>
    </row>
    <row r="5" spans="3:22">
      <c r="C5" s="54" t="s">
        <v>57</v>
      </c>
      <c r="D5" s="55">
        <f t="shared" ref="D5:K5" si="0">NPV(After_Tax_Cost_of_Capital,D8:D47)</f>
        <v>46581647168.76693</v>
      </c>
      <c r="E5" s="55">
        <f t="shared" si="0"/>
        <v>0</v>
      </c>
      <c r="F5" s="55">
        <f t="shared" si="0"/>
        <v>677070652.98080587</v>
      </c>
      <c r="G5" s="55">
        <f t="shared" si="0"/>
        <v>0</v>
      </c>
      <c r="H5" s="55">
        <f t="shared" si="0"/>
        <v>-84810609.572634861</v>
      </c>
      <c r="I5" s="55">
        <f t="shared" si="0"/>
        <v>-662138896.83151746</v>
      </c>
      <c r="J5" s="55">
        <f t="shared" si="0"/>
        <v>-69878853.423346341</v>
      </c>
      <c r="K5" s="55">
        <f t="shared" si="0"/>
        <v>46441889461.920227</v>
      </c>
      <c r="M5" s="54" t="s">
        <v>57</v>
      </c>
      <c r="N5" s="55">
        <f t="shared" ref="N5:U5" si="1">NPV(After_Tax_Cost_of_Capital,N8:N47)</f>
        <v>46581647168.76693</v>
      </c>
      <c r="O5" s="55">
        <f t="shared" si="1"/>
        <v>0</v>
      </c>
      <c r="P5" s="55">
        <f t="shared" si="1"/>
        <v>713892240.58351827</v>
      </c>
      <c r="Q5" s="55">
        <f t="shared" si="1"/>
        <v>0</v>
      </c>
      <c r="R5" s="55">
        <f t="shared" si="1"/>
        <v>-84810609.572634861</v>
      </c>
      <c r="S5" s="55">
        <f t="shared" si="1"/>
        <v>-662138896.83151746</v>
      </c>
      <c r="T5" s="55">
        <f t="shared" si="1"/>
        <v>-33057265.820634119</v>
      </c>
      <c r="U5" s="55">
        <f t="shared" si="1"/>
        <v>46515532637.125679</v>
      </c>
    </row>
    <row r="6" spans="3:22">
      <c r="C6" s="54" t="s">
        <v>58</v>
      </c>
      <c r="D6" s="55">
        <f t="shared" ref="D6:K6" si="2">NPV(After_Tax_Cost_of_Capital,D8:D27)</f>
        <v>28410150180.226055</v>
      </c>
      <c r="E6" s="55">
        <f t="shared" si="2"/>
        <v>0</v>
      </c>
      <c r="F6" s="55">
        <f t="shared" si="2"/>
        <v>428554267.84279668</v>
      </c>
      <c r="G6" s="55">
        <f t="shared" si="2"/>
        <v>0</v>
      </c>
      <c r="H6" s="55">
        <f t="shared" si="2"/>
        <v>-58495585.075498104</v>
      </c>
      <c r="I6" s="55">
        <f t="shared" si="2"/>
        <v>-409172100.00672865</v>
      </c>
      <c r="J6" s="55">
        <f t="shared" si="2"/>
        <v>-39113417.239430033</v>
      </c>
      <c r="K6" s="55">
        <f t="shared" si="2"/>
        <v>28331923345.747192</v>
      </c>
      <c r="M6" s="54" t="s">
        <v>58</v>
      </c>
      <c r="N6" s="55">
        <f t="shared" ref="N6:U6" si="3">NPV(After_Tax_Cost_of_Capital,N8:N27)</f>
        <v>28410150180.226055</v>
      </c>
      <c r="O6" s="55">
        <f t="shared" si="3"/>
        <v>0</v>
      </c>
      <c r="P6" s="55">
        <f t="shared" si="3"/>
        <v>452334877.68594646</v>
      </c>
      <c r="Q6" s="55">
        <f t="shared" si="3"/>
        <v>0</v>
      </c>
      <c r="R6" s="55">
        <f t="shared" si="3"/>
        <v>-58495585.075498104</v>
      </c>
      <c r="S6" s="55">
        <f t="shared" si="3"/>
        <v>-409172100.00672865</v>
      </c>
      <c r="T6" s="55">
        <f t="shared" si="3"/>
        <v>-15332807.396280318</v>
      </c>
      <c r="U6" s="55">
        <f t="shared" si="3"/>
        <v>28379484565.433498</v>
      </c>
    </row>
    <row r="7" spans="3:22">
      <c r="C7" s="169" t="s">
        <v>59</v>
      </c>
      <c r="D7" s="170"/>
      <c r="E7" s="170"/>
      <c r="F7" s="170"/>
      <c r="G7" s="170"/>
      <c r="H7" s="170"/>
      <c r="I7" s="170"/>
      <c r="J7" s="171"/>
      <c r="K7" s="108"/>
      <c r="M7" s="169" t="s">
        <v>59</v>
      </c>
      <c r="N7" s="170"/>
      <c r="O7" s="170"/>
      <c r="P7" s="170"/>
      <c r="Q7" s="170"/>
      <c r="R7" s="170"/>
      <c r="S7" s="170"/>
      <c r="T7" s="171"/>
      <c r="U7" s="108"/>
    </row>
    <row r="8" spans="3:22">
      <c r="C8" s="52">
        <v>2024</v>
      </c>
      <c r="D8" s="53">
        <f>'Option 1 Dawn Corunna'!D8</f>
        <v>1826961778.6622951</v>
      </c>
      <c r="E8" s="5">
        <v>0</v>
      </c>
      <c r="F8" s="5">
        <f>'#2-Storage Value'!AC10</f>
        <v>28767151.490030553</v>
      </c>
      <c r="G8" s="5">
        <v>0</v>
      </c>
      <c r="H8" s="139">
        <f>'#2-Commodity'!AF4</f>
        <v>-5744844.4378194064</v>
      </c>
      <c r="I8" s="139">
        <f>'#2-Commodity'!AD4</f>
        <v>-22151463.537531614</v>
      </c>
      <c r="J8" s="139">
        <f>SUM(E8:I8)</f>
        <v>870843.5146795325</v>
      </c>
      <c r="K8" s="5">
        <f>SUM(D8:J8)</f>
        <v>1828703465.691654</v>
      </c>
      <c r="L8" s="20"/>
      <c r="M8" s="52">
        <v>2024</v>
      </c>
      <c r="N8" s="53">
        <f t="shared" ref="N8:N47" si="4">D8</f>
        <v>1826961778.6622951</v>
      </c>
      <c r="O8" s="5">
        <f t="shared" ref="O8:O47" si="5">E8</f>
        <v>0</v>
      </c>
      <c r="P8" s="5">
        <f>'#2-Storage Value'!AB10</f>
        <v>26156265.191532213</v>
      </c>
      <c r="Q8" s="5">
        <v>0</v>
      </c>
      <c r="R8" s="55">
        <f>H8</f>
        <v>-5744844.4378194064</v>
      </c>
      <c r="S8" s="55">
        <f>'#2-Commodity'!AD4</f>
        <v>-22151463.537531614</v>
      </c>
      <c r="T8" s="55">
        <f>SUM(O8:S8)</f>
        <v>-1740042.7838188075</v>
      </c>
      <c r="U8" s="5">
        <f>SUM(N8:T8)</f>
        <v>1823481693.0946574</v>
      </c>
      <c r="V8" s="20"/>
    </row>
    <row r="9" spans="3:22">
      <c r="C9" s="52">
        <v>2025</v>
      </c>
      <c r="D9" s="53">
        <f>'Option 1 Dawn Corunna'!D9</f>
        <v>1786014333.5901303</v>
      </c>
      <c r="E9" s="5">
        <v>0</v>
      </c>
      <c r="F9" s="5">
        <f>'#2-Storage Value'!AC11</f>
        <v>29371261.671321191</v>
      </c>
      <c r="G9" s="5">
        <v>0</v>
      </c>
      <c r="H9" s="139">
        <f>'#2-Commodity'!AF5</f>
        <v>-5269979.0811523153</v>
      </c>
      <c r="I9" s="139">
        <f>'#2-Commodity'!AD5</f>
        <v>-19951069.935682893</v>
      </c>
      <c r="J9" s="139">
        <f t="shared" ref="J9:J47" si="6">SUM(E9:I9)</f>
        <v>4150212.6544859819</v>
      </c>
      <c r="K9" s="5">
        <f t="shared" ref="K9:K47" si="7">SUM(D9:J9)</f>
        <v>1794314758.8991024</v>
      </c>
      <c r="L9" s="20"/>
      <c r="M9" s="52">
        <v>2025</v>
      </c>
      <c r="N9" s="53">
        <f t="shared" si="4"/>
        <v>1786014333.5901303</v>
      </c>
      <c r="O9" s="5">
        <f t="shared" si="5"/>
        <v>0</v>
      </c>
      <c r="P9" s="5">
        <f>'#2-Storage Value'!AB11</f>
        <v>21490538.495696332</v>
      </c>
      <c r="Q9" s="5">
        <v>0</v>
      </c>
      <c r="R9" s="55">
        <f t="shared" ref="R9:R47" si="8">H9</f>
        <v>-5269979.0811523153</v>
      </c>
      <c r="S9" s="55">
        <f>'#2-Commodity'!AD5</f>
        <v>-19951069.935682893</v>
      </c>
      <c r="T9" s="55">
        <f t="shared" ref="T9:T47" si="9">SUM(O9:S9)</f>
        <v>-3730510.5211388767</v>
      </c>
      <c r="U9" s="5">
        <f t="shared" ref="U9:U47" si="10">SUM(N9:T9)</f>
        <v>1778553312.5478528</v>
      </c>
      <c r="V9" s="20"/>
    </row>
    <row r="10" spans="3:22">
      <c r="C10" s="52">
        <v>2026</v>
      </c>
      <c r="D10" s="53">
        <f>'Option 1 Dawn Corunna'!D10</f>
        <v>1677868083.231777</v>
      </c>
      <c r="E10" s="5">
        <v>0</v>
      </c>
      <c r="F10" s="5">
        <f>'#2-Storage Value'!AC12</f>
        <v>29988058.166418929</v>
      </c>
      <c r="G10" s="5">
        <v>0</v>
      </c>
      <c r="H10" s="139">
        <f>'#2-Commodity'!AF6</f>
        <v>-3283371.8147302633</v>
      </c>
      <c r="I10" s="139">
        <f>'#2-Commodity'!AD6</f>
        <v>-25354286.294146419</v>
      </c>
      <c r="J10" s="139">
        <f t="shared" si="6"/>
        <v>1350400.0575422458</v>
      </c>
      <c r="K10" s="5">
        <f t="shared" si="7"/>
        <v>1680568883.3468618</v>
      </c>
      <c r="L10" s="20"/>
      <c r="M10" s="52">
        <v>2026</v>
      </c>
      <c r="N10" s="53">
        <f t="shared" si="4"/>
        <v>1677868083.231777</v>
      </c>
      <c r="O10" s="5">
        <f t="shared" si="5"/>
        <v>0</v>
      </c>
      <c r="P10" s="5">
        <f>'#2-Storage Value'!AB12</f>
        <v>28997398.234425765</v>
      </c>
      <c r="Q10" s="5">
        <v>0</v>
      </c>
      <c r="R10" s="55">
        <f t="shared" si="8"/>
        <v>-3283371.8147302633</v>
      </c>
      <c r="S10" s="55">
        <f>'#2-Commodity'!AD6</f>
        <v>-25354286.294146419</v>
      </c>
      <c r="T10" s="55">
        <f t="shared" si="9"/>
        <v>359740.12554908171</v>
      </c>
      <c r="U10" s="5">
        <f t="shared" si="10"/>
        <v>1678587563.4828751</v>
      </c>
      <c r="V10" s="20"/>
    </row>
    <row r="11" spans="3:22">
      <c r="C11" s="52">
        <v>2027</v>
      </c>
      <c r="D11" s="53">
        <f>'Option 1 Dawn Corunna'!D11</f>
        <v>1720814134.1862197</v>
      </c>
      <c r="E11" s="5">
        <v>0</v>
      </c>
      <c r="F11" s="5">
        <f>'#2-Storage Value'!AC13</f>
        <v>30617807.387913723</v>
      </c>
      <c r="G11" s="5">
        <v>0</v>
      </c>
      <c r="H11" s="139">
        <f>'#2-Commodity'!AF7</f>
        <v>-4361330.6418731231</v>
      </c>
      <c r="I11" s="139">
        <f>'#2-Commodity'!AD7</f>
        <v>-29396017.276061773</v>
      </c>
      <c r="J11" s="139">
        <f t="shared" si="6"/>
        <v>-3139540.5300211757</v>
      </c>
      <c r="K11" s="5">
        <f t="shared" si="7"/>
        <v>1714535053.1261773</v>
      </c>
      <c r="L11" s="20"/>
      <c r="M11" s="52">
        <v>2027</v>
      </c>
      <c r="N11" s="53">
        <f t="shared" si="4"/>
        <v>1720814134.1862197</v>
      </c>
      <c r="O11" s="5">
        <f t="shared" si="5"/>
        <v>0</v>
      </c>
      <c r="P11" s="5">
        <f>'#2-Storage Value'!AB13</f>
        <v>33854346.832243212</v>
      </c>
      <c r="Q11" s="5">
        <v>0</v>
      </c>
      <c r="R11" s="55">
        <f t="shared" si="8"/>
        <v>-4361330.6418731231</v>
      </c>
      <c r="S11" s="55">
        <f>'#2-Commodity'!AD7</f>
        <v>-29396017.276061773</v>
      </c>
      <c r="T11" s="55">
        <f t="shared" si="9"/>
        <v>96998.914308317006</v>
      </c>
      <c r="U11" s="5">
        <f t="shared" si="10"/>
        <v>1721008132.0148363</v>
      </c>
      <c r="V11" s="20"/>
    </row>
    <row r="12" spans="3:22">
      <c r="C12" s="52">
        <v>2028</v>
      </c>
      <c r="D12" s="53">
        <f>'Option 1 Dawn Corunna'!D12</f>
        <v>1808659168.3401015</v>
      </c>
      <c r="E12" s="5">
        <v>0</v>
      </c>
      <c r="F12" s="5">
        <f>'#2-Storage Value'!AC14</f>
        <v>31260781.343059912</v>
      </c>
      <c r="G12" s="5">
        <v>0</v>
      </c>
      <c r="H12" s="139">
        <f>'#2-Commodity'!AF8</f>
        <v>-5606114.3378663184</v>
      </c>
      <c r="I12" s="139">
        <f>'#2-Commodity'!AD8</f>
        <v>-29564797.110647678</v>
      </c>
      <c r="J12" s="139">
        <f t="shared" si="6"/>
        <v>-3910130.1054540835</v>
      </c>
      <c r="K12" s="5">
        <f t="shared" si="7"/>
        <v>1800838908.1291935</v>
      </c>
      <c r="L12" s="20"/>
      <c r="M12" s="52">
        <v>2028</v>
      </c>
      <c r="N12" s="53">
        <f t="shared" si="4"/>
        <v>1808659168.3401015</v>
      </c>
      <c r="O12" s="5">
        <f t="shared" si="5"/>
        <v>0</v>
      </c>
      <c r="P12" s="5">
        <f>'#2-Storage Value'!AB14</f>
        <v>34849707.336186893</v>
      </c>
      <c r="Q12" s="5">
        <v>0</v>
      </c>
      <c r="R12" s="55">
        <f t="shared" si="8"/>
        <v>-5606114.3378663184</v>
      </c>
      <c r="S12" s="55">
        <f>'#2-Commodity'!AD8</f>
        <v>-29564797.110647678</v>
      </c>
      <c r="T12" s="55">
        <f t="shared" si="9"/>
        <v>-321204.11232710257</v>
      </c>
      <c r="U12" s="5">
        <f t="shared" si="10"/>
        <v>1808016760.1154473</v>
      </c>
      <c r="V12" s="20"/>
    </row>
    <row r="13" spans="3:22">
      <c r="C13" s="52">
        <v>2029</v>
      </c>
      <c r="D13" s="53">
        <f>'Option 1 Dawn Corunna'!D13</f>
        <v>1935201162.7737064</v>
      </c>
      <c r="E13" s="5">
        <v>0</v>
      </c>
      <c r="F13" s="5">
        <f>'#2-Storage Value'!AC15</f>
        <v>31917257.751264162</v>
      </c>
      <c r="G13" s="5">
        <v>0</v>
      </c>
      <c r="H13" s="139">
        <f>'#2-Commodity'!AF9</f>
        <v>-5005800.3428605776</v>
      </c>
      <c r="I13" s="139">
        <f>'#2-Commodity'!AD9</f>
        <v>-31590629.461601615</v>
      </c>
      <c r="J13" s="139">
        <f t="shared" si="6"/>
        <v>-4679172.0531980321</v>
      </c>
      <c r="K13" s="5">
        <f t="shared" si="7"/>
        <v>1925842818.6673105</v>
      </c>
      <c r="L13" s="20"/>
      <c r="M13" s="52">
        <v>2029</v>
      </c>
      <c r="N13" s="53">
        <f t="shared" si="4"/>
        <v>1935201162.7737064</v>
      </c>
      <c r="O13" s="5">
        <f t="shared" si="5"/>
        <v>0</v>
      </c>
      <c r="P13" s="5">
        <f>'#2-Storage Value'!AB15</f>
        <v>36163545.357642978</v>
      </c>
      <c r="Q13" s="5">
        <v>0</v>
      </c>
      <c r="R13" s="55">
        <f t="shared" si="8"/>
        <v>-5005800.3428605776</v>
      </c>
      <c r="S13" s="55">
        <f>'#2-Commodity'!AD9</f>
        <v>-31590629.461601615</v>
      </c>
      <c r="T13" s="55">
        <f t="shared" si="9"/>
        <v>-432884.44681921601</v>
      </c>
      <c r="U13" s="5">
        <f t="shared" si="10"/>
        <v>1934335393.8800678</v>
      </c>
      <c r="V13" s="20"/>
    </row>
    <row r="14" spans="3:22">
      <c r="C14" s="52">
        <v>2030</v>
      </c>
      <c r="D14" s="53">
        <f>'Option 1 Dawn Corunna'!D14</f>
        <v>2010281259.4291399</v>
      </c>
      <c r="E14" s="5">
        <v>0</v>
      </c>
      <c r="F14" s="5">
        <f>'#2-Storage Value'!AC16</f>
        <v>32587520.1640407</v>
      </c>
      <c r="G14" s="5">
        <v>0</v>
      </c>
      <c r="H14" s="139">
        <f>'#2-Commodity'!AF10</f>
        <v>-3153145.815160939</v>
      </c>
      <c r="I14" s="139">
        <f>'#2-Commodity'!AD10</f>
        <v>-31739099.513568759</v>
      </c>
      <c r="J14" s="139">
        <f t="shared" si="6"/>
        <v>-2304725.164688997</v>
      </c>
      <c r="K14" s="5">
        <f t="shared" si="7"/>
        <v>2005671809.099762</v>
      </c>
      <c r="L14" s="20"/>
      <c r="M14" s="52">
        <v>2030</v>
      </c>
      <c r="N14" s="53">
        <f t="shared" si="4"/>
        <v>2010281259.4291399</v>
      </c>
      <c r="O14" s="5">
        <f t="shared" si="5"/>
        <v>0</v>
      </c>
      <c r="P14" s="5">
        <f>'#2-Storage Value'!AB16</f>
        <v>37467133.7936965</v>
      </c>
      <c r="Q14" s="5">
        <v>0</v>
      </c>
      <c r="R14" s="55">
        <f t="shared" si="8"/>
        <v>-3153145.815160939</v>
      </c>
      <c r="S14" s="55">
        <f>'#2-Commodity'!AD10</f>
        <v>-31739099.513568759</v>
      </c>
      <c r="T14" s="55">
        <f t="shared" si="9"/>
        <v>2574888.4649668038</v>
      </c>
      <c r="U14" s="5">
        <f t="shared" si="10"/>
        <v>2015431036.3590732</v>
      </c>
      <c r="V14" s="20"/>
    </row>
    <row r="15" spans="3:22">
      <c r="C15" s="52">
        <v>2031</v>
      </c>
      <c r="D15" s="53">
        <f>'Option 1 Dawn Corunna'!D15</f>
        <v>2135352144.5801883</v>
      </c>
      <c r="E15" s="5">
        <v>0</v>
      </c>
      <c r="F15" s="5">
        <f>'#2-Storage Value'!AC17</f>
        <v>33271858.087485556</v>
      </c>
      <c r="G15" s="5">
        <v>0</v>
      </c>
      <c r="H15" s="139">
        <f>'#2-Commodity'!AF11</f>
        <v>-5950225.7678837422</v>
      </c>
      <c r="I15" s="139">
        <f>'#2-Commodity'!AD11</f>
        <v>-34306204.156845927</v>
      </c>
      <c r="J15" s="139">
        <f t="shared" si="6"/>
        <v>-6984571.8372441158</v>
      </c>
      <c r="K15" s="5">
        <f t="shared" si="7"/>
        <v>2121383000.9057002</v>
      </c>
      <c r="L15" s="20"/>
      <c r="M15" s="52">
        <v>2031</v>
      </c>
      <c r="N15" s="53">
        <f t="shared" si="4"/>
        <v>2135352144.5801883</v>
      </c>
      <c r="O15" s="5">
        <f t="shared" si="5"/>
        <v>0</v>
      </c>
      <c r="P15" s="5">
        <f>'#2-Storage Value'!AB17</f>
        <v>38866074.028841861</v>
      </c>
      <c r="Q15" s="5">
        <v>0</v>
      </c>
      <c r="R15" s="55">
        <f t="shared" si="8"/>
        <v>-5950225.7678837422</v>
      </c>
      <c r="S15" s="55">
        <f>'#2-Commodity'!AD11</f>
        <v>-34306204.156845927</v>
      </c>
      <c r="T15" s="55">
        <f t="shared" si="9"/>
        <v>-1390355.895887807</v>
      </c>
      <c r="U15" s="5">
        <f t="shared" si="10"/>
        <v>2132571432.7884126</v>
      </c>
      <c r="V15" s="20"/>
    </row>
    <row r="16" spans="3:22">
      <c r="C16" s="52">
        <v>2032</v>
      </c>
      <c r="D16" s="53">
        <f>'Option 1 Dawn Corunna'!D16</f>
        <v>2253009717.1928306</v>
      </c>
      <c r="E16" s="5">
        <v>0</v>
      </c>
      <c r="F16" s="5">
        <f>'#2-Storage Value'!AC18</f>
        <v>33970567.10732276</v>
      </c>
      <c r="G16" s="5">
        <v>0</v>
      </c>
      <c r="H16" s="139">
        <f>'#2-Commodity'!AF12</f>
        <v>-4395520.6850199513</v>
      </c>
      <c r="I16" s="139">
        <f>'#2-Commodity'!AD12</f>
        <v>-33756661.532601118</v>
      </c>
      <c r="J16" s="139">
        <f t="shared" si="6"/>
        <v>-4181615.1102983095</v>
      </c>
      <c r="K16" s="5">
        <f t="shared" si="7"/>
        <v>2244646486.9722338</v>
      </c>
      <c r="L16" s="20"/>
      <c r="M16" s="52">
        <v>2032</v>
      </c>
      <c r="N16" s="53">
        <f t="shared" si="4"/>
        <v>2253009717.1928306</v>
      </c>
      <c r="O16" s="5">
        <f t="shared" si="5"/>
        <v>0</v>
      </c>
      <c r="P16" s="5">
        <f>'#2-Storage Value'!AB18</f>
        <v>38259485.493649505</v>
      </c>
      <c r="Q16" s="5">
        <v>0</v>
      </c>
      <c r="R16" s="55">
        <f t="shared" si="8"/>
        <v>-4395520.6850199513</v>
      </c>
      <c r="S16" s="55">
        <f>'#2-Commodity'!AD12</f>
        <v>-33756661.532601118</v>
      </c>
      <c r="T16" s="55">
        <f t="shared" si="9"/>
        <v>107303.2760284394</v>
      </c>
      <c r="U16" s="5">
        <f t="shared" si="10"/>
        <v>2253224323.7448874</v>
      </c>
      <c r="V16" s="20"/>
    </row>
    <row r="17" spans="3:22">
      <c r="C17" s="52">
        <v>2033</v>
      </c>
      <c r="D17" s="53">
        <f>'Option 1 Dawn Corunna'!D17</f>
        <v>2382783747.4170265</v>
      </c>
      <c r="E17" s="5">
        <v>0</v>
      </c>
      <c r="F17" s="5">
        <f>'#2-Storage Value'!AC19</f>
        <v>34683949.016576521</v>
      </c>
      <c r="G17" s="5">
        <v>0</v>
      </c>
      <c r="H17" s="139">
        <f>'#2-Commodity'!AF13</f>
        <v>-5255097.3144574128</v>
      </c>
      <c r="I17" s="139">
        <f>'#2-Commodity'!AD13</f>
        <v>-34851174.858380556</v>
      </c>
      <c r="J17" s="139">
        <f t="shared" si="6"/>
        <v>-5422323.1562614478</v>
      </c>
      <c r="K17" s="5">
        <f t="shared" si="7"/>
        <v>2371939101.1045036</v>
      </c>
      <c r="L17" s="20"/>
      <c r="M17" s="52">
        <v>2033</v>
      </c>
      <c r="N17" s="53">
        <f t="shared" si="4"/>
        <v>2382783747.4170265</v>
      </c>
      <c r="O17" s="5">
        <f t="shared" si="5"/>
        <v>0</v>
      </c>
      <c r="P17" s="5">
        <f>'#2-Storage Value'!AB19</f>
        <v>40223538.305947229</v>
      </c>
      <c r="Q17" s="5">
        <v>0</v>
      </c>
      <c r="R17" s="55">
        <f t="shared" si="8"/>
        <v>-5255097.3144574128</v>
      </c>
      <c r="S17" s="55">
        <f>'#2-Commodity'!AD13</f>
        <v>-34851174.858380556</v>
      </c>
      <c r="T17" s="55">
        <f t="shared" si="9"/>
        <v>117266.13310925663</v>
      </c>
      <c r="U17" s="5">
        <f t="shared" si="10"/>
        <v>2383018279.6832447</v>
      </c>
      <c r="V17" s="20"/>
    </row>
    <row r="18" spans="3:22">
      <c r="C18" s="52">
        <v>2034</v>
      </c>
      <c r="D18" s="53">
        <f>'Option 1 Dawn Corunna'!D18</f>
        <v>2526480189.6507559</v>
      </c>
      <c r="E18" s="5">
        <v>0</v>
      </c>
      <c r="F18" s="5">
        <f>'#2-Storage Value'!AC20</f>
        <v>35412311.945924625</v>
      </c>
      <c r="G18" s="5">
        <v>0</v>
      </c>
      <c r="H18" s="139">
        <f>'#2-Commodity'!AF14</f>
        <v>-5501543.0265299752</v>
      </c>
      <c r="I18" s="139">
        <f>'#2-Commodity'!AD14</f>
        <v>-36413520.848116159</v>
      </c>
      <c r="J18" s="139">
        <f t="shared" si="6"/>
        <v>-6502751.9287215099</v>
      </c>
      <c r="K18" s="5">
        <f t="shared" si="7"/>
        <v>2513474685.793313</v>
      </c>
      <c r="L18" s="20"/>
      <c r="M18" s="52">
        <v>2034</v>
      </c>
      <c r="N18" s="53">
        <f t="shared" si="4"/>
        <v>2526480189.6507559</v>
      </c>
      <c r="O18" s="5">
        <f t="shared" si="5"/>
        <v>0</v>
      </c>
      <c r="P18" s="5">
        <f>'#2-Storage Value'!AB20</f>
        <v>40335702.949394442</v>
      </c>
      <c r="Q18" s="5">
        <v>0</v>
      </c>
      <c r="R18" s="55">
        <f t="shared" si="8"/>
        <v>-5501543.0265299752</v>
      </c>
      <c r="S18" s="55">
        <f>'#2-Commodity'!AD14</f>
        <v>-36413520.848116159</v>
      </c>
      <c r="T18" s="55">
        <f t="shared" si="9"/>
        <v>-1579360.9252516925</v>
      </c>
      <c r="U18" s="5">
        <f t="shared" si="10"/>
        <v>2523321467.8002524</v>
      </c>
      <c r="V18" s="20"/>
    </row>
    <row r="19" spans="3:22">
      <c r="C19" s="52">
        <v>2035</v>
      </c>
      <c r="D19" s="53">
        <f>'Option 1 Dawn Corunna'!D19</f>
        <v>2579809313.9064898</v>
      </c>
      <c r="E19" s="5">
        <v>0</v>
      </c>
      <c r="F19" s="5">
        <f>'#2-Storage Value'!AC21</f>
        <v>36155970.496789046</v>
      </c>
      <c r="G19" s="5">
        <v>0</v>
      </c>
      <c r="H19" s="139">
        <f>'#2-Commodity'!AF15</f>
        <v>-4843096.3765878528</v>
      </c>
      <c r="I19" s="139">
        <f>'#2-Commodity'!AD15</f>
        <v>-36334700.552034378</v>
      </c>
      <c r="J19" s="139">
        <f t="shared" si="6"/>
        <v>-5021826.4318331853</v>
      </c>
      <c r="K19" s="5">
        <f t="shared" si="7"/>
        <v>2569765661.0428233</v>
      </c>
      <c r="L19" s="20"/>
      <c r="M19" s="52">
        <v>2035</v>
      </c>
      <c r="N19" s="53">
        <f t="shared" si="4"/>
        <v>2579809313.9064898</v>
      </c>
      <c r="O19" s="5">
        <f t="shared" si="5"/>
        <v>0</v>
      </c>
      <c r="P19" s="5">
        <f>'#2-Storage Value'!AB21</f>
        <v>39073618.569905937</v>
      </c>
      <c r="Q19" s="5">
        <v>0</v>
      </c>
      <c r="R19" s="55">
        <f t="shared" si="8"/>
        <v>-4843096.3765878528</v>
      </c>
      <c r="S19" s="55">
        <f>'#2-Commodity'!AD15</f>
        <v>-36334700.552034378</v>
      </c>
      <c r="T19" s="55">
        <f t="shared" si="9"/>
        <v>-2104178.3587162942</v>
      </c>
      <c r="U19" s="5">
        <f t="shared" si="10"/>
        <v>2575600957.1890569</v>
      </c>
      <c r="V19" s="20"/>
    </row>
    <row r="20" spans="3:22">
      <c r="C20" s="52">
        <v>2036</v>
      </c>
      <c r="D20" s="53">
        <f>'Option 1 Dawn Corunna'!D20</f>
        <v>2699239645.3725119</v>
      </c>
      <c r="E20" s="5">
        <v>0</v>
      </c>
      <c r="F20" s="5">
        <f>'#2-Storage Value'!AC22</f>
        <v>36915245.877221607</v>
      </c>
      <c r="G20" s="5">
        <v>0</v>
      </c>
      <c r="H20" s="139">
        <f>'#2-Commodity'!AF16</f>
        <v>-3908899.6044966979</v>
      </c>
      <c r="I20" s="139">
        <f>'#2-Commodity'!AD16</f>
        <v>-38137148.354340293</v>
      </c>
      <c r="J20" s="139">
        <f t="shared" si="6"/>
        <v>-5130802.0816153847</v>
      </c>
      <c r="K20" s="5">
        <f t="shared" si="7"/>
        <v>2688978041.2092814</v>
      </c>
      <c r="L20" s="20"/>
      <c r="M20" s="52">
        <v>2036</v>
      </c>
      <c r="N20" s="53">
        <f t="shared" si="4"/>
        <v>2699239645.3725119</v>
      </c>
      <c r="O20" s="5">
        <f t="shared" si="5"/>
        <v>0</v>
      </c>
      <c r="P20" s="5">
        <f>'#2-Storage Value'!AB22</f>
        <v>38852385.354790799</v>
      </c>
      <c r="Q20" s="5">
        <v>0</v>
      </c>
      <c r="R20" s="55">
        <f t="shared" si="8"/>
        <v>-3908899.6044966979</v>
      </c>
      <c r="S20" s="55">
        <f>'#2-Commodity'!AD16</f>
        <v>-38137148.354340293</v>
      </c>
      <c r="T20" s="55">
        <f t="shared" si="9"/>
        <v>-3193662.6040461883</v>
      </c>
      <c r="U20" s="5">
        <f t="shared" si="10"/>
        <v>2692852320.1644197</v>
      </c>
      <c r="V20" s="20"/>
    </row>
    <row r="21" spans="3:22">
      <c r="C21" s="52">
        <v>2037</v>
      </c>
      <c r="D21" s="53">
        <f>'Option 1 Dawn Corunna'!D21</f>
        <v>2755923677.9253349</v>
      </c>
      <c r="E21" s="5">
        <v>0</v>
      </c>
      <c r="F21" s="5">
        <f>'#2-Storage Value'!AC23</f>
        <v>37690466.040643252</v>
      </c>
      <c r="G21" s="5">
        <v>0</v>
      </c>
      <c r="H21" s="139">
        <f>'#2-Commodity'!AF17</f>
        <v>-3990986.4961911282</v>
      </c>
      <c r="I21" s="139">
        <f>'#2-Commodity'!AD17</f>
        <v>-38938028.469781443</v>
      </c>
      <c r="J21" s="139">
        <f t="shared" si="6"/>
        <v>-5238548.9253293201</v>
      </c>
      <c r="K21" s="5">
        <f t="shared" si="7"/>
        <v>2745446580.0746765</v>
      </c>
      <c r="L21" s="20"/>
      <c r="M21" s="52">
        <v>2037</v>
      </c>
      <c r="N21" s="53">
        <f t="shared" si="4"/>
        <v>2755923677.9253349</v>
      </c>
      <c r="O21" s="5">
        <f t="shared" si="5"/>
        <v>0</v>
      </c>
      <c r="P21" s="5">
        <f>'#2-Storage Value'!AB23</f>
        <v>39668285.447241403</v>
      </c>
      <c r="Q21" s="5">
        <v>0</v>
      </c>
      <c r="R21" s="55">
        <f t="shared" si="8"/>
        <v>-3990986.4961911282</v>
      </c>
      <c r="S21" s="55">
        <f>'#2-Commodity'!AD17</f>
        <v>-38938028.469781443</v>
      </c>
      <c r="T21" s="55">
        <f t="shared" si="9"/>
        <v>-3260729.5187311694</v>
      </c>
      <c r="U21" s="5">
        <f t="shared" si="10"/>
        <v>2749402218.8878727</v>
      </c>
      <c r="V21" s="20"/>
    </row>
    <row r="22" spans="3:22">
      <c r="C22" s="52">
        <v>2038</v>
      </c>
      <c r="D22" s="53">
        <f>'Option 1 Dawn Corunna'!D22</f>
        <v>2813798075.1617661</v>
      </c>
      <c r="E22" s="5">
        <v>0</v>
      </c>
      <c r="F22" s="5">
        <f>'#2-Storage Value'!AC24</f>
        <v>38481965.82749676</v>
      </c>
      <c r="G22" s="5">
        <v>0</v>
      </c>
      <c r="H22" s="139">
        <f>'#2-Commodity'!AF18</f>
        <v>-4074797.2126111411</v>
      </c>
      <c r="I22" s="139">
        <f>'#2-Commodity'!AD18</f>
        <v>-39755727.067646839</v>
      </c>
      <c r="J22" s="139">
        <f t="shared" si="6"/>
        <v>-5348558.452761218</v>
      </c>
      <c r="K22" s="5">
        <f t="shared" si="7"/>
        <v>2803100958.2562432</v>
      </c>
      <c r="L22" s="20"/>
      <c r="M22" s="52">
        <v>2038</v>
      </c>
      <c r="N22" s="53">
        <f t="shared" si="4"/>
        <v>2813798075.1617661</v>
      </c>
      <c r="O22" s="5">
        <f t="shared" si="5"/>
        <v>0</v>
      </c>
      <c r="P22" s="5">
        <f>'#2-Storage Value'!AB24</f>
        <v>40501319.441633463</v>
      </c>
      <c r="Q22" s="5">
        <v>0</v>
      </c>
      <c r="R22" s="55">
        <f t="shared" si="8"/>
        <v>-4074797.2126111411</v>
      </c>
      <c r="S22" s="55">
        <f>'#2-Commodity'!AD18</f>
        <v>-39755727.067646839</v>
      </c>
      <c r="T22" s="55">
        <f t="shared" si="9"/>
        <v>-3329204.8386245146</v>
      </c>
      <c r="U22" s="5">
        <f t="shared" si="10"/>
        <v>2807139665.4845166</v>
      </c>
      <c r="V22" s="20"/>
    </row>
    <row r="23" spans="3:22">
      <c r="C23" s="52">
        <v>2039</v>
      </c>
      <c r="D23" s="53">
        <f>'Option 1 Dawn Corunna'!D23</f>
        <v>2872887834.7401633</v>
      </c>
      <c r="E23" s="5">
        <v>0</v>
      </c>
      <c r="F23" s="5">
        <f>'#2-Storage Value'!AC25</f>
        <v>39290087.109874181</v>
      </c>
      <c r="G23" s="5">
        <v>0</v>
      </c>
      <c r="H23" s="139">
        <f>'#2-Commodity'!AF19</f>
        <v>-4160367.9540759753</v>
      </c>
      <c r="I23" s="139">
        <f>'#2-Commodity'!AD19</f>
        <v>-40590597.336067423</v>
      </c>
      <c r="J23" s="139">
        <f t="shared" si="6"/>
        <v>-5460878.180269219</v>
      </c>
      <c r="K23" s="5">
        <f t="shared" si="7"/>
        <v>2861966078.3796253</v>
      </c>
      <c r="L23" s="20"/>
      <c r="M23" s="52">
        <v>2039</v>
      </c>
      <c r="N23" s="53">
        <f t="shared" si="4"/>
        <v>2872887834.7401633</v>
      </c>
      <c r="O23" s="5">
        <f t="shared" si="5"/>
        <v>0</v>
      </c>
      <c r="P23" s="5">
        <f>'#2-Storage Value'!AB25</f>
        <v>41351847.149907768</v>
      </c>
      <c r="Q23" s="5">
        <v>0</v>
      </c>
      <c r="R23" s="55">
        <f t="shared" si="8"/>
        <v>-4160367.9540759753</v>
      </c>
      <c r="S23" s="55">
        <f>'#2-Commodity'!AD19</f>
        <v>-40590597.336067423</v>
      </c>
      <c r="T23" s="55">
        <f t="shared" si="9"/>
        <v>-3399118.1402356327</v>
      </c>
      <c r="U23" s="5">
        <f t="shared" si="10"/>
        <v>2866089598.4596925</v>
      </c>
      <c r="V23" s="20"/>
    </row>
    <row r="24" spans="3:22">
      <c r="C24" s="52">
        <v>2040</v>
      </c>
      <c r="D24" s="53">
        <f>'Option 1 Dawn Corunna'!D24</f>
        <v>2933218479.2697067</v>
      </c>
      <c r="E24" s="5">
        <v>0</v>
      </c>
      <c r="F24" s="5">
        <f>'#2-Storage Value'!AC26</f>
        <v>40115178.939181536</v>
      </c>
      <c r="G24" s="5">
        <v>0</v>
      </c>
      <c r="H24" s="139">
        <f>'#2-Commodity'!AF20</f>
        <v>-4247735.6811115704</v>
      </c>
      <c r="I24" s="139">
        <f>'#2-Commodity'!AD20</f>
        <v>-33654212.470803194</v>
      </c>
      <c r="J24" s="139">
        <f t="shared" si="6"/>
        <v>2213230.7872667685</v>
      </c>
      <c r="K24" s="5">
        <f t="shared" si="7"/>
        <v>2937644940.8442402</v>
      </c>
      <c r="L24" s="20"/>
      <c r="M24" s="52">
        <v>2040</v>
      </c>
      <c r="N24" s="53">
        <f t="shared" si="4"/>
        <v>2933218479.2697067</v>
      </c>
      <c r="O24" s="5">
        <f t="shared" si="5"/>
        <v>0</v>
      </c>
      <c r="P24" s="5">
        <f>'#2-Storage Value'!AB26</f>
        <v>42220235.940055825</v>
      </c>
      <c r="Q24" s="5">
        <v>0</v>
      </c>
      <c r="R24" s="55">
        <f t="shared" si="8"/>
        <v>-4247735.6811115704</v>
      </c>
      <c r="S24" s="55">
        <f>'#2-Commodity'!AD20</f>
        <v>-33654212.470803194</v>
      </c>
      <c r="T24" s="55">
        <f t="shared" si="9"/>
        <v>4318287.7881410643</v>
      </c>
      <c r="U24" s="5">
        <f t="shared" si="10"/>
        <v>2941855054.8459892</v>
      </c>
      <c r="V24" s="20"/>
    </row>
    <row r="25" spans="3:22">
      <c r="C25" s="52">
        <v>2041</v>
      </c>
      <c r="D25" s="53">
        <f>'Option 1 Dawn Corunna'!D25</f>
        <v>2994816067.3343697</v>
      </c>
      <c r="E25" s="5">
        <v>0</v>
      </c>
      <c r="F25" s="5">
        <f>'#2-Storage Value'!AC27</f>
        <v>40957597.696904339</v>
      </c>
      <c r="G25" s="5">
        <v>0</v>
      </c>
      <c r="H25" s="139">
        <f>'#2-Commodity'!AF21</f>
        <v>-4336938.1304149125</v>
      </c>
      <c r="I25" s="139">
        <f>'#2-Commodity'!AD21</f>
        <v>-42313302.87760745</v>
      </c>
      <c r="J25" s="139">
        <f t="shared" si="6"/>
        <v>-5692643.3111180216</v>
      </c>
      <c r="K25" s="5">
        <f t="shared" si="7"/>
        <v>2983430780.7121334</v>
      </c>
      <c r="L25" s="20"/>
      <c r="M25" s="52">
        <v>2041</v>
      </c>
      <c r="N25" s="53">
        <f t="shared" si="4"/>
        <v>2994816067.3343697</v>
      </c>
      <c r="O25" s="5">
        <f t="shared" si="5"/>
        <v>0</v>
      </c>
      <c r="P25" s="5">
        <f>'#2-Storage Value'!AB27</f>
        <v>43106860.89479699</v>
      </c>
      <c r="Q25" s="5">
        <v>0</v>
      </c>
      <c r="R25" s="55">
        <f t="shared" si="8"/>
        <v>-4336938.1304149125</v>
      </c>
      <c r="S25" s="55">
        <f>'#2-Commodity'!AD21</f>
        <v>-42313302.87760745</v>
      </c>
      <c r="T25" s="55">
        <f t="shared" si="9"/>
        <v>-3543380.1132253706</v>
      </c>
      <c r="U25" s="5">
        <f t="shared" si="10"/>
        <v>2987729307.1079187</v>
      </c>
      <c r="V25" s="20"/>
    </row>
    <row r="26" spans="3:22">
      <c r="C26" s="52">
        <v>2042</v>
      </c>
      <c r="D26" s="53">
        <f>'Option 1 Dawn Corunna'!D26</f>
        <v>3057707204.7483912</v>
      </c>
      <c r="E26" s="5">
        <v>0</v>
      </c>
      <c r="F26" s="5">
        <f>'#2-Storage Value'!AC28</f>
        <v>41817707.248539329</v>
      </c>
      <c r="G26" s="5">
        <v>0</v>
      </c>
      <c r="H26" s="139">
        <f>'#2-Commodity'!AF22</f>
        <v>-4428013.8311536256</v>
      </c>
      <c r="I26" s="139">
        <f>'#2-Commodity'!AD22</f>
        <v>-43201882.238037206</v>
      </c>
      <c r="J26" s="139">
        <f t="shared" si="6"/>
        <v>-5812188.8206515014</v>
      </c>
      <c r="K26" s="5">
        <f t="shared" si="7"/>
        <v>3046082827.1070886</v>
      </c>
      <c r="L26" s="20"/>
      <c r="M26" s="52">
        <v>2042</v>
      </c>
      <c r="N26" s="53">
        <f t="shared" si="4"/>
        <v>3057707204.7483912</v>
      </c>
      <c r="O26" s="5">
        <f t="shared" si="5"/>
        <v>0</v>
      </c>
      <c r="P26" s="5">
        <f>'#2-Storage Value'!AB28</f>
        <v>44012104.973587729</v>
      </c>
      <c r="Q26" s="5">
        <v>0</v>
      </c>
      <c r="R26" s="55">
        <f t="shared" si="8"/>
        <v>-4428013.8311536256</v>
      </c>
      <c r="S26" s="55">
        <f>'#2-Commodity'!AD22</f>
        <v>-43201882.238037206</v>
      </c>
      <c r="T26" s="55">
        <f t="shared" si="9"/>
        <v>-3617791.095603101</v>
      </c>
      <c r="U26" s="5">
        <f t="shared" si="10"/>
        <v>3050471622.5571852</v>
      </c>
      <c r="V26" s="20"/>
    </row>
    <row r="27" spans="3:22">
      <c r="C27" s="52">
        <v>2043</v>
      </c>
      <c r="D27" s="53">
        <f>'Option 1 Dawn Corunna'!D27</f>
        <v>3121919056.0481071</v>
      </c>
      <c r="E27" s="5">
        <v>0</v>
      </c>
      <c r="F27" s="5">
        <f>'#2-Storage Value'!AC29</f>
        <v>42695879.100758657</v>
      </c>
      <c r="G27" s="5">
        <v>0</v>
      </c>
      <c r="H27" s="139">
        <f>'#2-Commodity'!AF23</f>
        <v>-4521002.1216078503</v>
      </c>
      <c r="I27" s="139">
        <f>'#2-Commodity'!AD23</f>
        <v>-44109121.765035972</v>
      </c>
      <c r="J27" s="139">
        <f t="shared" si="6"/>
        <v>-5934244.7858851627</v>
      </c>
      <c r="K27" s="5">
        <f t="shared" si="7"/>
        <v>3110050566.4763365</v>
      </c>
      <c r="L27" s="20"/>
      <c r="M27" s="52">
        <v>2043</v>
      </c>
      <c r="N27" s="53">
        <f t="shared" si="4"/>
        <v>3121919056.0481071</v>
      </c>
      <c r="O27" s="5">
        <f t="shared" si="5"/>
        <v>0</v>
      </c>
      <c r="P27" s="5">
        <f>'#2-Storage Value'!AB29</f>
        <v>44936359.178033061</v>
      </c>
      <c r="Q27" s="5">
        <v>0</v>
      </c>
      <c r="R27" s="55">
        <f t="shared" si="8"/>
        <v>-4521002.1216078503</v>
      </c>
      <c r="S27" s="55">
        <f>'#2-Commodity'!AD23</f>
        <v>-44109121.765035972</v>
      </c>
      <c r="T27" s="55">
        <f t="shared" si="9"/>
        <v>-3693764.7086107582</v>
      </c>
      <c r="U27" s="5">
        <f t="shared" si="10"/>
        <v>3114531526.6308856</v>
      </c>
      <c r="V27" s="20"/>
    </row>
    <row r="28" spans="3:22">
      <c r="C28" s="52">
        <v>2044</v>
      </c>
      <c r="D28" s="53">
        <f>'Option 1 Dawn Corunna'!D28</f>
        <v>3187479356.2251167</v>
      </c>
      <c r="E28" s="5">
        <v>0</v>
      </c>
      <c r="F28" s="5">
        <f>'#2-Storage Value'!AC30</f>
        <v>43592492.561874583</v>
      </c>
      <c r="G28" s="5">
        <v>0</v>
      </c>
      <c r="H28" s="139">
        <f>'#2-Commodity'!AF24</f>
        <v>-4615943.1661616154</v>
      </c>
      <c r="I28" s="139">
        <f>'#2-Commodity'!AD24</f>
        <v>-34683938.253803767</v>
      </c>
      <c r="J28" s="139">
        <f t="shared" si="6"/>
        <v>4292611.1419092044</v>
      </c>
      <c r="K28" s="5">
        <f t="shared" si="7"/>
        <v>3196064578.508935</v>
      </c>
      <c r="L28" s="20"/>
      <c r="M28" s="52">
        <v>2044</v>
      </c>
      <c r="N28" s="53">
        <f t="shared" si="4"/>
        <v>3187479356.2251167</v>
      </c>
      <c r="O28" s="5">
        <f t="shared" si="5"/>
        <v>0</v>
      </c>
      <c r="P28" s="5">
        <f>'#2-Storage Value'!AB30</f>
        <v>45880022.720771745</v>
      </c>
      <c r="Q28" s="5">
        <v>0</v>
      </c>
      <c r="R28" s="55">
        <f t="shared" si="8"/>
        <v>-4615943.1661616154</v>
      </c>
      <c r="S28" s="55">
        <f>'#2-Commodity'!AD24</f>
        <v>-34683938.253803767</v>
      </c>
      <c r="T28" s="55">
        <f t="shared" si="9"/>
        <v>6580141.3008063659</v>
      </c>
      <c r="U28" s="5">
        <f t="shared" si="10"/>
        <v>3200639638.8267298</v>
      </c>
      <c r="V28" s="20"/>
    </row>
    <row r="29" spans="3:22">
      <c r="C29" s="52">
        <v>2045</v>
      </c>
      <c r="D29" s="53">
        <f>'Option 1 Dawn Corunna'!D29</f>
        <v>3254416422.7058444</v>
      </c>
      <c r="E29" s="5">
        <v>0</v>
      </c>
      <c r="F29" s="5">
        <f>'#2-Storage Value'!AC31</f>
        <v>44507934.905673936</v>
      </c>
      <c r="G29" s="5">
        <v>0</v>
      </c>
      <c r="H29" s="139">
        <f>'#2-Commodity'!AF25</f>
        <v>-4712877.9726510085</v>
      </c>
      <c r="I29" s="139">
        <f>'#2-Commodity'!AD25</f>
        <v>-45981157.001865864</v>
      </c>
      <c r="J29" s="139">
        <f t="shared" si="6"/>
        <v>-6186100.0688429326</v>
      </c>
      <c r="K29" s="5">
        <f t="shared" si="7"/>
        <v>3242044222.5681586</v>
      </c>
      <c r="L29" s="20"/>
      <c r="M29" s="52">
        <v>2045</v>
      </c>
      <c r="N29" s="53">
        <f t="shared" si="4"/>
        <v>3254416422.7058444</v>
      </c>
      <c r="O29" s="5">
        <f t="shared" si="5"/>
        <v>0</v>
      </c>
      <c r="P29" s="5">
        <f>'#2-Storage Value'!AB31</f>
        <v>46843503.197907954</v>
      </c>
      <c r="Q29" s="5">
        <v>0</v>
      </c>
      <c r="R29" s="55">
        <f t="shared" si="8"/>
        <v>-4712877.9726510085</v>
      </c>
      <c r="S29" s="55">
        <f>'#2-Commodity'!AD25</f>
        <v>-45981157.001865864</v>
      </c>
      <c r="T29" s="55">
        <f t="shared" si="9"/>
        <v>-3850531.7766089141</v>
      </c>
      <c r="U29" s="5">
        <f t="shared" si="10"/>
        <v>3246715359.1526265</v>
      </c>
      <c r="V29" s="20"/>
    </row>
    <row r="30" spans="3:22">
      <c r="C30" s="52">
        <v>2046</v>
      </c>
      <c r="D30" s="53">
        <f>'Option 1 Dawn Corunna'!D30</f>
        <v>3322759167.5826664</v>
      </c>
      <c r="E30" s="5">
        <v>0</v>
      </c>
      <c r="F30" s="5">
        <f>'#2-Storage Value'!AC32</f>
        <v>45442601.538693085</v>
      </c>
      <c r="G30" s="5">
        <v>0</v>
      </c>
      <c r="H30" s="139">
        <f>'#2-Commodity'!AF26</f>
        <v>-4811848.4100766797</v>
      </c>
      <c r="I30" s="139">
        <f>'#2-Commodity'!AD26</f>
        <v>-46946761.298905037</v>
      </c>
      <c r="J30" s="139">
        <f t="shared" si="6"/>
        <v>-6316008.1702886298</v>
      </c>
      <c r="K30" s="5">
        <f t="shared" si="7"/>
        <v>3310127151.2420893</v>
      </c>
      <c r="L30" s="20"/>
      <c r="M30" s="52">
        <v>2046</v>
      </c>
      <c r="N30" s="53">
        <f t="shared" si="4"/>
        <v>3322759167.5826664</v>
      </c>
      <c r="O30" s="5">
        <f t="shared" si="5"/>
        <v>0</v>
      </c>
      <c r="P30" s="5">
        <f>'#2-Storage Value'!AB32</f>
        <v>47827216.765064016</v>
      </c>
      <c r="Q30" s="5">
        <v>0</v>
      </c>
      <c r="R30" s="55">
        <f t="shared" si="8"/>
        <v>-4811848.4100766797</v>
      </c>
      <c r="S30" s="55">
        <f>'#2-Commodity'!AD26</f>
        <v>-46946761.298905037</v>
      </c>
      <c r="T30" s="55">
        <f t="shared" si="9"/>
        <v>-3931392.9439176992</v>
      </c>
      <c r="U30" s="5">
        <f t="shared" si="10"/>
        <v>3314896381.6948314</v>
      </c>
      <c r="V30" s="20"/>
    </row>
    <row r="31" spans="3:22">
      <c r="C31" s="52">
        <v>2047</v>
      </c>
      <c r="D31" s="53">
        <f>'Option 1 Dawn Corunna'!D31</f>
        <v>3392537110.101902</v>
      </c>
      <c r="E31" s="5">
        <v>0</v>
      </c>
      <c r="F31" s="5">
        <f>'#2-Storage Value'!AC33</f>
        <v>46396896.171005629</v>
      </c>
      <c r="G31" s="5">
        <v>0</v>
      </c>
      <c r="H31" s="139">
        <f>'#2-Commodity'!AF27</f>
        <v>-4912897.2266882882</v>
      </c>
      <c r="I31" s="139">
        <f>'#2-Commodity'!AD27</f>
        <v>-47932643.286182031</v>
      </c>
      <c r="J31" s="139">
        <f t="shared" si="6"/>
        <v>-6448644.3418646902</v>
      </c>
      <c r="K31" s="5">
        <f t="shared" si="7"/>
        <v>3379639821.4181728</v>
      </c>
      <c r="L31" s="20"/>
      <c r="M31" s="52">
        <v>2047</v>
      </c>
      <c r="N31" s="53">
        <f t="shared" si="4"/>
        <v>3392537110.101902</v>
      </c>
      <c r="O31" s="5">
        <f t="shared" si="5"/>
        <v>0</v>
      </c>
      <c r="P31" s="5">
        <f>'#2-Storage Value'!AB33</f>
        <v>48831588.31713035</v>
      </c>
      <c r="Q31" s="5">
        <v>0</v>
      </c>
      <c r="R31" s="55">
        <f t="shared" si="8"/>
        <v>-4912897.2266882882</v>
      </c>
      <c r="S31" s="55">
        <f>'#2-Commodity'!AD27</f>
        <v>-47932643.286182031</v>
      </c>
      <c r="T31" s="55">
        <f t="shared" si="9"/>
        <v>-4013952.1957399696</v>
      </c>
      <c r="U31" s="5">
        <f t="shared" si="10"/>
        <v>3384509205.7104225</v>
      </c>
      <c r="V31" s="20"/>
    </row>
    <row r="32" spans="3:22">
      <c r="C32" s="52">
        <v>2048</v>
      </c>
      <c r="D32" s="53">
        <f>'Option 1 Dawn Corunna'!D32</f>
        <v>3463780389.414041</v>
      </c>
      <c r="E32" s="5">
        <v>0</v>
      </c>
      <c r="F32" s="5">
        <f>'#2-Storage Value'!AC34</f>
        <v>47371230.990596756</v>
      </c>
      <c r="G32" s="5">
        <v>0</v>
      </c>
      <c r="H32" s="139">
        <f>'#2-Commodity'!AF28</f>
        <v>-5016068.0684487419</v>
      </c>
      <c r="I32" s="139">
        <f>'#2-Commodity'!AD28</f>
        <v>-48939228.795191854</v>
      </c>
      <c r="J32" s="139">
        <f t="shared" si="6"/>
        <v>-6584065.8730438426</v>
      </c>
      <c r="K32" s="5">
        <f t="shared" si="7"/>
        <v>3450612257.6679535</v>
      </c>
      <c r="L32" s="20"/>
      <c r="M32" s="52">
        <v>2048</v>
      </c>
      <c r="N32" s="53">
        <f t="shared" si="4"/>
        <v>3463780389.414041</v>
      </c>
      <c r="O32" s="5">
        <f t="shared" si="5"/>
        <v>0</v>
      </c>
      <c r="P32" s="5">
        <f>'#2-Storage Value'!AB34</f>
        <v>49857051.671790086</v>
      </c>
      <c r="Q32" s="5">
        <v>0</v>
      </c>
      <c r="R32" s="55">
        <f t="shared" si="8"/>
        <v>-5016068.0684487419</v>
      </c>
      <c r="S32" s="55">
        <f>'#2-Commodity'!AD28</f>
        <v>-48939228.795191854</v>
      </c>
      <c r="T32" s="55">
        <f t="shared" si="9"/>
        <v>-4098245.1918505132</v>
      </c>
      <c r="U32" s="5">
        <f t="shared" si="10"/>
        <v>3455583899.0303402</v>
      </c>
      <c r="V32" s="20"/>
    </row>
    <row r="33" spans="3:22">
      <c r="C33" s="52">
        <v>2049</v>
      </c>
      <c r="D33" s="53">
        <f>'Option 1 Dawn Corunna'!D33</f>
        <v>3536519777.5917358</v>
      </c>
      <c r="E33" s="5">
        <v>0</v>
      </c>
      <c r="F33" s="5">
        <f>'#2-Storage Value'!AC35</f>
        <v>48366026.841399275</v>
      </c>
      <c r="G33" s="5">
        <v>0</v>
      </c>
      <c r="H33" s="139">
        <f>'#2-Commodity'!AF29</f>
        <v>-5121405.497886165</v>
      </c>
      <c r="I33" s="139">
        <f>'#2-Commodity'!AD29</f>
        <v>-49966952.599890873</v>
      </c>
      <c r="J33" s="139">
        <f t="shared" si="6"/>
        <v>-6722331.256377764</v>
      </c>
      <c r="K33" s="5">
        <f t="shared" si="7"/>
        <v>3523075115.0789804</v>
      </c>
      <c r="L33" s="20"/>
      <c r="M33" s="52">
        <v>2049</v>
      </c>
      <c r="N33" s="53">
        <f t="shared" si="4"/>
        <v>3536519777.5917358</v>
      </c>
      <c r="O33" s="5">
        <f t="shared" si="5"/>
        <v>0</v>
      </c>
      <c r="P33" s="5">
        <f>'#2-Storage Value'!AB35</f>
        <v>50904049.756897666</v>
      </c>
      <c r="Q33" s="5">
        <v>0</v>
      </c>
      <c r="R33" s="55">
        <f t="shared" si="8"/>
        <v>-5121405.497886165</v>
      </c>
      <c r="S33" s="55">
        <f>'#2-Commodity'!AD29</f>
        <v>-49966952.599890873</v>
      </c>
      <c r="T33" s="55">
        <f t="shared" si="9"/>
        <v>-4184308.3408793733</v>
      </c>
      <c r="U33" s="5">
        <f t="shared" si="10"/>
        <v>3528151160.909977</v>
      </c>
      <c r="V33" s="20"/>
    </row>
    <row r="34" spans="3:22">
      <c r="C34" s="52">
        <v>2050</v>
      </c>
      <c r="D34" s="53">
        <f>'Option 1 Dawn Corunna'!D34</f>
        <v>3610786692.9211621</v>
      </c>
      <c r="E34" s="5">
        <v>0</v>
      </c>
      <c r="F34" s="5">
        <f>'#2-Storage Value'!AC36</f>
        <v>49381713.405068643</v>
      </c>
      <c r="G34" s="5">
        <v>0</v>
      </c>
      <c r="H34" s="139">
        <f>'#2-Commodity'!AF30</f>
        <v>-5228955.0133417742</v>
      </c>
      <c r="I34" s="139">
        <f>'#2-Commodity'!AD30</f>
        <v>-51016258.604488581</v>
      </c>
      <c r="J34" s="139">
        <f t="shared" si="6"/>
        <v>-6863500.2127617151</v>
      </c>
      <c r="K34" s="5">
        <f t="shared" si="7"/>
        <v>3597059692.4956388</v>
      </c>
      <c r="L34" s="20"/>
      <c r="M34" s="52">
        <v>2050</v>
      </c>
      <c r="N34" s="53">
        <f t="shared" si="4"/>
        <v>3610786692.9211621</v>
      </c>
      <c r="O34" s="5">
        <f t="shared" si="5"/>
        <v>0</v>
      </c>
      <c r="P34" s="5">
        <f>'#2-Storage Value'!AB36</f>
        <v>51973034.801792517</v>
      </c>
      <c r="Q34" s="5">
        <v>0</v>
      </c>
      <c r="R34" s="55">
        <f t="shared" si="8"/>
        <v>-5228955.0133417742</v>
      </c>
      <c r="S34" s="55">
        <f>'#2-Commodity'!AD30</f>
        <v>-51016258.604488581</v>
      </c>
      <c r="T34" s="55">
        <f t="shared" si="9"/>
        <v>-4272178.8160378411</v>
      </c>
      <c r="U34" s="5">
        <f t="shared" si="10"/>
        <v>3602242335.2890868</v>
      </c>
      <c r="V34" s="20"/>
    </row>
    <row r="35" spans="3:22">
      <c r="C35" s="52">
        <v>2051</v>
      </c>
      <c r="D35" s="53">
        <f>'Option 1 Dawn Corunna'!D35</f>
        <v>3686613213.4725056</v>
      </c>
      <c r="E35" s="5">
        <v>0</v>
      </c>
      <c r="F35" s="5">
        <f>'#2-Storage Value'!AC37</f>
        <v>50418729.386575088</v>
      </c>
      <c r="G35" s="5">
        <v>0</v>
      </c>
      <c r="H35" s="139">
        <f>'#2-Commodity'!AF31</f>
        <v>-5338763.0686219502</v>
      </c>
      <c r="I35" s="139">
        <f>'#2-Commodity'!AD31</f>
        <v>-52087600.035182826</v>
      </c>
      <c r="J35" s="139">
        <f t="shared" si="6"/>
        <v>-7007633.7172296867</v>
      </c>
      <c r="K35" s="5">
        <f t="shared" si="7"/>
        <v>3672597946.0380459</v>
      </c>
      <c r="L35" s="20"/>
      <c r="M35" s="52">
        <v>2051</v>
      </c>
      <c r="N35" s="53">
        <f t="shared" si="4"/>
        <v>3686613213.4725056</v>
      </c>
      <c r="O35" s="5">
        <f t="shared" si="5"/>
        <v>0</v>
      </c>
      <c r="P35" s="5">
        <f>'#2-Storage Value'!AB37</f>
        <v>53064468.532630146</v>
      </c>
      <c r="Q35" s="5">
        <v>0</v>
      </c>
      <c r="R35" s="55">
        <f t="shared" si="8"/>
        <v>-5338763.0686219502</v>
      </c>
      <c r="S35" s="55">
        <f>'#2-Commodity'!AD31</f>
        <v>-52087600.035182826</v>
      </c>
      <c r="T35" s="55">
        <f t="shared" si="9"/>
        <v>-4361894.571174629</v>
      </c>
      <c r="U35" s="5">
        <f t="shared" si="10"/>
        <v>3677889424.3301558</v>
      </c>
      <c r="V35" s="20"/>
    </row>
    <row r="36" spans="3:22">
      <c r="C36" s="52">
        <v>2052</v>
      </c>
      <c r="D36" s="53">
        <f>'Option 1 Dawn Corunna'!D36</f>
        <v>3764032090.9554276</v>
      </c>
      <c r="E36" s="5">
        <v>0</v>
      </c>
      <c r="F36" s="5">
        <f>'#2-Storage Value'!AC38</f>
        <v>51477522.703693159</v>
      </c>
      <c r="G36" s="5">
        <v>0</v>
      </c>
      <c r="H36" s="139">
        <f>'#2-Commodity'!AF32</f>
        <v>-5450877.0930630099</v>
      </c>
      <c r="I36" s="139">
        <f>'#2-Commodity'!AD32</f>
        <v>-53181439.635921657</v>
      </c>
      <c r="J36" s="139">
        <f t="shared" si="6"/>
        <v>-7154794.0252915099</v>
      </c>
      <c r="K36" s="5">
        <f t="shared" si="7"/>
        <v>3749722502.9048452</v>
      </c>
      <c r="L36" s="20"/>
      <c r="M36" s="52">
        <v>2052</v>
      </c>
      <c r="N36" s="53">
        <f t="shared" si="4"/>
        <v>3764032090.9554276</v>
      </c>
      <c r="O36" s="5">
        <f t="shared" si="5"/>
        <v>0</v>
      </c>
      <c r="P36" s="5">
        <f>'#2-Storage Value'!AB38</f>
        <v>54178822.371815369</v>
      </c>
      <c r="Q36" s="5">
        <v>0</v>
      </c>
      <c r="R36" s="55">
        <f t="shared" si="8"/>
        <v>-5450877.0930630099</v>
      </c>
      <c r="S36" s="55">
        <f>'#2-Commodity'!AD32</f>
        <v>-53181439.635921657</v>
      </c>
      <c r="T36" s="55">
        <f t="shared" si="9"/>
        <v>-4453494.3571693003</v>
      </c>
      <c r="U36" s="5">
        <f t="shared" si="10"/>
        <v>3755125102.2410893</v>
      </c>
      <c r="V36" s="20"/>
    </row>
    <row r="37" spans="3:22">
      <c r="C37" s="52">
        <v>2053</v>
      </c>
      <c r="D37" s="53">
        <f>'Option 1 Dawn Corunna'!D37</f>
        <v>3843076764.8654919</v>
      </c>
      <c r="E37" s="5">
        <v>0</v>
      </c>
      <c r="F37" s="5">
        <f>'#2-Storage Value'!AC39</f>
        <v>52558550.680470712</v>
      </c>
      <c r="G37" s="5">
        <v>0</v>
      </c>
      <c r="H37" s="139">
        <f>'#2-Commodity'!AF33</f>
        <v>-5565345.5120173339</v>
      </c>
      <c r="I37" s="139">
        <f>'#2-Commodity'!AD33</f>
        <v>-54298249.868276015</v>
      </c>
      <c r="J37" s="139">
        <f t="shared" si="6"/>
        <v>-7305044.6998226345</v>
      </c>
      <c r="K37" s="5">
        <f t="shared" si="7"/>
        <v>3828466675.465847</v>
      </c>
      <c r="L37" s="20"/>
      <c r="M37" s="52">
        <v>2053</v>
      </c>
      <c r="N37" s="53">
        <f t="shared" si="4"/>
        <v>3843076764.8654919</v>
      </c>
      <c r="O37" s="5">
        <f t="shared" si="5"/>
        <v>0</v>
      </c>
      <c r="P37" s="5">
        <f>'#2-Storage Value'!AB39</f>
        <v>55316577.641623497</v>
      </c>
      <c r="Q37" s="5">
        <v>0</v>
      </c>
      <c r="R37" s="55">
        <f t="shared" si="8"/>
        <v>-5565345.5120173339</v>
      </c>
      <c r="S37" s="55">
        <f>'#2-Commodity'!AD33</f>
        <v>-54298249.868276015</v>
      </c>
      <c r="T37" s="55">
        <f t="shared" si="9"/>
        <v>-4547017.7386698499</v>
      </c>
      <c r="U37" s="5">
        <f t="shared" si="10"/>
        <v>3833982729.3881521</v>
      </c>
      <c r="V37" s="20"/>
    </row>
    <row r="38" spans="3:22">
      <c r="C38" s="52">
        <v>2054</v>
      </c>
      <c r="D38" s="53">
        <f>'Option 1 Dawn Corunna'!D38</f>
        <v>3923781376.9276662</v>
      </c>
      <c r="E38" s="5">
        <v>0</v>
      </c>
      <c r="F38" s="5">
        <f>'#2-Storage Value'!AC40</f>
        <v>53662280.244760595</v>
      </c>
      <c r="G38" s="5">
        <v>0</v>
      </c>
      <c r="H38" s="139">
        <f>'#2-Commodity'!AF34</f>
        <v>-5682217.7677696962</v>
      </c>
      <c r="I38" s="139">
        <f>'#2-Commodity'!AD34</f>
        <v>-55438513.115509801</v>
      </c>
      <c r="J38" s="139">
        <f t="shared" si="6"/>
        <v>-7458450.6385188997</v>
      </c>
      <c r="K38" s="5">
        <f t="shared" si="7"/>
        <v>3908864475.6506281</v>
      </c>
      <c r="L38" s="20"/>
      <c r="M38" s="52">
        <v>2054</v>
      </c>
      <c r="N38" s="53">
        <f t="shared" si="4"/>
        <v>3923781376.9276662</v>
      </c>
      <c r="O38" s="5">
        <f t="shared" si="5"/>
        <v>0</v>
      </c>
      <c r="P38" s="5">
        <f>'#2-Storage Value'!AB40</f>
        <v>56478225.772097573</v>
      </c>
      <c r="Q38" s="5">
        <v>0</v>
      </c>
      <c r="R38" s="55">
        <f t="shared" si="8"/>
        <v>-5682217.7677696962</v>
      </c>
      <c r="S38" s="55">
        <f>'#2-Commodity'!AD34</f>
        <v>-55438513.115509801</v>
      </c>
      <c r="T38" s="55">
        <f t="shared" si="9"/>
        <v>-4642505.1111819223</v>
      </c>
      <c r="U38" s="5">
        <f t="shared" si="10"/>
        <v>3914496366.7053022</v>
      </c>
      <c r="V38" s="20"/>
    </row>
    <row r="39" spans="3:22">
      <c r="C39" s="52">
        <v>2055</v>
      </c>
      <c r="D39" s="53">
        <f>'Option 1 Dawn Corunna'!D39</f>
        <v>4006180785.8431468</v>
      </c>
      <c r="E39" s="5">
        <v>0</v>
      </c>
      <c r="F39" s="5">
        <f>'#2-Storage Value'!AC41</f>
        <v>54789188.129900545</v>
      </c>
      <c r="G39" s="5">
        <v>0</v>
      </c>
      <c r="H39" s="139">
        <f>'#2-Commodity'!AF35</f>
        <v>-5801544.3408928597</v>
      </c>
      <c r="I39" s="139">
        <f>'#2-Commodity'!AD35</f>
        <v>-56602721.890935495</v>
      </c>
      <c r="J39" s="139">
        <f t="shared" si="6"/>
        <v>-7615078.1019278094</v>
      </c>
      <c r="K39" s="5">
        <f t="shared" si="7"/>
        <v>3990950629.6392913</v>
      </c>
      <c r="L39" s="20"/>
      <c r="M39" s="52">
        <v>2055</v>
      </c>
      <c r="N39" s="53">
        <f t="shared" si="4"/>
        <v>4006180785.8431468</v>
      </c>
      <c r="O39" s="5">
        <f t="shared" si="5"/>
        <v>0</v>
      </c>
      <c r="P39" s="5">
        <f>'#2-Storage Value'!AB41</f>
        <v>57664268.513311625</v>
      </c>
      <c r="Q39" s="5">
        <v>0</v>
      </c>
      <c r="R39" s="55">
        <f t="shared" si="8"/>
        <v>-5801544.3408928597</v>
      </c>
      <c r="S39" s="55">
        <f>'#2-Commodity'!AD35</f>
        <v>-56602721.890935495</v>
      </c>
      <c r="T39" s="55">
        <f t="shared" si="9"/>
        <v>-4739997.7185167298</v>
      </c>
      <c r="U39" s="5">
        <f t="shared" si="10"/>
        <v>3996700790.4061136</v>
      </c>
      <c r="V39" s="20"/>
    </row>
    <row r="40" spans="3:22">
      <c r="C40" s="52">
        <v>2056</v>
      </c>
      <c r="D40" s="53">
        <f>'Option 1 Dawn Corunna'!D40</f>
        <v>4090310582.3458524</v>
      </c>
      <c r="E40" s="5">
        <v>0</v>
      </c>
      <c r="F40" s="5">
        <f>'#2-Storage Value'!AC42</f>
        <v>55939761.080628462</v>
      </c>
      <c r="G40" s="5">
        <v>0</v>
      </c>
      <c r="H40" s="139">
        <f>'#2-Commodity'!AF36</f>
        <v>-5923376.7720516091</v>
      </c>
      <c r="I40" s="139">
        <f>'#2-Commodity'!AD36</f>
        <v>-57791379.050645143</v>
      </c>
      <c r="J40" s="139">
        <f t="shared" si="6"/>
        <v>-7774994.7420682907</v>
      </c>
      <c r="K40" s="5">
        <f t="shared" si="7"/>
        <v>4074760592.8617153</v>
      </c>
      <c r="L40" s="20"/>
      <c r="M40" s="52">
        <v>2056</v>
      </c>
      <c r="N40" s="53">
        <f t="shared" si="4"/>
        <v>4090310582.3458524</v>
      </c>
      <c r="O40" s="5">
        <f t="shared" si="5"/>
        <v>0</v>
      </c>
      <c r="P40" s="5">
        <f>'#2-Storage Value'!AB42</f>
        <v>58875218.152091153</v>
      </c>
      <c r="Q40" s="5">
        <v>0</v>
      </c>
      <c r="R40" s="55">
        <f t="shared" si="8"/>
        <v>-5923376.7720516091</v>
      </c>
      <c r="S40" s="55">
        <f>'#2-Commodity'!AD36</f>
        <v>-57791379.050645143</v>
      </c>
      <c r="T40" s="55">
        <f t="shared" si="9"/>
        <v>-4839537.6706055999</v>
      </c>
      <c r="U40" s="5">
        <f t="shared" si="10"/>
        <v>4080631507.0046406</v>
      </c>
      <c r="V40" s="20"/>
    </row>
    <row r="41" spans="3:22">
      <c r="C41" s="52">
        <v>2057</v>
      </c>
      <c r="D41" s="53">
        <f>'Option 1 Dawn Corunna'!D41</f>
        <v>4176207104.5751147</v>
      </c>
      <c r="E41" s="5">
        <v>0</v>
      </c>
      <c r="F41" s="5">
        <f>'#2-Storage Value'!AC43</f>
        <v>57114496.063321657</v>
      </c>
      <c r="G41" s="5">
        <v>0</v>
      </c>
      <c r="H41" s="139">
        <f>'#2-Commodity'!AF37</f>
        <v>-6047767.6842646915</v>
      </c>
      <c r="I41" s="139">
        <f>'#2-Commodity'!AD37</f>
        <v>-59004998.010708675</v>
      </c>
      <c r="J41" s="139">
        <f t="shared" si="6"/>
        <v>-7938269.631651707</v>
      </c>
      <c r="K41" s="5">
        <f t="shared" si="7"/>
        <v>4160330565.311811</v>
      </c>
      <c r="L41" s="20"/>
      <c r="M41" s="52">
        <v>2057</v>
      </c>
      <c r="N41" s="53">
        <f t="shared" si="4"/>
        <v>4176207104.5751147</v>
      </c>
      <c r="O41" s="5">
        <f t="shared" si="5"/>
        <v>0</v>
      </c>
      <c r="P41" s="5">
        <f>'#2-Storage Value'!AB43</f>
        <v>60111597.733285069</v>
      </c>
      <c r="Q41" s="5">
        <v>0</v>
      </c>
      <c r="R41" s="55">
        <f t="shared" si="8"/>
        <v>-6047767.6842646915</v>
      </c>
      <c r="S41" s="55">
        <f>'#2-Commodity'!AD37</f>
        <v>-59004998.010708675</v>
      </c>
      <c r="T41" s="55">
        <f t="shared" si="9"/>
        <v>-4941167.961688295</v>
      </c>
      <c r="U41" s="5">
        <f t="shared" si="10"/>
        <v>4166324768.6517377</v>
      </c>
      <c r="V41" s="20"/>
    </row>
    <row r="42" spans="3:22">
      <c r="C42" s="52">
        <v>2058</v>
      </c>
      <c r="D42" s="53">
        <f>'Option 1 Dawn Corunna'!D42</f>
        <v>4263907453.7711921</v>
      </c>
      <c r="E42" s="5">
        <v>0</v>
      </c>
      <c r="F42" s="5">
        <f>'#2-Storage Value'!AC44</f>
        <v>58313900.480651401</v>
      </c>
      <c r="G42" s="5">
        <v>0</v>
      </c>
      <c r="H42" s="139">
        <f>'#2-Commodity'!AF38</f>
        <v>-6174770.8056342499</v>
      </c>
      <c r="I42" s="139">
        <f>'#2-Commodity'!AD38</f>
        <v>-60244102.968933553</v>
      </c>
      <c r="J42" s="139">
        <f t="shared" si="6"/>
        <v>-8104973.2939164042</v>
      </c>
      <c r="K42" s="5">
        <f t="shared" si="7"/>
        <v>4247697507.1833591</v>
      </c>
      <c r="L42" s="20"/>
      <c r="M42" s="52">
        <v>2058</v>
      </c>
      <c r="N42" s="53">
        <f t="shared" si="4"/>
        <v>4263907453.7711921</v>
      </c>
      <c r="O42" s="5">
        <f t="shared" si="5"/>
        <v>0</v>
      </c>
      <c r="P42" s="5">
        <f>'#2-Storage Value'!AB44</f>
        <v>61373941.285684057</v>
      </c>
      <c r="Q42" s="5">
        <v>0</v>
      </c>
      <c r="R42" s="55">
        <f t="shared" si="8"/>
        <v>-6174770.8056342499</v>
      </c>
      <c r="S42" s="55">
        <f>'#2-Commodity'!AD38</f>
        <v>-60244102.968933553</v>
      </c>
      <c r="T42" s="55">
        <f t="shared" si="9"/>
        <v>-5044932.4888837487</v>
      </c>
      <c r="U42" s="5">
        <f t="shared" si="10"/>
        <v>4253817588.7934241</v>
      </c>
      <c r="V42" s="20"/>
    </row>
    <row r="43" spans="3:22">
      <c r="C43" s="52">
        <v>2059</v>
      </c>
      <c r="D43" s="53">
        <f>'Option 1 Dawn Corunna'!D43</f>
        <v>4353449510.3003864</v>
      </c>
      <c r="E43" s="5">
        <v>0</v>
      </c>
      <c r="F43" s="5">
        <f>'#2-Storage Value'!AC45</f>
        <v>59538492.390745074</v>
      </c>
      <c r="G43" s="5">
        <v>0</v>
      </c>
      <c r="H43" s="139">
        <f>'#2-Commodity'!AF39</f>
        <v>-6304440.9925525682</v>
      </c>
      <c r="I43" s="139">
        <f>'#2-Commodity'!AD39</f>
        <v>-61509229.131281152</v>
      </c>
      <c r="J43" s="139">
        <f t="shared" si="6"/>
        <v>-8275177.7330886498</v>
      </c>
      <c r="K43" s="5">
        <f t="shared" si="7"/>
        <v>4336899154.8342094</v>
      </c>
      <c r="L43" s="20"/>
      <c r="M43" s="52">
        <v>2059</v>
      </c>
      <c r="N43" s="53">
        <f t="shared" si="4"/>
        <v>4353449510.3003864</v>
      </c>
      <c r="O43" s="5">
        <f t="shared" si="5"/>
        <v>0</v>
      </c>
      <c r="P43" s="5">
        <f>'#2-Storage Value'!AB45</f>
        <v>62662794.052683406</v>
      </c>
      <c r="Q43" s="5">
        <v>0</v>
      </c>
      <c r="R43" s="55">
        <f t="shared" si="8"/>
        <v>-6304440.9925525682</v>
      </c>
      <c r="S43" s="55">
        <f>'#2-Commodity'!AD39</f>
        <v>-61509229.131281152</v>
      </c>
      <c r="T43" s="55">
        <f t="shared" si="9"/>
        <v>-5150876.0711503178</v>
      </c>
      <c r="U43" s="5">
        <f t="shared" si="10"/>
        <v>4343147758.1580858</v>
      </c>
      <c r="V43" s="20"/>
    </row>
    <row r="44" spans="3:22">
      <c r="C44" s="52">
        <v>2060</v>
      </c>
      <c r="D44" s="53">
        <f>'Option 1 Dawn Corunna'!D44</f>
        <v>4444871950.0166931</v>
      </c>
      <c r="E44" s="5">
        <v>0</v>
      </c>
      <c r="F44" s="5">
        <f>'#2-Storage Value'!AC46</f>
        <v>60788800.730950706</v>
      </c>
      <c r="G44" s="5">
        <v>0</v>
      </c>
      <c r="H44" s="139">
        <f>'#2-Commodity'!AF40</f>
        <v>-6436834.2533961711</v>
      </c>
      <c r="I44" s="139">
        <f>'#2-Commodity'!AD40</f>
        <v>-62800922.943038046</v>
      </c>
      <c r="J44" s="139">
        <f t="shared" si="6"/>
        <v>-8448956.465483509</v>
      </c>
      <c r="K44" s="5">
        <f t="shared" si="7"/>
        <v>4427974037.0857258</v>
      </c>
      <c r="L44" s="20"/>
      <c r="M44" s="52">
        <v>2060</v>
      </c>
      <c r="N44" s="53">
        <f t="shared" si="4"/>
        <v>4444871950.0166931</v>
      </c>
      <c r="O44" s="5">
        <f t="shared" si="5"/>
        <v>0</v>
      </c>
      <c r="P44" s="5">
        <f>'#2-Storage Value'!AB46</f>
        <v>63978712.727789745</v>
      </c>
      <c r="Q44" s="5">
        <v>0</v>
      </c>
      <c r="R44" s="55">
        <f t="shared" si="8"/>
        <v>-6436834.2533961711</v>
      </c>
      <c r="S44" s="55">
        <f>'#2-Commodity'!AD40</f>
        <v>-62800922.943038046</v>
      </c>
      <c r="T44" s="55">
        <f t="shared" si="9"/>
        <v>-5259044.46864447</v>
      </c>
      <c r="U44" s="5">
        <f t="shared" si="10"/>
        <v>4434353861.0794048</v>
      </c>
      <c r="V44" s="20"/>
    </row>
    <row r="45" spans="3:22">
      <c r="C45" s="52">
        <v>2061</v>
      </c>
      <c r="D45" s="53">
        <f>'Option 1 Dawn Corunna'!D45</f>
        <v>4538214260.9670439</v>
      </c>
      <c r="E45" s="5">
        <v>0</v>
      </c>
      <c r="F45" s="5">
        <f>'#2-Storage Value'!AC47</f>
        <v>62065365.546300672</v>
      </c>
      <c r="G45" s="5">
        <v>0</v>
      </c>
      <c r="H45" s="139">
        <f>'#2-Commodity'!AF41</f>
        <v>-6572007.7727174899</v>
      </c>
      <c r="I45" s="139">
        <f>'#2-Commodity'!AD41</f>
        <v>-64119742.324841842</v>
      </c>
      <c r="J45" s="139">
        <f t="shared" si="6"/>
        <v>-8626384.5512586609</v>
      </c>
      <c r="K45" s="5">
        <f t="shared" si="7"/>
        <v>4520961491.8645267</v>
      </c>
      <c r="L45" s="20"/>
      <c r="M45" s="52">
        <v>2061</v>
      </c>
      <c r="N45" s="53">
        <f t="shared" si="4"/>
        <v>4538214260.9670439</v>
      </c>
      <c r="O45" s="5">
        <f t="shared" si="5"/>
        <v>0</v>
      </c>
      <c r="P45" s="5">
        <f>'#2-Storage Value'!AB47</f>
        <v>65322265.695073321</v>
      </c>
      <c r="Q45" s="5">
        <v>0</v>
      </c>
      <c r="R45" s="55">
        <f t="shared" si="8"/>
        <v>-6572007.7727174899</v>
      </c>
      <c r="S45" s="55">
        <f>'#2-Commodity'!AD41</f>
        <v>-64119742.324841842</v>
      </c>
      <c r="T45" s="55">
        <f t="shared" si="9"/>
        <v>-5369484.4024860114</v>
      </c>
      <c r="U45" s="5">
        <f t="shared" si="10"/>
        <v>4527475292.1620722</v>
      </c>
      <c r="V45" s="20"/>
    </row>
    <row r="46" spans="3:22">
      <c r="C46" s="52">
        <v>2062</v>
      </c>
      <c r="D46" s="53">
        <f>'Option 1 Dawn Corunna'!D46</f>
        <v>4633516760.4473505</v>
      </c>
      <c r="E46" s="5">
        <v>0</v>
      </c>
      <c r="F46" s="5">
        <f>'#2-Storage Value'!AC48</f>
        <v>63368738.222772963</v>
      </c>
      <c r="G46" s="5">
        <v>0</v>
      </c>
      <c r="H46" s="139">
        <f>'#2-Commodity'!AF42</f>
        <v>-6710019.9359445563</v>
      </c>
      <c r="I46" s="139">
        <f>'#2-Commodity'!AD42</f>
        <v>-65466256.913663507</v>
      </c>
      <c r="J46" s="139">
        <f t="shared" si="6"/>
        <v>-8807538.6268351004</v>
      </c>
      <c r="K46" s="5">
        <f t="shared" si="7"/>
        <v>4615901683.1936798</v>
      </c>
      <c r="L46" s="20"/>
      <c r="M46" s="52">
        <v>2062</v>
      </c>
      <c r="N46" s="53">
        <f t="shared" si="4"/>
        <v>4633516760.4473505</v>
      </c>
      <c r="O46" s="5">
        <f t="shared" si="5"/>
        <v>0</v>
      </c>
      <c r="P46" s="5">
        <f>'#2-Storage Value'!AB48</f>
        <v>66694033.274669856</v>
      </c>
      <c r="Q46" s="5">
        <v>0</v>
      </c>
      <c r="R46" s="55">
        <f t="shared" si="8"/>
        <v>-6710019.9359445563</v>
      </c>
      <c r="S46" s="55">
        <f>'#2-Commodity'!AD42</f>
        <v>-65466256.913663507</v>
      </c>
      <c r="T46" s="55">
        <f t="shared" si="9"/>
        <v>-5482243.5749382079</v>
      </c>
      <c r="U46" s="5">
        <f t="shared" si="10"/>
        <v>4622552273.2974739</v>
      </c>
      <c r="V46" s="20"/>
    </row>
    <row r="47" spans="3:22">
      <c r="C47" s="52">
        <v>2063</v>
      </c>
      <c r="D47" s="53">
        <f>'Option 1 Dawn Corunna'!D47</f>
        <v>4730820612.4167452</v>
      </c>
      <c r="E47" s="5">
        <v>0</v>
      </c>
      <c r="F47" s="5">
        <f>'#2-Storage Value'!AC49</f>
        <v>64699481.725451194</v>
      </c>
      <c r="G47" s="5">
        <v>0</v>
      </c>
      <c r="H47" s="139">
        <f>'#2-Commodity'!AF43</f>
        <v>-6850930.354599392</v>
      </c>
      <c r="I47" s="139">
        <f>'#2-Commodity'!AD43</f>
        <v>-66841048.308850437</v>
      </c>
      <c r="J47" s="139">
        <f t="shared" si="6"/>
        <v>-8992496.9379986376</v>
      </c>
      <c r="K47" s="5">
        <f t="shared" si="7"/>
        <v>4712835618.5407486</v>
      </c>
      <c r="L47" s="20"/>
      <c r="M47" s="52">
        <v>2063</v>
      </c>
      <c r="N47" s="53">
        <f t="shared" si="4"/>
        <v>4730820612.4167452</v>
      </c>
      <c r="O47" s="5">
        <f t="shared" si="5"/>
        <v>0</v>
      </c>
      <c r="P47" s="5">
        <f>'#2-Storage Value'!AB49</f>
        <v>68094607.97343792</v>
      </c>
      <c r="Q47" s="5">
        <v>0</v>
      </c>
      <c r="R47" s="55">
        <f t="shared" si="8"/>
        <v>-6850930.354599392</v>
      </c>
      <c r="S47" s="55">
        <f>'#2-Commodity'!AD43</f>
        <v>-66841048.308850437</v>
      </c>
      <c r="T47" s="55">
        <f t="shared" si="9"/>
        <v>-5597370.6900119111</v>
      </c>
      <c r="U47" s="5">
        <f t="shared" si="10"/>
        <v>4719625871.0367222</v>
      </c>
      <c r="V47" s="20"/>
    </row>
    <row r="50" spans="2:22">
      <c r="C50" s="33" t="s">
        <v>52</v>
      </c>
      <c r="D50" s="33" t="s">
        <v>128</v>
      </c>
      <c r="E50" s="33" t="s">
        <v>198</v>
      </c>
      <c r="M50" s="33" t="s">
        <v>52</v>
      </c>
      <c r="N50" s="33" t="s">
        <v>128</v>
      </c>
      <c r="O50" s="33" t="s">
        <v>198</v>
      </c>
    </row>
    <row r="51" spans="2:22">
      <c r="B51">
        <v>1</v>
      </c>
      <c r="C51" s="52">
        <v>2024</v>
      </c>
      <c r="D51" s="117">
        <f>NPV(After_Tax_Cost_of_Capital,J$8:J8)</f>
        <v>830007.16229463648</v>
      </c>
      <c r="E51" s="118">
        <v>0</v>
      </c>
      <c r="L51">
        <v>1</v>
      </c>
      <c r="M51" s="52">
        <v>2024</v>
      </c>
      <c r="N51" s="117">
        <f>NPV(After_Tax_Cost_of_Capital,T$8:T8)</f>
        <v>-1658447.1824426302</v>
      </c>
      <c r="O51" s="118">
        <v>0</v>
      </c>
      <c r="V51">
        <v>1</v>
      </c>
    </row>
    <row r="52" spans="2:22">
      <c r="B52">
        <v>2</v>
      </c>
      <c r="C52" s="52">
        <v>2025</v>
      </c>
      <c r="D52" s="117">
        <f>NPV(After_Tax_Cost_of_Capital,J$8:J9)</f>
        <v>4600115.1196508706</v>
      </c>
      <c r="E52" s="118">
        <f>E51</f>
        <v>0</v>
      </c>
      <c r="L52">
        <v>2</v>
      </c>
      <c r="M52" s="52">
        <v>2025</v>
      </c>
      <c r="N52" s="117">
        <f>NPV(After_Tax_Cost_of_Capital,T$8:T9)</f>
        <v>-5047292.1818776671</v>
      </c>
      <c r="O52" s="118">
        <f>O51</f>
        <v>0</v>
      </c>
      <c r="V52">
        <v>2</v>
      </c>
    </row>
    <row r="53" spans="2:22">
      <c r="B53">
        <v>3</v>
      </c>
      <c r="C53" s="52">
        <v>2026</v>
      </c>
      <c r="D53" s="117">
        <f>NPV(After_Tax_Cost_of_Capital,J$8:J10)</f>
        <v>5769311.8765098387</v>
      </c>
      <c r="E53" s="118">
        <f t="shared" ref="E53:E90" si="11">E52</f>
        <v>0</v>
      </c>
      <c r="L53">
        <v>3</v>
      </c>
      <c r="M53" s="52">
        <v>2026</v>
      </c>
      <c r="N53" s="117">
        <f>NPV(After_Tax_Cost_of_Capital,T$8:T10)</f>
        <v>-4735823.7501674853</v>
      </c>
      <c r="O53" s="118">
        <f t="shared" ref="O53:O90" si="12">O52</f>
        <v>0</v>
      </c>
      <c r="V53">
        <v>3</v>
      </c>
    </row>
    <row r="54" spans="2:22">
      <c r="B54">
        <v>4</v>
      </c>
      <c r="C54" s="52">
        <v>2027</v>
      </c>
      <c r="D54" s="117">
        <f>NPV(After_Tax_Cost_of_Capital,J$8:J11)</f>
        <v>3178517.3772245236</v>
      </c>
      <c r="E54" s="118">
        <f t="shared" si="11"/>
        <v>0</v>
      </c>
      <c r="L54">
        <v>4</v>
      </c>
      <c r="M54" s="52">
        <v>2027</v>
      </c>
      <c r="N54" s="117">
        <f>NPV(After_Tax_Cost_of_Capital,T$8:T11)</f>
        <v>-4655778.8355617989</v>
      </c>
      <c r="O54" s="118">
        <f t="shared" si="12"/>
        <v>0</v>
      </c>
      <c r="V54">
        <v>4</v>
      </c>
    </row>
    <row r="55" spans="2:22">
      <c r="B55">
        <v>5</v>
      </c>
      <c r="C55" s="52">
        <v>2028</v>
      </c>
      <c r="D55" s="117">
        <f>NPV(After_Tax_Cost_of_Capital,J$8:J12)</f>
        <v>103130.20363476193</v>
      </c>
      <c r="E55" s="118">
        <f t="shared" si="11"/>
        <v>0</v>
      </c>
      <c r="L55">
        <v>5</v>
      </c>
      <c r="M55" s="52">
        <v>2028</v>
      </c>
      <c r="N55" s="117">
        <f>NPV(After_Tax_Cost_of_Capital,T$8:T12)</f>
        <v>-4908411.607493653</v>
      </c>
      <c r="O55" s="118">
        <f t="shared" si="12"/>
        <v>0</v>
      </c>
      <c r="V55">
        <v>5</v>
      </c>
    </row>
    <row r="56" spans="2:22">
      <c r="B56">
        <v>6</v>
      </c>
      <c r="C56" s="52">
        <v>2029</v>
      </c>
      <c r="D56" s="117">
        <f>NPV(After_Tax_Cost_of_Capital,J$8:J13)</f>
        <v>-3404544.5987758688</v>
      </c>
      <c r="E56" s="118">
        <f t="shared" si="11"/>
        <v>0</v>
      </c>
      <c r="L56">
        <v>6</v>
      </c>
      <c r="M56" s="52">
        <v>2029</v>
      </c>
      <c r="N56" s="117">
        <f>NPV(After_Tax_Cost_of_Capital,T$8:T13)</f>
        <v>-5232917.2784115346</v>
      </c>
      <c r="O56" s="118">
        <f t="shared" si="12"/>
        <v>0</v>
      </c>
      <c r="V56">
        <v>6</v>
      </c>
    </row>
    <row r="57" spans="2:22">
      <c r="B57">
        <v>7</v>
      </c>
      <c r="C57" s="52">
        <v>2030</v>
      </c>
      <c r="D57" s="117">
        <f>NPV(After_Tax_Cost_of_Capital,J$8:J14)</f>
        <v>-5051232.0289295781</v>
      </c>
      <c r="E57" s="118">
        <f t="shared" si="11"/>
        <v>0</v>
      </c>
      <c r="L57">
        <v>7</v>
      </c>
      <c r="M57" s="52">
        <v>2030</v>
      </c>
      <c r="N57" s="117">
        <f>NPV(After_Tax_Cost_of_Capital,T$8:T14)</f>
        <v>-3393202.7066826434</v>
      </c>
      <c r="O57" s="118">
        <f t="shared" si="12"/>
        <v>0</v>
      </c>
      <c r="V57">
        <v>7</v>
      </c>
    </row>
    <row r="58" spans="2:22">
      <c r="B58">
        <v>8</v>
      </c>
      <c r="C58" s="52">
        <v>2031</v>
      </c>
      <c r="D58" s="117">
        <f>NPV(After_Tax_Cost_of_Capital,J$8:J15)</f>
        <v>-9807579.0510360859</v>
      </c>
      <c r="E58" s="118">
        <f t="shared" si="11"/>
        <v>0</v>
      </c>
      <c r="L58">
        <v>8</v>
      </c>
      <c r="M58" s="52">
        <v>2031</v>
      </c>
      <c r="N58" s="117">
        <f>NPV(After_Tax_Cost_of_Capital,T$8:T15)</f>
        <v>-4340005.9294387391</v>
      </c>
      <c r="O58" s="118">
        <f t="shared" si="12"/>
        <v>0</v>
      </c>
      <c r="V58">
        <v>8</v>
      </c>
    </row>
    <row r="59" spans="2:22">
      <c r="B59">
        <v>9</v>
      </c>
      <c r="C59" s="52">
        <v>2032</v>
      </c>
      <c r="D59" s="117">
        <f>NPV(After_Tax_Cost_of_Capital,J$8:J16)</f>
        <v>-12521639.518063344</v>
      </c>
      <c r="E59" s="118">
        <f t="shared" si="11"/>
        <v>0</v>
      </c>
      <c r="L59">
        <v>9</v>
      </c>
      <c r="M59" s="52">
        <v>2032</v>
      </c>
      <c r="N59" s="117">
        <f>NPV(After_Tax_Cost_of_Capital,T$8:T16)</f>
        <v>-4270361.1697538802</v>
      </c>
      <c r="O59" s="118">
        <f t="shared" si="12"/>
        <v>0</v>
      </c>
      <c r="V59">
        <v>9</v>
      </c>
    </row>
    <row r="60" spans="2:22">
      <c r="B60">
        <v>10</v>
      </c>
      <c r="C60" s="52">
        <v>2033</v>
      </c>
      <c r="D60" s="117">
        <f>NPV(After_Tax_Cost_of_Capital,J$8:J17)</f>
        <v>-15875944.734972626</v>
      </c>
      <c r="E60" s="118">
        <f t="shared" si="11"/>
        <v>0</v>
      </c>
      <c r="L60">
        <v>10</v>
      </c>
      <c r="M60" s="52">
        <v>2033</v>
      </c>
      <c r="N60" s="117">
        <f>NPV(After_Tax_Cost_of_Capital,T$8:T17)</f>
        <v>-4197819.1262939777</v>
      </c>
      <c r="O60" s="118">
        <f t="shared" si="12"/>
        <v>0</v>
      </c>
      <c r="V60">
        <v>10</v>
      </c>
    </row>
    <row r="61" spans="2:22">
      <c r="B61">
        <v>11</v>
      </c>
      <c r="C61" s="52">
        <v>2034</v>
      </c>
      <c r="D61" s="117">
        <f>NPV(After_Tax_Cost_of_Capital,J$8:J18)</f>
        <v>-19709979.843891352</v>
      </c>
      <c r="E61" s="118">
        <f t="shared" si="11"/>
        <v>0</v>
      </c>
      <c r="L61">
        <v>11</v>
      </c>
      <c r="M61" s="52">
        <v>2034</v>
      </c>
      <c r="N61" s="117">
        <f>NPV(After_Tax_Cost_of_Capital,T$8:T18)</f>
        <v>-5129013.3811945915</v>
      </c>
      <c r="O61" s="118">
        <f t="shared" si="12"/>
        <v>0</v>
      </c>
      <c r="V61">
        <v>11</v>
      </c>
    </row>
    <row r="62" spans="2:22">
      <c r="B62">
        <v>12</v>
      </c>
      <c r="C62" s="52">
        <v>2035</v>
      </c>
      <c r="D62" s="117">
        <f>NPV(After_Tax_Cost_of_Capital,J$8:J19)</f>
        <v>-22532014.320526864</v>
      </c>
      <c r="E62" s="118">
        <f t="shared" si="11"/>
        <v>0</v>
      </c>
      <c r="L62">
        <v>12</v>
      </c>
      <c r="M62" s="52">
        <v>2035</v>
      </c>
      <c r="N62" s="117">
        <f>NPV(After_Tax_Cost_of_Capital,T$8:T19)</f>
        <v>-6311464.4184599416</v>
      </c>
      <c r="O62" s="118">
        <f t="shared" si="12"/>
        <v>0</v>
      </c>
      <c r="V62">
        <v>12</v>
      </c>
    </row>
    <row r="63" spans="2:22">
      <c r="B63">
        <v>13</v>
      </c>
      <c r="C63" s="52">
        <v>2036</v>
      </c>
      <c r="D63" s="117">
        <f>NPV(After_Tax_Cost_of_Capital,J$8:J20)</f>
        <v>-25280083.094636835</v>
      </c>
      <c r="E63" s="118">
        <f t="shared" si="11"/>
        <v>0</v>
      </c>
      <c r="L63">
        <v>13</v>
      </c>
      <c r="M63" s="52">
        <v>2036</v>
      </c>
      <c r="N63" s="117">
        <f>NPV(After_Tax_Cost_of_Capital,T$8:T20)</f>
        <v>-8021997.0676668873</v>
      </c>
      <c r="O63" s="118">
        <f t="shared" si="12"/>
        <v>0</v>
      </c>
      <c r="V63">
        <v>13</v>
      </c>
    </row>
    <row r="64" spans="2:22">
      <c r="B64">
        <v>14</v>
      </c>
      <c r="C64" s="52">
        <v>2037</v>
      </c>
      <c r="D64" s="117">
        <f>NPV(After_Tax_Cost_of_Capital,J$8:J21)</f>
        <v>-27954290.317631774</v>
      </c>
      <c r="E64" s="118">
        <f t="shared" si="11"/>
        <v>0</v>
      </c>
      <c r="L64">
        <v>14</v>
      </c>
      <c r="M64" s="52">
        <v>2037</v>
      </c>
      <c r="N64" s="117">
        <f>NPV(After_Tax_Cost_of_Capital,T$8:T21)</f>
        <v>-9686554.6685440298</v>
      </c>
      <c r="O64" s="118">
        <f t="shared" si="12"/>
        <v>0</v>
      </c>
      <c r="V64">
        <v>14</v>
      </c>
    </row>
    <row r="65" spans="2:22">
      <c r="B65">
        <v>15</v>
      </c>
      <c r="C65" s="52">
        <v>2038</v>
      </c>
      <c r="D65" s="117">
        <f>NPV(After_Tax_Cost_of_Capital,J$8:J22)</f>
        <v>-30556621.212292299</v>
      </c>
      <c r="E65" s="118">
        <f t="shared" si="11"/>
        <v>0</v>
      </c>
      <c r="L65">
        <v>15</v>
      </c>
      <c r="M65" s="52">
        <v>2038</v>
      </c>
      <c r="N65" s="117">
        <f>NPV(After_Tax_Cost_of_Capital,T$8:T22)</f>
        <v>-11306372.921017874</v>
      </c>
      <c r="O65" s="118">
        <f t="shared" si="12"/>
        <v>0</v>
      </c>
      <c r="V65">
        <v>15</v>
      </c>
    </row>
    <row r="66" spans="2:22">
      <c r="B66">
        <v>16</v>
      </c>
      <c r="C66" s="52">
        <v>2039</v>
      </c>
      <c r="D66" s="117">
        <f>NPV(After_Tax_Cost_of_Capital,J$8:J23)</f>
        <v>-33089007.643333472</v>
      </c>
      <c r="E66" s="118">
        <f t="shared" si="11"/>
        <v>0</v>
      </c>
      <c r="L66">
        <v>16</v>
      </c>
      <c r="M66" s="52">
        <v>2039</v>
      </c>
      <c r="N66" s="117">
        <f>NPV(After_Tax_Cost_of_Capital,T$8:T23)</f>
        <v>-12882654.312340593</v>
      </c>
      <c r="O66" s="118">
        <f t="shared" si="12"/>
        <v>0</v>
      </c>
      <c r="V66">
        <v>16</v>
      </c>
    </row>
    <row r="67" spans="2:22">
      <c r="B67">
        <v>17</v>
      </c>
      <c r="C67" s="52">
        <v>2040</v>
      </c>
      <c r="D67" s="117">
        <f>NPV(After_Tax_Cost_of_Capital,J$8:J24)</f>
        <v>-32110789.056975659</v>
      </c>
      <c r="E67" s="118">
        <f t="shared" si="11"/>
        <v>0</v>
      </c>
      <c r="L67">
        <v>17</v>
      </c>
      <c r="M67" s="52">
        <v>2040</v>
      </c>
      <c r="N67" s="117">
        <f>NPV(After_Tax_Cost_of_Capital,T$8:T24)</f>
        <v>-10974028.515200704</v>
      </c>
      <c r="O67" s="118">
        <f t="shared" si="12"/>
        <v>0</v>
      </c>
      <c r="V67">
        <v>17</v>
      </c>
    </row>
    <row r="68" spans="2:22">
      <c r="B68">
        <v>18</v>
      </c>
      <c r="C68" s="52">
        <v>2041</v>
      </c>
      <c r="D68" s="117">
        <f>NPV(After_Tax_Cost_of_Capital,J$8:J25)</f>
        <v>-34508875.854804039</v>
      </c>
      <c r="E68" s="118">
        <f t="shared" si="11"/>
        <v>0</v>
      </c>
      <c r="L68">
        <v>18</v>
      </c>
      <c r="M68" s="52">
        <v>2041</v>
      </c>
      <c r="N68" s="117">
        <f>NPV(After_Tax_Cost_of_Capital,T$8:T25)</f>
        <v>-12466715.23467559</v>
      </c>
      <c r="O68" s="118">
        <f t="shared" si="12"/>
        <v>0</v>
      </c>
      <c r="V68">
        <v>18</v>
      </c>
    </row>
    <row r="69" spans="2:22">
      <c r="B69">
        <v>19</v>
      </c>
      <c r="C69" s="52">
        <v>2042</v>
      </c>
      <c r="D69" s="117">
        <f>NPV(After_Tax_Cost_of_Capital,J$8:J26)</f>
        <v>-36842507.784448326</v>
      </c>
      <c r="E69" s="118">
        <f t="shared" si="11"/>
        <v>0</v>
      </c>
      <c r="L69">
        <v>19</v>
      </c>
      <c r="M69" s="52">
        <v>2042</v>
      </c>
      <c r="N69" s="117">
        <f>NPV(After_Tax_Cost_of_Capital,T$8:T26)</f>
        <v>-13919282.086166115</v>
      </c>
      <c r="O69" s="118">
        <f t="shared" si="12"/>
        <v>0</v>
      </c>
      <c r="V69">
        <v>19</v>
      </c>
    </row>
    <row r="70" spans="2:22">
      <c r="B70">
        <v>20</v>
      </c>
      <c r="C70" s="52">
        <v>2043</v>
      </c>
      <c r="D70" s="117">
        <f>NPV(After_Tax_Cost_of_Capital,J$8:J27)</f>
        <v>-39113417.239430033</v>
      </c>
      <c r="E70" s="118">
        <f t="shared" si="11"/>
        <v>0</v>
      </c>
      <c r="L70">
        <v>20</v>
      </c>
      <c r="M70" s="52">
        <v>2043</v>
      </c>
      <c r="N70" s="117">
        <f>NPV(After_Tax_Cost_of_Capital,T$8:T27)</f>
        <v>-15332807.396280318</v>
      </c>
      <c r="O70" s="118">
        <f t="shared" si="12"/>
        <v>0</v>
      </c>
      <c r="V70">
        <v>20</v>
      </c>
    </row>
    <row r="71" spans="2:22">
      <c r="B71">
        <v>21</v>
      </c>
      <c r="C71" s="52">
        <v>2044</v>
      </c>
      <c r="D71" s="117">
        <f>NPV(After_Tax_Cost_of_Capital,J$8:J28)</f>
        <v>-37547756.619400762</v>
      </c>
      <c r="E71" s="118">
        <f t="shared" si="11"/>
        <v>0</v>
      </c>
      <c r="L71">
        <v>21</v>
      </c>
      <c r="M71" s="52">
        <v>2044</v>
      </c>
      <c r="N71" s="117">
        <f>NPV(After_Tax_Cost_of_Capital,T$8:T28)</f>
        <v>-12932807.077518951</v>
      </c>
      <c r="O71" s="118">
        <f t="shared" si="12"/>
        <v>0</v>
      </c>
      <c r="V71">
        <v>21</v>
      </c>
    </row>
    <row r="72" spans="2:22">
      <c r="B72">
        <v>22</v>
      </c>
      <c r="C72" s="52">
        <v>2045</v>
      </c>
      <c r="D72" s="117">
        <f>NPV(After_Tax_Cost_of_Capital,J$8:J29)</f>
        <v>-39698233.306648009</v>
      </c>
      <c r="E72" s="118">
        <f t="shared" si="11"/>
        <v>0</v>
      </c>
      <c r="L72">
        <v>22</v>
      </c>
      <c r="M72" s="52">
        <v>2045</v>
      </c>
      <c r="N72" s="117">
        <f>NPV(After_Tax_Cost_of_Capital,T$8:T29)</f>
        <v>-14271369.132279083</v>
      </c>
      <c r="O72" s="118">
        <f t="shared" si="12"/>
        <v>0</v>
      </c>
      <c r="V72">
        <v>22</v>
      </c>
    </row>
    <row r="73" spans="2:22">
      <c r="B73">
        <v>23</v>
      </c>
      <c r="C73" s="52">
        <v>2046</v>
      </c>
      <c r="D73" s="117">
        <f>NPV(After_Tax_Cost_of_Capital,J$8:J30)</f>
        <v>-41790910.296430163</v>
      </c>
      <c r="E73" s="118">
        <f t="shared" si="11"/>
        <v>0</v>
      </c>
      <c r="L73">
        <v>23</v>
      </c>
      <c r="M73" s="52">
        <v>2046</v>
      </c>
      <c r="N73" s="117">
        <f>NPV(After_Tax_Cost_of_Capital,T$8:T30)</f>
        <v>-15573953.823386684</v>
      </c>
      <c r="O73" s="118">
        <f t="shared" si="12"/>
        <v>0</v>
      </c>
      <c r="V73">
        <v>23</v>
      </c>
    </row>
    <row r="74" spans="2:22">
      <c r="B74">
        <v>24</v>
      </c>
      <c r="C74" s="52">
        <v>2047</v>
      </c>
      <c r="D74" s="117">
        <f>NPV(After_Tax_Cost_of_Capital,J$8:J31)</f>
        <v>-43827341.107112184</v>
      </c>
      <c r="E74" s="118">
        <f t="shared" si="11"/>
        <v>0</v>
      </c>
      <c r="L74">
        <v>24</v>
      </c>
      <c r="M74" s="52">
        <v>2047</v>
      </c>
      <c r="N74" s="117">
        <f>NPV(After_Tax_Cost_of_Capital,T$8:T31)</f>
        <v>-16841528.136788189</v>
      </c>
      <c r="O74" s="118">
        <f t="shared" si="12"/>
        <v>0</v>
      </c>
      <c r="V74">
        <v>24</v>
      </c>
    </row>
    <row r="75" spans="2:22">
      <c r="B75">
        <v>25</v>
      </c>
      <c r="C75" s="52">
        <v>2048</v>
      </c>
      <c r="D75" s="117">
        <f>NPV(After_Tax_Cost_of_Capital,J$8:J32)</f>
        <v>-45809037.502181143</v>
      </c>
      <c r="E75" s="118">
        <f t="shared" si="11"/>
        <v>0</v>
      </c>
      <c r="L75">
        <v>25</v>
      </c>
      <c r="M75" s="52">
        <v>2048</v>
      </c>
      <c r="N75" s="117">
        <f>NPV(After_Tax_Cost_of_Capital,T$8:T32)</f>
        <v>-18075033.068148218</v>
      </c>
      <c r="O75" s="118">
        <f t="shared" si="12"/>
        <v>0</v>
      </c>
      <c r="V75">
        <v>25</v>
      </c>
    </row>
    <row r="76" spans="2:22">
      <c r="B76">
        <v>26</v>
      </c>
      <c r="C76" s="52">
        <v>2049</v>
      </c>
      <c r="D76" s="117">
        <f>NPV(After_Tax_Cost_of_Capital,J$8:J33)</f>
        <v>-47737470.612517968</v>
      </c>
      <c r="E76" s="118">
        <f t="shared" si="11"/>
        <v>0</v>
      </c>
      <c r="L76">
        <v>26</v>
      </c>
      <c r="M76" s="52">
        <v>2049</v>
      </c>
      <c r="N76" s="117">
        <f>NPV(After_Tax_Cost_of_Capital,T$8:T33)</f>
        <v>-19275384.321406499</v>
      </c>
      <c r="O76" s="118">
        <f t="shared" si="12"/>
        <v>0</v>
      </c>
      <c r="V76">
        <v>26</v>
      </c>
    </row>
    <row r="77" spans="2:22">
      <c r="B77">
        <v>27</v>
      </c>
      <c r="C77" s="52">
        <v>2050</v>
      </c>
      <c r="D77" s="117">
        <f>NPV(After_Tax_Cost_of_Capital,J$8:J34)</f>
        <v>-49614072.028505296</v>
      </c>
      <c r="E77" s="118">
        <f t="shared" si="11"/>
        <v>0</v>
      </c>
      <c r="L77">
        <v>27</v>
      </c>
      <c r="M77" s="52">
        <v>2050</v>
      </c>
      <c r="N77" s="117">
        <f>NPV(After_Tax_Cost_of_Capital,T$8:T34)</f>
        <v>-20443472.988559283</v>
      </c>
      <c r="O77" s="118">
        <f t="shared" si="12"/>
        <v>0</v>
      </c>
      <c r="V77">
        <v>27</v>
      </c>
    </row>
    <row r="78" spans="2:22">
      <c r="B78">
        <v>28</v>
      </c>
      <c r="C78" s="52">
        <v>2051</v>
      </c>
      <c r="D78" s="117">
        <f>NPV(After_Tax_Cost_of_Capital,J$8:J35)</f>
        <v>-51440234.862781949</v>
      </c>
      <c r="E78" s="118">
        <f t="shared" si="11"/>
        <v>0</v>
      </c>
      <c r="L78">
        <v>28</v>
      </c>
      <c r="M78" s="52">
        <v>2051</v>
      </c>
      <c r="N78" s="117">
        <f>NPV(After_Tax_Cost_of_Capital,T$8:T35)</f>
        <v>-21580166.211169835</v>
      </c>
      <c r="O78" s="118">
        <f t="shared" si="12"/>
        <v>0</v>
      </c>
      <c r="V78">
        <v>28</v>
      </c>
    </row>
    <row r="79" spans="2:22">
      <c r="B79">
        <v>29</v>
      </c>
      <c r="C79" s="52">
        <v>2052</v>
      </c>
      <c r="D79" s="117">
        <f>NPV(After_Tax_Cost_of_Capital,J$8:J36)</f>
        <v>-53217314.784433164</v>
      </c>
      <c r="E79" s="118">
        <f t="shared" si="11"/>
        <v>0</v>
      </c>
      <c r="L79">
        <v>29</v>
      </c>
      <c r="M79" s="52">
        <v>2052</v>
      </c>
      <c r="N79" s="117">
        <f>NPV(After_Tax_Cost_of_Capital,T$8:T36)</f>
        <v>-22686307.824099094</v>
      </c>
      <c r="O79" s="118">
        <f t="shared" si="12"/>
        <v>0</v>
      </c>
      <c r="V79">
        <v>29</v>
      </c>
    </row>
    <row r="80" spans="2:22">
      <c r="B80">
        <v>30</v>
      </c>
      <c r="C80" s="52">
        <v>2053</v>
      </c>
      <c r="D80" s="117">
        <f>NPV(After_Tax_Cost_of_Capital,J$8:J37)</f>
        <v>-54946631.025384262</v>
      </c>
      <c r="E80" s="118">
        <f t="shared" si="11"/>
        <v>0</v>
      </c>
      <c r="L80">
        <v>30</v>
      </c>
      <c r="M80" s="52">
        <v>2053</v>
      </c>
      <c r="N80" s="117">
        <f>NPV(After_Tax_Cost_of_Capital,T$8:T37)</f>
        <v>-23762718.981934369</v>
      </c>
      <c r="O80" s="118">
        <f t="shared" si="12"/>
        <v>0</v>
      </c>
      <c r="V80">
        <v>30</v>
      </c>
    </row>
    <row r="81" spans="2:22">
      <c r="B81">
        <v>31</v>
      </c>
      <c r="C81" s="52">
        <v>2054</v>
      </c>
      <c r="D81" s="117">
        <f>NPV(After_Tax_Cost_of_Capital,J$8:J38)</f>
        <v>-56629467.359744795</v>
      </c>
      <c r="E81" s="118">
        <f t="shared" si="11"/>
        <v>0</v>
      </c>
      <c r="L81">
        <v>31</v>
      </c>
      <c r="M81" s="52">
        <v>2054</v>
      </c>
      <c r="N81" s="117">
        <f>NPV(After_Tax_Cost_of_Capital,T$8:T38)</f>
        <v>-24810198.768581159</v>
      </c>
      <c r="O81" s="118">
        <f t="shared" si="12"/>
        <v>0</v>
      </c>
      <c r="V81">
        <v>31</v>
      </c>
    </row>
    <row r="82" spans="2:22">
      <c r="B82">
        <v>32</v>
      </c>
      <c r="C82" s="52">
        <v>2055</v>
      </c>
      <c r="D82" s="117">
        <f>NPV(After_Tax_Cost_of_Capital,J$8:J39)</f>
        <v>-58267073.056830294</v>
      </c>
      <c r="E82" s="118">
        <f t="shared" si="11"/>
        <v>0</v>
      </c>
      <c r="L82">
        <v>32</v>
      </c>
      <c r="M82" s="52">
        <v>2055</v>
      </c>
      <c r="N82" s="117">
        <f>NPV(After_Tax_Cost_of_Capital,T$8:T39)</f>
        <v>-25829524.790470578</v>
      </c>
      <c r="O82" s="118">
        <f t="shared" si="12"/>
        <v>0</v>
      </c>
      <c r="V82">
        <v>32</v>
      </c>
    </row>
    <row r="83" spans="2:22">
      <c r="B83">
        <v>33</v>
      </c>
      <c r="C83" s="52">
        <v>2056</v>
      </c>
      <c r="D83" s="117">
        <f>NPV(After_Tax_Cost_of_Capital,J$8:J40)</f>
        <v>-59860663.808569044</v>
      </c>
      <c r="E83" s="118">
        <f t="shared" si="11"/>
        <v>0</v>
      </c>
      <c r="L83">
        <v>33</v>
      </c>
      <c r="M83" s="52">
        <v>2056</v>
      </c>
      <c r="N83" s="117">
        <f>NPV(After_Tax_Cost_of_Capital,T$8:T40)</f>
        <v>-26821453.753822748</v>
      </c>
      <c r="O83" s="118">
        <f t="shared" si="12"/>
        <v>0</v>
      </c>
      <c r="V83">
        <v>33</v>
      </c>
    </row>
    <row r="84" spans="2:22">
      <c r="B84">
        <v>34</v>
      </c>
      <c r="C84" s="52">
        <v>2057</v>
      </c>
      <c r="D84" s="117">
        <f>NPV(After_Tax_Cost_of_Capital,J$8:J41)</f>
        <v>-61411422.631982364</v>
      </c>
      <c r="E84" s="118">
        <f t="shared" si="11"/>
        <v>0</v>
      </c>
      <c r="L84">
        <v>34</v>
      </c>
      <c r="M84" s="52">
        <v>2057</v>
      </c>
      <c r="N84" s="117">
        <f>NPV(After_Tax_Cost_of_Capital,T$8:T41)</f>
        <v>-27786722.026394766</v>
      </c>
      <c r="O84" s="118">
        <f t="shared" si="12"/>
        <v>0</v>
      </c>
      <c r="V84">
        <v>34</v>
      </c>
    </row>
    <row r="85" spans="2:22">
      <c r="B85">
        <v>35</v>
      </c>
      <c r="C85" s="52">
        <v>2058</v>
      </c>
      <c r="D85" s="117">
        <f>NPV(After_Tax_Cost_of_Capital,J$8:J42)</f>
        <v>-62920500.747408405</v>
      </c>
      <c r="E85" s="118">
        <f t="shared" si="11"/>
        <v>0</v>
      </c>
      <c r="L85">
        <v>35</v>
      </c>
      <c r="M85" s="52">
        <v>2058</v>
      </c>
      <c r="N85" s="117">
        <f>NPV(After_Tax_Cost_of_Capital,T$8:T42)</f>
        <v>-28726046.18413021</v>
      </c>
      <c r="O85" s="118">
        <f t="shared" si="12"/>
        <v>0</v>
      </c>
      <c r="V85">
        <v>35</v>
      </c>
    </row>
    <row r="86" spans="2:22">
      <c r="B86">
        <v>36</v>
      </c>
      <c r="C86" s="52">
        <v>2059</v>
      </c>
      <c r="D86" s="117">
        <f>NPV(After_Tax_Cost_of_Capital,J$8:J43)</f>
        <v>-64389018.433121324</v>
      </c>
      <c r="E86" s="118">
        <f t="shared" si="11"/>
        <v>0</v>
      </c>
      <c r="L86">
        <v>36</v>
      </c>
      <c r="M86" s="52">
        <v>2059</v>
      </c>
      <c r="N86" s="117">
        <f>NPV(After_Tax_Cost_of_Capital,T$8:T43)</f>
        <v>-29640123.543116003</v>
      </c>
      <c r="O86" s="118">
        <f t="shared" si="12"/>
        <v>0</v>
      </c>
      <c r="V86">
        <v>36</v>
      </c>
    </row>
    <row r="87" spans="2:22">
      <c r="B87">
        <v>37</v>
      </c>
      <c r="C87" s="52">
        <v>2060</v>
      </c>
      <c r="D87" s="117">
        <f>NPV(After_Tax_Cost_of_Capital,J$8:J44)</f>
        <v>-65818065.856980354</v>
      </c>
      <c r="E87" s="118">
        <f t="shared" si="11"/>
        <v>0</v>
      </c>
      <c r="L87">
        <v>37</v>
      </c>
      <c r="M87" s="52">
        <v>2060</v>
      </c>
      <c r="N87" s="117">
        <f>NPV(After_Tax_Cost_of_Capital,T$8:T44)</f>
        <v>-30529632.677241523</v>
      </c>
      <c r="O87" s="118">
        <f t="shared" si="12"/>
        <v>0</v>
      </c>
      <c r="V87">
        <v>37</v>
      </c>
    </row>
    <row r="88" spans="2:22">
      <c r="B88">
        <v>38</v>
      </c>
      <c r="C88" s="52">
        <v>2061</v>
      </c>
      <c r="D88" s="117">
        <f>NPV(After_Tax_Cost_of_Capital,J$8:J45)</f>
        <v>-67208703.885726124</v>
      </c>
      <c r="E88" s="118">
        <f t="shared" si="11"/>
        <v>0</v>
      </c>
      <c r="L88">
        <v>38</v>
      </c>
      <c r="M88" s="52">
        <v>2061</v>
      </c>
      <c r="N88" s="117">
        <f>NPV(After_Tax_Cost_of_Capital,T$8:T45)</f>
        <v>-31395233.921944298</v>
      </c>
      <c r="O88" s="118">
        <f t="shared" si="12"/>
        <v>0</v>
      </c>
      <c r="V88">
        <v>38</v>
      </c>
    </row>
    <row r="89" spans="2:22">
      <c r="B89">
        <v>39</v>
      </c>
      <c r="C89" s="52">
        <v>2062</v>
      </c>
      <c r="D89" s="117">
        <f>NPV(After_Tax_Cost_of_Capital,J$8:J46)</f>
        <v>-68561964.872525051</v>
      </c>
      <c r="E89" s="118">
        <f t="shared" si="11"/>
        <v>0</v>
      </c>
      <c r="L89">
        <v>39</v>
      </c>
      <c r="M89" s="52">
        <v>2062</v>
      </c>
      <c r="N89" s="117">
        <f>NPV(After_Tax_Cost_of_Capital,T$8:T46)</f>
        <v>-32237569.864416216</v>
      </c>
      <c r="O89" s="118">
        <f t="shared" si="12"/>
        <v>0</v>
      </c>
      <c r="V89">
        <v>39</v>
      </c>
    </row>
    <row r="90" spans="2:22">
      <c r="B90">
        <v>40</v>
      </c>
      <c r="C90" s="52">
        <v>2063</v>
      </c>
      <c r="D90" s="117">
        <f>NPV(After_Tax_Cost_of_Capital,J$8:J47)</f>
        <v>-69878853.423346341</v>
      </c>
      <c r="E90" s="118">
        <f t="shared" si="11"/>
        <v>0</v>
      </c>
      <c r="L90">
        <v>40</v>
      </c>
      <c r="M90" s="52">
        <v>2063</v>
      </c>
      <c r="N90" s="117">
        <f>NPV(After_Tax_Cost_of_Capital,T$8:T47)</f>
        <v>-33057265.820634119</v>
      </c>
      <c r="O90" s="118">
        <f t="shared" si="12"/>
        <v>0</v>
      </c>
      <c r="V90">
        <v>40</v>
      </c>
    </row>
  </sheetData>
  <mergeCells count="4">
    <mergeCell ref="C4:J4"/>
    <mergeCell ref="M4:T4"/>
    <mergeCell ref="C7:J7"/>
    <mergeCell ref="M7:T7"/>
  </mergeCells>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A9ABB-B79D-4A2C-9AA8-5F6A4BB2D212}">
  <dimension ref="B2:AC49"/>
  <sheetViews>
    <sheetView showGridLines="0" zoomScale="82" zoomScaleNormal="82" workbookViewId="0">
      <selection activeCell="E32" sqref="E32"/>
    </sheetView>
  </sheetViews>
  <sheetFormatPr defaultRowHeight="15"/>
  <cols>
    <col min="2" max="2" width="20.7109375" bestFit="1" customWidth="1"/>
    <col min="3" max="3" width="20.5703125" customWidth="1"/>
    <col min="4" max="5" width="15.5703125" customWidth="1"/>
    <col min="6" max="6" width="18.140625" bestFit="1" customWidth="1"/>
    <col min="7" max="7" width="20.7109375" customWidth="1"/>
    <col min="8" max="10" width="13.28515625" customWidth="1"/>
    <col min="11" max="11" width="15.5703125" customWidth="1"/>
    <col min="12" max="12" width="16.42578125" customWidth="1"/>
    <col min="13" max="14" width="14.28515625" customWidth="1"/>
    <col min="16" max="16" width="16.7109375" customWidth="1"/>
    <col min="18" max="19" width="17" customWidth="1"/>
    <col min="21" max="22" width="20.5703125" customWidth="1"/>
    <col min="26" max="27" width="14" customWidth="1"/>
    <col min="28" max="28" width="16.7109375" bestFit="1" customWidth="1"/>
    <col min="29" max="29" width="17.7109375" bestFit="1" customWidth="1"/>
    <col min="31" max="31" width="14.42578125" customWidth="1"/>
  </cols>
  <sheetData>
    <row r="2" spans="2:29">
      <c r="B2" t="s">
        <v>208</v>
      </c>
      <c r="C2" t="s">
        <v>207</v>
      </c>
      <c r="D2" s="3" t="s">
        <v>124</v>
      </c>
      <c r="E2" s="3" t="s">
        <v>125</v>
      </c>
      <c r="F2" s="143" t="s">
        <v>209</v>
      </c>
      <c r="G2" s="3" t="s">
        <v>210</v>
      </c>
      <c r="H2" s="3"/>
      <c r="I2" s="3"/>
      <c r="J2" s="3"/>
      <c r="L2" s="3" t="s">
        <v>124</v>
      </c>
      <c r="M2" s="3" t="s">
        <v>125</v>
      </c>
    </row>
    <row r="3" spans="2:29">
      <c r="B3" t="s">
        <v>126</v>
      </c>
      <c r="C3" s="35">
        <v>1.9054325955734405E-2</v>
      </c>
      <c r="D3" s="7">
        <v>1894</v>
      </c>
      <c r="E3" s="7">
        <v>99400</v>
      </c>
      <c r="F3" s="36">
        <v>19551.280883643005</v>
      </c>
      <c r="G3" s="36">
        <v>18421.611837707282</v>
      </c>
      <c r="H3" s="36"/>
      <c r="I3" s="36"/>
      <c r="J3" s="36"/>
      <c r="L3" s="37">
        <f>F3/SUM(F3:J3)</f>
        <v>0.51487467723654035</v>
      </c>
      <c r="M3" s="37">
        <f>1-L3</f>
        <v>0.48512532276345965</v>
      </c>
      <c r="N3" s="6"/>
      <c r="O3" s="6"/>
      <c r="Q3" s="24"/>
      <c r="R3" s="24"/>
    </row>
    <row r="4" spans="2:29">
      <c r="B4" t="s">
        <v>127</v>
      </c>
      <c r="C4" s="35">
        <v>1.5270196451891855E-2</v>
      </c>
      <c r="D4" s="7">
        <v>1228</v>
      </c>
      <c r="E4" s="7">
        <v>84673.058234029304</v>
      </c>
      <c r="F4" s="36"/>
      <c r="G4" s="36"/>
      <c r="H4" s="36"/>
      <c r="I4" s="36"/>
      <c r="J4" s="36"/>
      <c r="K4" s="36"/>
      <c r="L4" s="36"/>
      <c r="M4" s="36"/>
      <c r="N4" s="6"/>
      <c r="O4" s="6"/>
      <c r="Q4" s="24"/>
      <c r="R4" s="24"/>
      <c r="AB4" s="43" t="s">
        <v>128</v>
      </c>
      <c r="AC4" s="43" t="s">
        <v>128</v>
      </c>
    </row>
    <row r="5" spans="2:29">
      <c r="B5" t="s">
        <v>129</v>
      </c>
      <c r="C5" s="35">
        <v>4.4755780035404785E-2</v>
      </c>
      <c r="D5" s="7">
        <v>666</v>
      </c>
      <c r="E5" s="7">
        <v>14726.941765970696</v>
      </c>
      <c r="F5" s="36"/>
      <c r="G5" s="36"/>
      <c r="H5" s="36"/>
      <c r="I5" s="36"/>
      <c r="J5" s="36"/>
      <c r="K5" s="36"/>
      <c r="N5" s="6"/>
      <c r="O5" s="6"/>
      <c r="Q5" s="24"/>
      <c r="R5" s="24"/>
      <c r="AB5" s="44">
        <f>NPV(After_Tax_Cost_of_Capital,AB10:AB49)</f>
        <v>713892240.58351827</v>
      </c>
      <c r="AC5" s="44">
        <f>NPV(After_Tax_Cost_of_Capital,AC10:AC49)</f>
        <v>677070652.98080587</v>
      </c>
    </row>
    <row r="6" spans="2:29">
      <c r="Z6" s="35"/>
    </row>
    <row r="7" spans="2:29">
      <c r="D7" s="141"/>
    </row>
    <row r="8" spans="2:29">
      <c r="C8" s="15" t="s">
        <v>130</v>
      </c>
      <c r="D8" s="172" t="s">
        <v>191</v>
      </c>
      <c r="E8" s="172"/>
      <c r="G8" s="15" t="s">
        <v>131</v>
      </c>
      <c r="H8" s="172" t="s">
        <v>191</v>
      </c>
      <c r="I8" s="172"/>
      <c r="M8" s="38">
        <v>0.5</v>
      </c>
      <c r="U8" t="s">
        <v>132</v>
      </c>
      <c r="Z8" s="24">
        <f>AVERAGE(Z10:Z49)</f>
        <v>3.1851805754103273</v>
      </c>
      <c r="AA8" s="24">
        <f t="shared" ref="AA8" si="0">AVERAGE(AA10:AA49)</f>
        <v>3.0144799485330478</v>
      </c>
    </row>
    <row r="9" spans="2:29" ht="74.650000000000006" customHeight="1">
      <c r="C9" s="10" t="s">
        <v>114</v>
      </c>
      <c r="D9" s="1" t="s">
        <v>133</v>
      </c>
      <c r="E9" s="1" t="s">
        <v>134</v>
      </c>
      <c r="G9" s="10" t="s">
        <v>114</v>
      </c>
      <c r="H9" s="1" t="s">
        <v>135</v>
      </c>
      <c r="I9" s="1" t="s">
        <v>136</v>
      </c>
      <c r="K9" s="1" t="s">
        <v>137</v>
      </c>
      <c r="L9" s="1" t="s">
        <v>138</v>
      </c>
      <c r="M9" s="1" t="s">
        <v>139</v>
      </c>
      <c r="P9" s="1" t="s">
        <v>140</v>
      </c>
      <c r="R9" s="1" t="s">
        <v>141</v>
      </c>
      <c r="S9" s="1" t="s">
        <v>142</v>
      </c>
      <c r="U9" s="1" t="s">
        <v>143</v>
      </c>
      <c r="V9" s="1" t="s">
        <v>144</v>
      </c>
      <c r="Y9" s="10" t="s">
        <v>52</v>
      </c>
      <c r="Z9" s="1" t="s">
        <v>145</v>
      </c>
      <c r="AA9" s="1" t="s">
        <v>146</v>
      </c>
      <c r="AB9" s="29" t="s">
        <v>147</v>
      </c>
      <c r="AC9" s="29" t="s">
        <v>148</v>
      </c>
    </row>
    <row r="10" spans="2:29">
      <c r="C10" s="52">
        <v>2024</v>
      </c>
      <c r="D10" s="113">
        <v>0.94654163218195519</v>
      </c>
      <c r="E10" s="113">
        <v>0.93590324246754975</v>
      </c>
      <c r="G10" s="52">
        <v>2024</v>
      </c>
      <c r="H10" s="113">
        <v>0.61543143829440561</v>
      </c>
      <c r="I10" s="113">
        <v>0.58091734327895195</v>
      </c>
      <c r="K10" s="40">
        <f>D10*$M$3</f>
        <v>0.45919131482132292</v>
      </c>
      <c r="L10" s="39">
        <f>'#2-Storage Value'!H10*'#2-Storage Value'!$M$3</f>
        <v>0.29856137514135372</v>
      </c>
      <c r="M10" s="39">
        <f>L10+(K10-L10)*$M$8</f>
        <v>0.37887634498133832</v>
      </c>
      <c r="P10" s="4">
        <f>(E10-K10)/$C$4*$C$5</f>
        <v>1.3972062665470828</v>
      </c>
      <c r="R10" s="4">
        <f>$P10+M10</f>
        <v>1.7760826115284212</v>
      </c>
      <c r="S10" s="4">
        <f>$P10+N10</f>
        <v>1.3972062665470828</v>
      </c>
      <c r="U10" s="4">
        <f t="shared" ref="U10:U23" si="1">R10/1.021^($C10-Start_Year)</f>
        <v>1.7395520191267595</v>
      </c>
      <c r="V10" s="4">
        <f t="shared" ref="V10:V23" si="2">S10/1.021^($C10-Start_Year)</f>
        <v>1.3684684295270155</v>
      </c>
      <c r="Y10" s="14">
        <v>2024</v>
      </c>
      <c r="Z10" s="4">
        <f>R10</f>
        <v>1.7760826115284212</v>
      </c>
      <c r="AA10" s="4">
        <f>(0.3424*4.5+0.2945)*1.021^(Y10-2021)</f>
        <v>1.9533689986132994</v>
      </c>
      <c r="AB10" s="45">
        <f>Z10*$E$5*1000</f>
        <v>26156265.191532213</v>
      </c>
      <c r="AC10" s="45">
        <f>AA10*$E$5*1000</f>
        <v>28767151.490030553</v>
      </c>
    </row>
    <row r="11" spans="2:29">
      <c r="C11" s="52">
        <v>2025</v>
      </c>
      <c r="D11" s="113">
        <v>0.79319734869768244</v>
      </c>
      <c r="E11" s="113">
        <v>0.77644098819886109</v>
      </c>
      <c r="G11" s="52">
        <v>2025</v>
      </c>
      <c r="H11" s="113">
        <v>0.49058392591111621</v>
      </c>
      <c r="I11" s="113">
        <v>0.44992321920833278</v>
      </c>
      <c r="K11" s="40">
        <f t="shared" ref="K11:K23" si="3">D11*$M$3</f>
        <v>0.38480011980208367</v>
      </c>
      <c r="L11" s="39">
        <f>'#2-Storage Value'!H11*'#2-Storage Value'!$M$3</f>
        <v>0.23799468540019544</v>
      </c>
      <c r="M11" s="39">
        <f t="shared" ref="M11:M23" si="4">L11+(K11-L11)*$M$8</f>
        <v>0.31139740260113957</v>
      </c>
      <c r="P11" s="4">
        <f t="shared" ref="P11:P23" si="5">(E11-K11)/$C$4*$C$5</f>
        <v>1.1478694864249426</v>
      </c>
      <c r="R11" s="4">
        <f t="shared" ref="R11:R23" si="6">$P11+M11</f>
        <v>1.459266889026082</v>
      </c>
      <c r="S11" s="4">
        <f t="shared" ref="S11:S23" si="7">$P11+N11</f>
        <v>1.1478694864249426</v>
      </c>
      <c r="U11" s="4">
        <f t="shared" si="1"/>
        <v>1.3998556167937393</v>
      </c>
      <c r="V11" s="4">
        <f t="shared" si="2"/>
        <v>1.1011361663872994</v>
      </c>
      <c r="Y11" s="14">
        <v>2025</v>
      </c>
      <c r="Z11" s="4">
        <f t="shared" ref="Z11:Z21" si="8">R11</f>
        <v>1.459266889026082</v>
      </c>
      <c r="AA11" s="4">
        <f>(0.3424*4.5+0.2945)*1.021^(Y11-2021)</f>
        <v>1.9943897475841783</v>
      </c>
      <c r="AB11" s="45">
        <f t="shared" ref="AB11:AB49" si="9">Z11*$E$5*1000</f>
        <v>21490538.495696332</v>
      </c>
      <c r="AC11" s="45">
        <f t="shared" ref="AC11:AC49" si="10">AA11*$E$5*1000</f>
        <v>29371261.671321191</v>
      </c>
    </row>
    <row r="12" spans="2:29">
      <c r="C12" s="52">
        <v>2026</v>
      </c>
      <c r="D12" s="113">
        <v>1.0188880967484359</v>
      </c>
      <c r="E12" s="113">
        <v>1.0212989419021052</v>
      </c>
      <c r="G12" s="52">
        <v>2026</v>
      </c>
      <c r="H12" s="113">
        <v>0.73066300876039991</v>
      </c>
      <c r="I12" s="113">
        <v>0.68432741338366043</v>
      </c>
      <c r="K12" s="40">
        <f t="shared" si="3"/>
        <v>0.49428841679493207</v>
      </c>
      <c r="L12" s="39">
        <f>'#2-Storage Value'!H12*'#2-Storage Value'!$M$3</f>
        <v>0.35446312795620954</v>
      </c>
      <c r="M12" s="39">
        <f t="shared" si="4"/>
        <v>0.42437577237557078</v>
      </c>
      <c r="P12" s="4">
        <f t="shared" si="5"/>
        <v>1.5446276157840524</v>
      </c>
      <c r="R12" s="4">
        <f t="shared" si="6"/>
        <v>1.9690033881596232</v>
      </c>
      <c r="S12" s="4">
        <f t="shared" si="7"/>
        <v>1.5446276157840524</v>
      </c>
      <c r="U12" s="4">
        <f t="shared" si="1"/>
        <v>1.8499893880033613</v>
      </c>
      <c r="V12" s="4">
        <f t="shared" si="2"/>
        <v>1.4512644898434144</v>
      </c>
      <c r="Y12" s="14">
        <v>2026</v>
      </c>
      <c r="Z12" s="4">
        <f t="shared" si="8"/>
        <v>1.9690033881596232</v>
      </c>
      <c r="AA12" s="4">
        <f t="shared" ref="AA12:AA49" si="11">(0.3424*4.5+0.2945)*1.021^(Y12-2021)</f>
        <v>2.0362719322834457</v>
      </c>
      <c r="AB12" s="45">
        <f t="shared" si="9"/>
        <v>28997398.234425765</v>
      </c>
      <c r="AC12" s="45">
        <f t="shared" si="10"/>
        <v>29988058.166418929</v>
      </c>
    </row>
    <row r="13" spans="2:29">
      <c r="C13" s="52">
        <v>2027</v>
      </c>
      <c r="D13" s="113">
        <v>1.1594011424423372</v>
      </c>
      <c r="E13" s="113">
        <v>1.1571963159992673</v>
      </c>
      <c r="G13" s="52">
        <v>2027</v>
      </c>
      <c r="H13" s="113">
        <v>1.1313957172497933</v>
      </c>
      <c r="I13" s="113">
        <v>1.0561714447734518</v>
      </c>
      <c r="K13" s="40">
        <f t="shared" si="3"/>
        <v>0.56245485343966273</v>
      </c>
      <c r="L13" s="39">
        <f>'#2-Storage Value'!H13*'#2-Storage Value'!$M$3</f>
        <v>0.54886871250400193</v>
      </c>
      <c r="M13" s="39">
        <f t="shared" si="4"/>
        <v>0.55566178297183233</v>
      </c>
      <c r="P13" s="4">
        <f t="shared" si="5"/>
        <v>1.7431418227075146</v>
      </c>
      <c r="R13" s="4">
        <f t="shared" si="6"/>
        <v>2.2988036056793471</v>
      </c>
      <c r="S13" s="4">
        <f t="shared" si="7"/>
        <v>1.7431418227075146</v>
      </c>
      <c r="U13" s="4">
        <f t="shared" si="1"/>
        <v>2.1154311801962531</v>
      </c>
      <c r="V13" s="4">
        <f t="shared" si="2"/>
        <v>1.6040937791072714</v>
      </c>
      <c r="Y13" s="14">
        <v>2027</v>
      </c>
      <c r="Z13" s="4">
        <f t="shared" si="8"/>
        <v>2.2988036056793471</v>
      </c>
      <c r="AA13" s="4">
        <f t="shared" si="11"/>
        <v>2.0790336428613978</v>
      </c>
      <c r="AB13" s="45">
        <f t="shared" si="9"/>
        <v>33854346.832243212</v>
      </c>
      <c r="AC13" s="45">
        <f t="shared" si="10"/>
        <v>30617807.387913723</v>
      </c>
    </row>
    <row r="14" spans="2:29">
      <c r="C14" s="52">
        <v>2028</v>
      </c>
      <c r="D14" s="113">
        <v>1.1882593421982162</v>
      </c>
      <c r="E14" s="113">
        <v>1.2120268272244414</v>
      </c>
      <c r="G14" s="52">
        <v>2028</v>
      </c>
      <c r="H14" s="113">
        <v>0.88781426272714647</v>
      </c>
      <c r="I14" s="113">
        <v>0.84573182184910167</v>
      </c>
      <c r="K14" s="40">
        <f t="shared" si="3"/>
        <v>0.57645469691060591</v>
      </c>
      <c r="L14" s="39">
        <f>'#2-Storage Value'!H14*'#2-Storage Value'!$M$3</f>
        <v>0.43070118075950992</v>
      </c>
      <c r="M14" s="39">
        <f t="shared" si="4"/>
        <v>0.50357793883505786</v>
      </c>
      <c r="P14" s="4">
        <f t="shared" si="5"/>
        <v>1.862813392779598</v>
      </c>
      <c r="R14" s="4">
        <f t="shared" si="6"/>
        <v>2.3663913316146559</v>
      </c>
      <c r="S14" s="4">
        <f t="shared" si="7"/>
        <v>1.862813392779598</v>
      </c>
      <c r="U14" s="4">
        <f t="shared" si="1"/>
        <v>2.1328379289902397</v>
      </c>
      <c r="V14" s="4">
        <f t="shared" si="2"/>
        <v>1.6789611277186243</v>
      </c>
      <c r="Y14" s="14">
        <v>2028</v>
      </c>
      <c r="Z14" s="4">
        <f t="shared" si="8"/>
        <v>2.3663913316146559</v>
      </c>
      <c r="AA14" s="4">
        <f t="shared" si="11"/>
        <v>2.1226933493614872</v>
      </c>
      <c r="AB14" s="45">
        <f t="shared" si="9"/>
        <v>34849707.336186893</v>
      </c>
      <c r="AC14" s="45">
        <f t="shared" si="10"/>
        <v>31260781.343059912</v>
      </c>
    </row>
    <row r="15" spans="2:29">
      <c r="C15" s="52">
        <v>2029</v>
      </c>
      <c r="D15" s="113">
        <v>1.2888166954878675</v>
      </c>
      <c r="E15" s="113">
        <v>1.2759637237232746</v>
      </c>
      <c r="G15" s="52">
        <v>2029</v>
      </c>
      <c r="H15" s="113">
        <v>0.97194352021721775</v>
      </c>
      <c r="I15" s="113">
        <v>0.90452899733135761</v>
      </c>
      <c r="K15" s="40">
        <f t="shared" si="3"/>
        <v>0.62523761538148726</v>
      </c>
      <c r="L15" s="39">
        <f>'#2-Storage Value'!H15*'#2-Storage Value'!$M$3</f>
        <v>0.47151441395323096</v>
      </c>
      <c r="M15" s="39">
        <f t="shared" si="4"/>
        <v>0.54837601466735908</v>
      </c>
      <c r="P15" s="4">
        <f t="shared" si="5"/>
        <v>1.9072285454868405</v>
      </c>
      <c r="R15" s="4">
        <f t="shared" si="6"/>
        <v>2.4556045601541996</v>
      </c>
      <c r="S15" s="4">
        <f t="shared" si="7"/>
        <v>1.9072285454868405</v>
      </c>
      <c r="U15" s="4">
        <f t="shared" si="1"/>
        <v>2.1677239638355643</v>
      </c>
      <c r="V15" s="4">
        <f t="shared" si="2"/>
        <v>1.6836363189940711</v>
      </c>
      <c r="Y15" s="14">
        <v>2029</v>
      </c>
      <c r="Z15" s="4">
        <f t="shared" si="8"/>
        <v>2.4556045601541996</v>
      </c>
      <c r="AA15" s="4">
        <f t="shared" si="11"/>
        <v>2.1672699096980779</v>
      </c>
      <c r="AB15" s="45">
        <f t="shared" si="9"/>
        <v>36163545.357642978</v>
      </c>
      <c r="AC15" s="45">
        <f t="shared" si="10"/>
        <v>31917257.751264162</v>
      </c>
    </row>
    <row r="16" spans="2:29">
      <c r="C16" s="52">
        <v>2030</v>
      </c>
      <c r="D16" s="113">
        <v>1.298897911942076</v>
      </c>
      <c r="E16" s="113">
        <v>1.3104672460260722</v>
      </c>
      <c r="G16" s="52">
        <v>2030</v>
      </c>
      <c r="H16" s="113">
        <v>0.96897055081457373</v>
      </c>
      <c r="I16" s="113">
        <v>0.92744580312815494</v>
      </c>
      <c r="K16" s="40">
        <f t="shared" si="3"/>
        <v>0.63012826876768346</v>
      </c>
      <c r="L16" s="39">
        <f>'#2-Storage Value'!H16*'#2-Storage Value'!$M$3</f>
        <v>0.47007215121220736</v>
      </c>
      <c r="M16" s="39">
        <f t="shared" si="4"/>
        <v>0.55010020998994547</v>
      </c>
      <c r="P16" s="4">
        <f t="shared" si="5"/>
        <v>1.9940216035607261</v>
      </c>
      <c r="R16" s="4">
        <f t="shared" si="6"/>
        <v>2.5441218135506718</v>
      </c>
      <c r="S16" s="4">
        <f t="shared" si="7"/>
        <v>1.9940216035607261</v>
      </c>
      <c r="U16" s="4">
        <f t="shared" si="1"/>
        <v>2.1996708878435345</v>
      </c>
      <c r="V16" s="4">
        <f t="shared" si="2"/>
        <v>1.7240492368414064</v>
      </c>
      <c r="Y16" s="14">
        <v>2030</v>
      </c>
      <c r="Z16" s="4">
        <f t="shared" si="8"/>
        <v>2.5441218135506718</v>
      </c>
      <c r="AA16" s="4">
        <f t="shared" si="11"/>
        <v>2.2127825778017369</v>
      </c>
      <c r="AB16" s="45">
        <f t="shared" si="9"/>
        <v>37467133.7936965</v>
      </c>
      <c r="AC16" s="45">
        <f t="shared" si="10"/>
        <v>32587520.1640407</v>
      </c>
    </row>
    <row r="17" spans="3:29">
      <c r="C17" s="52">
        <v>2031</v>
      </c>
      <c r="D17" s="113">
        <v>1.4007961981763919</v>
      </c>
      <c r="E17" s="113">
        <v>1.3806876047588772</v>
      </c>
      <c r="G17" s="52">
        <v>2031</v>
      </c>
      <c r="H17" s="113">
        <v>1.0075185672634681</v>
      </c>
      <c r="I17" s="113">
        <v>0.93307070559449079</v>
      </c>
      <c r="K17" s="40">
        <f t="shared" si="3"/>
        <v>0.67956170776614933</v>
      </c>
      <c r="L17" s="39">
        <f>'#2-Storage Value'!H17*'#2-Storage Value'!$M$3</f>
        <v>0.48877277013386838</v>
      </c>
      <c r="M17" s="39">
        <f t="shared" si="4"/>
        <v>0.58416723895000888</v>
      </c>
      <c r="P17" s="4">
        <f t="shared" si="5"/>
        <v>2.0549464783764941</v>
      </c>
      <c r="R17" s="4">
        <f t="shared" si="6"/>
        <v>2.6391137173265031</v>
      </c>
      <c r="S17" s="4">
        <f t="shared" si="7"/>
        <v>2.0549464783764941</v>
      </c>
      <c r="U17" s="4">
        <f t="shared" si="1"/>
        <v>2.2348694935205775</v>
      </c>
      <c r="V17" s="4">
        <f t="shared" si="2"/>
        <v>1.7401816243043668</v>
      </c>
      <c r="Y17" s="14">
        <v>2031</v>
      </c>
      <c r="Z17" s="4">
        <f t="shared" si="8"/>
        <v>2.6391137173265031</v>
      </c>
      <c r="AA17" s="4">
        <f t="shared" si="11"/>
        <v>2.2592510119355733</v>
      </c>
      <c r="AB17" s="45">
        <f t="shared" si="9"/>
        <v>38866074.028841861</v>
      </c>
      <c r="AC17" s="45">
        <f t="shared" si="10"/>
        <v>33271858.087485556</v>
      </c>
    </row>
    <row r="18" spans="3:29">
      <c r="C18" s="52">
        <v>2032</v>
      </c>
      <c r="D18" s="113">
        <v>1.3801869276710117</v>
      </c>
      <c r="E18" s="113">
        <v>1.34028142217484</v>
      </c>
      <c r="G18" s="52">
        <v>2032</v>
      </c>
      <c r="H18" s="113">
        <v>1.2257460278125671</v>
      </c>
      <c r="I18" s="113">
        <v>0.90493675049026856</v>
      </c>
      <c r="K18" s="40">
        <f t="shared" si="3"/>
        <v>0.66956362876030728</v>
      </c>
      <c r="L18" s="39">
        <f>'#2-Storage Value'!H18*'#2-Storage Value'!$M$3</f>
        <v>0.59464043736860028</v>
      </c>
      <c r="M18" s="39">
        <f t="shared" si="4"/>
        <v>0.63210203306445378</v>
      </c>
      <c r="P18" s="4">
        <f t="shared" si="5"/>
        <v>1.9658226482196859</v>
      </c>
      <c r="R18" s="4">
        <f t="shared" si="6"/>
        <v>2.5979246812841397</v>
      </c>
      <c r="S18" s="4">
        <f t="shared" si="7"/>
        <v>1.9658226482196859</v>
      </c>
      <c r="U18" s="4">
        <f t="shared" si="1"/>
        <v>2.1547400162095753</v>
      </c>
      <c r="V18" s="4">
        <f t="shared" si="2"/>
        <v>1.6304694109901163</v>
      </c>
      <c r="Y18" s="14">
        <v>2032</v>
      </c>
      <c r="Z18" s="4">
        <f t="shared" si="8"/>
        <v>2.5979246812841397</v>
      </c>
      <c r="AA18" s="4">
        <f t="shared" si="11"/>
        <v>2.3066952831862206</v>
      </c>
      <c r="AB18" s="45">
        <f t="shared" si="9"/>
        <v>38259485.493649505</v>
      </c>
      <c r="AC18" s="45">
        <f t="shared" si="10"/>
        <v>33970567.10732276</v>
      </c>
    </row>
    <row r="19" spans="3:29">
      <c r="C19" s="52">
        <v>2033</v>
      </c>
      <c r="D19" s="113">
        <v>1.3841559673925472</v>
      </c>
      <c r="E19" s="113">
        <v>1.3896777229773878</v>
      </c>
      <c r="G19" s="52">
        <v>2033</v>
      </c>
      <c r="H19" s="113">
        <v>1.1979945187946475</v>
      </c>
      <c r="I19" s="113">
        <v>1.1634215503740271</v>
      </c>
      <c r="K19" s="40">
        <f t="shared" si="3"/>
        <v>0.67148911043627824</v>
      </c>
      <c r="L19" s="39">
        <f>'#2-Storage Value'!H19*'#2-Storage Value'!$M$3</f>
        <v>0.58117747759910887</v>
      </c>
      <c r="M19" s="39">
        <f t="shared" si="4"/>
        <v>0.62633329401769355</v>
      </c>
      <c r="P19" s="4">
        <f t="shared" si="5"/>
        <v>2.1049559950383077</v>
      </c>
      <c r="R19" s="4">
        <f t="shared" si="6"/>
        <v>2.7312892890560012</v>
      </c>
      <c r="S19" s="4">
        <f t="shared" si="7"/>
        <v>2.1049559950383077</v>
      </c>
      <c r="U19" s="4">
        <f t="shared" si="1"/>
        <v>2.2187597596381763</v>
      </c>
      <c r="V19" s="4">
        <f t="shared" si="2"/>
        <v>1.7099586178270894</v>
      </c>
      <c r="Y19" s="14">
        <v>2033</v>
      </c>
      <c r="Z19" s="4">
        <f t="shared" si="8"/>
        <v>2.7312892890560012</v>
      </c>
      <c r="AA19" s="4">
        <f t="shared" si="11"/>
        <v>2.3551358841331305</v>
      </c>
      <c r="AB19" s="45">
        <f t="shared" si="9"/>
        <v>40223538.305947229</v>
      </c>
      <c r="AC19" s="45">
        <f t="shared" si="10"/>
        <v>34683949.016576521</v>
      </c>
    </row>
    <row r="20" spans="3:29">
      <c r="C20" s="52">
        <v>2034</v>
      </c>
      <c r="D20" s="113">
        <v>1.4624396847728696</v>
      </c>
      <c r="E20" s="113">
        <v>1.4262678366175938</v>
      </c>
      <c r="G20" s="52">
        <v>2034</v>
      </c>
      <c r="H20" s="113">
        <v>1.1678730342515713</v>
      </c>
      <c r="I20" s="113">
        <v>1.1341367130052844</v>
      </c>
      <c r="K20" s="40">
        <f t="shared" si="3"/>
        <v>0.70946652409753053</v>
      </c>
      <c r="L20" s="39">
        <f>'#2-Storage Value'!H20*'#2-Storage Value'!$M$3</f>
        <v>0.56656478268803445</v>
      </c>
      <c r="M20" s="39">
        <f t="shared" si="4"/>
        <v>0.63801565339278254</v>
      </c>
      <c r="P20" s="4">
        <f t="shared" si="5"/>
        <v>2.1008899245865837</v>
      </c>
      <c r="R20" s="4">
        <f t="shared" si="6"/>
        <v>2.7389055779793665</v>
      </c>
      <c r="S20" s="4">
        <f t="shared" si="7"/>
        <v>2.1008899245865837</v>
      </c>
      <c r="U20" s="4">
        <f t="shared" si="1"/>
        <v>2.1791839797418628</v>
      </c>
      <c r="V20" s="4">
        <f t="shared" si="2"/>
        <v>1.6715529383958425</v>
      </c>
      <c r="Y20" s="14">
        <v>2034</v>
      </c>
      <c r="Z20" s="4">
        <f t="shared" si="8"/>
        <v>2.7389055779793665</v>
      </c>
      <c r="AA20" s="4">
        <f t="shared" si="11"/>
        <v>2.4045937376999258</v>
      </c>
      <c r="AB20" s="45">
        <f t="shared" si="9"/>
        <v>40335702.949394442</v>
      </c>
      <c r="AC20" s="45">
        <f t="shared" si="10"/>
        <v>35412311.945924625</v>
      </c>
    </row>
    <row r="21" spans="3:29">
      <c r="C21" s="52">
        <v>2035</v>
      </c>
      <c r="D21" s="113">
        <v>1.4405889206589519</v>
      </c>
      <c r="E21" s="113">
        <v>1.3890643806163332</v>
      </c>
      <c r="G21" s="52">
        <v>2035</v>
      </c>
      <c r="H21" s="113">
        <v>1.1578665992575092</v>
      </c>
      <c r="I21" s="113">
        <v>0.85188580550662552</v>
      </c>
      <c r="K21" s="40">
        <f t="shared" si="3"/>
        <v>0.69886616510413802</v>
      </c>
      <c r="L21" s="39">
        <f>'#2-Storage Value'!H21*'#2-Storage Value'!$M$3</f>
        <v>0.56171040768182856</v>
      </c>
      <c r="M21" s="39">
        <f t="shared" si="4"/>
        <v>0.63028828639298329</v>
      </c>
      <c r="P21" s="4">
        <f t="shared" si="5"/>
        <v>2.0229182782036603</v>
      </c>
      <c r="R21" s="4">
        <f t="shared" si="6"/>
        <v>2.6532065645966436</v>
      </c>
      <c r="S21" s="4">
        <f t="shared" si="7"/>
        <v>2.0229182782036603</v>
      </c>
      <c r="U21" s="42">
        <f t="shared" si="1"/>
        <v>2.067579217322546</v>
      </c>
      <c r="V21" s="42">
        <f t="shared" si="2"/>
        <v>1.5764109158201376</v>
      </c>
      <c r="Y21" s="14">
        <v>2035</v>
      </c>
      <c r="Z21" s="4">
        <f t="shared" si="8"/>
        <v>2.6532065645966436</v>
      </c>
      <c r="AA21" s="4">
        <f t="shared" si="11"/>
        <v>2.4550902061916244</v>
      </c>
      <c r="AB21" s="45">
        <f t="shared" si="9"/>
        <v>39073618.569905937</v>
      </c>
      <c r="AC21" s="45">
        <f t="shared" si="10"/>
        <v>36155970.496789046</v>
      </c>
    </row>
    <row r="22" spans="3:29">
      <c r="C22" s="52">
        <v>2040</v>
      </c>
      <c r="D22" s="113">
        <v>1.5651322465615918</v>
      </c>
      <c r="E22" s="113">
        <v>1.5016497981479671</v>
      </c>
      <c r="G22" s="52">
        <v>2040</v>
      </c>
      <c r="H22" s="113">
        <v>1.0026732460524665</v>
      </c>
      <c r="I22" s="113">
        <v>0.90101798422321255</v>
      </c>
      <c r="K22" s="40">
        <f t="shared" si="3"/>
        <v>0.75928528628069092</v>
      </c>
      <c r="L22" s="39">
        <f>'#2-Storage Value'!H22*'#2-Storage Value'!$M$3</f>
        <v>0.48642218211748861</v>
      </c>
      <c r="M22" s="39">
        <f t="shared" si="4"/>
        <v>0.62285373419908974</v>
      </c>
      <c r="P22" s="4">
        <f t="shared" si="5"/>
        <v>2.1758137103145212</v>
      </c>
      <c r="R22" s="4">
        <f t="shared" si="6"/>
        <v>2.7986674445136108</v>
      </c>
      <c r="S22" s="4">
        <f t="shared" si="7"/>
        <v>2.1758137103145212</v>
      </c>
      <c r="U22" s="42">
        <f t="shared" si="1"/>
        <v>1.9656838992933607</v>
      </c>
      <c r="V22" s="42">
        <f t="shared" si="2"/>
        <v>1.5282137170714507</v>
      </c>
      <c r="Y22" s="14">
        <v>2036</v>
      </c>
      <c r="Z22" s="4">
        <f t="shared" ref="Z22:Z49" si="12">$U$24*1.021^($Y22-Start_Year)</f>
        <v>2.6381842185705096</v>
      </c>
      <c r="AA22" s="4">
        <f t="shared" si="11"/>
        <v>2.506647100521648</v>
      </c>
      <c r="AB22" s="45">
        <f t="shared" si="9"/>
        <v>38852385.354790799</v>
      </c>
      <c r="AC22" s="45">
        <f t="shared" si="10"/>
        <v>36915245.877221607</v>
      </c>
    </row>
    <row r="23" spans="3:29">
      <c r="C23" s="52">
        <v>2044</v>
      </c>
      <c r="D23" s="113">
        <v>1.6667249456216791</v>
      </c>
      <c r="E23" s="113">
        <v>1.6416289446698242</v>
      </c>
      <c r="G23" s="52">
        <v>2044</v>
      </c>
      <c r="H23" s="113">
        <v>1.0720704843292863</v>
      </c>
      <c r="I23" s="113">
        <v>0.98371321474062023</v>
      </c>
      <c r="K23" s="40">
        <f t="shared" si="3"/>
        <v>0.80857047720262676</v>
      </c>
      <c r="L23" s="39">
        <f>'#2-Storage Value'!H23*'#2-Storage Value'!$M$3</f>
        <v>0.52008853973542357</v>
      </c>
      <c r="M23" s="39">
        <f t="shared" si="4"/>
        <v>0.66432950846902517</v>
      </c>
      <c r="P23" s="4">
        <f t="shared" si="5"/>
        <v>2.4416307703738869</v>
      </c>
      <c r="R23" s="4">
        <f t="shared" si="6"/>
        <v>3.1059602788429119</v>
      </c>
      <c r="S23" s="4">
        <f t="shared" si="7"/>
        <v>2.4416307703738869</v>
      </c>
      <c r="U23" s="42">
        <f t="shared" si="1"/>
        <v>2.0074988887453675</v>
      </c>
      <c r="V23" s="42">
        <f t="shared" si="2"/>
        <v>1.578117753675232</v>
      </c>
      <c r="Y23" s="14">
        <v>2037</v>
      </c>
      <c r="Z23" s="4">
        <f t="shared" si="12"/>
        <v>2.6935860871604902</v>
      </c>
      <c r="AA23" s="4">
        <f t="shared" si="11"/>
        <v>2.5592866896326023</v>
      </c>
      <c r="AB23" s="45">
        <f t="shared" si="9"/>
        <v>39668285.447241403</v>
      </c>
      <c r="AC23" s="45">
        <f t="shared" si="10"/>
        <v>37690466.040643252</v>
      </c>
    </row>
    <row r="24" spans="3:29">
      <c r="D24" s="24">
        <f>AVERAGE(D10:D23)</f>
        <v>1.2852876471824008</v>
      </c>
      <c r="E24" s="24">
        <f>AVERAGE(E10:E23)</f>
        <v>1.2684682139645995</v>
      </c>
      <c r="R24" s="24"/>
      <c r="U24" s="24">
        <f>AVERAGE(U21:U23)</f>
        <v>2.013587335120425</v>
      </c>
      <c r="V24" s="24">
        <f>AVERAGE(V21:V23)</f>
        <v>1.5609141288556068</v>
      </c>
      <c r="Y24" s="14">
        <v>2038</v>
      </c>
      <c r="Z24" s="4">
        <f t="shared" si="12"/>
        <v>2.7501513949908598</v>
      </c>
      <c r="AA24" s="4">
        <f t="shared" si="11"/>
        <v>2.6130317101148868</v>
      </c>
      <c r="AB24" s="45">
        <f t="shared" si="9"/>
        <v>40501319.441633463</v>
      </c>
      <c r="AC24" s="45">
        <f t="shared" si="10"/>
        <v>38481965.82749676</v>
      </c>
    </row>
    <row r="25" spans="3:29">
      <c r="Y25" s="14">
        <v>2039</v>
      </c>
      <c r="Z25" s="4">
        <f t="shared" si="12"/>
        <v>2.8079045742856681</v>
      </c>
      <c r="AA25" s="4">
        <f t="shared" si="11"/>
        <v>2.6679053760272988</v>
      </c>
      <c r="AB25" s="45">
        <f t="shared" si="9"/>
        <v>41351847.149907768</v>
      </c>
      <c r="AC25" s="45">
        <f t="shared" si="10"/>
        <v>39290087.109874181</v>
      </c>
    </row>
    <row r="26" spans="3:29">
      <c r="Y26" s="14">
        <v>2040</v>
      </c>
      <c r="Z26" s="4">
        <f t="shared" si="12"/>
        <v>2.8668705703456667</v>
      </c>
      <c r="AA26" s="4">
        <f t="shared" si="11"/>
        <v>2.7239313889238721</v>
      </c>
      <c r="AB26" s="45">
        <f t="shared" si="9"/>
        <v>42220235.940055825</v>
      </c>
      <c r="AC26" s="45">
        <f t="shared" si="10"/>
        <v>40115178.939181536</v>
      </c>
    </row>
    <row r="27" spans="3:29">
      <c r="Y27" s="14">
        <v>2041</v>
      </c>
      <c r="Z27" s="4">
        <f t="shared" si="12"/>
        <v>2.9270748523229249</v>
      </c>
      <c r="AA27" s="4">
        <f t="shared" si="11"/>
        <v>2.7811339480912727</v>
      </c>
      <c r="AB27" s="45">
        <f t="shared" si="9"/>
        <v>43106860.89479699</v>
      </c>
      <c r="AC27" s="45">
        <f t="shared" si="10"/>
        <v>40957597.696904339</v>
      </c>
    </row>
    <row r="28" spans="3:29">
      <c r="Y28" s="14">
        <v>2042</v>
      </c>
      <c r="Z28" s="4">
        <f t="shared" si="12"/>
        <v>2.9885434242217066</v>
      </c>
      <c r="AA28" s="4">
        <f t="shared" si="11"/>
        <v>2.8395377610011892</v>
      </c>
      <c r="AB28" s="45">
        <f t="shared" si="9"/>
        <v>44012104.973587729</v>
      </c>
      <c r="AC28" s="45">
        <f t="shared" si="10"/>
        <v>41817707.248539329</v>
      </c>
    </row>
    <row r="29" spans="3:29">
      <c r="Y29" s="14">
        <v>2043</v>
      </c>
      <c r="Z29" s="4">
        <f t="shared" si="12"/>
        <v>3.0513028361303616</v>
      </c>
      <c r="AA29" s="4">
        <f t="shared" si="11"/>
        <v>2.8991680539822142</v>
      </c>
      <c r="AB29" s="45">
        <f t="shared" si="9"/>
        <v>44936359.178033061</v>
      </c>
      <c r="AC29" s="45">
        <f t="shared" si="10"/>
        <v>42695879.100758657</v>
      </c>
    </row>
    <row r="30" spans="3:29">
      <c r="Y30" s="14">
        <v>2044</v>
      </c>
      <c r="Z30" s="4">
        <f t="shared" si="12"/>
        <v>3.1153801956890987</v>
      </c>
      <c r="AA30" s="4">
        <f t="shared" si="11"/>
        <v>2.9600505831158404</v>
      </c>
      <c r="AB30" s="45">
        <f t="shared" si="9"/>
        <v>45880022.720771745</v>
      </c>
      <c r="AC30" s="45">
        <f t="shared" si="10"/>
        <v>43592492.561874583</v>
      </c>
    </row>
    <row r="31" spans="3:29">
      <c r="Y31" s="14">
        <v>2045</v>
      </c>
      <c r="Z31" s="4">
        <f t="shared" si="12"/>
        <v>3.1808031797985699</v>
      </c>
      <c r="AA31" s="4">
        <f t="shared" si="11"/>
        <v>3.0222116453612724</v>
      </c>
      <c r="AB31" s="45">
        <f t="shared" si="9"/>
        <v>46843503.197907954</v>
      </c>
      <c r="AC31" s="45">
        <f t="shared" si="10"/>
        <v>44507934.905673936</v>
      </c>
    </row>
    <row r="32" spans="3:29">
      <c r="Y32" s="14">
        <v>2046</v>
      </c>
      <c r="Z32" s="4">
        <f t="shared" si="12"/>
        <v>3.2476000465743393</v>
      </c>
      <c r="AA32" s="4">
        <f t="shared" si="11"/>
        <v>3.0856780899138587</v>
      </c>
      <c r="AB32" s="45">
        <f t="shared" si="9"/>
        <v>47827216.765064016</v>
      </c>
      <c r="AC32" s="45">
        <f t="shared" si="10"/>
        <v>45442601.538693085</v>
      </c>
    </row>
    <row r="33" spans="25:29">
      <c r="Y33" s="14">
        <v>2047</v>
      </c>
      <c r="Z33" s="4">
        <f t="shared" si="12"/>
        <v>3.3157996475523999</v>
      </c>
      <c r="AA33" s="4">
        <f t="shared" si="11"/>
        <v>3.1504773298020492</v>
      </c>
      <c r="AB33" s="45">
        <f t="shared" si="9"/>
        <v>48831588.31713035</v>
      </c>
      <c r="AC33" s="45">
        <f t="shared" si="10"/>
        <v>46396896.171005629</v>
      </c>
    </row>
    <row r="34" spans="25:29">
      <c r="Y34" s="14">
        <v>2048</v>
      </c>
      <c r="Z34" s="4">
        <f t="shared" si="12"/>
        <v>3.3854314401509997</v>
      </c>
      <c r="AA34" s="4">
        <f t="shared" si="11"/>
        <v>3.2166373537278927</v>
      </c>
      <c r="AB34" s="45">
        <f t="shared" si="9"/>
        <v>49857051.671790086</v>
      </c>
      <c r="AC34" s="45">
        <f t="shared" si="10"/>
        <v>47371230.990596756</v>
      </c>
    </row>
    <row r="35" spans="25:29">
      <c r="Y35" s="14">
        <v>2049</v>
      </c>
      <c r="Z35" s="4">
        <f t="shared" si="12"/>
        <v>3.4565255003941702</v>
      </c>
      <c r="AA35" s="4">
        <f t="shared" si="11"/>
        <v>3.2841867381561771</v>
      </c>
      <c r="AB35" s="45">
        <f t="shared" si="9"/>
        <v>50904049.756897666</v>
      </c>
      <c r="AC35" s="45">
        <f t="shared" si="10"/>
        <v>48366026.841399275</v>
      </c>
    </row>
    <row r="36" spans="25:29">
      <c r="Y36" s="14">
        <v>2050</v>
      </c>
      <c r="Z36" s="4">
        <f t="shared" si="12"/>
        <v>3.5291125359024482</v>
      </c>
      <c r="AA36" s="4">
        <f t="shared" si="11"/>
        <v>3.3531546596574562</v>
      </c>
      <c r="AB36" s="45">
        <f t="shared" si="9"/>
        <v>51973034.801792517</v>
      </c>
      <c r="AC36" s="45">
        <f t="shared" si="10"/>
        <v>49381713.405068643</v>
      </c>
    </row>
    <row r="37" spans="25:29">
      <c r="Y37" s="14">
        <v>2051</v>
      </c>
      <c r="Z37" s="4">
        <f t="shared" si="12"/>
        <v>3.6032238991563985</v>
      </c>
      <c r="AA37" s="4">
        <f t="shared" si="11"/>
        <v>3.4235709075102632</v>
      </c>
      <c r="AB37" s="45">
        <f t="shared" si="9"/>
        <v>53064468.532630146</v>
      </c>
      <c r="AC37" s="45">
        <f t="shared" si="10"/>
        <v>50418729.386575088</v>
      </c>
    </row>
    <row r="38" spans="25:29">
      <c r="Y38" s="14">
        <v>2052</v>
      </c>
      <c r="Z38" s="4">
        <f t="shared" si="12"/>
        <v>3.6788916010386821</v>
      </c>
      <c r="AA38" s="4">
        <f t="shared" si="11"/>
        <v>3.4954658965679779</v>
      </c>
      <c r="AB38" s="45">
        <f t="shared" si="9"/>
        <v>54178822.371815369</v>
      </c>
      <c r="AC38" s="45">
        <f t="shared" si="10"/>
        <v>51477522.703693159</v>
      </c>
    </row>
    <row r="39" spans="25:29">
      <c r="Y39" s="14">
        <v>2053</v>
      </c>
      <c r="Z39" s="4">
        <f t="shared" si="12"/>
        <v>3.7561483246604945</v>
      </c>
      <c r="AA39" s="4">
        <f t="shared" si="11"/>
        <v>3.5688706803959054</v>
      </c>
      <c r="AB39" s="45">
        <f t="shared" si="9"/>
        <v>55316577.641623497</v>
      </c>
      <c r="AC39" s="45">
        <f t="shared" si="10"/>
        <v>52558550.680470712</v>
      </c>
    </row>
    <row r="40" spans="25:29">
      <c r="Y40" s="14">
        <v>2054</v>
      </c>
      <c r="Z40" s="4">
        <f t="shared" si="12"/>
        <v>3.8350274394783641</v>
      </c>
      <c r="AA40" s="4">
        <f t="shared" si="11"/>
        <v>3.6438169646842189</v>
      </c>
      <c r="AB40" s="45">
        <f t="shared" si="9"/>
        <v>56478225.772097573</v>
      </c>
      <c r="AC40" s="45">
        <f t="shared" si="10"/>
        <v>53662280.244760595</v>
      </c>
    </row>
    <row r="41" spans="25:29">
      <c r="Y41" s="14">
        <v>2055</v>
      </c>
      <c r="Z41" s="4">
        <f t="shared" si="12"/>
        <v>3.9155630157074097</v>
      </c>
      <c r="AA41" s="4">
        <f t="shared" si="11"/>
        <v>3.7203371209425864</v>
      </c>
      <c r="AB41" s="45">
        <f t="shared" si="9"/>
        <v>57664268.513311625</v>
      </c>
      <c r="AC41" s="45">
        <f t="shared" si="10"/>
        <v>54789188.129900545</v>
      </c>
    </row>
    <row r="42" spans="25:29">
      <c r="Y42" s="14">
        <v>2056</v>
      </c>
      <c r="Z42" s="4">
        <f t="shared" si="12"/>
        <v>3.9977898390372646</v>
      </c>
      <c r="AA42" s="4">
        <f t="shared" si="11"/>
        <v>3.798464200482381</v>
      </c>
      <c r="AB42" s="45">
        <f t="shared" si="9"/>
        <v>58875218.152091153</v>
      </c>
      <c r="AC42" s="45">
        <f t="shared" si="10"/>
        <v>55939761.080628462</v>
      </c>
    </row>
    <row r="43" spans="25:29">
      <c r="Y43" s="14">
        <v>2057</v>
      </c>
      <c r="Z43" s="4">
        <f t="shared" si="12"/>
        <v>4.0817434256570468</v>
      </c>
      <c r="AA43" s="4">
        <f t="shared" si="11"/>
        <v>3.8782319486925103</v>
      </c>
      <c r="AB43" s="45">
        <f t="shared" si="9"/>
        <v>60111597.733285069</v>
      </c>
      <c r="AC43" s="45">
        <f t="shared" si="10"/>
        <v>57114496.063321657</v>
      </c>
    </row>
    <row r="44" spans="25:29">
      <c r="Y44" s="14">
        <v>2058</v>
      </c>
      <c r="Z44" s="4">
        <f t="shared" si="12"/>
        <v>4.1674600375958448</v>
      </c>
      <c r="AA44" s="4">
        <f t="shared" si="11"/>
        <v>3.9596748196150524</v>
      </c>
      <c r="AB44" s="45">
        <f t="shared" si="9"/>
        <v>61373941.285684057</v>
      </c>
      <c r="AC44" s="45">
        <f t="shared" si="10"/>
        <v>58313900.480651401</v>
      </c>
    </row>
    <row r="45" spans="25:29">
      <c r="Y45" s="14">
        <v>2059</v>
      </c>
      <c r="Z45" s="4">
        <f t="shared" si="12"/>
        <v>4.2549766983853567</v>
      </c>
      <c r="AA45" s="4">
        <f t="shared" si="11"/>
        <v>4.042827990826968</v>
      </c>
      <c r="AB45" s="45">
        <f t="shared" si="9"/>
        <v>62662794.052683406</v>
      </c>
      <c r="AC45" s="45">
        <f t="shared" si="10"/>
        <v>59538492.390745074</v>
      </c>
    </row>
    <row r="46" spans="25:29">
      <c r="Y46" s="14">
        <v>2060</v>
      </c>
      <c r="Z46" s="4">
        <f t="shared" si="12"/>
        <v>4.3443312090514485</v>
      </c>
      <c r="AA46" s="4">
        <f t="shared" si="11"/>
        <v>4.1277273786343338</v>
      </c>
      <c r="AB46" s="45">
        <f t="shared" si="9"/>
        <v>63978712.727789745</v>
      </c>
      <c r="AC46" s="45">
        <f t="shared" si="10"/>
        <v>60788800.730950706</v>
      </c>
    </row>
    <row r="47" spans="25:29">
      <c r="Y47" s="14">
        <v>2061</v>
      </c>
      <c r="Z47" s="4">
        <f t="shared" si="12"/>
        <v>4.435562164441528</v>
      </c>
      <c r="AA47" s="4">
        <f t="shared" si="11"/>
        <v>4.2144096535856548</v>
      </c>
      <c r="AB47" s="45">
        <f t="shared" si="9"/>
        <v>65322265.695073321</v>
      </c>
      <c r="AC47" s="45">
        <f t="shared" si="10"/>
        <v>62065365.546300672</v>
      </c>
    </row>
    <row r="48" spans="25:29">
      <c r="Y48" s="14">
        <v>2062</v>
      </c>
      <c r="Z48" s="4">
        <f t="shared" si="12"/>
        <v>4.5287089698948</v>
      </c>
      <c r="AA48" s="4">
        <f t="shared" si="11"/>
        <v>4.3029122563109521</v>
      </c>
      <c r="AB48" s="45">
        <f t="shared" si="9"/>
        <v>66694033.274669856</v>
      </c>
      <c r="AC48" s="45">
        <f t="shared" si="10"/>
        <v>63368738.222772963</v>
      </c>
    </row>
    <row r="49" spans="25:29">
      <c r="Y49" s="14">
        <v>2063</v>
      </c>
      <c r="Z49" s="4">
        <f t="shared" si="12"/>
        <v>4.6238118582625907</v>
      </c>
      <c r="AA49" s="4">
        <f t="shared" si="11"/>
        <v>4.3932734136934819</v>
      </c>
      <c r="AB49" s="45">
        <f t="shared" si="9"/>
        <v>68094607.97343792</v>
      </c>
      <c r="AC49" s="45">
        <f t="shared" si="10"/>
        <v>64699481.725451194</v>
      </c>
    </row>
  </sheetData>
  <mergeCells count="2">
    <mergeCell ref="D8:E8"/>
    <mergeCell ref="H8:I8"/>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0FF6-F052-48C8-A5EC-226A3BC04EAC}">
  <dimension ref="B2:AM81"/>
  <sheetViews>
    <sheetView showGridLines="0" zoomScale="77" zoomScaleNormal="77" workbookViewId="0">
      <selection activeCell="J54" sqref="J54"/>
    </sheetView>
  </sheetViews>
  <sheetFormatPr defaultRowHeight="15"/>
  <cols>
    <col min="2" max="2" width="16.28515625" bestFit="1" customWidth="1"/>
    <col min="3" max="7" width="17.5703125" customWidth="1"/>
    <col min="9" max="9" width="15.28515625" customWidth="1"/>
    <col min="10" max="15" width="17.5703125" customWidth="1"/>
    <col min="17" max="17" width="12.7109375" customWidth="1"/>
    <col min="18" max="19" width="20.5703125" customWidth="1"/>
    <col min="20" max="23" width="17.5703125" customWidth="1"/>
    <col min="24" max="26" width="4.42578125" customWidth="1"/>
    <col min="28" max="28" width="18.42578125" customWidth="1"/>
    <col min="29" max="29" width="18" customWidth="1"/>
    <col min="30" max="30" width="13.5703125" bestFit="1" customWidth="1"/>
    <col min="31" max="31" width="14.7109375" bestFit="1" customWidth="1"/>
    <col min="32" max="32" width="14.7109375" customWidth="1"/>
    <col min="34" max="34" width="18.28515625" customWidth="1"/>
    <col min="35" max="35" width="17.5703125" customWidth="1"/>
    <col min="36" max="36" width="15.42578125" bestFit="1" customWidth="1"/>
    <col min="38" max="38" width="16.28515625" bestFit="1" customWidth="1"/>
    <col min="39" max="39" width="14.5703125" customWidth="1"/>
    <col min="40" max="40" width="13.7109375" bestFit="1" customWidth="1"/>
  </cols>
  <sheetData>
    <row r="2" spans="2:39">
      <c r="B2" s="15" t="s">
        <v>130</v>
      </c>
      <c r="C2" s="172" t="s">
        <v>191</v>
      </c>
      <c r="D2" s="172"/>
      <c r="E2" s="172"/>
      <c r="F2" s="172"/>
      <c r="AD2" s="28">
        <v>0.5</v>
      </c>
      <c r="AE2" s="28">
        <v>0.25</v>
      </c>
    </row>
    <row r="3" spans="2:39" ht="70.150000000000006" customHeight="1">
      <c r="B3" s="11" t="s">
        <v>60</v>
      </c>
      <c r="C3" s="11" t="s">
        <v>149</v>
      </c>
      <c r="D3" s="11" t="s">
        <v>62</v>
      </c>
      <c r="E3" s="11" t="s">
        <v>63</v>
      </c>
      <c r="F3" s="11" t="s">
        <v>64</v>
      </c>
      <c r="G3" s="11" t="s">
        <v>65</v>
      </c>
      <c r="I3" s="11" t="s">
        <v>66</v>
      </c>
      <c r="J3" s="11" t="s">
        <v>61</v>
      </c>
      <c r="K3" s="11" t="s">
        <v>62</v>
      </c>
      <c r="L3" s="11" t="s">
        <v>63</v>
      </c>
      <c r="M3" s="11" t="s">
        <v>64</v>
      </c>
      <c r="N3" s="11" t="s">
        <v>65</v>
      </c>
      <c r="O3" s="11" t="s">
        <v>67</v>
      </c>
      <c r="Q3" s="11" t="s">
        <v>68</v>
      </c>
      <c r="R3" s="11" t="s">
        <v>61</v>
      </c>
      <c r="S3" s="11" t="s">
        <v>62</v>
      </c>
      <c r="T3" s="11" t="s">
        <v>63</v>
      </c>
      <c r="U3" s="11" t="s">
        <v>64</v>
      </c>
      <c r="V3" s="11" t="s">
        <v>65</v>
      </c>
      <c r="W3" s="11" t="s">
        <v>67</v>
      </c>
      <c r="AA3" s="10" t="s">
        <v>52</v>
      </c>
      <c r="AB3" s="1" t="s">
        <v>69</v>
      </c>
      <c r="AC3" s="1" t="s">
        <v>70</v>
      </c>
      <c r="AD3" s="29" t="s">
        <v>150</v>
      </c>
      <c r="AE3" s="115" t="s">
        <v>151</v>
      </c>
      <c r="AF3" s="29" t="s">
        <v>72</v>
      </c>
      <c r="AH3" s="29" t="s">
        <v>73</v>
      </c>
      <c r="AI3" s="29" t="s">
        <v>152</v>
      </c>
      <c r="AJ3" s="29" t="s">
        <v>72</v>
      </c>
      <c r="AM3" s="114"/>
    </row>
    <row r="4" spans="2:39">
      <c r="B4" s="12">
        <v>2024</v>
      </c>
      <c r="C4" s="112">
        <v>1383955909.3118663</v>
      </c>
      <c r="D4" s="112">
        <v>1405355214.3556116</v>
      </c>
      <c r="E4" s="112">
        <v>-6192187.8518630704</v>
      </c>
      <c r="F4" s="112">
        <v>-1773076.7458481428</v>
      </c>
      <c r="G4" s="13">
        <f>C4-D4</f>
        <v>-21399305.043745279</v>
      </c>
      <c r="I4" s="12">
        <v>2024</v>
      </c>
      <c r="J4" s="13">
        <f>C4*1.3</f>
        <v>1799142682.1054263</v>
      </c>
      <c r="K4" s="13">
        <f t="shared" ref="K4:M17" si="0">D4*1.3</f>
        <v>1826961778.6622951</v>
      </c>
      <c r="L4" s="13">
        <f t="shared" si="0"/>
        <v>-8049844.207421992</v>
      </c>
      <c r="M4" s="13">
        <f t="shared" si="0"/>
        <v>-2304999.7696025856</v>
      </c>
      <c r="N4" s="13">
        <f>J4-K4</f>
        <v>-27819096.556868792</v>
      </c>
      <c r="O4" s="13">
        <f t="shared" ref="O4:O17" si="1">L4-M4</f>
        <v>-5744844.4378194064</v>
      </c>
      <c r="Q4" s="12">
        <v>2024</v>
      </c>
      <c r="R4" s="13">
        <f t="shared" ref="R4:R17" si="2">J4/1.021^($I4-Start_Year)</f>
        <v>1762137788.5459614</v>
      </c>
      <c r="S4" s="13">
        <f t="shared" ref="S4:S17" si="3">K4/1.021^($I4-Start_Year)</f>
        <v>1789384699.9630709</v>
      </c>
      <c r="T4" s="13">
        <f t="shared" ref="T4:T17" si="4">L4/1.021^($I4-Start_Year)</f>
        <v>-7884274.4440959776</v>
      </c>
      <c r="U4" s="13">
        <f t="shared" ref="U4:U17" si="5">M4/1.021^($I4-Start_Year)</f>
        <v>-2257590.3717948929</v>
      </c>
      <c r="V4" s="13">
        <f>R4-S4</f>
        <v>-27246911.417109489</v>
      </c>
      <c r="W4" s="13">
        <f>T4-U4</f>
        <v>-5626684.0723010842</v>
      </c>
      <c r="AA4" s="14">
        <v>2024</v>
      </c>
      <c r="AB4" s="5">
        <f t="shared" ref="AB4:AB15" si="6">N4</f>
        <v>-27819096.556868792</v>
      </c>
      <c r="AC4" s="53">
        <f>J42</f>
        <v>-16483830.518194437</v>
      </c>
      <c r="AD4" s="30">
        <f>AC4+(AB4-AC4)*$AD$2</f>
        <v>-22151463.537531614</v>
      </c>
      <c r="AE4" s="116">
        <f>AC4+(AB4-AC4)*$AE$2</f>
        <v>-19317647.027863026</v>
      </c>
      <c r="AF4" s="30">
        <f>O4</f>
        <v>-5744844.4378194064</v>
      </c>
      <c r="AH4" s="31">
        <f>NPV(After_Tax_Cost_of_Capital,AD4:AD43)</f>
        <v>-662138896.83151746</v>
      </c>
      <c r="AI4" s="31">
        <f>NPV(After_Tax_Cost_of_Capital,AE4:AE43)</f>
        <v>-565025915.6475246</v>
      </c>
      <c r="AJ4" s="31">
        <f>NPV(After_Tax_Cost_of_Capital,AF4:AF43)</f>
        <v>-84810609.572634861</v>
      </c>
      <c r="AL4" s="7"/>
      <c r="AM4" s="7"/>
    </row>
    <row r="5" spans="2:39">
      <c r="B5" s="12">
        <v>2025</v>
      </c>
      <c r="C5" s="112">
        <v>1354372948.8650904</v>
      </c>
      <c r="D5" s="112">
        <v>1373857179.6847155</v>
      </c>
      <c r="E5" s="112">
        <v>-5950271.059074562</v>
      </c>
      <c r="F5" s="112">
        <v>-1896440.9966497044</v>
      </c>
      <c r="G5" s="13">
        <f t="shared" ref="G5:G17" si="7">C5-D5</f>
        <v>-19484230.819625139</v>
      </c>
      <c r="I5" s="12">
        <v>2025</v>
      </c>
      <c r="J5" s="13">
        <f t="shared" ref="J5:J17" si="8">C5*1.3</f>
        <v>1760684833.5246174</v>
      </c>
      <c r="K5" s="13">
        <f t="shared" si="0"/>
        <v>1786014333.5901303</v>
      </c>
      <c r="L5" s="13">
        <f t="shared" si="0"/>
        <v>-7735352.376796931</v>
      </c>
      <c r="M5" s="13">
        <f t="shared" si="0"/>
        <v>-2465373.2956446158</v>
      </c>
      <c r="N5" s="13">
        <f t="shared" ref="N5:N17" si="9">J5-K5</f>
        <v>-25329500.065512896</v>
      </c>
      <c r="O5" s="13">
        <f t="shared" si="1"/>
        <v>-5269979.0811523153</v>
      </c>
      <c r="Q5" s="12">
        <v>2025</v>
      </c>
      <c r="R5" s="13">
        <f t="shared" si="2"/>
        <v>1689001903.7284775</v>
      </c>
      <c r="S5" s="13">
        <f t="shared" si="3"/>
        <v>1713300161.4385185</v>
      </c>
      <c r="T5" s="13">
        <f t="shared" si="4"/>
        <v>-7420422.2366512185</v>
      </c>
      <c r="U5" s="13">
        <f t="shared" si="5"/>
        <v>-2365000.3171830508</v>
      </c>
      <c r="V5" s="13">
        <f t="shared" ref="V5:V17" si="10">R5-S5</f>
        <v>-24298257.710041046</v>
      </c>
      <c r="W5" s="13">
        <f t="shared" ref="W5:W17" si="11">T5-U5</f>
        <v>-5055421.9194681682</v>
      </c>
      <c r="AA5" s="14">
        <v>2025</v>
      </c>
      <c r="AB5" s="5">
        <f t="shared" si="6"/>
        <v>-25329500.065512896</v>
      </c>
      <c r="AC5" s="53">
        <f t="shared" ref="AC5:AC43" si="12">J43</f>
        <v>-14572639.80585289</v>
      </c>
      <c r="AD5" s="30">
        <f t="shared" ref="AD5:AD43" si="13">AC5+(AB5-AC5)*$AD$2</f>
        <v>-19951069.935682893</v>
      </c>
      <c r="AE5" s="116">
        <f t="shared" ref="AE5:AE43" si="14">AC5+(AB5-AC5)*$AE$2</f>
        <v>-17261854.870767891</v>
      </c>
      <c r="AF5" s="30">
        <f t="shared" ref="AF5:AF15" si="15">O5</f>
        <v>-5269979.0811523153</v>
      </c>
      <c r="AL5" s="7"/>
      <c r="AM5" s="7"/>
    </row>
    <row r="6" spans="2:39">
      <c r="B6" s="14">
        <v>2026</v>
      </c>
      <c r="C6" s="112">
        <v>1266990210.1215909</v>
      </c>
      <c r="D6" s="112">
        <v>1290667756.3321362</v>
      </c>
      <c r="E6" s="112">
        <v>-3588932.2454589629</v>
      </c>
      <c r="F6" s="112">
        <v>-1063261.6187433756</v>
      </c>
      <c r="G6" s="13">
        <f t="shared" si="7"/>
        <v>-23677546.210545301</v>
      </c>
      <c r="I6" s="14">
        <v>2026</v>
      </c>
      <c r="J6" s="13">
        <f t="shared" si="8"/>
        <v>1647087273.1580682</v>
      </c>
      <c r="K6" s="13">
        <f t="shared" si="0"/>
        <v>1677868083.231777</v>
      </c>
      <c r="L6" s="13">
        <f t="shared" si="0"/>
        <v>-4665611.9190966515</v>
      </c>
      <c r="M6" s="13">
        <f t="shared" si="0"/>
        <v>-1382240.1043663884</v>
      </c>
      <c r="N6" s="13">
        <f t="shared" si="9"/>
        <v>-30780810.073708773</v>
      </c>
      <c r="O6" s="13">
        <f t="shared" si="1"/>
        <v>-3283371.8147302633</v>
      </c>
      <c r="Q6" s="14">
        <v>2026</v>
      </c>
      <c r="R6" s="13">
        <f t="shared" si="2"/>
        <v>1547531098.6162701</v>
      </c>
      <c r="S6" s="13">
        <f t="shared" si="3"/>
        <v>1576451400.2942333</v>
      </c>
      <c r="T6" s="13">
        <f t="shared" si="4"/>
        <v>-4383604.7163627725</v>
      </c>
      <c r="U6" s="13">
        <f t="shared" si="5"/>
        <v>-1298692.2928256413</v>
      </c>
      <c r="V6" s="13">
        <f t="shared" si="10"/>
        <v>-28920301.677963257</v>
      </c>
      <c r="W6" s="13">
        <f t="shared" si="11"/>
        <v>-3084912.4235371314</v>
      </c>
      <c r="AA6" s="14">
        <v>2026</v>
      </c>
      <c r="AB6" s="5">
        <f t="shared" si="6"/>
        <v>-30780810.073708773</v>
      </c>
      <c r="AC6" s="53">
        <f t="shared" si="12"/>
        <v>-19927762.514584064</v>
      </c>
      <c r="AD6" s="30">
        <f t="shared" si="13"/>
        <v>-25354286.294146419</v>
      </c>
      <c r="AE6" s="116">
        <f t="shared" si="14"/>
        <v>-22641024.404365242</v>
      </c>
      <c r="AF6" s="30">
        <f t="shared" si="15"/>
        <v>-3283371.8147302633</v>
      </c>
      <c r="AL6" s="7"/>
      <c r="AM6" s="7"/>
    </row>
    <row r="7" spans="2:39">
      <c r="B7" s="14">
        <v>2027</v>
      </c>
      <c r="C7" s="112">
        <v>1297037402.6704097</v>
      </c>
      <c r="D7" s="112">
        <v>1323703180.1432459</v>
      </c>
      <c r="E7" s="112">
        <v>-4698105.6205833983</v>
      </c>
      <c r="F7" s="112">
        <v>-1343235.8960656116</v>
      </c>
      <c r="G7" s="13">
        <f t="shared" si="7"/>
        <v>-26665777.472836256</v>
      </c>
      <c r="I7" s="14">
        <v>2027</v>
      </c>
      <c r="J7" s="13">
        <f t="shared" si="8"/>
        <v>1686148623.4715326</v>
      </c>
      <c r="K7" s="13">
        <f t="shared" si="0"/>
        <v>1720814134.1862197</v>
      </c>
      <c r="L7" s="13">
        <f t="shared" si="0"/>
        <v>-6107537.3067584177</v>
      </c>
      <c r="M7" s="13">
        <f t="shared" si="0"/>
        <v>-1746206.6648852951</v>
      </c>
      <c r="N7" s="13">
        <f t="shared" si="9"/>
        <v>-34665510.714687109</v>
      </c>
      <c r="O7" s="13">
        <f t="shared" si="1"/>
        <v>-4361330.6418731231</v>
      </c>
      <c r="Q7" s="14">
        <v>2027</v>
      </c>
      <c r="R7" s="13">
        <f t="shared" si="2"/>
        <v>1551646849.5718081</v>
      </c>
      <c r="S7" s="13">
        <f t="shared" si="3"/>
        <v>1583547139.8193541</v>
      </c>
      <c r="T7" s="13">
        <f t="shared" si="4"/>
        <v>-5620347.39331742</v>
      </c>
      <c r="U7" s="13">
        <f t="shared" si="5"/>
        <v>-1606914.1430084065</v>
      </c>
      <c r="V7" s="13">
        <f t="shared" si="10"/>
        <v>-31900290.247545958</v>
      </c>
      <c r="W7" s="13">
        <f t="shared" si="11"/>
        <v>-4013433.2503090138</v>
      </c>
      <c r="AA7" s="14">
        <v>2027</v>
      </c>
      <c r="AB7" s="5">
        <f t="shared" si="6"/>
        <v>-34665510.714687109</v>
      </c>
      <c r="AC7" s="53">
        <f t="shared" si="12"/>
        <v>-24126523.837436438</v>
      </c>
      <c r="AD7" s="30">
        <f t="shared" si="13"/>
        <v>-29396017.276061773</v>
      </c>
      <c r="AE7" s="116">
        <f t="shared" si="14"/>
        <v>-26761270.556749105</v>
      </c>
      <c r="AF7" s="30">
        <f t="shared" si="15"/>
        <v>-4361330.6418731231</v>
      </c>
      <c r="AL7" s="7"/>
      <c r="AM7" s="7"/>
    </row>
    <row r="8" spans="2:39">
      <c r="B8" s="14">
        <v>2028</v>
      </c>
      <c r="C8" s="112">
        <v>1363177312.2331953</v>
      </c>
      <c r="D8" s="112">
        <v>1391276283.3385396</v>
      </c>
      <c r="E8" s="112">
        <v>-5491144.6509440318</v>
      </c>
      <c r="F8" s="112">
        <v>-1178749.0064314795</v>
      </c>
      <c r="G8" s="13">
        <f t="shared" si="7"/>
        <v>-28098971.105344296</v>
      </c>
      <c r="I8" s="14">
        <v>2028</v>
      </c>
      <c r="J8" s="13">
        <f t="shared" si="8"/>
        <v>1772130505.9031539</v>
      </c>
      <c r="K8" s="13">
        <f t="shared" si="0"/>
        <v>1808659168.3401015</v>
      </c>
      <c r="L8" s="13">
        <f t="shared" si="0"/>
        <v>-7138488.0462272419</v>
      </c>
      <c r="M8" s="13">
        <f t="shared" si="0"/>
        <v>-1532373.7083609235</v>
      </c>
      <c r="N8" s="13">
        <f t="shared" si="9"/>
        <v>-36528662.436947584</v>
      </c>
      <c r="O8" s="13">
        <f t="shared" si="1"/>
        <v>-5606114.3378663184</v>
      </c>
      <c r="Q8" s="14">
        <v>2028</v>
      </c>
      <c r="R8" s="13">
        <f t="shared" si="2"/>
        <v>1597228280.7222483</v>
      </c>
      <c r="S8" s="13">
        <f t="shared" si="3"/>
        <v>1630151709.6158297</v>
      </c>
      <c r="T8" s="13">
        <f t="shared" si="4"/>
        <v>-6433947.6980116731</v>
      </c>
      <c r="U8" s="13">
        <f t="shared" si="5"/>
        <v>-1381134.5245038352</v>
      </c>
      <c r="V8" s="13">
        <f t="shared" si="10"/>
        <v>-32923428.89358139</v>
      </c>
      <c r="W8" s="13">
        <f t="shared" si="11"/>
        <v>-5052813.1735078376</v>
      </c>
      <c r="AA8" s="14">
        <v>2028</v>
      </c>
      <c r="AB8" s="5">
        <f t="shared" si="6"/>
        <v>-36528662.436947584</v>
      </c>
      <c r="AC8" s="53">
        <f t="shared" si="12"/>
        <v>-22600931.784347773</v>
      </c>
      <c r="AD8" s="30">
        <f t="shared" si="13"/>
        <v>-29564797.110647678</v>
      </c>
      <c r="AE8" s="116">
        <f t="shared" si="14"/>
        <v>-26082864.447497725</v>
      </c>
      <c r="AF8" s="30">
        <f t="shared" si="15"/>
        <v>-5606114.3378663184</v>
      </c>
      <c r="AL8" s="7"/>
      <c r="AM8" s="7"/>
    </row>
    <row r="9" spans="2:39">
      <c r="B9" s="14">
        <v>2029</v>
      </c>
      <c r="C9" s="112">
        <v>1458725928.4922791</v>
      </c>
      <c r="D9" s="112">
        <v>1488616279.0566971</v>
      </c>
      <c r="E9" s="112">
        <v>-5703579.2357948404</v>
      </c>
      <c r="F9" s="112">
        <v>-1852963.5874405501</v>
      </c>
      <c r="G9" s="13">
        <f t="shared" si="7"/>
        <v>-29890350.564418077</v>
      </c>
      <c r="I9" s="14">
        <v>2029</v>
      </c>
      <c r="J9" s="13">
        <f t="shared" si="8"/>
        <v>1896343707.0399628</v>
      </c>
      <c r="K9" s="13">
        <f t="shared" si="0"/>
        <v>1935201162.7737064</v>
      </c>
      <c r="L9" s="13">
        <f t="shared" si="0"/>
        <v>-7414653.0065332931</v>
      </c>
      <c r="M9" s="13">
        <f t="shared" si="0"/>
        <v>-2408852.6636727154</v>
      </c>
      <c r="N9" s="13">
        <f t="shared" si="9"/>
        <v>-38857455.733743668</v>
      </c>
      <c r="O9" s="13">
        <f t="shared" si="1"/>
        <v>-5005800.3428605776</v>
      </c>
      <c r="Q9" s="14">
        <v>2029</v>
      </c>
      <c r="R9" s="13">
        <f t="shared" si="2"/>
        <v>1674027554.8116598</v>
      </c>
      <c r="S9" s="13">
        <f t="shared" si="3"/>
        <v>1708329591.6031318</v>
      </c>
      <c r="T9" s="13">
        <f t="shared" si="4"/>
        <v>-6545402.8171288036</v>
      </c>
      <c r="U9" s="13">
        <f t="shared" si="5"/>
        <v>-2126452.9839709117</v>
      </c>
      <c r="V9" s="13">
        <f t="shared" si="10"/>
        <v>-34302036.791471958</v>
      </c>
      <c r="W9" s="13">
        <f t="shared" si="11"/>
        <v>-4418949.8331578914</v>
      </c>
      <c r="AA9" s="14">
        <v>2029</v>
      </c>
      <c r="AB9" s="5">
        <f t="shared" si="6"/>
        <v>-38857455.733743668</v>
      </c>
      <c r="AC9" s="53">
        <f t="shared" si="12"/>
        <v>-24323803.189459562</v>
      </c>
      <c r="AD9" s="30">
        <f t="shared" si="13"/>
        <v>-31590629.461601615</v>
      </c>
      <c r="AE9" s="116">
        <f t="shared" si="14"/>
        <v>-27957216.325530589</v>
      </c>
      <c r="AF9" s="30">
        <f t="shared" si="15"/>
        <v>-5005800.3428605776</v>
      </c>
      <c r="AL9" s="7"/>
      <c r="AM9" s="7"/>
    </row>
    <row r="10" spans="2:39">
      <c r="B10" s="14">
        <v>2030</v>
      </c>
      <c r="C10" s="112">
        <v>1516246507.383652</v>
      </c>
      <c r="D10" s="112">
        <v>1546370199.5608768</v>
      </c>
      <c r="E10" s="112">
        <v>-4016797.3879897962</v>
      </c>
      <c r="F10" s="112">
        <v>-1591300.6070967666</v>
      </c>
      <c r="G10" s="13">
        <f t="shared" si="7"/>
        <v>-30123692.177224874</v>
      </c>
      <c r="I10" s="14">
        <v>2030</v>
      </c>
      <c r="J10" s="13">
        <f t="shared" si="8"/>
        <v>1971120459.5987477</v>
      </c>
      <c r="K10" s="13">
        <f t="shared" si="0"/>
        <v>2010281259.4291399</v>
      </c>
      <c r="L10" s="13">
        <f t="shared" si="0"/>
        <v>-5221836.6043867357</v>
      </c>
      <c r="M10" s="13">
        <f t="shared" si="0"/>
        <v>-2068690.7892257967</v>
      </c>
      <c r="N10" s="13">
        <f t="shared" si="9"/>
        <v>-39160799.830392122</v>
      </c>
      <c r="O10" s="13">
        <f t="shared" si="1"/>
        <v>-3153145.815160939</v>
      </c>
      <c r="Q10" s="14">
        <v>2030</v>
      </c>
      <c r="R10" s="13">
        <f t="shared" si="2"/>
        <v>1704248699.2243917</v>
      </c>
      <c r="S10" s="13">
        <f t="shared" si="3"/>
        <v>1738107483.3725297</v>
      </c>
      <c r="T10" s="13">
        <f t="shared" si="4"/>
        <v>-4514847.4804020869</v>
      </c>
      <c r="U10" s="13">
        <f t="shared" si="5"/>
        <v>-1788608.894736564</v>
      </c>
      <c r="V10" s="13">
        <f t="shared" si="10"/>
        <v>-33858784.148138046</v>
      </c>
      <c r="W10" s="13">
        <f t="shared" si="11"/>
        <v>-2726238.5856655231</v>
      </c>
      <c r="AA10" s="14">
        <v>2030</v>
      </c>
      <c r="AB10" s="5">
        <f t="shared" si="6"/>
        <v>-39160799.830392122</v>
      </c>
      <c r="AC10" s="53">
        <f t="shared" si="12"/>
        <v>-24317399.196745396</v>
      </c>
      <c r="AD10" s="30">
        <f t="shared" si="13"/>
        <v>-31739099.513568759</v>
      </c>
      <c r="AE10" s="116">
        <f t="shared" si="14"/>
        <v>-28028249.355157077</v>
      </c>
      <c r="AF10" s="30">
        <f t="shared" si="15"/>
        <v>-3153145.815160939</v>
      </c>
      <c r="AL10" s="7"/>
      <c r="AM10" s="7"/>
    </row>
    <row r="11" spans="2:39">
      <c r="B11" s="14">
        <v>2031</v>
      </c>
      <c r="C11" s="112">
        <v>1608960666.9790196</v>
      </c>
      <c r="D11" s="112">
        <v>1642578572.7539909</v>
      </c>
      <c r="E11" s="112">
        <v>-5712395.392224717</v>
      </c>
      <c r="F11" s="112">
        <v>-1135298.6476987612</v>
      </c>
      <c r="G11" s="13">
        <f t="shared" si="7"/>
        <v>-33617905.774971247</v>
      </c>
      <c r="I11" s="14">
        <v>2031</v>
      </c>
      <c r="J11" s="13">
        <f t="shared" si="8"/>
        <v>2091648867.0727255</v>
      </c>
      <c r="K11" s="13">
        <f t="shared" si="0"/>
        <v>2135352144.5801883</v>
      </c>
      <c r="L11" s="13">
        <f t="shared" si="0"/>
        <v>-7426114.0098921321</v>
      </c>
      <c r="M11" s="13">
        <f t="shared" si="0"/>
        <v>-1475888.2420083897</v>
      </c>
      <c r="N11" s="13">
        <f t="shared" si="9"/>
        <v>-43703277.50746274</v>
      </c>
      <c r="O11" s="13">
        <f t="shared" si="1"/>
        <v>-5950225.7678837422</v>
      </c>
      <c r="Q11" s="14">
        <v>2031</v>
      </c>
      <c r="R11" s="13">
        <f t="shared" si="2"/>
        <v>1771262152.7022245</v>
      </c>
      <c r="S11" s="13">
        <f t="shared" si="3"/>
        <v>1808271214.125783</v>
      </c>
      <c r="T11" s="13">
        <f t="shared" si="4"/>
        <v>-6288624.6800029185</v>
      </c>
      <c r="U11" s="13">
        <f t="shared" si="5"/>
        <v>-1249820.1901097524</v>
      </c>
      <c r="V11" s="13">
        <f t="shared" si="10"/>
        <v>-37009061.423558474</v>
      </c>
      <c r="W11" s="13">
        <f t="shared" si="11"/>
        <v>-5038804.4898931663</v>
      </c>
      <c r="AA11" s="14">
        <v>2031</v>
      </c>
      <c r="AB11" s="5">
        <f t="shared" si="6"/>
        <v>-43703277.50746274</v>
      </c>
      <c r="AC11" s="53">
        <f t="shared" si="12"/>
        <v>-24909130.806229115</v>
      </c>
      <c r="AD11" s="30">
        <f t="shared" si="13"/>
        <v>-34306204.156845927</v>
      </c>
      <c r="AE11" s="116">
        <f t="shared" si="14"/>
        <v>-29607667.481537521</v>
      </c>
      <c r="AF11" s="30">
        <f t="shared" si="15"/>
        <v>-5950225.7678837422</v>
      </c>
      <c r="AL11" s="7"/>
      <c r="AM11" s="7"/>
    </row>
    <row r="12" spans="2:39">
      <c r="B12" s="14">
        <v>2032</v>
      </c>
      <c r="C12" s="112">
        <v>1699876711.8293834</v>
      </c>
      <c r="D12" s="112">
        <v>1733084397.8406389</v>
      </c>
      <c r="E12" s="112">
        <v>-4891941.494935913</v>
      </c>
      <c r="F12" s="112">
        <v>-1510771.7372282578</v>
      </c>
      <c r="G12" s="13">
        <f t="shared" si="7"/>
        <v>-33207686.011255503</v>
      </c>
      <c r="I12" s="14">
        <v>2032</v>
      </c>
      <c r="J12" s="13">
        <f t="shared" si="8"/>
        <v>2209839725.3781986</v>
      </c>
      <c r="K12" s="13">
        <f t="shared" si="0"/>
        <v>2253009717.1928306</v>
      </c>
      <c r="L12" s="13">
        <f t="shared" si="0"/>
        <v>-6359523.9434166867</v>
      </c>
      <c r="M12" s="13">
        <f t="shared" si="0"/>
        <v>-1964003.2583967352</v>
      </c>
      <c r="N12" s="13">
        <f t="shared" si="9"/>
        <v>-43169991.814631939</v>
      </c>
      <c r="O12" s="13">
        <f t="shared" si="1"/>
        <v>-4395520.6850199513</v>
      </c>
      <c r="Q12" s="14">
        <v>2032</v>
      </c>
      <c r="R12" s="13">
        <f t="shared" si="2"/>
        <v>1832859174.0882714</v>
      </c>
      <c r="S12" s="13">
        <f t="shared" si="3"/>
        <v>1868664719.0036259</v>
      </c>
      <c r="T12" s="13">
        <f t="shared" si="4"/>
        <v>-5274641.2640991108</v>
      </c>
      <c r="U12" s="13">
        <f t="shared" si="5"/>
        <v>-1628960.3941641708</v>
      </c>
      <c r="V12" s="13">
        <f t="shared" si="10"/>
        <v>-35805544.91535449</v>
      </c>
      <c r="W12" s="13">
        <f t="shared" si="11"/>
        <v>-3645680.8699349398</v>
      </c>
      <c r="AA12" s="14">
        <v>2032</v>
      </c>
      <c r="AB12" s="5">
        <f t="shared" si="6"/>
        <v>-43169991.814631939</v>
      </c>
      <c r="AC12" s="53">
        <f t="shared" si="12"/>
        <v>-24343331.250570297</v>
      </c>
      <c r="AD12" s="30">
        <f t="shared" si="13"/>
        <v>-33756661.532601118</v>
      </c>
      <c r="AE12" s="116">
        <f t="shared" si="14"/>
        <v>-29049996.391585708</v>
      </c>
      <c r="AF12" s="30">
        <f t="shared" si="15"/>
        <v>-4395520.6850199513</v>
      </c>
      <c r="AL12" s="7"/>
      <c r="AM12" s="7"/>
    </row>
    <row r="13" spans="2:39">
      <c r="B13" s="14">
        <v>2033</v>
      </c>
      <c r="C13" s="112">
        <v>1797937463.453455</v>
      </c>
      <c r="D13" s="112">
        <v>1832910574.9361742</v>
      </c>
      <c r="E13" s="112">
        <v>-5549250.298229997</v>
      </c>
      <c r="F13" s="112">
        <v>-1506867.7486473722</v>
      </c>
      <c r="G13" s="13">
        <f t="shared" si="7"/>
        <v>-34973111.482719183</v>
      </c>
      <c r="I13" s="14">
        <v>2033</v>
      </c>
      <c r="J13" s="13">
        <f t="shared" si="8"/>
        <v>2337318702.4894915</v>
      </c>
      <c r="K13" s="13">
        <f t="shared" si="0"/>
        <v>2382783747.4170265</v>
      </c>
      <c r="L13" s="13">
        <f t="shared" si="0"/>
        <v>-7214025.3876989968</v>
      </c>
      <c r="M13" s="13">
        <f t="shared" si="0"/>
        <v>-1958928.073241584</v>
      </c>
      <c r="N13" s="13">
        <f t="shared" si="9"/>
        <v>-45465044.927535057</v>
      </c>
      <c r="O13" s="13">
        <f t="shared" si="1"/>
        <v>-5255097.3144574128</v>
      </c>
      <c r="Q13" s="14">
        <v>2033</v>
      </c>
      <c r="R13" s="13">
        <f t="shared" si="2"/>
        <v>1898718199.9771929</v>
      </c>
      <c r="S13" s="13">
        <f t="shared" si="3"/>
        <v>1935651677.7159138</v>
      </c>
      <c r="T13" s="13">
        <f t="shared" si="4"/>
        <v>-5860305.350798944</v>
      </c>
      <c r="U13" s="13">
        <f t="shared" si="5"/>
        <v>-1591333.0009931643</v>
      </c>
      <c r="V13" s="13">
        <f t="shared" si="10"/>
        <v>-36933477.738720894</v>
      </c>
      <c r="W13" s="13">
        <f t="shared" si="11"/>
        <v>-4268972.3498057798</v>
      </c>
      <c r="AA13" s="14">
        <v>2033</v>
      </c>
      <c r="AB13" s="5">
        <f t="shared" si="6"/>
        <v>-45465044.927535057</v>
      </c>
      <c r="AC13" s="53">
        <f t="shared" si="12"/>
        <v>-24237304.789226055</v>
      </c>
      <c r="AD13" s="30">
        <f t="shared" si="13"/>
        <v>-34851174.858380556</v>
      </c>
      <c r="AE13" s="116">
        <f t="shared" si="14"/>
        <v>-29544239.823803306</v>
      </c>
      <c r="AF13" s="30">
        <f t="shared" si="15"/>
        <v>-5255097.3144574128</v>
      </c>
      <c r="AL13" s="7"/>
      <c r="AM13" s="7"/>
    </row>
    <row r="14" spans="2:39">
      <c r="B14" s="14">
        <v>2034</v>
      </c>
      <c r="C14" s="112">
        <v>1905863894.9232817</v>
      </c>
      <c r="D14" s="112">
        <v>1943446299.7313507</v>
      </c>
      <c r="E14" s="112">
        <v>-5554962.1988440733</v>
      </c>
      <c r="F14" s="112">
        <v>-1323006.0245902464</v>
      </c>
      <c r="G14" s="13">
        <f t="shared" si="7"/>
        <v>-37582404.808068991</v>
      </c>
      <c r="I14" s="14">
        <v>2034</v>
      </c>
      <c r="J14" s="13">
        <f t="shared" si="8"/>
        <v>2477623063.4002662</v>
      </c>
      <c r="K14" s="13">
        <f t="shared" si="0"/>
        <v>2526480189.6507559</v>
      </c>
      <c r="L14" s="13">
        <f t="shared" si="0"/>
        <v>-7221450.8584972955</v>
      </c>
      <c r="M14" s="13">
        <f t="shared" si="0"/>
        <v>-1719907.8319673203</v>
      </c>
      <c r="N14" s="13">
        <f t="shared" si="9"/>
        <v>-48857126.250489712</v>
      </c>
      <c r="O14" s="13">
        <f t="shared" si="1"/>
        <v>-5501543.0265299752</v>
      </c>
      <c r="Q14" s="14">
        <v>2034</v>
      </c>
      <c r="R14" s="13">
        <f t="shared" si="2"/>
        <v>1971297050.548229</v>
      </c>
      <c r="S14" s="13">
        <f t="shared" si="3"/>
        <v>2010169754.9150004</v>
      </c>
      <c r="T14" s="13">
        <f t="shared" si="4"/>
        <v>-5745678.1817722749</v>
      </c>
      <c r="U14" s="13">
        <f t="shared" si="5"/>
        <v>-1368428.1868602554</v>
      </c>
      <c r="V14" s="13">
        <f t="shared" si="10"/>
        <v>-38872704.36677146</v>
      </c>
      <c r="W14" s="13">
        <f t="shared" si="11"/>
        <v>-4377249.994912019</v>
      </c>
      <c r="AA14" s="14">
        <v>2034</v>
      </c>
      <c r="AB14" s="5">
        <f t="shared" si="6"/>
        <v>-48857126.250489712</v>
      </c>
      <c r="AC14" s="53">
        <f t="shared" si="12"/>
        <v>-23969915.445742607</v>
      </c>
      <c r="AD14" s="30">
        <f t="shared" si="13"/>
        <v>-36413520.848116159</v>
      </c>
      <c r="AE14" s="116">
        <f t="shared" si="14"/>
        <v>-30191718.146929383</v>
      </c>
      <c r="AF14" s="30">
        <f t="shared" si="15"/>
        <v>-5501543.0265299752</v>
      </c>
      <c r="AL14" s="7"/>
      <c r="AM14" s="7"/>
    </row>
    <row r="15" spans="2:39">
      <c r="B15" s="14">
        <v>2035</v>
      </c>
      <c r="C15" s="112">
        <v>1947547286.3918736</v>
      </c>
      <c r="D15" s="112">
        <v>1984468703.004992</v>
      </c>
      <c r="E15" s="112">
        <v>-5247657.5895027258</v>
      </c>
      <c r="F15" s="112">
        <v>-1522198.8382813009</v>
      </c>
      <c r="G15" s="13">
        <f t="shared" si="7"/>
        <v>-36921416.61311841</v>
      </c>
      <c r="I15" s="14">
        <v>2035</v>
      </c>
      <c r="J15" s="13">
        <f t="shared" si="8"/>
        <v>2531811472.3094358</v>
      </c>
      <c r="K15" s="13">
        <f t="shared" si="0"/>
        <v>2579809313.9064898</v>
      </c>
      <c r="L15" s="13">
        <f t="shared" si="0"/>
        <v>-6821954.8663535435</v>
      </c>
      <c r="M15" s="13">
        <f t="shared" si="0"/>
        <v>-1978858.4897656911</v>
      </c>
      <c r="N15" s="13">
        <f t="shared" si="9"/>
        <v>-47997841.597054005</v>
      </c>
      <c r="O15" s="13">
        <f t="shared" si="1"/>
        <v>-4843096.3765878528</v>
      </c>
      <c r="Q15" s="22">
        <v>2035</v>
      </c>
      <c r="R15" s="23">
        <f t="shared" si="2"/>
        <v>1972978980.2934546</v>
      </c>
      <c r="S15" s="23">
        <f t="shared" si="3"/>
        <v>2010382528.5458295</v>
      </c>
      <c r="T15" s="23">
        <f t="shared" si="4"/>
        <v>-5316183.1767626842</v>
      </c>
      <c r="U15" s="23">
        <f t="shared" si="5"/>
        <v>-1542076.1964245439</v>
      </c>
      <c r="V15" s="23">
        <f t="shared" si="10"/>
        <v>-37403548.252374887</v>
      </c>
      <c r="W15" s="23">
        <f t="shared" si="11"/>
        <v>-3774106.9803381404</v>
      </c>
      <c r="AA15" s="14">
        <v>2035</v>
      </c>
      <c r="AB15" s="5">
        <f t="shared" si="6"/>
        <v>-47997841.597054005</v>
      </c>
      <c r="AC15" s="53">
        <f t="shared" si="12"/>
        <v>-24671559.507014751</v>
      </c>
      <c r="AD15" s="30">
        <f t="shared" si="13"/>
        <v>-36334700.552034378</v>
      </c>
      <c r="AE15" s="116">
        <f t="shared" si="14"/>
        <v>-30503130.029524565</v>
      </c>
      <c r="AF15" s="30">
        <f t="shared" si="15"/>
        <v>-4843096.3765878528</v>
      </c>
      <c r="AL15" s="7"/>
      <c r="AM15" s="7"/>
    </row>
    <row r="16" spans="2:39">
      <c r="B16" s="14">
        <v>2040</v>
      </c>
      <c r="C16" s="112">
        <v>2217813765.7621527</v>
      </c>
      <c r="D16" s="112">
        <v>2261016321.8469653</v>
      </c>
      <c r="E16" s="112">
        <v>-4684091.7815594329</v>
      </c>
      <c r="F16" s="112">
        <v>-680865.46359063406</v>
      </c>
      <c r="G16" s="13">
        <f t="shared" si="7"/>
        <v>-43202556.084812641</v>
      </c>
      <c r="I16" s="14">
        <v>2040</v>
      </c>
      <c r="J16" s="13">
        <f t="shared" si="8"/>
        <v>2883157895.4907985</v>
      </c>
      <c r="K16" s="13">
        <f t="shared" si="0"/>
        <v>2939321218.4010549</v>
      </c>
      <c r="L16" s="13">
        <f>E16*1.3</f>
        <v>-6089319.3160272632</v>
      </c>
      <c r="M16" s="13">
        <f t="shared" si="0"/>
        <v>-885125.10266782425</v>
      </c>
      <c r="N16" s="13">
        <f t="shared" si="9"/>
        <v>-56163322.910256386</v>
      </c>
      <c r="O16" s="13">
        <f t="shared" si="1"/>
        <v>-5204194.2133594388</v>
      </c>
      <c r="Q16" s="22">
        <v>2040</v>
      </c>
      <c r="R16" s="23">
        <f t="shared" si="2"/>
        <v>2025026969.6733274</v>
      </c>
      <c r="S16" s="23">
        <f t="shared" si="3"/>
        <v>2064474078.6150944</v>
      </c>
      <c r="T16" s="23">
        <f t="shared" si="4"/>
        <v>-4276920.0608795797</v>
      </c>
      <c r="U16" s="23">
        <f t="shared" si="5"/>
        <v>-621680.20948158903</v>
      </c>
      <c r="V16" s="23">
        <f t="shared" si="10"/>
        <v>-39447108.941766977</v>
      </c>
      <c r="W16" s="23">
        <f t="shared" si="11"/>
        <v>-3655239.8513979907</v>
      </c>
      <c r="AA16" s="14">
        <v>2036</v>
      </c>
      <c r="AB16" s="5">
        <f>$V$18*1.021^(AA16-Start_Year)</f>
        <v>-50635439.852118738</v>
      </c>
      <c r="AC16" s="53">
        <f t="shared" si="12"/>
        <v>-25638856.856561847</v>
      </c>
      <c r="AD16" s="30">
        <f t="shared" si="13"/>
        <v>-38137148.354340293</v>
      </c>
      <c r="AE16" s="116">
        <f t="shared" si="14"/>
        <v>-31888002.60545107</v>
      </c>
      <c r="AF16" s="30">
        <f t="shared" ref="AF16:AF43" si="16">$W$18*1.021^(AA16-Start_Year)</f>
        <v>-3908899.6044966979</v>
      </c>
      <c r="AL16" s="7"/>
      <c r="AM16" s="7"/>
    </row>
    <row r="17" spans="2:39">
      <c r="B17" s="14">
        <v>2044</v>
      </c>
      <c r="C17" s="112">
        <v>2459556697.2217031</v>
      </c>
      <c r="D17" s="112">
        <v>2506080909.3215685</v>
      </c>
      <c r="E17" s="112">
        <v>-2766338.0719389315</v>
      </c>
      <c r="F17" s="112">
        <v>-956107.67142594012</v>
      </c>
      <c r="G17" s="13">
        <f t="shared" si="7"/>
        <v>-46524212.099865437</v>
      </c>
      <c r="I17" s="14">
        <v>2044</v>
      </c>
      <c r="J17" s="13">
        <f t="shared" si="8"/>
        <v>3197423706.3882141</v>
      </c>
      <c r="K17" s="13">
        <f t="shared" si="0"/>
        <v>3257905182.1180391</v>
      </c>
      <c r="L17" s="13">
        <f t="shared" si="0"/>
        <v>-3596239.493520611</v>
      </c>
      <c r="M17" s="13">
        <f t="shared" si="0"/>
        <v>-1242939.9728537223</v>
      </c>
      <c r="N17" s="13">
        <f t="shared" si="9"/>
        <v>-60481475.72982502</v>
      </c>
      <c r="O17" s="13">
        <f t="shared" si="1"/>
        <v>-2353299.5206668889</v>
      </c>
      <c r="Q17" s="22">
        <v>2044</v>
      </c>
      <c r="R17" s="23">
        <f t="shared" si="2"/>
        <v>2066615140.2984746</v>
      </c>
      <c r="S17" s="23">
        <f t="shared" si="3"/>
        <v>2105706591.7070341</v>
      </c>
      <c r="T17" s="23">
        <f t="shared" si="4"/>
        <v>-2324384.7759683351</v>
      </c>
      <c r="U17" s="23">
        <f t="shared" si="5"/>
        <v>-803358.82956320408</v>
      </c>
      <c r="V17" s="23">
        <f t="shared" si="10"/>
        <v>-39091451.408559561</v>
      </c>
      <c r="W17" s="23">
        <f t="shared" si="11"/>
        <v>-1521025.9464051309</v>
      </c>
      <c r="AA17" s="14">
        <v>2037</v>
      </c>
      <c r="AB17" s="5">
        <f>$V$18*1.021^(AA17-Start_Year)</f>
        <v>-51698784.089013234</v>
      </c>
      <c r="AC17" s="53">
        <f t="shared" si="12"/>
        <v>-26177272.850549646</v>
      </c>
      <c r="AD17" s="30">
        <f t="shared" si="13"/>
        <v>-38938028.469781443</v>
      </c>
      <c r="AE17" s="116">
        <f t="shared" si="14"/>
        <v>-32557650.660165541</v>
      </c>
      <c r="AF17" s="30">
        <f t="shared" si="16"/>
        <v>-3990986.4961911282</v>
      </c>
      <c r="AL17" s="7"/>
      <c r="AM17" s="7"/>
    </row>
    <row r="18" spans="2:39">
      <c r="R18" s="21">
        <f t="shared" ref="R18:U18" si="17">AVERAGE(R15:R17)</f>
        <v>2021540363.4217522</v>
      </c>
      <c r="S18" s="21">
        <f>AVERAGE(S15:S17)</f>
        <v>2060187732.955986</v>
      </c>
      <c r="T18" s="21">
        <f t="shared" si="17"/>
        <v>-3972496.0045368667</v>
      </c>
      <c r="U18" s="21">
        <f t="shared" si="17"/>
        <v>-989038.4118231124</v>
      </c>
      <c r="V18" s="21">
        <f>AVERAGE(V15:V17)</f>
        <v>-38647369.534233809</v>
      </c>
      <c r="W18" s="21">
        <f>AVERAGE(W15:W17)</f>
        <v>-2983457.5927137542</v>
      </c>
      <c r="AA18" s="14">
        <v>2038</v>
      </c>
      <c r="AB18" s="5">
        <f>$V$18*1.021^(AA18-Start_Year)</f>
        <v>-52784458.554882497</v>
      </c>
      <c r="AC18" s="53">
        <f t="shared" si="12"/>
        <v>-26726995.580411181</v>
      </c>
      <c r="AD18" s="30">
        <f t="shared" si="13"/>
        <v>-39755727.067646839</v>
      </c>
      <c r="AE18" s="116">
        <f t="shared" si="14"/>
        <v>-33241361.32402901</v>
      </c>
      <c r="AF18" s="30">
        <f t="shared" si="16"/>
        <v>-4074797.2126111411</v>
      </c>
      <c r="AL18" s="7"/>
      <c r="AM18" s="7"/>
    </row>
    <row r="19" spans="2:39">
      <c r="V19" s="21"/>
      <c r="AA19" s="14">
        <v>2039</v>
      </c>
      <c r="AB19" s="5">
        <f>$V$18*1.021^(AA19-Start_Year)</f>
        <v>-53892932.184535027</v>
      </c>
      <c r="AC19" s="53">
        <f t="shared" si="12"/>
        <v>-27288262.487599816</v>
      </c>
      <c r="AD19" s="30">
        <f t="shared" si="13"/>
        <v>-40590597.336067423</v>
      </c>
      <c r="AE19" s="116">
        <f t="shared" si="14"/>
        <v>-33939429.911833622</v>
      </c>
      <c r="AF19" s="30">
        <f t="shared" si="16"/>
        <v>-4160367.9540759753</v>
      </c>
      <c r="AL19" s="7"/>
      <c r="AM19" s="7"/>
    </row>
    <row r="20" spans="2:39">
      <c r="AA20" s="14">
        <v>2040</v>
      </c>
      <c r="AB20" s="5">
        <f>V16</f>
        <v>-39447108.941766977</v>
      </c>
      <c r="AC20" s="53">
        <f t="shared" si="12"/>
        <v>-27861315.99983941</v>
      </c>
      <c r="AD20" s="30">
        <f t="shared" si="13"/>
        <v>-33654212.470803194</v>
      </c>
      <c r="AE20" s="116">
        <f t="shared" si="14"/>
        <v>-30757764.235321302</v>
      </c>
      <c r="AF20" s="30">
        <f t="shared" si="16"/>
        <v>-4247735.6811115704</v>
      </c>
      <c r="AL20" s="7"/>
      <c r="AM20" s="7"/>
    </row>
    <row r="21" spans="2:39">
      <c r="AA21" s="14">
        <v>2041</v>
      </c>
      <c r="AB21" s="5">
        <f>$V$18*1.021^(AA21-Start_Year)</f>
        <v>-56180202.119378865</v>
      </c>
      <c r="AC21" s="53">
        <f t="shared" si="12"/>
        <v>-28446403.635836031</v>
      </c>
      <c r="AD21" s="30">
        <f t="shared" si="13"/>
        <v>-42313302.87760745</v>
      </c>
      <c r="AE21" s="116">
        <f t="shared" si="14"/>
        <v>-35379853.256721742</v>
      </c>
      <c r="AF21" s="30">
        <f t="shared" si="16"/>
        <v>-4336938.1304149125</v>
      </c>
      <c r="AL21" s="7"/>
      <c r="AM21" s="7"/>
    </row>
    <row r="22" spans="2:39">
      <c r="B22" s="15" t="s">
        <v>131</v>
      </c>
      <c r="C22" s="172" t="s">
        <v>191</v>
      </c>
      <c r="D22" s="172"/>
      <c r="AA22" s="14">
        <v>2042</v>
      </c>
      <c r="AB22" s="5">
        <f>$V$18*1.021^(AA22-Start_Year)</f>
        <v>-57359986.36388582</v>
      </c>
      <c r="AC22" s="53">
        <f t="shared" si="12"/>
        <v>-29043778.112188589</v>
      </c>
      <c r="AD22" s="30">
        <f t="shared" si="13"/>
        <v>-43201882.238037206</v>
      </c>
      <c r="AE22" s="116">
        <f t="shared" si="14"/>
        <v>-36122830.175112896</v>
      </c>
      <c r="AF22" s="30">
        <f t="shared" si="16"/>
        <v>-4428013.8311536256</v>
      </c>
      <c r="AL22" s="7"/>
      <c r="AM22" s="7"/>
    </row>
    <row r="23" spans="2:39" ht="51">
      <c r="B23" s="11" t="s">
        <v>60</v>
      </c>
      <c r="C23" s="11" t="s">
        <v>153</v>
      </c>
      <c r="D23" s="11" t="s">
        <v>62</v>
      </c>
      <c r="E23" s="11" t="s">
        <v>65</v>
      </c>
      <c r="I23" s="11" t="s">
        <v>66</v>
      </c>
      <c r="J23" s="11" t="s">
        <v>61</v>
      </c>
      <c r="K23" s="11" t="s">
        <v>62</v>
      </c>
      <c r="L23" s="11" t="s">
        <v>65</v>
      </c>
      <c r="Q23" s="11" t="s">
        <v>68</v>
      </c>
      <c r="R23" s="11" t="s">
        <v>61</v>
      </c>
      <c r="S23" s="11" t="s">
        <v>62</v>
      </c>
      <c r="T23" s="11" t="s">
        <v>65</v>
      </c>
      <c r="AA23" s="14">
        <v>2043</v>
      </c>
      <c r="AB23" s="5">
        <f>$V$18*1.021^(AA23-Start_Year)</f>
        <v>-58564546.077527411</v>
      </c>
      <c r="AC23" s="53">
        <f t="shared" si="12"/>
        <v>-29653697.45254454</v>
      </c>
      <c r="AD23" s="30">
        <f t="shared" si="13"/>
        <v>-44109121.765035972</v>
      </c>
      <c r="AE23" s="116">
        <f t="shared" si="14"/>
        <v>-36881409.608790256</v>
      </c>
      <c r="AF23" s="30">
        <f t="shared" si="16"/>
        <v>-4521002.1216078503</v>
      </c>
      <c r="AL23" s="7"/>
      <c r="AM23" s="7"/>
    </row>
    <row r="24" spans="2:39">
      <c r="B24" s="12">
        <v>2024</v>
      </c>
      <c r="C24" s="112">
        <v>1417008011.1317546</v>
      </c>
      <c r="D24" s="112">
        <v>1429687880.7611349</v>
      </c>
      <c r="E24" s="13">
        <f>C24-D24</f>
        <v>-12679869.629380226</v>
      </c>
      <c r="I24" s="12">
        <v>2024</v>
      </c>
      <c r="J24" s="13">
        <f>C24*1.3</f>
        <v>1842110414.4712811</v>
      </c>
      <c r="K24" s="13">
        <f t="shared" ref="K24:K37" si="18">D24*1.3</f>
        <v>1858594244.9894755</v>
      </c>
      <c r="L24" s="13">
        <f t="shared" ref="L24:L37" si="19">J24-K24</f>
        <v>-16483830.518194437</v>
      </c>
      <c r="Q24" s="12">
        <v>2024</v>
      </c>
      <c r="R24" s="13">
        <f t="shared" ref="R24:R37" si="20">J24/1.021^($I24-Start_Year)</f>
        <v>1804221757.5624692</v>
      </c>
      <c r="S24" s="13">
        <f t="shared" ref="S24:S37" si="21">K24/1.021^($I24-Start_Year)</f>
        <v>1820366547.4921408</v>
      </c>
      <c r="T24" s="13">
        <f t="shared" ref="T24:T37" si="22">R24-S24</f>
        <v>-16144789.929671526</v>
      </c>
      <c r="AA24" s="14">
        <v>2044</v>
      </c>
      <c r="AB24" s="5">
        <f>V17</f>
        <v>-39091451.408559561</v>
      </c>
      <c r="AC24" s="53">
        <f t="shared" si="12"/>
        <v>-30276425.099047974</v>
      </c>
      <c r="AD24" s="30">
        <f t="shared" si="13"/>
        <v>-34683938.253803767</v>
      </c>
      <c r="AE24" s="116">
        <f t="shared" si="14"/>
        <v>-32480181.676425871</v>
      </c>
      <c r="AF24" s="30">
        <f t="shared" si="16"/>
        <v>-4615943.1661616154</v>
      </c>
      <c r="AL24" s="7"/>
      <c r="AM24" s="7"/>
    </row>
    <row r="25" spans="2:39">
      <c r="B25" s="12">
        <v>2025</v>
      </c>
      <c r="C25" s="112">
        <v>1387788504.3372815</v>
      </c>
      <c r="D25" s="112">
        <v>1398998227.2648606</v>
      </c>
      <c r="E25" s="13">
        <f t="shared" ref="E25:E37" si="23">C25-D25</f>
        <v>-11209722.927579165</v>
      </c>
      <c r="I25" s="12">
        <v>2025</v>
      </c>
      <c r="J25" s="13">
        <f t="shared" ref="J25:J37" si="24">C25*1.3</f>
        <v>1804125055.6384659</v>
      </c>
      <c r="K25" s="13">
        <f t="shared" si="18"/>
        <v>1818697695.4443188</v>
      </c>
      <c r="L25" s="13">
        <f t="shared" si="19"/>
        <v>-14572639.80585289</v>
      </c>
      <c r="Q25" s="12">
        <v>2025</v>
      </c>
      <c r="R25" s="13">
        <f t="shared" si="20"/>
        <v>1730673539.9302852</v>
      </c>
      <c r="S25" s="13">
        <f t="shared" si="21"/>
        <v>1744652882.459841</v>
      </c>
      <c r="T25" s="13">
        <f t="shared" si="22"/>
        <v>-13979342.529555798</v>
      </c>
      <c r="AA25" s="14">
        <v>2045</v>
      </c>
      <c r="AB25" s="5">
        <f t="shared" ref="AB25:AB43" si="25">$V$18*1.021^(AA25-Start_Year)</f>
        <v>-61050083.977603741</v>
      </c>
      <c r="AC25" s="53">
        <f t="shared" si="12"/>
        <v>-30912230.026127979</v>
      </c>
      <c r="AD25" s="30">
        <f t="shared" si="13"/>
        <v>-45981157.001865864</v>
      </c>
      <c r="AE25" s="116">
        <f t="shared" si="14"/>
        <v>-38446693.513996921</v>
      </c>
      <c r="AF25" s="30">
        <f t="shared" si="16"/>
        <v>-4712877.9726510085</v>
      </c>
      <c r="AL25" s="7"/>
      <c r="AM25" s="7"/>
    </row>
    <row r="26" spans="2:39">
      <c r="B26" s="14">
        <v>2026</v>
      </c>
      <c r="C26" s="112">
        <v>1296187352.235076</v>
      </c>
      <c r="D26" s="112">
        <v>1311516400.3232176</v>
      </c>
      <c r="E26" s="13">
        <f t="shared" si="23"/>
        <v>-15329048.08814168</v>
      </c>
      <c r="I26" s="14">
        <v>2026</v>
      </c>
      <c r="J26" s="13">
        <f t="shared" si="24"/>
        <v>1685043557.9055989</v>
      </c>
      <c r="K26" s="13">
        <f t="shared" si="18"/>
        <v>1704971320.4201829</v>
      </c>
      <c r="L26" s="13">
        <f t="shared" si="19"/>
        <v>-19927762.514584064</v>
      </c>
      <c r="Q26" s="14">
        <v>2026</v>
      </c>
      <c r="R26" s="13">
        <f t="shared" si="20"/>
        <v>1583193162.1826499</v>
      </c>
      <c r="S26" s="13">
        <f t="shared" si="21"/>
        <v>1601916415.4793797</v>
      </c>
      <c r="T26" s="13">
        <f t="shared" si="22"/>
        <v>-18723253.296729803</v>
      </c>
      <c r="AA26" s="14">
        <v>2046</v>
      </c>
      <c r="AB26" s="5">
        <f t="shared" si="25"/>
        <v>-62332135.741133414</v>
      </c>
      <c r="AC26" s="53">
        <f t="shared" si="12"/>
        <v>-31561386.856676664</v>
      </c>
      <c r="AD26" s="30">
        <f t="shared" si="13"/>
        <v>-46946761.298905037</v>
      </c>
      <c r="AE26" s="116">
        <f t="shared" si="14"/>
        <v>-39254074.077790849</v>
      </c>
      <c r="AF26" s="30">
        <f t="shared" si="16"/>
        <v>-4811848.4100766797</v>
      </c>
      <c r="AL26" s="7"/>
      <c r="AM26" s="7"/>
    </row>
    <row r="27" spans="2:39">
      <c r="B27" s="14">
        <v>2027</v>
      </c>
      <c r="C27" s="112">
        <v>1328213265.6500578</v>
      </c>
      <c r="D27" s="112">
        <v>1346772130.1403935</v>
      </c>
      <c r="E27" s="13">
        <f t="shared" si="23"/>
        <v>-18558864.490335703</v>
      </c>
      <c r="I27" s="14">
        <v>2027</v>
      </c>
      <c r="J27" s="13">
        <f t="shared" si="24"/>
        <v>1726677245.3450751</v>
      </c>
      <c r="K27" s="13">
        <f t="shared" si="18"/>
        <v>1750803769.1825116</v>
      </c>
      <c r="L27" s="13">
        <f t="shared" si="19"/>
        <v>-24126523.837436438</v>
      </c>
      <c r="Q27" s="14">
        <v>2027</v>
      </c>
      <c r="R27" s="13">
        <f t="shared" si="20"/>
        <v>1588942558.6049159</v>
      </c>
      <c r="S27" s="13">
        <f t="shared" si="21"/>
        <v>1611144542.5714314</v>
      </c>
      <c r="T27" s="13">
        <f t="shared" si="22"/>
        <v>-22201983.966515541</v>
      </c>
      <c r="AA27" s="14">
        <v>2047</v>
      </c>
      <c r="AB27" s="5">
        <f t="shared" si="25"/>
        <v>-63641110.591697201</v>
      </c>
      <c r="AC27" s="53">
        <f t="shared" si="12"/>
        <v>-32224175.980666868</v>
      </c>
      <c r="AD27" s="30">
        <f t="shared" si="13"/>
        <v>-47932643.286182031</v>
      </c>
      <c r="AE27" s="116">
        <f t="shared" si="14"/>
        <v>-40078409.633424453</v>
      </c>
      <c r="AF27" s="30">
        <f t="shared" si="16"/>
        <v>-4912897.2266882882</v>
      </c>
      <c r="AL27" s="7"/>
      <c r="AM27" s="7"/>
    </row>
    <row r="28" spans="2:39">
      <c r="B28" s="14">
        <v>2028</v>
      </c>
      <c r="C28" s="112">
        <v>1395893607.885205</v>
      </c>
      <c r="D28" s="112">
        <v>1413278940.0270109</v>
      </c>
      <c r="E28" s="13">
        <f t="shared" si="23"/>
        <v>-17385332.141805887</v>
      </c>
      <c r="I28" s="14">
        <v>2028</v>
      </c>
      <c r="J28" s="13">
        <f t="shared" si="24"/>
        <v>1814661690.2507665</v>
      </c>
      <c r="K28" s="13">
        <f t="shared" si="18"/>
        <v>1837262622.0351143</v>
      </c>
      <c r="L28" s="13">
        <f t="shared" si="19"/>
        <v>-22600931.784347773</v>
      </c>
      <c r="Q28" s="14">
        <v>2028</v>
      </c>
      <c r="R28" s="13">
        <f t="shared" si="20"/>
        <v>1635561806.513001</v>
      </c>
      <c r="S28" s="13">
        <f t="shared" si="21"/>
        <v>1655932116.3160236</v>
      </c>
      <c r="T28" s="13">
        <f t="shared" si="22"/>
        <v>-20370309.803022623</v>
      </c>
      <c r="AA28" s="14">
        <v>2048</v>
      </c>
      <c r="AB28" s="5">
        <f t="shared" si="25"/>
        <v>-64977573.914122835</v>
      </c>
      <c r="AC28" s="53">
        <f t="shared" si="12"/>
        <v>-32900883.676260866</v>
      </c>
      <c r="AD28" s="30">
        <f t="shared" si="13"/>
        <v>-48939228.795191854</v>
      </c>
      <c r="AE28" s="116">
        <f t="shared" si="14"/>
        <v>-40920056.235726357</v>
      </c>
      <c r="AF28" s="30">
        <f t="shared" si="16"/>
        <v>-5016068.0684487419</v>
      </c>
      <c r="AL28" s="7"/>
      <c r="AM28" s="7"/>
    </row>
    <row r="29" spans="2:39">
      <c r="B29" s="14">
        <v>2029</v>
      </c>
      <c r="C29" s="112">
        <v>1502492315.5071518</v>
      </c>
      <c r="D29" s="112">
        <v>1521202933.3451977</v>
      </c>
      <c r="E29" s="13">
        <f t="shared" si="23"/>
        <v>-18710617.838045835</v>
      </c>
      <c r="I29" s="14">
        <v>2029</v>
      </c>
      <c r="J29" s="13">
        <f t="shared" si="24"/>
        <v>1953240010.1592975</v>
      </c>
      <c r="K29" s="13">
        <f t="shared" si="18"/>
        <v>1977563813.348757</v>
      </c>
      <c r="L29" s="13">
        <f t="shared" si="19"/>
        <v>-24323803.189459562</v>
      </c>
      <c r="Q29" s="14">
        <v>2029</v>
      </c>
      <c r="R29" s="13">
        <f t="shared" si="20"/>
        <v>1724253670.9081738</v>
      </c>
      <c r="S29" s="13">
        <f t="shared" si="21"/>
        <v>1745725894.8651533</v>
      </c>
      <c r="T29" s="13">
        <f t="shared" si="22"/>
        <v>-21472223.956979513</v>
      </c>
      <c r="AA29" s="14">
        <v>2049</v>
      </c>
      <c r="AB29" s="5">
        <f t="shared" si="25"/>
        <v>-66342102.966319405</v>
      </c>
      <c r="AC29" s="53">
        <f t="shared" si="12"/>
        <v>-33591802.233462341</v>
      </c>
      <c r="AD29" s="30">
        <f t="shared" si="13"/>
        <v>-49966952.599890873</v>
      </c>
      <c r="AE29" s="116">
        <f t="shared" si="14"/>
        <v>-41779377.416676611</v>
      </c>
      <c r="AF29" s="30">
        <f t="shared" si="16"/>
        <v>-5121405.497886165</v>
      </c>
      <c r="AL29" s="7"/>
      <c r="AM29" s="7"/>
    </row>
    <row r="30" spans="2:39">
      <c r="B30" s="14">
        <v>2030</v>
      </c>
      <c r="C30" s="112">
        <v>1555958271.2535205</v>
      </c>
      <c r="D30" s="112">
        <v>1574663962.9433246</v>
      </c>
      <c r="E30" s="13">
        <f t="shared" si="23"/>
        <v>-18705691.689804077</v>
      </c>
      <c r="I30" s="14">
        <v>2030</v>
      </c>
      <c r="J30" s="13">
        <f t="shared" si="24"/>
        <v>2022745752.6295767</v>
      </c>
      <c r="K30" s="13">
        <f t="shared" si="18"/>
        <v>2047063151.8263221</v>
      </c>
      <c r="L30" s="13">
        <f t="shared" si="19"/>
        <v>-24317399.196745396</v>
      </c>
      <c r="Q30" s="14">
        <v>2030</v>
      </c>
      <c r="R30" s="13">
        <f t="shared" si="20"/>
        <v>1748884397.7005663</v>
      </c>
      <c r="S30" s="13">
        <f t="shared" si="21"/>
        <v>1769909442.4905787</v>
      </c>
      <c r="T30" s="13">
        <f t="shared" si="22"/>
        <v>-21025044.79001236</v>
      </c>
      <c r="AA30" s="14">
        <v>2050</v>
      </c>
      <c r="AB30" s="5">
        <f t="shared" si="25"/>
        <v>-67735287.128612116</v>
      </c>
      <c r="AC30" s="53">
        <f t="shared" si="12"/>
        <v>-34297230.080365054</v>
      </c>
      <c r="AD30" s="30">
        <f t="shared" si="13"/>
        <v>-51016258.604488581</v>
      </c>
      <c r="AE30" s="116">
        <f t="shared" si="14"/>
        <v>-42656744.342426822</v>
      </c>
      <c r="AF30" s="30">
        <f t="shared" si="16"/>
        <v>-5228955.0133417742</v>
      </c>
      <c r="AL30" s="7"/>
      <c r="AM30" s="7"/>
    </row>
    <row r="31" spans="2:39">
      <c r="B31" s="14">
        <v>2031</v>
      </c>
      <c r="C31" s="112">
        <v>1645982838.1674378</v>
      </c>
      <c r="D31" s="112">
        <v>1665143708.018383</v>
      </c>
      <c r="E31" s="13">
        <f t="shared" si="23"/>
        <v>-19160869.850945234</v>
      </c>
      <c r="I31" s="14">
        <v>2031</v>
      </c>
      <c r="J31" s="13">
        <f t="shared" si="24"/>
        <v>2139777689.6176691</v>
      </c>
      <c r="K31" s="13">
        <f t="shared" si="18"/>
        <v>2164686820.4238982</v>
      </c>
      <c r="L31" s="13">
        <f t="shared" si="19"/>
        <v>-24909130.806229115</v>
      </c>
      <c r="Q31" s="14">
        <v>2031</v>
      </c>
      <c r="R31" s="13">
        <f t="shared" si="20"/>
        <v>1812018879.6892383</v>
      </c>
      <c r="S31" s="13">
        <f t="shared" si="21"/>
        <v>1833112573.4484255</v>
      </c>
      <c r="T31" s="13">
        <f t="shared" si="22"/>
        <v>-21093693.759187222</v>
      </c>
      <c r="AA31" s="14">
        <v>2051</v>
      </c>
      <c r="AB31" s="5">
        <f t="shared" si="25"/>
        <v>-69157728.158312947</v>
      </c>
      <c r="AC31" s="53">
        <f t="shared" si="12"/>
        <v>-35017471.912052706</v>
      </c>
      <c r="AD31" s="30">
        <f t="shared" si="13"/>
        <v>-52087600.035182826</v>
      </c>
      <c r="AE31" s="116">
        <f t="shared" si="14"/>
        <v>-43552535.973617762</v>
      </c>
      <c r="AF31" s="30">
        <f t="shared" si="16"/>
        <v>-5338763.0686219502</v>
      </c>
      <c r="AL31" s="7"/>
      <c r="AM31" s="7"/>
    </row>
    <row r="32" spans="2:39">
      <c r="B32" s="14">
        <v>2032</v>
      </c>
      <c r="C32" s="112">
        <v>1744826751.9306295</v>
      </c>
      <c r="D32" s="112">
        <v>1763552391.3541453</v>
      </c>
      <c r="E32" s="13">
        <f t="shared" si="23"/>
        <v>-18725639.423515797</v>
      </c>
      <c r="I32" s="14">
        <v>2032</v>
      </c>
      <c r="J32" s="13">
        <f t="shared" si="24"/>
        <v>2268274777.5098186</v>
      </c>
      <c r="K32" s="13">
        <f t="shared" si="18"/>
        <v>2292618108.7603889</v>
      </c>
      <c r="L32" s="13">
        <f t="shared" si="19"/>
        <v>-24343331.250570297</v>
      </c>
      <c r="Q32" s="14">
        <v>2032</v>
      </c>
      <c r="R32" s="13">
        <f t="shared" si="20"/>
        <v>1881325685.1016145</v>
      </c>
      <c r="S32" s="13">
        <f t="shared" si="21"/>
        <v>1901516243.4928308</v>
      </c>
      <c r="T32" s="13">
        <f t="shared" si="22"/>
        <v>-20190558.391216278</v>
      </c>
      <c r="AA32" s="14">
        <v>2052</v>
      </c>
      <c r="AB32" s="5">
        <f t="shared" si="25"/>
        <v>-70610040.449637502</v>
      </c>
      <c r="AC32" s="53">
        <f t="shared" si="12"/>
        <v>-35752838.822205804</v>
      </c>
      <c r="AD32" s="30">
        <f t="shared" si="13"/>
        <v>-53181439.635921657</v>
      </c>
      <c r="AE32" s="116">
        <f t="shared" si="14"/>
        <v>-44467139.229063727</v>
      </c>
      <c r="AF32" s="30">
        <f t="shared" si="16"/>
        <v>-5450877.0930630099</v>
      </c>
      <c r="AL32" s="7"/>
      <c r="AM32" s="7"/>
    </row>
    <row r="33" spans="2:39">
      <c r="B33" s="14">
        <v>2033</v>
      </c>
      <c r="C33" s="112">
        <v>1839243315.1204317</v>
      </c>
      <c r="D33" s="112">
        <v>1857887395.7275288</v>
      </c>
      <c r="E33" s="13">
        <f t="shared" si="23"/>
        <v>-18644080.607097149</v>
      </c>
      <c r="I33" s="14">
        <v>2033</v>
      </c>
      <c r="J33" s="13">
        <f t="shared" si="24"/>
        <v>2391016309.6565614</v>
      </c>
      <c r="K33" s="13">
        <f t="shared" si="18"/>
        <v>2415253614.4457874</v>
      </c>
      <c r="L33" s="13">
        <f t="shared" si="19"/>
        <v>-24237304.789226055</v>
      </c>
      <c r="Q33" s="14">
        <v>2033</v>
      </c>
      <c r="R33" s="13">
        <f t="shared" si="20"/>
        <v>1942339390.324383</v>
      </c>
      <c r="S33" s="13">
        <f t="shared" si="21"/>
        <v>1962028537.4110348</v>
      </c>
      <c r="T33" s="13">
        <f t="shared" si="22"/>
        <v>-19689147.086651802</v>
      </c>
      <c r="AA33" s="14">
        <v>2053</v>
      </c>
      <c r="AB33" s="5">
        <f t="shared" si="25"/>
        <v>-72092851.299079895</v>
      </c>
      <c r="AC33" s="53">
        <f t="shared" si="12"/>
        <v>-36503648.437472135</v>
      </c>
      <c r="AD33" s="30">
        <f t="shared" si="13"/>
        <v>-54298249.868276015</v>
      </c>
      <c r="AE33" s="116">
        <f t="shared" si="14"/>
        <v>-45400949.152874075</v>
      </c>
      <c r="AF33" s="30">
        <f t="shared" si="16"/>
        <v>-5565345.5120173339</v>
      </c>
      <c r="AL33" s="7"/>
      <c r="AM33" s="7"/>
    </row>
    <row r="34" spans="2:39">
      <c r="B34" s="14">
        <v>2034</v>
      </c>
      <c r="C34" s="112">
        <v>1955857532.9954069</v>
      </c>
      <c r="D34" s="112">
        <v>1974295929.4921322</v>
      </c>
      <c r="E34" s="13">
        <f t="shared" si="23"/>
        <v>-18438396.496725321</v>
      </c>
      <c r="I34" s="14">
        <v>2034</v>
      </c>
      <c r="J34" s="13">
        <f t="shared" si="24"/>
        <v>2542614792.8940291</v>
      </c>
      <c r="K34" s="13">
        <f t="shared" si="18"/>
        <v>2566584708.3397717</v>
      </c>
      <c r="L34" s="13">
        <f t="shared" si="19"/>
        <v>-23969915.445742607</v>
      </c>
      <c r="Q34" s="14">
        <v>2034</v>
      </c>
      <c r="R34" s="13">
        <f t="shared" si="20"/>
        <v>2023007097.3885484</v>
      </c>
      <c r="S34" s="13">
        <f t="shared" si="21"/>
        <v>2042078530.9403636</v>
      </c>
      <c r="T34" s="13">
        <f t="shared" si="22"/>
        <v>-19071433.551815271</v>
      </c>
      <c r="AA34" s="14">
        <v>2054</v>
      </c>
      <c r="AB34" s="5">
        <f t="shared" si="25"/>
        <v>-73606801.176360562</v>
      </c>
      <c r="AC34" s="53">
        <f t="shared" si="12"/>
        <v>-37270225.054659039</v>
      </c>
      <c r="AD34" s="30">
        <f t="shared" si="13"/>
        <v>-55438513.115509801</v>
      </c>
      <c r="AE34" s="116">
        <f t="shared" si="14"/>
        <v>-46354369.085084423</v>
      </c>
      <c r="AF34" s="30">
        <f t="shared" si="16"/>
        <v>-5682217.7677696962</v>
      </c>
      <c r="AL34" s="7"/>
      <c r="AM34" s="7"/>
    </row>
    <row r="35" spans="2:39">
      <c r="B35" s="14">
        <v>2035</v>
      </c>
      <c r="C35" s="112">
        <v>2003147234.4533501</v>
      </c>
      <c r="D35" s="112">
        <v>2022125357.1510537</v>
      </c>
      <c r="E35" s="13">
        <f t="shared" si="23"/>
        <v>-18978122.6977036</v>
      </c>
      <c r="I35" s="14">
        <v>2035</v>
      </c>
      <c r="J35" s="13">
        <f t="shared" si="24"/>
        <v>2604091404.7893553</v>
      </c>
      <c r="K35" s="13">
        <f t="shared" si="18"/>
        <v>2628762964.29637</v>
      </c>
      <c r="L35" s="13">
        <f t="shared" si="19"/>
        <v>-24671559.507014751</v>
      </c>
      <c r="Q35" s="22">
        <v>2035</v>
      </c>
      <c r="R35" s="23">
        <f t="shared" si="20"/>
        <v>2029304970.217906</v>
      </c>
      <c r="S35" s="23">
        <f t="shared" si="21"/>
        <v>2048530915.2974572</v>
      </c>
      <c r="T35" s="23">
        <f t="shared" si="22"/>
        <v>-19225945.07955122</v>
      </c>
      <c r="AA35" s="14">
        <v>2055</v>
      </c>
      <c r="AB35" s="5">
        <f t="shared" si="25"/>
        <v>-75152544.001064122</v>
      </c>
      <c r="AC35" s="53">
        <f t="shared" si="12"/>
        <v>-38052899.780806877</v>
      </c>
      <c r="AD35" s="30">
        <f t="shared" si="13"/>
        <v>-56602721.890935495</v>
      </c>
      <c r="AE35" s="116">
        <f t="shared" si="14"/>
        <v>-47327810.83587119</v>
      </c>
      <c r="AF35" s="30">
        <f t="shared" si="16"/>
        <v>-5801544.3408928597</v>
      </c>
      <c r="AL35" s="7"/>
      <c r="AM35" s="7"/>
    </row>
    <row r="36" spans="2:39">
      <c r="B36" s="14">
        <v>2040</v>
      </c>
      <c r="C36" s="112">
        <v>2275969921.6007943</v>
      </c>
      <c r="D36" s="112">
        <v>2298174606.0078344</v>
      </c>
      <c r="E36" s="13">
        <f t="shared" si="23"/>
        <v>-22204684.407040119</v>
      </c>
      <c r="I36" s="14">
        <v>2040</v>
      </c>
      <c r="J36" s="13">
        <f t="shared" si="24"/>
        <v>2958760898.0810328</v>
      </c>
      <c r="K36" s="13">
        <f t="shared" si="18"/>
        <v>2987626987.810185</v>
      </c>
      <c r="L36" s="13">
        <f t="shared" si="19"/>
        <v>-28866089.729152203</v>
      </c>
      <c r="Q36" s="22">
        <v>2040</v>
      </c>
      <c r="R36" s="23">
        <f t="shared" si="20"/>
        <v>2078127814.2274704</v>
      </c>
      <c r="S36" s="23">
        <f t="shared" si="21"/>
        <v>2098402323.0575159</v>
      </c>
      <c r="T36" s="23">
        <f t="shared" si="22"/>
        <v>-20274508.830045462</v>
      </c>
      <c r="AA36" s="14">
        <v>2056</v>
      </c>
      <c r="AB36" s="5">
        <f t="shared" si="25"/>
        <v>-76730747.425086468</v>
      </c>
      <c r="AC36" s="53">
        <f t="shared" si="12"/>
        <v>-38852010.676203817</v>
      </c>
      <c r="AD36" s="30">
        <f t="shared" si="13"/>
        <v>-57791379.050645143</v>
      </c>
      <c r="AE36" s="116">
        <f t="shared" si="14"/>
        <v>-48321694.86342448</v>
      </c>
      <c r="AF36" s="30">
        <f t="shared" si="16"/>
        <v>-5923376.7720516091</v>
      </c>
      <c r="AL36" s="7"/>
      <c r="AM36" s="7"/>
    </row>
    <row r="37" spans="2:39">
      <c r="B37" s="14">
        <v>2044</v>
      </c>
      <c r="C37" s="112">
        <v>2511517212.1311245</v>
      </c>
      <c r="D37" s="112">
        <v>2534374904.019628</v>
      </c>
      <c r="E37" s="13">
        <f t="shared" si="23"/>
        <v>-22857691.888503551</v>
      </c>
      <c r="I37" s="14">
        <v>2044</v>
      </c>
      <c r="J37" s="13">
        <f t="shared" si="24"/>
        <v>3264972375.770462</v>
      </c>
      <c r="K37" s="13">
        <f t="shared" si="18"/>
        <v>3294687375.2255168</v>
      </c>
      <c r="L37" s="13">
        <f t="shared" si="19"/>
        <v>-29714999.45505476</v>
      </c>
      <c r="Q37" s="22">
        <v>2044</v>
      </c>
      <c r="R37" s="23">
        <f t="shared" si="20"/>
        <v>2110274384.6374295</v>
      </c>
      <c r="S37" s="23">
        <f t="shared" si="21"/>
        <v>2129480305.8436446</v>
      </c>
      <c r="T37" s="23">
        <f t="shared" si="22"/>
        <v>-19205921.206215143</v>
      </c>
      <c r="AA37" s="14">
        <v>2057</v>
      </c>
      <c r="AB37" s="5">
        <f t="shared" si="25"/>
        <v>-78342093.121013269</v>
      </c>
      <c r="AC37" s="53">
        <f t="shared" si="12"/>
        <v>-39667902.900404088</v>
      </c>
      <c r="AD37" s="30">
        <f t="shared" si="13"/>
        <v>-59004998.010708675</v>
      </c>
      <c r="AE37" s="116">
        <f t="shared" si="14"/>
        <v>-49336450.455556385</v>
      </c>
      <c r="AF37" s="30">
        <f t="shared" si="16"/>
        <v>-6047767.6842646915</v>
      </c>
      <c r="AL37" s="7"/>
      <c r="AM37" s="7"/>
    </row>
    <row r="38" spans="2:39">
      <c r="R38" s="21">
        <f t="shared" ref="R38" si="26">AVERAGE(R35:R37)</f>
        <v>2072569056.3609352</v>
      </c>
      <c r="S38" s="21">
        <f>AVERAGE(S35:S37)</f>
        <v>2092137848.066206</v>
      </c>
      <c r="T38" s="21">
        <f>AVERAGE(T35:T37)</f>
        <v>-19568791.705270607</v>
      </c>
      <c r="AA38" s="14">
        <v>2058</v>
      </c>
      <c r="AB38" s="5">
        <f t="shared" si="25"/>
        <v>-79987277.076554537</v>
      </c>
      <c r="AC38" s="53">
        <f t="shared" si="12"/>
        <v>-40500928.861312576</v>
      </c>
      <c r="AD38" s="30">
        <f t="shared" si="13"/>
        <v>-60244102.968933553</v>
      </c>
      <c r="AE38" s="116">
        <f t="shared" si="14"/>
        <v>-50372515.915123068</v>
      </c>
      <c r="AF38" s="30">
        <f t="shared" si="16"/>
        <v>-6174770.8056342499</v>
      </c>
      <c r="AL38" s="7"/>
      <c r="AM38" s="7"/>
    </row>
    <row r="39" spans="2:39">
      <c r="AA39" s="14">
        <v>2059</v>
      </c>
      <c r="AB39" s="5">
        <f t="shared" si="25"/>
        <v>-81667009.89516218</v>
      </c>
      <c r="AC39" s="53">
        <f t="shared" si="12"/>
        <v>-41351448.367400132</v>
      </c>
      <c r="AD39" s="30">
        <f t="shared" si="13"/>
        <v>-61509229.131281152</v>
      </c>
      <c r="AE39" s="116">
        <f t="shared" si="14"/>
        <v>-51430338.749340646</v>
      </c>
      <c r="AF39" s="30">
        <f t="shared" si="16"/>
        <v>-6304440.9925525682</v>
      </c>
      <c r="AL39" s="7"/>
      <c r="AM39" s="7"/>
    </row>
    <row r="40" spans="2:39">
      <c r="AA40" s="14">
        <v>2060</v>
      </c>
      <c r="AB40" s="5">
        <f t="shared" si="25"/>
        <v>-83382017.102960572</v>
      </c>
      <c r="AC40" s="53">
        <f t="shared" si="12"/>
        <v>-42219828.783115529</v>
      </c>
      <c r="AD40" s="30">
        <f t="shared" si="13"/>
        <v>-62800922.943038046</v>
      </c>
      <c r="AE40" s="116">
        <f t="shared" si="14"/>
        <v>-52510375.863076791</v>
      </c>
      <c r="AF40" s="30">
        <f t="shared" si="16"/>
        <v>-6436834.2533961711</v>
      </c>
      <c r="AL40" s="7"/>
      <c r="AM40" s="7"/>
    </row>
    <row r="41" spans="2:39" ht="30">
      <c r="I41" s="19" t="s">
        <v>52</v>
      </c>
      <c r="J41" s="18" t="s">
        <v>74</v>
      </c>
      <c r="AA41" s="14">
        <v>2061</v>
      </c>
      <c r="AB41" s="5">
        <f t="shared" si="25"/>
        <v>-85133039.462122738</v>
      </c>
      <c r="AC41" s="53">
        <f t="shared" si="12"/>
        <v>-43106445.187560946</v>
      </c>
      <c r="AD41" s="30">
        <f t="shared" si="13"/>
        <v>-64119742.324841842</v>
      </c>
      <c r="AE41" s="116">
        <f t="shared" si="14"/>
        <v>-53613093.756201394</v>
      </c>
      <c r="AF41" s="30">
        <f t="shared" si="16"/>
        <v>-6572007.7727174899</v>
      </c>
      <c r="AL41" s="7"/>
      <c r="AM41" s="7"/>
    </row>
    <row r="42" spans="2:39">
      <c r="I42" s="17">
        <v>2024</v>
      </c>
      <c r="J42" s="20">
        <f>L24</f>
        <v>-16483830.518194437</v>
      </c>
      <c r="AA42" s="14">
        <v>2062</v>
      </c>
      <c r="AB42" s="5">
        <f t="shared" si="25"/>
        <v>-86920833.290827289</v>
      </c>
      <c r="AC42" s="53">
        <f t="shared" si="12"/>
        <v>-44011680.536499724</v>
      </c>
      <c r="AD42" s="30">
        <f t="shared" si="13"/>
        <v>-65466256.913663507</v>
      </c>
      <c r="AE42" s="116">
        <f t="shared" si="14"/>
        <v>-54738968.725081615</v>
      </c>
      <c r="AF42" s="30">
        <f t="shared" si="16"/>
        <v>-6710019.9359445563</v>
      </c>
      <c r="AL42" s="7"/>
      <c r="AM42" s="7"/>
    </row>
    <row r="43" spans="2:39">
      <c r="I43" s="17">
        <v>2025</v>
      </c>
      <c r="J43" s="20">
        <f t="shared" ref="J43:J53" si="27">L25</f>
        <v>-14572639.80585289</v>
      </c>
      <c r="AA43" s="14">
        <v>2063</v>
      </c>
      <c r="AB43" s="5">
        <f t="shared" si="25"/>
        <v>-88746170.789934665</v>
      </c>
      <c r="AC43" s="53">
        <f t="shared" si="12"/>
        <v>-44935925.827766217</v>
      </c>
      <c r="AD43" s="30">
        <f t="shared" si="13"/>
        <v>-66841048.308850437</v>
      </c>
      <c r="AE43" s="116">
        <f t="shared" si="14"/>
        <v>-55888487.068308331</v>
      </c>
      <c r="AF43" s="30">
        <f t="shared" si="16"/>
        <v>-6850930.354599392</v>
      </c>
      <c r="AL43" s="7"/>
      <c r="AM43" s="7"/>
    </row>
    <row r="44" spans="2:39">
      <c r="I44" s="17">
        <v>2026</v>
      </c>
      <c r="J44" s="20">
        <f t="shared" si="27"/>
        <v>-19927762.514584064</v>
      </c>
      <c r="AL44" s="7"/>
      <c r="AM44" s="7"/>
    </row>
    <row r="45" spans="2:39">
      <c r="I45" s="17">
        <v>2027</v>
      </c>
      <c r="J45" s="20">
        <f t="shared" si="27"/>
        <v>-24126523.837436438</v>
      </c>
    </row>
    <row r="46" spans="2:39">
      <c r="I46" s="17">
        <v>2028</v>
      </c>
      <c r="J46" s="20">
        <f t="shared" si="27"/>
        <v>-22600931.784347773</v>
      </c>
    </row>
    <row r="47" spans="2:39">
      <c r="I47" s="17">
        <v>2029</v>
      </c>
      <c r="J47" s="20">
        <f t="shared" si="27"/>
        <v>-24323803.189459562</v>
      </c>
    </row>
    <row r="48" spans="2:39">
      <c r="I48" s="17">
        <v>2030</v>
      </c>
      <c r="J48" s="20">
        <f t="shared" si="27"/>
        <v>-24317399.196745396</v>
      </c>
    </row>
    <row r="49" spans="9:10">
      <c r="I49" s="17">
        <v>2031</v>
      </c>
      <c r="J49" s="20">
        <f t="shared" si="27"/>
        <v>-24909130.806229115</v>
      </c>
    </row>
    <row r="50" spans="9:10">
      <c r="I50" s="17">
        <v>2032</v>
      </c>
      <c r="J50" s="20">
        <f t="shared" si="27"/>
        <v>-24343331.250570297</v>
      </c>
    </row>
    <row r="51" spans="9:10">
      <c r="I51" s="17">
        <v>2033</v>
      </c>
      <c r="J51" s="20">
        <f t="shared" si="27"/>
        <v>-24237304.789226055</v>
      </c>
    </row>
    <row r="52" spans="9:10">
      <c r="I52" s="17">
        <v>2034</v>
      </c>
      <c r="J52" s="20">
        <f t="shared" si="27"/>
        <v>-23969915.445742607</v>
      </c>
    </row>
    <row r="53" spans="9:10">
      <c r="I53" s="17">
        <v>2035</v>
      </c>
      <c r="J53" s="20">
        <f t="shared" si="27"/>
        <v>-24671559.507014751</v>
      </c>
    </row>
    <row r="54" spans="9:10">
      <c r="I54" s="17">
        <v>2036</v>
      </c>
      <c r="J54" s="20">
        <f t="shared" ref="J54:J81" si="28">$T$38*1.021^(I54-Start_Year)</f>
        <v>-25638856.856561847</v>
      </c>
    </row>
    <row r="55" spans="9:10">
      <c r="I55" s="17">
        <v>2037</v>
      </c>
      <c r="J55" s="20">
        <f t="shared" si="28"/>
        <v>-26177272.850549646</v>
      </c>
    </row>
    <row r="56" spans="9:10">
      <c r="I56" s="17">
        <v>2038</v>
      </c>
      <c r="J56" s="20">
        <f t="shared" si="28"/>
        <v>-26726995.580411181</v>
      </c>
    </row>
    <row r="57" spans="9:10">
      <c r="I57" s="17">
        <v>2039</v>
      </c>
      <c r="J57" s="20">
        <f t="shared" si="28"/>
        <v>-27288262.487599816</v>
      </c>
    </row>
    <row r="58" spans="9:10">
      <c r="I58" s="17">
        <v>2040</v>
      </c>
      <c r="J58" s="20">
        <f t="shared" si="28"/>
        <v>-27861315.99983941</v>
      </c>
    </row>
    <row r="59" spans="9:10">
      <c r="I59" s="17">
        <v>2041</v>
      </c>
      <c r="J59" s="20">
        <f t="shared" si="28"/>
        <v>-28446403.635836031</v>
      </c>
    </row>
    <row r="60" spans="9:10">
      <c r="I60" s="17">
        <v>2042</v>
      </c>
      <c r="J60" s="20">
        <f t="shared" si="28"/>
        <v>-29043778.112188589</v>
      </c>
    </row>
    <row r="61" spans="9:10">
      <c r="I61" s="17">
        <v>2043</v>
      </c>
      <c r="J61" s="20">
        <f t="shared" si="28"/>
        <v>-29653697.45254454</v>
      </c>
    </row>
    <row r="62" spans="9:10">
      <c r="I62" s="17">
        <v>2044</v>
      </c>
      <c r="J62" s="20">
        <f t="shared" si="28"/>
        <v>-30276425.099047974</v>
      </c>
    </row>
    <row r="63" spans="9:10">
      <c r="I63" s="17">
        <v>2045</v>
      </c>
      <c r="J63" s="20">
        <f t="shared" si="28"/>
        <v>-30912230.026127979</v>
      </c>
    </row>
    <row r="64" spans="9:10">
      <c r="I64" s="17">
        <v>2046</v>
      </c>
      <c r="J64" s="20">
        <f t="shared" si="28"/>
        <v>-31561386.856676664</v>
      </c>
    </row>
    <row r="65" spans="9:10">
      <c r="I65" s="17">
        <v>2047</v>
      </c>
      <c r="J65" s="20">
        <f t="shared" si="28"/>
        <v>-32224175.980666868</v>
      </c>
    </row>
    <row r="66" spans="9:10">
      <c r="I66" s="17">
        <v>2048</v>
      </c>
      <c r="J66" s="20">
        <f t="shared" si="28"/>
        <v>-32900883.676260866</v>
      </c>
    </row>
    <row r="67" spans="9:10">
      <c r="I67" s="17">
        <v>2049</v>
      </c>
      <c r="J67" s="20">
        <f t="shared" si="28"/>
        <v>-33591802.233462341</v>
      </c>
    </row>
    <row r="68" spans="9:10">
      <c r="I68" s="17">
        <v>2050</v>
      </c>
      <c r="J68" s="20">
        <f t="shared" si="28"/>
        <v>-34297230.080365054</v>
      </c>
    </row>
    <row r="69" spans="9:10">
      <c r="I69" s="17">
        <v>2051</v>
      </c>
      <c r="J69" s="20">
        <f t="shared" si="28"/>
        <v>-35017471.912052706</v>
      </c>
    </row>
    <row r="70" spans="9:10">
      <c r="I70" s="17">
        <v>2052</v>
      </c>
      <c r="J70" s="20">
        <f t="shared" si="28"/>
        <v>-35752838.822205804</v>
      </c>
    </row>
    <row r="71" spans="9:10">
      <c r="I71" s="17">
        <v>2053</v>
      </c>
      <c r="J71" s="20">
        <f t="shared" si="28"/>
        <v>-36503648.437472135</v>
      </c>
    </row>
    <row r="72" spans="9:10">
      <c r="I72" s="17">
        <v>2054</v>
      </c>
      <c r="J72" s="20">
        <f t="shared" si="28"/>
        <v>-37270225.054659039</v>
      </c>
    </row>
    <row r="73" spans="9:10">
      <c r="I73" s="17">
        <v>2055</v>
      </c>
      <c r="J73" s="20">
        <f t="shared" si="28"/>
        <v>-38052899.780806877</v>
      </c>
    </row>
    <row r="74" spans="9:10">
      <c r="I74" s="17">
        <v>2056</v>
      </c>
      <c r="J74" s="20">
        <f t="shared" si="28"/>
        <v>-38852010.676203817</v>
      </c>
    </row>
    <row r="75" spans="9:10">
      <c r="I75" s="17">
        <v>2057</v>
      </c>
      <c r="J75" s="20">
        <f t="shared" si="28"/>
        <v>-39667902.900404088</v>
      </c>
    </row>
    <row r="76" spans="9:10">
      <c r="I76" s="17">
        <v>2058</v>
      </c>
      <c r="J76" s="20">
        <f t="shared" si="28"/>
        <v>-40500928.861312576</v>
      </c>
    </row>
    <row r="77" spans="9:10">
      <c r="I77" s="17">
        <v>2059</v>
      </c>
      <c r="J77" s="20">
        <f t="shared" si="28"/>
        <v>-41351448.367400132</v>
      </c>
    </row>
    <row r="78" spans="9:10">
      <c r="I78" s="17">
        <v>2060</v>
      </c>
      <c r="J78" s="20">
        <f t="shared" si="28"/>
        <v>-42219828.783115529</v>
      </c>
    </row>
    <row r="79" spans="9:10">
      <c r="I79" s="17">
        <v>2061</v>
      </c>
      <c r="J79" s="20">
        <f t="shared" si="28"/>
        <v>-43106445.187560946</v>
      </c>
    </row>
    <row r="80" spans="9:10">
      <c r="I80" s="17">
        <v>2062</v>
      </c>
      <c r="J80" s="20">
        <f t="shared" si="28"/>
        <v>-44011680.536499724</v>
      </c>
    </row>
    <row r="81" spans="9:10">
      <c r="I81" s="17">
        <v>2063</v>
      </c>
      <c r="J81" s="20">
        <f t="shared" si="28"/>
        <v>-44935925.827766217</v>
      </c>
    </row>
  </sheetData>
  <mergeCells count="2">
    <mergeCell ref="C2:F2"/>
    <mergeCell ref="C22:D2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332C-C4EC-4CF0-B821-E5EF11846353}">
  <sheetPr>
    <tabColor theme="0" tint="-0.249977111117893"/>
  </sheetPr>
  <dimension ref="B2:V90"/>
  <sheetViews>
    <sheetView showGridLines="0" zoomScale="69" zoomScaleNormal="69" workbookViewId="0">
      <selection activeCell="H17" sqref="H17"/>
    </sheetView>
  </sheetViews>
  <sheetFormatPr defaultRowHeight="15"/>
  <cols>
    <col min="3" max="3" width="19.28515625" customWidth="1"/>
    <col min="4" max="4" width="20.7109375" bestFit="1" customWidth="1"/>
    <col min="5" max="5" width="20.28515625" bestFit="1" customWidth="1"/>
    <col min="6" max="6" width="18.42578125" customWidth="1"/>
    <col min="7" max="7" width="16" customWidth="1"/>
    <col min="8" max="8" width="18.5703125" bestFit="1" customWidth="1"/>
    <col min="9" max="9" width="20.28515625" customWidth="1"/>
    <col min="10" max="10" width="18.42578125" customWidth="1"/>
    <col min="11" max="11" width="20.5703125" bestFit="1" customWidth="1"/>
    <col min="13" max="13" width="19.28515625" customWidth="1"/>
    <col min="14" max="14" width="21.28515625" customWidth="1"/>
    <col min="15" max="15" width="20.28515625" bestFit="1" customWidth="1"/>
    <col min="16" max="16" width="18.7109375" bestFit="1" customWidth="1"/>
    <col min="17" max="17" width="16" customWidth="1"/>
    <col min="18" max="18" width="18.5703125" bestFit="1" customWidth="1"/>
    <col min="19" max="19" width="19.28515625" customWidth="1"/>
    <col min="20" max="20" width="19.7109375" customWidth="1"/>
    <col min="21" max="21" width="20.5703125" bestFit="1" customWidth="1"/>
  </cols>
  <sheetData>
    <row r="2" spans="3:21">
      <c r="C2" s="15" t="s">
        <v>154</v>
      </c>
      <c r="M2" s="15" t="s">
        <v>123</v>
      </c>
    </row>
    <row r="3" spans="3:21" ht="62.65" customHeight="1">
      <c r="C3" s="56" t="s">
        <v>52</v>
      </c>
      <c r="D3" s="57" t="s">
        <v>53</v>
      </c>
      <c r="E3" s="57" t="s">
        <v>7</v>
      </c>
      <c r="F3" s="57" t="s">
        <v>8</v>
      </c>
      <c r="G3" s="57" t="s">
        <v>54</v>
      </c>
      <c r="H3" s="57" t="s">
        <v>10</v>
      </c>
      <c r="I3" s="57" t="s">
        <v>11</v>
      </c>
      <c r="J3" s="57" t="s">
        <v>12</v>
      </c>
      <c r="K3" s="107" t="s">
        <v>55</v>
      </c>
      <c r="M3" s="56" t="s">
        <v>52</v>
      </c>
      <c r="N3" s="57" t="s">
        <v>53</v>
      </c>
      <c r="O3" s="57" t="s">
        <v>7</v>
      </c>
      <c r="P3" s="57" t="s">
        <v>8</v>
      </c>
      <c r="Q3" s="57" t="s">
        <v>54</v>
      </c>
      <c r="R3" s="57" t="s">
        <v>10</v>
      </c>
      <c r="S3" s="57" t="s">
        <v>11</v>
      </c>
      <c r="T3" s="57" t="s">
        <v>12</v>
      </c>
      <c r="U3" s="107" t="s">
        <v>55</v>
      </c>
    </row>
    <row r="4" spans="3:21">
      <c r="C4" s="169" t="s">
        <v>56</v>
      </c>
      <c r="D4" s="170"/>
      <c r="E4" s="170"/>
      <c r="F4" s="170"/>
      <c r="G4" s="170"/>
      <c r="H4" s="170"/>
      <c r="I4" s="170"/>
      <c r="J4" s="171"/>
      <c r="K4" s="108"/>
      <c r="M4" s="169" t="s">
        <v>56</v>
      </c>
      <c r="N4" s="170"/>
      <c r="O4" s="170"/>
      <c r="P4" s="170"/>
      <c r="Q4" s="170"/>
      <c r="R4" s="170"/>
      <c r="S4" s="170"/>
      <c r="T4" s="171"/>
      <c r="U4" s="108"/>
    </row>
    <row r="5" spans="3:21">
      <c r="C5" s="54" t="s">
        <v>57</v>
      </c>
      <c r="D5" s="55">
        <f t="shared" ref="D5:K5" si="0">NPV(After_Tax_Cost_of_Capital,D8:D47)</f>
        <v>46581647168.76693</v>
      </c>
      <c r="E5" s="55">
        <f t="shared" si="0"/>
        <v>0</v>
      </c>
      <c r="F5" s="55">
        <f t="shared" si="0"/>
        <v>980687141.15650463</v>
      </c>
      <c r="G5" s="55">
        <f t="shared" si="0"/>
        <v>0</v>
      </c>
      <c r="H5" s="55">
        <f t="shared" si="0"/>
        <v>-152611356.79933581</v>
      </c>
      <c r="I5" s="55">
        <f t="shared" si="0"/>
        <v>-1143271915.238816</v>
      </c>
      <c r="J5" s="55">
        <f t="shared" si="0"/>
        <v>-315196130.88164741</v>
      </c>
      <c r="K5" s="55">
        <f t="shared" si="0"/>
        <v>45951254907.003632</v>
      </c>
      <c r="M5" s="54" t="s">
        <v>57</v>
      </c>
      <c r="N5" s="55">
        <f t="shared" ref="N5:U5" si="1">NPV(After_Tax_Cost_of_Capital,N8:N47)</f>
        <v>46581647168.76693</v>
      </c>
      <c r="O5" s="55">
        <f t="shared" si="1"/>
        <v>0</v>
      </c>
      <c r="P5" s="55">
        <f t="shared" si="1"/>
        <v>1164236614.9094083</v>
      </c>
      <c r="Q5" s="55">
        <f t="shared" si="1"/>
        <v>0</v>
      </c>
      <c r="R5" s="55">
        <f t="shared" si="1"/>
        <v>-152611356.79933581</v>
      </c>
      <c r="S5" s="55">
        <f t="shared" si="1"/>
        <v>-1143271915.238816</v>
      </c>
      <c r="T5" s="55">
        <f t="shared" si="1"/>
        <v>-131646657.12874374</v>
      </c>
      <c r="U5" s="55">
        <f t="shared" si="1"/>
        <v>46318353854.50946</v>
      </c>
    </row>
    <row r="6" spans="3:21">
      <c r="C6" s="54" t="s">
        <v>58</v>
      </c>
      <c r="D6" s="55">
        <f t="shared" ref="D6:K6" si="2">NPV(After_Tax_Cost_of_Capital,D8:D27)</f>
        <v>28410150180.226055</v>
      </c>
      <c r="E6" s="55">
        <f t="shared" si="2"/>
        <v>0</v>
      </c>
      <c r="F6" s="55">
        <f t="shared" si="2"/>
        <v>620729399.37788987</v>
      </c>
      <c r="G6" s="55">
        <f t="shared" si="2"/>
        <v>0</v>
      </c>
      <c r="H6" s="55">
        <f t="shared" si="2"/>
        <v>-104297830.25370376</v>
      </c>
      <c r="I6" s="55">
        <f t="shared" si="2"/>
        <v>-728348860.09414101</v>
      </c>
      <c r="J6" s="55">
        <f t="shared" si="2"/>
        <v>-211917290.96995488</v>
      </c>
      <c r="K6" s="55">
        <f t="shared" si="2"/>
        <v>27986315598.286152</v>
      </c>
      <c r="M6" s="54" t="s">
        <v>58</v>
      </c>
      <c r="N6" s="55">
        <f t="shared" ref="N6:U6" si="3">NPV(After_Tax_Cost_of_Capital,N8:N27)</f>
        <v>28410150180.226055</v>
      </c>
      <c r="O6" s="55">
        <f t="shared" si="3"/>
        <v>0</v>
      </c>
      <c r="P6" s="55">
        <f t="shared" si="3"/>
        <v>737766181.34540272</v>
      </c>
      <c r="Q6" s="55">
        <f t="shared" si="3"/>
        <v>0</v>
      </c>
      <c r="R6" s="55">
        <f t="shared" si="3"/>
        <v>-104297830.25370376</v>
      </c>
      <c r="S6" s="55">
        <f t="shared" si="3"/>
        <v>-728348860.09414101</v>
      </c>
      <c r="T6" s="55">
        <f t="shared" si="3"/>
        <v>-94880509.002442107</v>
      </c>
      <c r="U6" s="55">
        <f t="shared" si="3"/>
        <v>28220389162.22118</v>
      </c>
    </row>
    <row r="7" spans="3:21">
      <c r="C7" s="169" t="s">
        <v>59</v>
      </c>
      <c r="D7" s="170"/>
      <c r="E7" s="170"/>
      <c r="F7" s="170"/>
      <c r="G7" s="170"/>
      <c r="H7" s="170"/>
      <c r="I7" s="170"/>
      <c r="J7" s="171"/>
      <c r="K7" s="108"/>
      <c r="M7" s="169" t="s">
        <v>59</v>
      </c>
      <c r="N7" s="170"/>
      <c r="O7" s="170"/>
      <c r="P7" s="170"/>
      <c r="Q7" s="170"/>
      <c r="R7" s="170"/>
      <c r="S7" s="170"/>
      <c r="T7" s="171"/>
      <c r="U7" s="108"/>
    </row>
    <row r="8" spans="3:21">
      <c r="C8" s="52">
        <v>2024</v>
      </c>
      <c r="D8" s="53">
        <f>'Option 1 Dawn Corunna'!D8</f>
        <v>1826961778.6622951</v>
      </c>
      <c r="E8" s="5">
        <v>0</v>
      </c>
      <c r="F8" s="5">
        <f>'#2-Storage Value 1.2%'!AC10</f>
        <v>41667107.30966197</v>
      </c>
      <c r="G8" s="5">
        <v>0</v>
      </c>
      <c r="H8" s="5">
        <f>'#2-Commodity 1.2%'!AF4</f>
        <v>-9153913.8860548474</v>
      </c>
      <c r="I8" s="5">
        <f>'#2-Commodity 1.2%'!AD4</f>
        <v>-37446380.662709236</v>
      </c>
      <c r="J8" s="5">
        <f>SUM(E8:I8)</f>
        <v>-4933187.239102114</v>
      </c>
      <c r="K8" s="5">
        <f>SUM(D8:J8)</f>
        <v>1817095404.1840909</v>
      </c>
      <c r="M8" s="52">
        <v>2024</v>
      </c>
      <c r="N8" s="53">
        <f t="shared" ref="N8:O47" si="4">D8</f>
        <v>1826961778.6622951</v>
      </c>
      <c r="O8" s="5">
        <f t="shared" si="4"/>
        <v>0</v>
      </c>
      <c r="P8" s="5">
        <f>'#2-Storage Value 1.2%'!AB10</f>
        <v>41819127.60388092</v>
      </c>
      <c r="Q8" s="5">
        <v>0</v>
      </c>
      <c r="R8" s="55">
        <f>H8</f>
        <v>-9153913.8860548474</v>
      </c>
      <c r="S8" s="55">
        <f>'#2-Commodity 1.2%'!AD4</f>
        <v>-37446380.662709236</v>
      </c>
      <c r="T8" s="55">
        <f>SUM(O8:S8)</f>
        <v>-4781166.944883164</v>
      </c>
      <c r="U8" s="5">
        <f>SUM(N8:T8)</f>
        <v>1817399444.7725289</v>
      </c>
    </row>
    <row r="9" spans="3:21">
      <c r="C9" s="52">
        <v>2025</v>
      </c>
      <c r="D9" s="53">
        <f>'Option 1 Dawn Corunna'!D9</f>
        <v>1786014333.5901303</v>
      </c>
      <c r="E9" s="5">
        <v>0</v>
      </c>
      <c r="F9" s="5">
        <f>'#2-Storage Value 1.2%'!AC11</f>
        <v>42542116.563164867</v>
      </c>
      <c r="G9" s="5">
        <v>0</v>
      </c>
      <c r="H9" s="5">
        <f>'#2-Commodity 1.2%'!AF5</f>
        <v>-6968033.0729074916</v>
      </c>
      <c r="I9" s="5">
        <f>'#2-Commodity 1.2%'!AD5</f>
        <v>-23998904.030395389</v>
      </c>
      <c r="J9" s="5">
        <f t="shared" ref="J9:J47" si="5">SUM(E9:I9)</f>
        <v>11575179.459861986</v>
      </c>
      <c r="K9" s="5">
        <f t="shared" ref="K9:K47" si="6">SUM(D9:J9)</f>
        <v>1809164692.5098546</v>
      </c>
      <c r="M9" s="52">
        <v>2025</v>
      </c>
      <c r="N9" s="53">
        <f t="shared" si="4"/>
        <v>1786014333.5901303</v>
      </c>
      <c r="O9" s="5">
        <f t="shared" si="4"/>
        <v>0</v>
      </c>
      <c r="P9" s="5">
        <f>'#2-Storage Value 1.2%'!AB11</f>
        <v>34363725.636382438</v>
      </c>
      <c r="Q9" s="5">
        <v>0</v>
      </c>
      <c r="R9" s="55">
        <f t="shared" ref="R9:R47" si="7">H9</f>
        <v>-6968033.0729074916</v>
      </c>
      <c r="S9" s="55">
        <f>'#2-Commodity 1.2%'!AD5</f>
        <v>-23998904.030395389</v>
      </c>
      <c r="T9" s="55">
        <f t="shared" ref="T9:T47" si="8">SUM(O9:S9)</f>
        <v>3396788.5330795571</v>
      </c>
      <c r="U9" s="5">
        <f t="shared" ref="U9:U47" si="9">SUM(N9:T9)</f>
        <v>1792807910.6562896</v>
      </c>
    </row>
    <row r="10" spans="3:21">
      <c r="C10" s="52">
        <v>2026</v>
      </c>
      <c r="D10" s="53">
        <f>'Option 1 Dawn Corunna'!D10</f>
        <v>1677868083.231777</v>
      </c>
      <c r="E10" s="5">
        <v>0</v>
      </c>
      <c r="F10" s="5">
        <f>'#2-Storage Value 1.2%'!AC12</f>
        <v>43435501.01099132</v>
      </c>
      <c r="G10" s="5">
        <v>0</v>
      </c>
      <c r="H10" s="5">
        <f>'#2-Commodity 1.2%'!AF6</f>
        <v>-9114700.1771671474</v>
      </c>
      <c r="I10" s="5">
        <f>'#2-Commodity 1.2%'!AD6</f>
        <v>-43348851.785766006</v>
      </c>
      <c r="J10" s="5">
        <f t="shared" si="5"/>
        <v>-9028050.9519418329</v>
      </c>
      <c r="K10" s="5">
        <f t="shared" si="6"/>
        <v>1659811981.3278935</v>
      </c>
      <c r="M10" s="52">
        <v>2026</v>
      </c>
      <c r="N10" s="53">
        <f t="shared" si="4"/>
        <v>1677868083.231777</v>
      </c>
      <c r="O10" s="5">
        <f t="shared" si="4"/>
        <v>0</v>
      </c>
      <c r="P10" s="5">
        <f>'#2-Storage Value 1.2%'!AB12</f>
        <v>46538087.47090742</v>
      </c>
      <c r="Q10" s="5">
        <v>0</v>
      </c>
      <c r="R10" s="55">
        <f t="shared" si="7"/>
        <v>-9114700.1771671474</v>
      </c>
      <c r="S10" s="55">
        <f>'#2-Commodity 1.2%'!AD6</f>
        <v>-43348851.785766006</v>
      </c>
      <c r="T10" s="55">
        <f t="shared" si="8"/>
        <v>-5925464.492025733</v>
      </c>
      <c r="U10" s="5">
        <f t="shared" si="9"/>
        <v>1666017154.2477255</v>
      </c>
    </row>
    <row r="11" spans="3:21">
      <c r="C11" s="52">
        <v>2027</v>
      </c>
      <c r="D11" s="53">
        <f>'Option 1 Dawn Corunna'!D11</f>
        <v>1720814134.1862197</v>
      </c>
      <c r="E11" s="5">
        <v>0</v>
      </c>
      <c r="F11" s="5">
        <f>'#2-Storage Value 1.2%'!AC13</f>
        <v>44347646.532222137</v>
      </c>
      <c r="G11" s="5">
        <v>0</v>
      </c>
      <c r="H11" s="5">
        <f>'#2-Commodity 1.2%'!AF7</f>
        <v>-6148287.8270545453</v>
      </c>
      <c r="I11" s="5">
        <f>'#2-Commodity 1.2%'!AD7</f>
        <v>-56475830.684111953</v>
      </c>
      <c r="J11" s="5">
        <f t="shared" si="5"/>
        <v>-18276471.978944361</v>
      </c>
      <c r="K11" s="5">
        <f t="shared" si="6"/>
        <v>1684261190.2283311</v>
      </c>
      <c r="M11" s="52">
        <v>2027</v>
      </c>
      <c r="N11" s="53">
        <f t="shared" si="4"/>
        <v>1720814134.1862197</v>
      </c>
      <c r="O11" s="5">
        <f t="shared" si="4"/>
        <v>0</v>
      </c>
      <c r="P11" s="5">
        <f>'#2-Storage Value 1.2%'!AB13</f>
        <v>56778503.234255038</v>
      </c>
      <c r="Q11" s="5">
        <v>0</v>
      </c>
      <c r="R11" s="55">
        <f t="shared" si="7"/>
        <v>-6148287.8270545453</v>
      </c>
      <c r="S11" s="55">
        <f>'#2-Commodity 1.2%'!AD7</f>
        <v>-56475830.684111953</v>
      </c>
      <c r="T11" s="55">
        <f t="shared" si="8"/>
        <v>-5845615.2769114599</v>
      </c>
      <c r="U11" s="5">
        <f t="shared" si="9"/>
        <v>1709122903.6323969</v>
      </c>
    </row>
    <row r="12" spans="3:21">
      <c r="C12" s="52">
        <v>2028</v>
      </c>
      <c r="D12" s="53">
        <f>'Option 1 Dawn Corunna'!D12</f>
        <v>1808659168.3401015</v>
      </c>
      <c r="E12" s="5">
        <v>0</v>
      </c>
      <c r="F12" s="5">
        <f>'#2-Storage Value 1.2%'!AC14</f>
        <v>45278947.109398797</v>
      </c>
      <c r="G12" s="5">
        <v>0</v>
      </c>
      <c r="H12" s="5">
        <f>'#2-Commodity 1.2%'!AF8</f>
        <v>-8349011.2972224001</v>
      </c>
      <c r="I12" s="5">
        <f>'#2-Commodity 1.2%'!AD8</f>
        <v>-58778842.404048324</v>
      </c>
      <c r="J12" s="5">
        <f t="shared" si="5"/>
        <v>-21848906.591871925</v>
      </c>
      <c r="K12" s="5">
        <f t="shared" si="6"/>
        <v>1764961355.1563575</v>
      </c>
      <c r="M12" s="52">
        <v>2028</v>
      </c>
      <c r="N12" s="53">
        <f t="shared" si="4"/>
        <v>1808659168.3401015</v>
      </c>
      <c r="O12" s="5">
        <f t="shared" si="4"/>
        <v>0</v>
      </c>
      <c r="P12" s="5">
        <f>'#2-Storage Value 1.2%'!AB14</f>
        <v>55668653.740723737</v>
      </c>
      <c r="Q12" s="5">
        <v>0</v>
      </c>
      <c r="R12" s="55">
        <f t="shared" si="7"/>
        <v>-8349011.2972224001</v>
      </c>
      <c r="S12" s="55">
        <f>'#2-Commodity 1.2%'!AD8</f>
        <v>-58778842.404048324</v>
      </c>
      <c r="T12" s="55">
        <f t="shared" si="8"/>
        <v>-11459199.960546985</v>
      </c>
      <c r="U12" s="5">
        <f t="shared" si="9"/>
        <v>1785740768.4190078</v>
      </c>
    </row>
    <row r="13" spans="3:21">
      <c r="C13" s="52">
        <v>2029</v>
      </c>
      <c r="D13" s="53">
        <f>'Option 1 Dawn Corunna'!D13</f>
        <v>1935201162.7737064</v>
      </c>
      <c r="E13" s="5">
        <v>0</v>
      </c>
      <c r="F13" s="5">
        <f>'#2-Storage Value 1.2%'!AC15</f>
        <v>46229804.998696163</v>
      </c>
      <c r="G13" s="5">
        <v>0</v>
      </c>
      <c r="H13" s="5">
        <f>'#2-Commodity 1.2%'!AF9</f>
        <v>-10286544.022404958</v>
      </c>
      <c r="I13" s="5">
        <f>'#2-Commodity 1.2%'!AD9</f>
        <v>-63719074.131443858</v>
      </c>
      <c r="J13" s="5">
        <f t="shared" si="5"/>
        <v>-27775813.155152649</v>
      </c>
      <c r="K13" s="5">
        <f t="shared" si="6"/>
        <v>1879649536.4634011</v>
      </c>
      <c r="M13" s="52">
        <v>2029</v>
      </c>
      <c r="N13" s="53">
        <f t="shared" si="4"/>
        <v>1935201162.7737064</v>
      </c>
      <c r="O13" s="5">
        <f t="shared" si="4"/>
        <v>0</v>
      </c>
      <c r="P13" s="5">
        <f>'#2-Storage Value 1.2%'!AB15</f>
        <v>58815878.156058893</v>
      </c>
      <c r="Q13" s="5">
        <v>0</v>
      </c>
      <c r="R13" s="55">
        <f t="shared" si="7"/>
        <v>-10286544.022404958</v>
      </c>
      <c r="S13" s="55">
        <f>'#2-Commodity 1.2%'!AD9</f>
        <v>-63719074.131443858</v>
      </c>
      <c r="T13" s="55">
        <f t="shared" si="8"/>
        <v>-15189739.997789919</v>
      </c>
      <c r="U13" s="5">
        <f t="shared" si="9"/>
        <v>1904821682.7781267</v>
      </c>
    </row>
    <row r="14" spans="3:21">
      <c r="C14" s="52">
        <v>2030</v>
      </c>
      <c r="D14" s="53">
        <f>'Option 1 Dawn Corunna'!D14</f>
        <v>2010281259.4291399</v>
      </c>
      <c r="E14" s="5">
        <v>0</v>
      </c>
      <c r="F14" s="5">
        <f>'#2-Storage Value 1.2%'!AC16</f>
        <v>47200630.903668776</v>
      </c>
      <c r="G14" s="5">
        <v>0</v>
      </c>
      <c r="H14" s="5">
        <f>'#2-Commodity 1.2%'!AF10</f>
        <v>-7671320.4104983732</v>
      </c>
      <c r="I14" s="5">
        <f>'#2-Commodity 1.2%'!AD10</f>
        <v>-67878144.536959767</v>
      </c>
      <c r="J14" s="5">
        <f t="shared" si="5"/>
        <v>-28348834.043789364</v>
      </c>
      <c r="K14" s="5">
        <f t="shared" si="6"/>
        <v>1953583591.3415613</v>
      </c>
      <c r="M14" s="52">
        <v>2030</v>
      </c>
      <c r="N14" s="53">
        <f t="shared" si="4"/>
        <v>2010281259.4291399</v>
      </c>
      <c r="O14" s="5">
        <f t="shared" si="4"/>
        <v>0</v>
      </c>
      <c r="P14" s="5">
        <f>'#2-Storage Value 1.2%'!AB16</f>
        <v>60203117.621981665</v>
      </c>
      <c r="Q14" s="5">
        <v>0</v>
      </c>
      <c r="R14" s="55">
        <f t="shared" si="7"/>
        <v>-7671320.4104983732</v>
      </c>
      <c r="S14" s="55">
        <f>'#2-Commodity 1.2%'!AD10</f>
        <v>-67878144.536959767</v>
      </c>
      <c r="T14" s="55">
        <f t="shared" si="8"/>
        <v>-15346347.325476475</v>
      </c>
      <c r="U14" s="5">
        <f t="shared" si="9"/>
        <v>1979588564.778187</v>
      </c>
    </row>
    <row r="15" spans="3:21">
      <c r="C15" s="52">
        <v>2031</v>
      </c>
      <c r="D15" s="53">
        <f>'Option 1 Dawn Corunna'!D15</f>
        <v>2135352144.5801883</v>
      </c>
      <c r="E15" s="5">
        <v>0</v>
      </c>
      <c r="F15" s="5">
        <f>'#2-Storage Value 1.2%'!AC17</f>
        <v>48191844.152645811</v>
      </c>
      <c r="G15" s="5">
        <v>0</v>
      </c>
      <c r="H15" s="5">
        <f>'#2-Commodity 1.2%'!AF11</f>
        <v>-9406637.7327952124</v>
      </c>
      <c r="I15" s="5">
        <f>'#2-Commodity 1.2%'!AD11</f>
        <v>-71375020.319412231</v>
      </c>
      <c r="J15" s="5">
        <f t="shared" si="5"/>
        <v>-32589813.899561629</v>
      </c>
      <c r="K15" s="5">
        <f t="shared" si="6"/>
        <v>2070172516.7810647</v>
      </c>
      <c r="M15" s="52">
        <v>2031</v>
      </c>
      <c r="N15" s="53">
        <f t="shared" si="4"/>
        <v>2135352144.5801883</v>
      </c>
      <c r="O15" s="5">
        <f t="shared" si="4"/>
        <v>0</v>
      </c>
      <c r="P15" s="5">
        <f>'#2-Storage Value 1.2%'!AB17</f>
        <v>63000446.140406787</v>
      </c>
      <c r="Q15" s="5">
        <v>0</v>
      </c>
      <c r="R15" s="55">
        <f t="shared" si="7"/>
        <v>-9406637.7327952124</v>
      </c>
      <c r="S15" s="55">
        <f>'#2-Commodity 1.2%'!AD11</f>
        <v>-71375020.319412231</v>
      </c>
      <c r="T15" s="55">
        <f t="shared" si="8"/>
        <v>-17781211.911800653</v>
      </c>
      <c r="U15" s="5">
        <f t="shared" si="9"/>
        <v>2099789720.7565868</v>
      </c>
    </row>
    <row r="16" spans="3:21">
      <c r="C16" s="52">
        <v>2032</v>
      </c>
      <c r="D16" s="53">
        <f>'Option 1 Dawn Corunna'!D16</f>
        <v>2253009717.1928306</v>
      </c>
      <c r="E16" s="5">
        <v>0</v>
      </c>
      <c r="F16" s="5">
        <f>'#2-Storage Value 1.2%'!AC18</f>
        <v>49203872.879851379</v>
      </c>
      <c r="G16" s="5">
        <v>0</v>
      </c>
      <c r="H16" s="5">
        <f>'#2-Commodity 1.2%'!AF12</f>
        <v>-8043229.2808116972</v>
      </c>
      <c r="I16" s="5">
        <f>'#2-Commodity 1.2%'!AD12</f>
        <v>-66337022.455720663</v>
      </c>
      <c r="J16" s="5">
        <f t="shared" si="5"/>
        <v>-25176378.856680982</v>
      </c>
      <c r="K16" s="5">
        <f t="shared" si="6"/>
        <v>2202656959.4794683</v>
      </c>
      <c r="M16" s="52">
        <v>2032</v>
      </c>
      <c r="N16" s="53">
        <f t="shared" si="4"/>
        <v>2253009717.1928306</v>
      </c>
      <c r="O16" s="5">
        <f t="shared" si="4"/>
        <v>0</v>
      </c>
      <c r="P16" s="5">
        <f>'#2-Storage Value 1.2%'!AB18</f>
        <v>64334596.929368846</v>
      </c>
      <c r="Q16" s="5">
        <v>0</v>
      </c>
      <c r="R16" s="55">
        <f t="shared" si="7"/>
        <v>-8043229.2808116972</v>
      </c>
      <c r="S16" s="55">
        <f>'#2-Commodity 1.2%'!AD12</f>
        <v>-66337022.455720663</v>
      </c>
      <c r="T16" s="55">
        <f t="shared" si="8"/>
        <v>-10045654.807163514</v>
      </c>
      <c r="U16" s="5">
        <f t="shared" si="9"/>
        <v>2232918407.5785031</v>
      </c>
    </row>
    <row r="17" spans="3:21">
      <c r="C17" s="52">
        <v>2033</v>
      </c>
      <c r="D17" s="53">
        <f>'Option 1 Dawn Corunna'!D17</f>
        <v>2382783747.4170265</v>
      </c>
      <c r="E17" s="5">
        <v>0</v>
      </c>
      <c r="F17" s="5">
        <f>'#2-Storage Value 1.2%'!AC19</f>
        <v>50237154.210328236</v>
      </c>
      <c r="G17" s="5">
        <v>0</v>
      </c>
      <c r="H17" s="5">
        <f>'#2-Commodity 1.2%'!AF13</f>
        <v>-9055235.8998450451</v>
      </c>
      <c r="I17" s="5">
        <f>'#2-Commodity 1.2%'!AD13</f>
        <v>-65731701.183893681</v>
      </c>
      <c r="J17" s="5">
        <f t="shared" si="5"/>
        <v>-24549782.873410493</v>
      </c>
      <c r="K17" s="5">
        <f t="shared" si="6"/>
        <v>2333684181.6702051</v>
      </c>
      <c r="M17" s="52">
        <v>2033</v>
      </c>
      <c r="N17" s="53">
        <f t="shared" si="4"/>
        <v>2382783747.4170265</v>
      </c>
      <c r="O17" s="5">
        <f t="shared" si="4"/>
        <v>0</v>
      </c>
      <c r="P17" s="5">
        <f>'#2-Storage Value 1.2%'!AB19</f>
        <v>66084841.788001418</v>
      </c>
      <c r="Q17" s="5">
        <v>0</v>
      </c>
      <c r="R17" s="55">
        <f t="shared" si="7"/>
        <v>-9055235.8998450451</v>
      </c>
      <c r="S17" s="55">
        <f>'#2-Commodity 1.2%'!AD13</f>
        <v>-65731701.183893681</v>
      </c>
      <c r="T17" s="55">
        <f t="shared" si="8"/>
        <v>-8702095.2957373112</v>
      </c>
      <c r="U17" s="5">
        <f t="shared" si="9"/>
        <v>2365379556.825552</v>
      </c>
    </row>
    <row r="18" spans="3:21">
      <c r="C18" s="52">
        <v>2034</v>
      </c>
      <c r="D18" s="53">
        <f>'Option 1 Dawn Corunna'!D18</f>
        <v>2526480189.6507559</v>
      </c>
      <c r="E18" s="5">
        <v>0</v>
      </c>
      <c r="F18" s="5">
        <f>'#2-Storage Value 1.2%'!AC20</f>
        <v>51292134.448745131</v>
      </c>
      <c r="G18" s="5">
        <v>0</v>
      </c>
      <c r="H18" s="5">
        <f>'#2-Commodity 1.2%'!AF14</f>
        <v>-9616877.1322700623</v>
      </c>
      <c r="I18" s="5">
        <f>'#2-Commodity 1.2%'!AD14</f>
        <v>-65576413.128455639</v>
      </c>
      <c r="J18" s="5">
        <f t="shared" si="5"/>
        <v>-23901155.811980568</v>
      </c>
      <c r="K18" s="5">
        <f t="shared" si="6"/>
        <v>2478677878.0267949</v>
      </c>
      <c r="M18" s="52">
        <v>2034</v>
      </c>
      <c r="N18" s="53">
        <f t="shared" si="4"/>
        <v>2526480189.6507559</v>
      </c>
      <c r="O18" s="5">
        <f t="shared" si="4"/>
        <v>0</v>
      </c>
      <c r="P18" s="5">
        <f>'#2-Storage Value 1.2%'!AB20</f>
        <v>66672706.516720571</v>
      </c>
      <c r="Q18" s="5">
        <v>0</v>
      </c>
      <c r="R18" s="55">
        <f t="shared" si="7"/>
        <v>-9616877.1322700623</v>
      </c>
      <c r="S18" s="55">
        <f>'#2-Commodity 1.2%'!AD14</f>
        <v>-65576413.128455639</v>
      </c>
      <c r="T18" s="55">
        <f t="shared" si="8"/>
        <v>-8520583.7440051287</v>
      </c>
      <c r="U18" s="5">
        <f t="shared" si="9"/>
        <v>2509439022.162746</v>
      </c>
    </row>
    <row r="19" spans="3:21">
      <c r="C19" s="52">
        <v>2035</v>
      </c>
      <c r="D19" s="53">
        <f>'Option 1 Dawn Corunna'!D19</f>
        <v>2579809313.9064898</v>
      </c>
      <c r="E19" s="5">
        <v>0</v>
      </c>
      <c r="F19" s="5">
        <f>'#2-Storage Value 1.2%'!AC21</f>
        <v>52369269.27216877</v>
      </c>
      <c r="G19" s="5">
        <v>0</v>
      </c>
      <c r="H19" s="5">
        <f>'#2-Commodity 1.2%'!AF15</f>
        <v>-9988588.3854814377</v>
      </c>
      <c r="I19" s="5">
        <f>'#2-Commodity 1.2%'!AD15</f>
        <v>-62729708.962765932</v>
      </c>
      <c r="J19" s="5">
        <f t="shared" si="5"/>
        <v>-20349028.076078601</v>
      </c>
      <c r="K19" s="5">
        <f t="shared" si="6"/>
        <v>2539111257.7543325</v>
      </c>
      <c r="M19" s="52">
        <v>2035</v>
      </c>
      <c r="N19" s="53">
        <f t="shared" si="4"/>
        <v>2579809313.9064898</v>
      </c>
      <c r="O19" s="5">
        <f t="shared" si="4"/>
        <v>0</v>
      </c>
      <c r="P19" s="5">
        <f>'#2-Storage Value 1.2%'!AB21</f>
        <v>65083560.328744762</v>
      </c>
      <c r="Q19" s="5">
        <v>0</v>
      </c>
      <c r="R19" s="55">
        <f t="shared" si="7"/>
        <v>-9988588.3854814377</v>
      </c>
      <c r="S19" s="55">
        <f>'#2-Commodity 1.2%'!AD15</f>
        <v>-62729708.962765932</v>
      </c>
      <c r="T19" s="55">
        <f t="shared" si="8"/>
        <v>-7634737.01950261</v>
      </c>
      <c r="U19" s="5">
        <f t="shared" si="9"/>
        <v>2564539839.867485</v>
      </c>
    </row>
    <row r="20" spans="3:21">
      <c r="C20" s="52">
        <v>2036</v>
      </c>
      <c r="D20" s="53">
        <f>'Option 1 Dawn Corunna'!D20</f>
        <v>2699239645.3725119</v>
      </c>
      <c r="E20" s="5">
        <v>0</v>
      </c>
      <c r="F20" s="5">
        <f>'#2-Storage Value 1.2%'!AC22</f>
        <v>53469023.926884308</v>
      </c>
      <c r="G20" s="5">
        <v>0</v>
      </c>
      <c r="H20" s="5">
        <f>'#2-Commodity 1.2%'!AF16</f>
        <v>-7176612.1603500778</v>
      </c>
      <c r="I20" s="5">
        <f>'#2-Commodity 1.2%'!AD16</f>
        <v>-62396418.6841207</v>
      </c>
      <c r="J20" s="5">
        <f t="shared" si="5"/>
        <v>-16104006.917586468</v>
      </c>
      <c r="K20" s="5">
        <f t="shared" si="6"/>
        <v>2667031631.5373392</v>
      </c>
      <c r="M20" s="52">
        <v>2036</v>
      </c>
      <c r="N20" s="53">
        <f t="shared" si="4"/>
        <v>2699239645.3725119</v>
      </c>
      <c r="O20" s="5">
        <f t="shared" si="4"/>
        <v>0</v>
      </c>
      <c r="P20" s="5">
        <f>'#2-Storage Value 1.2%'!AB22</f>
        <v>63348985.643895566</v>
      </c>
      <c r="Q20" s="5">
        <v>0</v>
      </c>
      <c r="R20" s="55">
        <f t="shared" si="7"/>
        <v>-7176612.1603500778</v>
      </c>
      <c r="S20" s="55">
        <f>'#2-Commodity 1.2%'!AD16</f>
        <v>-62396418.6841207</v>
      </c>
      <c r="T20" s="55">
        <f t="shared" si="8"/>
        <v>-6224045.2005752102</v>
      </c>
      <c r="U20" s="5">
        <f t="shared" si="9"/>
        <v>2686791554.9713616</v>
      </c>
    </row>
    <row r="21" spans="3:21">
      <c r="C21" s="52">
        <v>2037</v>
      </c>
      <c r="D21" s="53">
        <f>'Option 1 Dawn Corunna'!D21</f>
        <v>2755923677.9253349</v>
      </c>
      <c r="E21" s="5">
        <v>0</v>
      </c>
      <c r="F21" s="5">
        <f>'#2-Storage Value 1.2%'!AC23</f>
        <v>54591873.429348871</v>
      </c>
      <c r="G21" s="5">
        <v>0</v>
      </c>
      <c r="H21" s="5">
        <f>'#2-Commodity 1.2%'!AF17</f>
        <v>-7327321.0157174291</v>
      </c>
      <c r="I21" s="5">
        <f>'#2-Commodity 1.2%'!AD17</f>
        <v>-63706743.476487234</v>
      </c>
      <c r="J21" s="5">
        <f t="shared" si="5"/>
        <v>-16442191.062855795</v>
      </c>
      <c r="K21" s="5">
        <f t="shared" si="6"/>
        <v>2723039295.7996235</v>
      </c>
      <c r="M21" s="52">
        <v>2037</v>
      </c>
      <c r="N21" s="53">
        <f t="shared" si="4"/>
        <v>2755923677.9253349</v>
      </c>
      <c r="O21" s="5">
        <f t="shared" si="4"/>
        <v>0</v>
      </c>
      <c r="P21" s="5">
        <f>'#2-Storage Value 1.2%'!AB23</f>
        <v>64679314.342417374</v>
      </c>
      <c r="Q21" s="5">
        <v>0</v>
      </c>
      <c r="R21" s="55">
        <f t="shared" si="7"/>
        <v>-7327321.0157174291</v>
      </c>
      <c r="S21" s="55">
        <f>'#2-Commodity 1.2%'!AD17</f>
        <v>-63706743.476487234</v>
      </c>
      <c r="T21" s="55">
        <f t="shared" si="8"/>
        <v>-6354750.1497872919</v>
      </c>
      <c r="U21" s="5">
        <f t="shared" si="9"/>
        <v>2743214177.6257601</v>
      </c>
    </row>
    <row r="22" spans="3:21">
      <c r="C22" s="52">
        <v>2038</v>
      </c>
      <c r="D22" s="53">
        <f>'Option 1 Dawn Corunna'!D22</f>
        <v>2813798075.1617661</v>
      </c>
      <c r="E22" s="5">
        <v>0</v>
      </c>
      <c r="F22" s="5">
        <f>'#2-Storage Value 1.2%'!AC24</f>
        <v>55738302.771365196</v>
      </c>
      <c r="G22" s="5">
        <v>0</v>
      </c>
      <c r="H22" s="5">
        <f>'#2-Commodity 1.2%'!AF18</f>
        <v>-7481194.7570474939</v>
      </c>
      <c r="I22" s="5">
        <f>'#2-Commodity 1.2%'!AD18</f>
        <v>-65044585.089493454</v>
      </c>
      <c r="J22" s="5">
        <f t="shared" si="5"/>
        <v>-16787477.075175755</v>
      </c>
      <c r="K22" s="5">
        <f t="shared" si="6"/>
        <v>2780223121.0114145</v>
      </c>
      <c r="M22" s="52">
        <v>2038</v>
      </c>
      <c r="N22" s="53">
        <f t="shared" si="4"/>
        <v>2813798075.1617661</v>
      </c>
      <c r="O22" s="5">
        <f t="shared" si="4"/>
        <v>0</v>
      </c>
      <c r="P22" s="5">
        <f>'#2-Storage Value 1.2%'!AB24</f>
        <v>66037579.943608128</v>
      </c>
      <c r="Q22" s="5">
        <v>0</v>
      </c>
      <c r="R22" s="55">
        <f t="shared" si="7"/>
        <v>-7481194.7570474939</v>
      </c>
      <c r="S22" s="55">
        <f>'#2-Commodity 1.2%'!AD18</f>
        <v>-65044585.089493454</v>
      </c>
      <c r="T22" s="55">
        <f t="shared" si="8"/>
        <v>-6488199.9029328227</v>
      </c>
      <c r="U22" s="5">
        <f t="shared" si="9"/>
        <v>2800821675.3559008</v>
      </c>
    </row>
    <row r="23" spans="3:21">
      <c r="C23" s="52">
        <v>2039</v>
      </c>
      <c r="D23" s="53">
        <f>'Option 1 Dawn Corunna'!D23</f>
        <v>2872887834.7401633</v>
      </c>
      <c r="E23" s="5">
        <v>0</v>
      </c>
      <c r="F23" s="5">
        <f>'#2-Storage Value 1.2%'!AC25</f>
        <v>56908807.129563853</v>
      </c>
      <c r="G23" s="5">
        <v>0</v>
      </c>
      <c r="H23" s="5">
        <f>'#2-Commodity 1.2%'!AF19</f>
        <v>-7638299.8469454907</v>
      </c>
      <c r="I23" s="5">
        <f>'#2-Commodity 1.2%'!AD19</f>
        <v>-66410521.376372814</v>
      </c>
      <c r="J23" s="5">
        <f t="shared" si="5"/>
        <v>-17140014.093754455</v>
      </c>
      <c r="K23" s="5">
        <f t="shared" si="6"/>
        <v>2838607806.5526547</v>
      </c>
      <c r="M23" s="52">
        <v>2039</v>
      </c>
      <c r="N23" s="53">
        <f t="shared" si="4"/>
        <v>2872887834.7401633</v>
      </c>
      <c r="O23" s="5">
        <f t="shared" si="4"/>
        <v>0</v>
      </c>
      <c r="P23" s="5">
        <f>'#2-Storage Value 1.2%'!AB25</f>
        <v>67424369.122423902</v>
      </c>
      <c r="Q23" s="5">
        <v>0</v>
      </c>
      <c r="R23" s="55">
        <f t="shared" si="7"/>
        <v>-7638299.8469454907</v>
      </c>
      <c r="S23" s="55">
        <f>'#2-Commodity 1.2%'!AD19</f>
        <v>-66410521.376372814</v>
      </c>
      <c r="T23" s="55">
        <f t="shared" si="8"/>
        <v>-6624452.1008944064</v>
      </c>
      <c r="U23" s="5">
        <f t="shared" si="9"/>
        <v>2859638930.5383749</v>
      </c>
    </row>
    <row r="24" spans="3:21">
      <c r="C24" s="52">
        <v>2040</v>
      </c>
      <c r="D24" s="53">
        <f>'Option 1 Dawn Corunna'!D24</f>
        <v>2933218479.2697067</v>
      </c>
      <c r="E24" s="5">
        <v>0</v>
      </c>
      <c r="F24" s="5">
        <f>'#2-Storage Value 1.2%'!AC26</f>
        <v>58103892.079284698</v>
      </c>
      <c r="G24" s="5">
        <v>0</v>
      </c>
      <c r="H24" s="5">
        <f>'#2-Commodity 1.2%'!AF20</f>
        <v>-7798704.1437313464</v>
      </c>
      <c r="I24" s="5">
        <f>'#2-Commodity 1.2%'!AD20</f>
        <v>-55302628.828624979</v>
      </c>
      <c r="J24" s="5">
        <f t="shared" si="5"/>
        <v>-4997440.8930716291</v>
      </c>
      <c r="K24" s="5">
        <f t="shared" si="6"/>
        <v>2923223597.4835634</v>
      </c>
      <c r="M24" s="52">
        <v>2040</v>
      </c>
      <c r="N24" s="53">
        <f t="shared" si="4"/>
        <v>2933218479.2697067</v>
      </c>
      <c r="O24" s="5">
        <f t="shared" si="4"/>
        <v>0</v>
      </c>
      <c r="P24" s="5">
        <f>'#2-Storage Value 1.2%'!AB26</f>
        <v>68840280.873994797</v>
      </c>
      <c r="Q24" s="5">
        <v>0</v>
      </c>
      <c r="R24" s="55">
        <f t="shared" si="7"/>
        <v>-7798704.1437313464</v>
      </c>
      <c r="S24" s="55">
        <f>'#2-Commodity 1.2%'!AD20</f>
        <v>-55302628.828624979</v>
      </c>
      <c r="T24" s="55">
        <f t="shared" si="8"/>
        <v>5738947.9016384706</v>
      </c>
      <c r="U24" s="5">
        <f t="shared" si="9"/>
        <v>2944696375.0729837</v>
      </c>
    </row>
    <row r="25" spans="3:21">
      <c r="C25" s="52">
        <v>2041</v>
      </c>
      <c r="D25" s="53">
        <f>'Option 1 Dawn Corunna'!D25</f>
        <v>2994816067.3343697</v>
      </c>
      <c r="E25" s="5">
        <v>0</v>
      </c>
      <c r="F25" s="5">
        <f>'#2-Storage Value 1.2%'!AC27</f>
        <v>59324073.81294965</v>
      </c>
      <c r="G25" s="5">
        <v>0</v>
      </c>
      <c r="H25" s="5">
        <f>'#2-Commodity 1.2%'!AF21</f>
        <v>-7962476.9307497023</v>
      </c>
      <c r="I25" s="5">
        <f>'#2-Commodity 1.2%'!AD21</f>
        <v>-69229050.314107433</v>
      </c>
      <c r="J25" s="5">
        <f t="shared" si="5"/>
        <v>-17867453.431907482</v>
      </c>
      <c r="K25" s="5">
        <f t="shared" si="6"/>
        <v>2959081160.4705544</v>
      </c>
      <c r="M25" s="52">
        <v>2041</v>
      </c>
      <c r="N25" s="53">
        <f t="shared" si="4"/>
        <v>2994816067.3343697</v>
      </c>
      <c r="O25" s="5">
        <f t="shared" si="4"/>
        <v>0</v>
      </c>
      <c r="P25" s="5">
        <f>'#2-Storage Value 1.2%'!AB27</f>
        <v>70285926.772348672</v>
      </c>
      <c r="Q25" s="5">
        <v>0</v>
      </c>
      <c r="R25" s="55">
        <f t="shared" si="7"/>
        <v>-7962476.9307497023</v>
      </c>
      <c r="S25" s="55">
        <f>'#2-Commodity 1.2%'!AD21</f>
        <v>-69229050.314107433</v>
      </c>
      <c r="T25" s="55">
        <f t="shared" si="8"/>
        <v>-6905600.4725084603</v>
      </c>
      <c r="U25" s="5">
        <f t="shared" si="9"/>
        <v>2981004866.3893528</v>
      </c>
    </row>
    <row r="26" spans="3:21">
      <c r="C26" s="52">
        <v>2042</v>
      </c>
      <c r="D26" s="53">
        <f>'Option 1 Dawn Corunna'!D26</f>
        <v>3057707204.7483912</v>
      </c>
      <c r="E26" s="5">
        <v>0</v>
      </c>
      <c r="F26" s="5">
        <f>'#2-Storage Value 1.2%'!AC28</f>
        <v>60569879.363021605</v>
      </c>
      <c r="G26" s="5">
        <v>0</v>
      </c>
      <c r="H26" s="5">
        <f>'#2-Commodity 1.2%'!AF22</f>
        <v>-8129688.9462954458</v>
      </c>
      <c r="I26" s="5">
        <f>'#2-Commodity 1.2%'!AD22</f>
        <v>-70682860.370703697</v>
      </c>
      <c r="J26" s="5">
        <f t="shared" si="5"/>
        <v>-18242669.95397754</v>
      </c>
      <c r="K26" s="5">
        <f t="shared" si="6"/>
        <v>3021221864.840436</v>
      </c>
      <c r="M26" s="52">
        <v>2042</v>
      </c>
      <c r="N26" s="53">
        <f t="shared" si="4"/>
        <v>3057707204.7483912</v>
      </c>
      <c r="O26" s="5">
        <f t="shared" si="4"/>
        <v>0</v>
      </c>
      <c r="P26" s="5">
        <f>'#2-Storage Value 1.2%'!AB28</f>
        <v>71761931.234568</v>
      </c>
      <c r="Q26" s="5">
        <v>0</v>
      </c>
      <c r="R26" s="55">
        <f t="shared" si="7"/>
        <v>-8129688.9462954458</v>
      </c>
      <c r="S26" s="55">
        <f>'#2-Commodity 1.2%'!AD22</f>
        <v>-70682860.370703697</v>
      </c>
      <c r="T26" s="55">
        <f t="shared" si="8"/>
        <v>-7050618.082431145</v>
      </c>
      <c r="U26" s="5">
        <f t="shared" si="9"/>
        <v>3043605968.583529</v>
      </c>
    </row>
    <row r="27" spans="3:21">
      <c r="C27" s="52">
        <v>2043</v>
      </c>
      <c r="D27" s="53">
        <f>'Option 1 Dawn Corunna'!D27</f>
        <v>3121919056.0481071</v>
      </c>
      <c r="E27" s="5">
        <v>0</v>
      </c>
      <c r="F27" s="5">
        <f>'#2-Storage Value 1.2%'!AC29</f>
        <v>61841846.829645045</v>
      </c>
      <c r="G27" s="5">
        <v>0</v>
      </c>
      <c r="H27" s="5">
        <f>'#2-Commodity 1.2%'!AF23</f>
        <v>-8300412.4141676482</v>
      </c>
      <c r="I27" s="5">
        <f>'#2-Commodity 1.2%'!AD23</f>
        <v>-72167200.438488454</v>
      </c>
      <c r="J27" s="5">
        <f t="shared" si="5"/>
        <v>-18625766.023011059</v>
      </c>
      <c r="K27" s="5">
        <f t="shared" si="6"/>
        <v>3084667524.0020847</v>
      </c>
      <c r="M27" s="52">
        <v>2043</v>
      </c>
      <c r="N27" s="53">
        <f t="shared" si="4"/>
        <v>3121919056.0481071</v>
      </c>
      <c r="O27" s="5">
        <f t="shared" si="4"/>
        <v>0</v>
      </c>
      <c r="P27" s="5">
        <f>'#2-Storage Value 1.2%'!AB29</f>
        <v>73268931.790493906</v>
      </c>
      <c r="Q27" s="5">
        <v>0</v>
      </c>
      <c r="R27" s="55">
        <f t="shared" si="7"/>
        <v>-8300412.4141676482</v>
      </c>
      <c r="S27" s="55">
        <f>'#2-Commodity 1.2%'!AD23</f>
        <v>-72167200.438488454</v>
      </c>
      <c r="T27" s="55">
        <f t="shared" si="8"/>
        <v>-7198681.0621621981</v>
      </c>
      <c r="U27" s="5">
        <f t="shared" si="9"/>
        <v>3107521693.9237823</v>
      </c>
    </row>
    <row r="28" spans="3:21">
      <c r="C28" s="52">
        <v>2044</v>
      </c>
      <c r="D28" s="53">
        <f>'Option 1 Dawn Corunna'!D28</f>
        <v>3187479356.2251167</v>
      </c>
      <c r="E28" s="5">
        <v>0</v>
      </c>
      <c r="F28" s="5">
        <f>'#2-Storage Value 1.2%'!AC30</f>
        <v>63140525.613067582</v>
      </c>
      <c r="G28" s="5">
        <v>0</v>
      </c>
      <c r="H28" s="5">
        <f>'#2-Commodity 1.2%'!AF24</f>
        <v>-8474721.074865168</v>
      </c>
      <c r="I28" s="5">
        <f>'#2-Commodity 1.2%'!AD24</f>
        <v>-59604990.529402688</v>
      </c>
      <c r="J28" s="5">
        <f t="shared" si="5"/>
        <v>-4939185.9912002757</v>
      </c>
      <c r="K28" s="5">
        <f t="shared" si="6"/>
        <v>3177600984.2427158</v>
      </c>
      <c r="M28" s="52">
        <v>2044</v>
      </c>
      <c r="N28" s="53">
        <f t="shared" si="4"/>
        <v>3187479356.2251167</v>
      </c>
      <c r="O28" s="5">
        <f t="shared" si="4"/>
        <v>0</v>
      </c>
      <c r="P28" s="5">
        <f>'#2-Storage Value 1.2%'!AB30</f>
        <v>74807579.358094275</v>
      </c>
      <c r="Q28" s="5">
        <v>0</v>
      </c>
      <c r="R28" s="55">
        <f t="shared" si="7"/>
        <v>-8474721.074865168</v>
      </c>
      <c r="S28" s="55">
        <f>'#2-Commodity 1.2%'!AD24</f>
        <v>-59604990.529402688</v>
      </c>
      <c r="T28" s="55">
        <f t="shared" si="8"/>
        <v>6727867.753826417</v>
      </c>
      <c r="U28" s="5">
        <f t="shared" si="9"/>
        <v>3200935091.7327695</v>
      </c>
    </row>
    <row r="29" spans="3:21">
      <c r="C29" s="52">
        <v>2045</v>
      </c>
      <c r="D29" s="53">
        <f>'Option 1 Dawn Corunna'!D29</f>
        <v>3254416422.7058444</v>
      </c>
      <c r="E29" s="5">
        <v>0</v>
      </c>
      <c r="F29" s="5">
        <f>'#2-Storage Value 1.2%'!AC31</f>
        <v>64466476.650941998</v>
      </c>
      <c r="G29" s="5">
        <v>0</v>
      </c>
      <c r="H29" s="5">
        <f>'#2-Commodity 1.2%'!AF25</f>
        <v>-8652690.2174373362</v>
      </c>
      <c r="I29" s="5">
        <f>'#2-Commodity 1.2%'!AD25</f>
        <v>-75230048.592298329</v>
      </c>
      <c r="J29" s="5">
        <f t="shared" si="5"/>
        <v>-19416262.158793665</v>
      </c>
      <c r="K29" s="5">
        <f t="shared" si="6"/>
        <v>3215583898.388257</v>
      </c>
      <c r="M29" s="52">
        <v>2045</v>
      </c>
      <c r="N29" s="53">
        <f t="shared" si="4"/>
        <v>3254416422.7058444</v>
      </c>
      <c r="O29" s="5">
        <f t="shared" si="4"/>
        <v>0</v>
      </c>
      <c r="P29" s="5">
        <f>'#2-Storage Value 1.2%'!AB31</f>
        <v>76378538.524614245</v>
      </c>
      <c r="Q29" s="5">
        <v>0</v>
      </c>
      <c r="R29" s="55">
        <f t="shared" si="7"/>
        <v>-8652690.2174373362</v>
      </c>
      <c r="S29" s="55">
        <f>'#2-Commodity 1.2%'!AD25</f>
        <v>-75230048.592298329</v>
      </c>
      <c r="T29" s="55">
        <f t="shared" si="8"/>
        <v>-7504200.285121426</v>
      </c>
      <c r="U29" s="5">
        <f t="shared" si="9"/>
        <v>3239408022.1356015</v>
      </c>
    </row>
    <row r="30" spans="3:21">
      <c r="C30" s="52">
        <v>2046</v>
      </c>
      <c r="D30" s="53">
        <f>'Option 1 Dawn Corunna'!D30</f>
        <v>3322759167.5826664</v>
      </c>
      <c r="E30" s="5">
        <v>0</v>
      </c>
      <c r="F30" s="5">
        <f>'#2-Storage Value 1.2%'!AC32</f>
        <v>65820272.660611764</v>
      </c>
      <c r="G30" s="5">
        <v>0</v>
      </c>
      <c r="H30" s="5">
        <f>'#2-Commodity 1.2%'!AF26</f>
        <v>-8834396.7120035198</v>
      </c>
      <c r="I30" s="5">
        <f>'#2-Commodity 1.2%'!AD26</f>
        <v>-76809879.612736583</v>
      </c>
      <c r="J30" s="5">
        <f t="shared" si="5"/>
        <v>-19824003.664128341</v>
      </c>
      <c r="K30" s="5">
        <f t="shared" si="6"/>
        <v>3283111160.2544093</v>
      </c>
      <c r="M30" s="52">
        <v>2046</v>
      </c>
      <c r="N30" s="53">
        <f t="shared" si="4"/>
        <v>3322759167.5826664</v>
      </c>
      <c r="O30" s="5">
        <f t="shared" si="4"/>
        <v>0</v>
      </c>
      <c r="P30" s="5">
        <f>'#2-Storage Value 1.2%'!AB32</f>
        <v>77982487.833631143</v>
      </c>
      <c r="Q30" s="5">
        <v>0</v>
      </c>
      <c r="R30" s="55">
        <f t="shared" si="7"/>
        <v>-8834396.7120035198</v>
      </c>
      <c r="S30" s="55">
        <f>'#2-Commodity 1.2%'!AD26</f>
        <v>-76809879.612736583</v>
      </c>
      <c r="T30" s="55">
        <f t="shared" si="8"/>
        <v>-7661788.491108954</v>
      </c>
      <c r="U30" s="5">
        <f t="shared" si="9"/>
        <v>3307435590.6004481</v>
      </c>
    </row>
    <row r="31" spans="3:21">
      <c r="C31" s="52">
        <v>2047</v>
      </c>
      <c r="D31" s="53">
        <f>'Option 1 Dawn Corunna'!D31</f>
        <v>3392537110.101902</v>
      </c>
      <c r="E31" s="5">
        <v>0</v>
      </c>
      <c r="F31" s="5">
        <f>'#2-Storage Value 1.2%'!AC33</f>
        <v>67202498.386484593</v>
      </c>
      <c r="G31" s="5">
        <v>0</v>
      </c>
      <c r="H31" s="5">
        <f>'#2-Commodity 1.2%'!AF27</f>
        <v>-9019919.0429555923</v>
      </c>
      <c r="I31" s="5">
        <f>'#2-Commodity 1.2%'!AD27</f>
        <v>-78422887.08460404</v>
      </c>
      <c r="J31" s="5">
        <f t="shared" si="5"/>
        <v>-20240307.741075039</v>
      </c>
      <c r="K31" s="5">
        <f t="shared" si="6"/>
        <v>3352056494.6197519</v>
      </c>
      <c r="M31" s="52">
        <v>2047</v>
      </c>
      <c r="N31" s="53">
        <f t="shared" si="4"/>
        <v>3392537110.101902</v>
      </c>
      <c r="O31" s="5">
        <f t="shared" si="4"/>
        <v>0</v>
      </c>
      <c r="P31" s="5">
        <f>'#2-Storage Value 1.2%'!AB33</f>
        <v>79620120.078137368</v>
      </c>
      <c r="Q31" s="5">
        <v>0</v>
      </c>
      <c r="R31" s="55">
        <f t="shared" si="7"/>
        <v>-9019919.0429555923</v>
      </c>
      <c r="S31" s="55">
        <f>'#2-Commodity 1.2%'!AD27</f>
        <v>-78422887.08460404</v>
      </c>
      <c r="T31" s="55">
        <f t="shared" si="8"/>
        <v>-7822686.0494222641</v>
      </c>
      <c r="U31" s="5">
        <f t="shared" si="9"/>
        <v>3376891738.0030575</v>
      </c>
    </row>
    <row r="32" spans="3:21">
      <c r="C32" s="52">
        <v>2048</v>
      </c>
      <c r="D32" s="53">
        <f>'Option 1 Dawn Corunna'!D32</f>
        <v>3463780389.414041</v>
      </c>
      <c r="E32" s="5">
        <v>0</v>
      </c>
      <c r="F32" s="5">
        <f>'#2-Storage Value 1.2%'!AC34</f>
        <v>68613750.852600783</v>
      </c>
      <c r="G32" s="5">
        <v>0</v>
      </c>
      <c r="H32" s="5">
        <f>'#2-Commodity 1.2%'!AF28</f>
        <v>-9209337.342857657</v>
      </c>
      <c r="I32" s="5">
        <f>'#2-Commodity 1.2%'!AD28</f>
        <v>-80069767.713380709</v>
      </c>
      <c r="J32" s="5">
        <f t="shared" si="5"/>
        <v>-20665354.203637585</v>
      </c>
      <c r="K32" s="5">
        <f t="shared" si="6"/>
        <v>3422449681.0067654</v>
      </c>
      <c r="M32" s="52">
        <v>2048</v>
      </c>
      <c r="N32" s="53">
        <f t="shared" si="4"/>
        <v>3463780389.414041</v>
      </c>
      <c r="O32" s="5">
        <f t="shared" si="4"/>
        <v>0</v>
      </c>
      <c r="P32" s="5">
        <f>'#2-Storage Value 1.2%'!AB34</f>
        <v>81292142.59977825</v>
      </c>
      <c r="Q32" s="5">
        <v>0</v>
      </c>
      <c r="R32" s="55">
        <f t="shared" si="7"/>
        <v>-9209337.342857657</v>
      </c>
      <c r="S32" s="55">
        <f>'#2-Commodity 1.2%'!AD28</f>
        <v>-80069767.713380709</v>
      </c>
      <c r="T32" s="55">
        <f t="shared" si="8"/>
        <v>-7986962.4564601183</v>
      </c>
      <c r="U32" s="5">
        <f t="shared" si="9"/>
        <v>3447806464.5011206</v>
      </c>
    </row>
    <row r="33" spans="3:21">
      <c r="C33" s="52">
        <v>2049</v>
      </c>
      <c r="D33" s="53">
        <f>'Option 1 Dawn Corunna'!D33</f>
        <v>3536519777.5917358</v>
      </c>
      <c r="E33" s="5">
        <v>0</v>
      </c>
      <c r="F33" s="5">
        <f>'#2-Storage Value 1.2%'!AC35</f>
        <v>70054639.620505393</v>
      </c>
      <c r="G33" s="5">
        <v>0</v>
      </c>
      <c r="H33" s="5">
        <f>'#2-Commodity 1.2%'!AF29</f>
        <v>-9402733.4270576667</v>
      </c>
      <c r="I33" s="5">
        <f>'#2-Commodity 1.2%'!AD29</f>
        <v>-81751232.835361689</v>
      </c>
      <c r="J33" s="5">
        <f t="shared" si="5"/>
        <v>-21099326.641913965</v>
      </c>
      <c r="K33" s="5">
        <f t="shared" si="6"/>
        <v>3494321124.3079081</v>
      </c>
      <c r="M33" s="52">
        <v>2049</v>
      </c>
      <c r="N33" s="53">
        <f t="shared" si="4"/>
        <v>3536519777.5917358</v>
      </c>
      <c r="O33" s="5">
        <f t="shared" si="4"/>
        <v>0</v>
      </c>
      <c r="P33" s="5">
        <f>'#2-Storage Value 1.2%'!AB35</f>
        <v>82999277.594373569</v>
      </c>
      <c r="Q33" s="5">
        <v>0</v>
      </c>
      <c r="R33" s="55">
        <f t="shared" si="7"/>
        <v>-9402733.4270576667</v>
      </c>
      <c r="S33" s="55">
        <f>'#2-Commodity 1.2%'!AD29</f>
        <v>-81751232.835361689</v>
      </c>
      <c r="T33" s="55">
        <f t="shared" si="8"/>
        <v>-8154688.668045789</v>
      </c>
      <c r="U33" s="5">
        <f t="shared" si="9"/>
        <v>3520210400.2556443</v>
      </c>
    </row>
    <row r="34" spans="3:21">
      <c r="C34" s="52">
        <v>2050</v>
      </c>
      <c r="D34" s="53">
        <f>'Option 1 Dawn Corunna'!D34</f>
        <v>3610786692.9211621</v>
      </c>
      <c r="E34" s="5">
        <v>0</v>
      </c>
      <c r="F34" s="5">
        <f>'#2-Storage Value 1.2%'!AC36</f>
        <v>71525787.052535996</v>
      </c>
      <c r="G34" s="5">
        <v>0</v>
      </c>
      <c r="H34" s="5">
        <f>'#2-Commodity 1.2%'!AF30</f>
        <v>-9600190.8290258795</v>
      </c>
      <c r="I34" s="5">
        <f>'#2-Commodity 1.2%'!AD30</f>
        <v>-83468008.724904299</v>
      </c>
      <c r="J34" s="5">
        <f t="shared" si="5"/>
        <v>-21542412.501394182</v>
      </c>
      <c r="K34" s="5">
        <f t="shared" si="6"/>
        <v>3567701867.9183741</v>
      </c>
      <c r="M34" s="52">
        <v>2050</v>
      </c>
      <c r="N34" s="53">
        <f t="shared" si="4"/>
        <v>3610786692.9211621</v>
      </c>
      <c r="O34" s="5">
        <f t="shared" si="4"/>
        <v>0</v>
      </c>
      <c r="P34" s="5">
        <f>'#2-Storage Value 1.2%'!AB36</f>
        <v>84742262.423855424</v>
      </c>
      <c r="Q34" s="5">
        <v>0</v>
      </c>
      <c r="R34" s="55">
        <f t="shared" si="7"/>
        <v>-9600190.8290258795</v>
      </c>
      <c r="S34" s="55">
        <f>'#2-Commodity 1.2%'!AD30</f>
        <v>-83468008.724904299</v>
      </c>
      <c r="T34" s="55">
        <f t="shared" si="8"/>
        <v>-8325937.1300747544</v>
      </c>
      <c r="U34" s="5">
        <f t="shared" si="9"/>
        <v>3594134818.6610122</v>
      </c>
    </row>
    <row r="35" spans="3:21">
      <c r="C35" s="52">
        <v>2051</v>
      </c>
      <c r="D35" s="53">
        <f>'Option 1 Dawn Corunna'!D35</f>
        <v>3686613213.4725056</v>
      </c>
      <c r="E35" s="5">
        <v>0</v>
      </c>
      <c r="F35" s="5">
        <f>'#2-Storage Value 1.2%'!AC37</f>
        <v>73027828.580639243</v>
      </c>
      <c r="G35" s="5">
        <v>0</v>
      </c>
      <c r="H35" s="5">
        <f>'#2-Commodity 1.2%'!AF31</f>
        <v>-9801794.8364354186</v>
      </c>
      <c r="I35" s="5">
        <f>'#2-Commodity 1.2%'!AD31</f>
        <v>-85220836.908127248</v>
      </c>
      <c r="J35" s="5">
        <f t="shared" si="5"/>
        <v>-21994803.163923427</v>
      </c>
      <c r="K35" s="5">
        <f t="shared" si="6"/>
        <v>3642623607.144659</v>
      </c>
      <c r="M35" s="52">
        <v>2051</v>
      </c>
      <c r="N35" s="53">
        <f t="shared" si="4"/>
        <v>3686613213.4725056</v>
      </c>
      <c r="O35" s="5">
        <f t="shared" si="4"/>
        <v>0</v>
      </c>
      <c r="P35" s="5">
        <f>'#2-Storage Value 1.2%'!AB37</f>
        <v>86521849.934756368</v>
      </c>
      <c r="Q35" s="5">
        <v>0</v>
      </c>
      <c r="R35" s="55">
        <f t="shared" si="7"/>
        <v>-9801794.8364354186</v>
      </c>
      <c r="S35" s="55">
        <f>'#2-Commodity 1.2%'!AD31</f>
        <v>-85220836.908127248</v>
      </c>
      <c r="T35" s="55">
        <f t="shared" si="8"/>
        <v>-8500781.8098063022</v>
      </c>
      <c r="U35" s="5">
        <f t="shared" si="9"/>
        <v>3669611649.8528929</v>
      </c>
    </row>
    <row r="36" spans="3:21">
      <c r="C36" s="52">
        <v>2052</v>
      </c>
      <c r="D36" s="53">
        <f>'Option 1 Dawn Corunna'!D36</f>
        <v>3764032090.9554276</v>
      </c>
      <c r="E36" s="5">
        <v>0</v>
      </c>
      <c r="F36" s="5">
        <f>'#2-Storage Value 1.2%'!AC38</f>
        <v>74561412.980832651</v>
      </c>
      <c r="G36" s="5">
        <v>0</v>
      </c>
      <c r="H36" s="5">
        <f>'#2-Commodity 1.2%'!AF32</f>
        <v>-10007632.528000562</v>
      </c>
      <c r="I36" s="5">
        <f>'#2-Commodity 1.2%'!AD32</f>
        <v>-87010474.483197913</v>
      </c>
      <c r="J36" s="5">
        <f t="shared" si="5"/>
        <v>-22456694.030365825</v>
      </c>
      <c r="K36" s="5">
        <f t="shared" si="6"/>
        <v>3719118702.8946962</v>
      </c>
      <c r="M36" s="52">
        <v>2052</v>
      </c>
      <c r="N36" s="53">
        <f t="shared" si="4"/>
        <v>3764032090.9554276</v>
      </c>
      <c r="O36" s="5">
        <f t="shared" si="4"/>
        <v>0</v>
      </c>
      <c r="P36" s="5">
        <f>'#2-Storage Value 1.2%'!AB38</f>
        <v>88338808.783386216</v>
      </c>
      <c r="Q36" s="5">
        <v>0</v>
      </c>
      <c r="R36" s="55">
        <f t="shared" si="7"/>
        <v>-10007632.528000562</v>
      </c>
      <c r="S36" s="55">
        <f>'#2-Commodity 1.2%'!AD32</f>
        <v>-87010474.483197913</v>
      </c>
      <c r="T36" s="55">
        <f t="shared" si="8"/>
        <v>-8679298.2278122604</v>
      </c>
      <c r="U36" s="5">
        <f t="shared" si="9"/>
        <v>3746673494.4998035</v>
      </c>
    </row>
    <row r="37" spans="3:21">
      <c r="C37" s="52">
        <v>2053</v>
      </c>
      <c r="D37" s="53">
        <f>'Option 1 Dawn Corunna'!D37</f>
        <v>3843076764.8654919</v>
      </c>
      <c r="E37" s="5">
        <v>0</v>
      </c>
      <c r="F37" s="5">
        <f>'#2-Storage Value 1.2%'!AC39</f>
        <v>76127202.653430119</v>
      </c>
      <c r="G37" s="5">
        <v>0</v>
      </c>
      <c r="H37" s="5">
        <f>'#2-Commodity 1.2%'!AF33</f>
        <v>-10217792.811088573</v>
      </c>
      <c r="I37" s="5">
        <f>'#2-Commodity 1.2%'!AD33</f>
        <v>-88837694.447345078</v>
      </c>
      <c r="J37" s="5">
        <f t="shared" si="5"/>
        <v>-22928284.605003536</v>
      </c>
      <c r="K37" s="5">
        <f t="shared" si="6"/>
        <v>3797220195.6554847</v>
      </c>
      <c r="M37" s="52">
        <v>2053</v>
      </c>
      <c r="N37" s="53">
        <f t="shared" si="4"/>
        <v>3843076764.8654919</v>
      </c>
      <c r="O37" s="5">
        <f t="shared" si="4"/>
        <v>0</v>
      </c>
      <c r="P37" s="5">
        <f>'#2-Storage Value 1.2%'!AB39</f>
        <v>90193923.767837346</v>
      </c>
      <c r="Q37" s="5">
        <v>0</v>
      </c>
      <c r="R37" s="55">
        <f t="shared" si="7"/>
        <v>-10217792.811088573</v>
      </c>
      <c r="S37" s="55">
        <f>'#2-Commodity 1.2%'!AD33</f>
        <v>-88837694.447345078</v>
      </c>
      <c r="T37" s="55">
        <f t="shared" si="8"/>
        <v>-8861563.4905963093</v>
      </c>
      <c r="U37" s="5">
        <f t="shared" si="9"/>
        <v>3825353637.8842993</v>
      </c>
    </row>
    <row r="38" spans="3:21">
      <c r="C38" s="52">
        <v>2054</v>
      </c>
      <c r="D38" s="53">
        <f>'Option 1 Dawn Corunna'!D38</f>
        <v>3923781376.9276662</v>
      </c>
      <c r="E38" s="5">
        <v>0</v>
      </c>
      <c r="F38" s="5">
        <f>'#2-Storage Value 1.2%'!AC40</f>
        <v>77725873.90915215</v>
      </c>
      <c r="G38" s="5">
        <v>0</v>
      </c>
      <c r="H38" s="5">
        <f>'#2-Commodity 1.2%'!AF34</f>
        <v>-10432366.46012143</v>
      </c>
      <c r="I38" s="5">
        <f>'#2-Commodity 1.2%'!AD34</f>
        <v>-90703286.030739307</v>
      </c>
      <c r="J38" s="5">
        <f t="shared" si="5"/>
        <v>-23409778.58170858</v>
      </c>
      <c r="K38" s="5">
        <f t="shared" si="6"/>
        <v>3876961819.7642488</v>
      </c>
      <c r="M38" s="52">
        <v>2054</v>
      </c>
      <c r="N38" s="53">
        <f t="shared" si="4"/>
        <v>3923781376.9276662</v>
      </c>
      <c r="O38" s="5">
        <f t="shared" si="4"/>
        <v>0</v>
      </c>
      <c r="P38" s="5">
        <f>'#2-Storage Value 1.2%'!AB40</f>
        <v>92087996.166961908</v>
      </c>
      <c r="Q38" s="5">
        <v>0</v>
      </c>
      <c r="R38" s="55">
        <f t="shared" si="7"/>
        <v>-10432366.46012143</v>
      </c>
      <c r="S38" s="55">
        <f>'#2-Commodity 1.2%'!AD34</f>
        <v>-90703286.030739307</v>
      </c>
      <c r="T38" s="55">
        <f t="shared" si="8"/>
        <v>-9047656.3238988221</v>
      </c>
      <c r="U38" s="5">
        <f t="shared" si="9"/>
        <v>3905686064.2798686</v>
      </c>
    </row>
    <row r="39" spans="3:21">
      <c r="C39" s="52">
        <v>2055</v>
      </c>
      <c r="D39" s="53">
        <f>'Option 1 Dawn Corunna'!D39</f>
        <v>4006180785.8431468</v>
      </c>
      <c r="E39" s="5">
        <v>0</v>
      </c>
      <c r="F39" s="5">
        <f>'#2-Storage Value 1.2%'!AC41</f>
        <v>79358117.261244327</v>
      </c>
      <c r="G39" s="5">
        <v>0</v>
      </c>
      <c r="H39" s="5">
        <f>'#2-Commodity 1.2%'!AF35</f>
        <v>-10651446.155783981</v>
      </c>
      <c r="I39" s="5">
        <f>'#2-Commodity 1.2%'!AD35</f>
        <v>-92608055.037384823</v>
      </c>
      <c r="J39" s="5">
        <f t="shared" si="5"/>
        <v>-23901383.931924477</v>
      </c>
      <c r="K39" s="5">
        <f t="shared" si="6"/>
        <v>3958378017.9792976</v>
      </c>
      <c r="M39" s="52">
        <v>2055</v>
      </c>
      <c r="N39" s="53">
        <f t="shared" si="4"/>
        <v>4006180785.8431468</v>
      </c>
      <c r="O39" s="5">
        <f t="shared" si="4"/>
        <v>0</v>
      </c>
      <c r="P39" s="5">
        <f>'#2-Storage Value 1.2%'!AB41</f>
        <v>94021844.086468101</v>
      </c>
      <c r="Q39" s="5">
        <v>0</v>
      </c>
      <c r="R39" s="55">
        <f t="shared" si="7"/>
        <v>-10651446.155783981</v>
      </c>
      <c r="S39" s="55">
        <f>'#2-Commodity 1.2%'!AD35</f>
        <v>-92608055.037384823</v>
      </c>
      <c r="T39" s="55">
        <f t="shared" si="8"/>
        <v>-9237657.1067007035</v>
      </c>
      <c r="U39" s="5">
        <f t="shared" si="9"/>
        <v>3987705471.629745</v>
      </c>
    </row>
    <row r="40" spans="3:21">
      <c r="C40" s="52">
        <v>2056</v>
      </c>
      <c r="D40" s="53">
        <f>'Option 1 Dawn Corunna'!D40</f>
        <v>4090310582.3458524</v>
      </c>
      <c r="E40" s="5">
        <v>0</v>
      </c>
      <c r="F40" s="5">
        <f>'#2-Storage Value 1.2%'!AC42</f>
        <v>81024637.723730475</v>
      </c>
      <c r="G40" s="5">
        <v>0</v>
      </c>
      <c r="H40" s="5">
        <f>'#2-Commodity 1.2%'!AF36</f>
        <v>-10875126.525055444</v>
      </c>
      <c r="I40" s="5">
        <f>'#2-Commodity 1.2%'!AD36</f>
        <v>-94552824.193169892</v>
      </c>
      <c r="J40" s="5">
        <f t="shared" si="5"/>
        <v>-24403312.994494855</v>
      </c>
      <c r="K40" s="5">
        <f t="shared" si="6"/>
        <v>4041503956.3568625</v>
      </c>
      <c r="M40" s="52">
        <v>2056</v>
      </c>
      <c r="N40" s="53">
        <f t="shared" si="4"/>
        <v>4090310582.3458524</v>
      </c>
      <c r="O40" s="5">
        <f t="shared" si="4"/>
        <v>0</v>
      </c>
      <c r="P40" s="5">
        <f>'#2-Storage Value 1.2%'!AB42</f>
        <v>95996302.812283933</v>
      </c>
      <c r="Q40" s="5">
        <v>0</v>
      </c>
      <c r="R40" s="55">
        <f t="shared" si="7"/>
        <v>-10875126.525055444</v>
      </c>
      <c r="S40" s="55">
        <f>'#2-Commodity 1.2%'!AD36</f>
        <v>-94552824.193169892</v>
      </c>
      <c r="T40" s="55">
        <f t="shared" si="8"/>
        <v>-9431647.905941397</v>
      </c>
      <c r="U40" s="5">
        <f t="shared" si="9"/>
        <v>4071447286.5339694</v>
      </c>
    </row>
    <row r="41" spans="3:21">
      <c r="C41" s="52">
        <v>2057</v>
      </c>
      <c r="D41" s="53">
        <f>'Option 1 Dawn Corunna'!D41</f>
        <v>4176207104.5751147</v>
      </c>
      <c r="E41" s="5">
        <v>0</v>
      </c>
      <c r="F41" s="5">
        <f>'#2-Storage Value 1.2%'!AC43</f>
        <v>82726155.115928784</v>
      </c>
      <c r="G41" s="5">
        <v>0</v>
      </c>
      <c r="H41" s="5">
        <f>'#2-Commodity 1.2%'!AF37</f>
        <v>-11103504.182081604</v>
      </c>
      <c r="I41" s="5">
        <f>'#2-Commodity 1.2%'!AD37</f>
        <v>-96538433.50122644</v>
      </c>
      <c r="J41" s="5">
        <f t="shared" si="5"/>
        <v>-24915782.567379266</v>
      </c>
      <c r="K41" s="5">
        <f t="shared" si="6"/>
        <v>4126375539.4403558</v>
      </c>
      <c r="M41" s="52">
        <v>2057</v>
      </c>
      <c r="N41" s="53">
        <f t="shared" si="4"/>
        <v>4176207104.5751147</v>
      </c>
      <c r="O41" s="5">
        <f t="shared" si="4"/>
        <v>0</v>
      </c>
      <c r="P41" s="5">
        <f>'#2-Storage Value 1.2%'!AB43</f>
        <v>98012225.171341866</v>
      </c>
      <c r="Q41" s="5">
        <v>0</v>
      </c>
      <c r="R41" s="55">
        <f t="shared" si="7"/>
        <v>-11103504.182081604</v>
      </c>
      <c r="S41" s="55">
        <f>'#2-Commodity 1.2%'!AD37</f>
        <v>-96538433.50122644</v>
      </c>
      <c r="T41" s="55">
        <f t="shared" si="8"/>
        <v>-9629712.5119661838</v>
      </c>
      <c r="U41" s="5">
        <f t="shared" si="9"/>
        <v>4156947679.5511823</v>
      </c>
    </row>
    <row r="42" spans="3:21">
      <c r="C42" s="52">
        <v>2058</v>
      </c>
      <c r="D42" s="53">
        <f>'Option 1 Dawn Corunna'!D42</f>
        <v>4263907453.7711921</v>
      </c>
      <c r="E42" s="5">
        <v>0</v>
      </c>
      <c r="F42" s="5">
        <f>'#2-Storage Value 1.2%'!AC44</f>
        <v>84463404.373363271</v>
      </c>
      <c r="G42" s="5">
        <v>0</v>
      </c>
      <c r="H42" s="5">
        <f>'#2-Commodity 1.2%'!AF38</f>
        <v>-11336677.769905319</v>
      </c>
      <c r="I42" s="5">
        <f>'#2-Commodity 1.2%'!AD38</f>
        <v>-98565740.604752198</v>
      </c>
      <c r="J42" s="5">
        <f t="shared" si="5"/>
        <v>-25439014.00129424</v>
      </c>
      <c r="K42" s="5">
        <f t="shared" si="6"/>
        <v>4213029425.7686038</v>
      </c>
      <c r="M42" s="52">
        <v>2058</v>
      </c>
      <c r="N42" s="53">
        <f t="shared" si="4"/>
        <v>4263907453.7711921</v>
      </c>
      <c r="O42" s="5">
        <f t="shared" si="4"/>
        <v>0</v>
      </c>
      <c r="P42" s="5">
        <f>'#2-Storage Value 1.2%'!AB44</f>
        <v>100070481.89994004</v>
      </c>
      <c r="Q42" s="5">
        <v>0</v>
      </c>
      <c r="R42" s="55">
        <f t="shared" si="7"/>
        <v>-11336677.769905319</v>
      </c>
      <c r="S42" s="55">
        <f>'#2-Commodity 1.2%'!AD38</f>
        <v>-98565740.604752198</v>
      </c>
      <c r="T42" s="55">
        <f t="shared" si="8"/>
        <v>-9831936.474717468</v>
      </c>
      <c r="U42" s="5">
        <f t="shared" si="9"/>
        <v>4244243580.8217573</v>
      </c>
    </row>
    <row r="43" spans="3:21">
      <c r="C43" s="52">
        <v>2059</v>
      </c>
      <c r="D43" s="53">
        <f>'Option 1 Dawn Corunna'!D43</f>
        <v>4353449510.3003864</v>
      </c>
      <c r="E43" s="5">
        <v>0</v>
      </c>
      <c r="F43" s="5">
        <f>'#2-Storage Value 1.2%'!AC45</f>
        <v>86237135.865203887</v>
      </c>
      <c r="G43" s="5">
        <v>0</v>
      </c>
      <c r="H43" s="5">
        <f>'#2-Commodity 1.2%'!AF39</f>
        <v>-11574748.003073329</v>
      </c>
      <c r="I43" s="5">
        <f>'#2-Commodity 1.2%'!AD39</f>
        <v>-100635621.15745199</v>
      </c>
      <c r="J43" s="5">
        <f t="shared" si="5"/>
        <v>-25973233.295321435</v>
      </c>
      <c r="K43" s="5">
        <f t="shared" si="6"/>
        <v>4301503043.7097435</v>
      </c>
      <c r="M43" s="52">
        <v>2059</v>
      </c>
      <c r="N43" s="53">
        <f t="shared" si="4"/>
        <v>4353449510.3003864</v>
      </c>
      <c r="O43" s="5">
        <f t="shared" si="4"/>
        <v>0</v>
      </c>
      <c r="P43" s="5">
        <f>'#2-Storage Value 1.2%'!AB45</f>
        <v>102171962.01983877</v>
      </c>
      <c r="Q43" s="5">
        <v>0</v>
      </c>
      <c r="R43" s="55">
        <f t="shared" si="7"/>
        <v>-11574748.003073329</v>
      </c>
      <c r="S43" s="55">
        <f>'#2-Commodity 1.2%'!AD39</f>
        <v>-100635621.15745199</v>
      </c>
      <c r="T43" s="55">
        <f t="shared" si="8"/>
        <v>-10038407.140686557</v>
      </c>
      <c r="U43" s="5">
        <f t="shared" si="9"/>
        <v>4333372696.0190125</v>
      </c>
    </row>
    <row r="44" spans="3:21">
      <c r="C44" s="52">
        <v>2060</v>
      </c>
      <c r="D44" s="53">
        <f>'Option 1 Dawn Corunna'!D44</f>
        <v>4444871950.0166931</v>
      </c>
      <c r="E44" s="5">
        <v>0</v>
      </c>
      <c r="F44" s="5">
        <f>'#2-Storage Value 1.2%'!AC46</f>
        <v>88048115.718373165</v>
      </c>
      <c r="G44" s="5">
        <v>0</v>
      </c>
      <c r="H44" s="5">
        <f>'#2-Commodity 1.2%'!AF40</f>
        <v>-11817817.711137867</v>
      </c>
      <c r="I44" s="5">
        <f>'#2-Commodity 1.2%'!AD40</f>
        <v>-102748969.20175844</v>
      </c>
      <c r="J44" s="5">
        <f t="shared" si="5"/>
        <v>-26518671.194523141</v>
      </c>
      <c r="K44" s="5">
        <f t="shared" si="6"/>
        <v>4391834607.6276474</v>
      </c>
      <c r="M44" s="52">
        <v>2060</v>
      </c>
      <c r="N44" s="53">
        <f t="shared" si="4"/>
        <v>4444871950.0166931</v>
      </c>
      <c r="O44" s="5">
        <f t="shared" si="4"/>
        <v>0</v>
      </c>
      <c r="P44" s="5">
        <f>'#2-Storage Value 1.2%'!AB46</f>
        <v>104317573.22225536</v>
      </c>
      <c r="Q44" s="5">
        <v>0</v>
      </c>
      <c r="R44" s="55">
        <f t="shared" si="7"/>
        <v>-11817817.711137867</v>
      </c>
      <c r="S44" s="55">
        <f>'#2-Commodity 1.2%'!AD40</f>
        <v>-102748969.20175844</v>
      </c>
      <c r="T44" s="55">
        <f t="shared" si="8"/>
        <v>-10249213.690640941</v>
      </c>
      <c r="U44" s="5">
        <f t="shared" si="9"/>
        <v>4424373522.6354113</v>
      </c>
    </row>
    <row r="45" spans="3:21">
      <c r="C45" s="52">
        <v>2061</v>
      </c>
      <c r="D45" s="53">
        <f>'Option 1 Dawn Corunna'!D45</f>
        <v>4538214260.9670439</v>
      </c>
      <c r="E45" s="5">
        <v>0</v>
      </c>
      <c r="F45" s="5">
        <f>'#2-Storage Value 1.2%'!AC47</f>
        <v>89897126.148459002</v>
      </c>
      <c r="G45" s="5">
        <v>0</v>
      </c>
      <c r="H45" s="5">
        <f>'#2-Commodity 1.2%'!AF41</f>
        <v>-12065991.88307176</v>
      </c>
      <c r="I45" s="5">
        <f>'#2-Commodity 1.2%'!AD41</f>
        <v>-104906697.55499536</v>
      </c>
      <c r="J45" s="5">
        <f t="shared" si="5"/>
        <v>-27075563.289608121</v>
      </c>
      <c r="K45" s="5">
        <f t="shared" si="6"/>
        <v>4484063134.3878279</v>
      </c>
      <c r="M45" s="52">
        <v>2061</v>
      </c>
      <c r="N45" s="53">
        <f t="shared" si="4"/>
        <v>4538214260.9670439</v>
      </c>
      <c r="O45" s="5">
        <f t="shared" si="4"/>
        <v>0</v>
      </c>
      <c r="P45" s="5">
        <f>'#2-Storage Value 1.2%'!AB47</f>
        <v>106508242.25992273</v>
      </c>
      <c r="Q45" s="5">
        <v>0</v>
      </c>
      <c r="R45" s="55">
        <f t="shared" si="7"/>
        <v>-12065991.88307176</v>
      </c>
      <c r="S45" s="55">
        <f>'#2-Commodity 1.2%'!AD41</f>
        <v>-104906697.55499536</v>
      </c>
      <c r="T45" s="55">
        <f t="shared" si="8"/>
        <v>-10464447.178144395</v>
      </c>
      <c r="U45" s="5">
        <f t="shared" si="9"/>
        <v>4517285366.610755</v>
      </c>
    </row>
    <row r="46" spans="3:21">
      <c r="C46" s="52">
        <v>2062</v>
      </c>
      <c r="D46" s="53">
        <f>'Option 1 Dawn Corunna'!D46</f>
        <v>4633516760.4473505</v>
      </c>
      <c r="E46" s="5">
        <v>0</v>
      </c>
      <c r="F46" s="5">
        <f>'#2-Storage Value 1.2%'!AC48</f>
        <v>91784965.797576621</v>
      </c>
      <c r="G46" s="5">
        <v>0</v>
      </c>
      <c r="H46" s="5">
        <f>'#2-Commodity 1.2%'!AF42</f>
        <v>-12319377.712616265</v>
      </c>
      <c r="I46" s="5">
        <f>'#2-Commodity 1.2%'!AD42</f>
        <v>-107109738.20365025</v>
      </c>
      <c r="J46" s="5">
        <f t="shared" si="5"/>
        <v>-27644150.118689895</v>
      </c>
      <c r="K46" s="5">
        <f t="shared" si="6"/>
        <v>4578228460.2099714</v>
      </c>
      <c r="M46" s="52">
        <v>2062</v>
      </c>
      <c r="N46" s="53">
        <f t="shared" si="4"/>
        <v>4633516760.4473505</v>
      </c>
      <c r="O46" s="5">
        <f t="shared" si="4"/>
        <v>0</v>
      </c>
      <c r="P46" s="5">
        <f>'#2-Storage Value 1.2%'!AB48</f>
        <v>108744915.34738109</v>
      </c>
      <c r="Q46" s="5">
        <v>0</v>
      </c>
      <c r="R46" s="55">
        <f t="shared" si="7"/>
        <v>-12319377.712616265</v>
      </c>
      <c r="S46" s="55">
        <f>'#2-Commodity 1.2%'!AD42</f>
        <v>-107109738.20365025</v>
      </c>
      <c r="T46" s="55">
        <f t="shared" si="8"/>
        <v>-10684200.568885431</v>
      </c>
      <c r="U46" s="5">
        <f t="shared" si="9"/>
        <v>4612148359.3095789</v>
      </c>
    </row>
    <row r="47" spans="3:21">
      <c r="C47" s="52">
        <v>2063</v>
      </c>
      <c r="D47" s="53">
        <f>'Option 1 Dawn Corunna'!D47</f>
        <v>4730820612.4167452</v>
      </c>
      <c r="E47" s="5">
        <v>0</v>
      </c>
      <c r="F47" s="5">
        <f>'#2-Storage Value 1.2%'!AC49</f>
        <v>93712450.079325721</v>
      </c>
      <c r="G47" s="5">
        <v>0</v>
      </c>
      <c r="H47" s="5">
        <f>'#2-Commodity 1.2%'!AF43</f>
        <v>-12578084.644581206</v>
      </c>
      <c r="I47" s="5">
        <f>'#2-Commodity 1.2%'!AD43</f>
        <v>-109359042.7059269</v>
      </c>
      <c r="J47" s="5">
        <f t="shared" si="5"/>
        <v>-28224677.271182388</v>
      </c>
      <c r="K47" s="5">
        <f t="shared" si="6"/>
        <v>4674371257.8743811</v>
      </c>
      <c r="M47" s="52">
        <v>2063</v>
      </c>
      <c r="N47" s="53">
        <f t="shared" si="4"/>
        <v>4730820612.4167452</v>
      </c>
      <c r="O47" s="5">
        <f t="shared" si="4"/>
        <v>0</v>
      </c>
      <c r="P47" s="5">
        <f>'#2-Storage Value 1.2%'!AB49</f>
        <v>111028558.56967609</v>
      </c>
      <c r="Q47" s="5">
        <v>0</v>
      </c>
      <c r="R47" s="55">
        <f t="shared" si="7"/>
        <v>-12578084.644581206</v>
      </c>
      <c r="S47" s="55">
        <f>'#2-Commodity 1.2%'!AD43</f>
        <v>-109359042.7059269</v>
      </c>
      <c r="T47" s="55">
        <f t="shared" si="8"/>
        <v>-10908568.780832022</v>
      </c>
      <c r="U47" s="5">
        <f t="shared" si="9"/>
        <v>4709003474.8550816</v>
      </c>
    </row>
    <row r="50" spans="2:22">
      <c r="C50" s="33" t="s">
        <v>52</v>
      </c>
      <c r="D50" s="33" t="s">
        <v>128</v>
      </c>
      <c r="E50" s="33" t="s">
        <v>198</v>
      </c>
      <c r="M50" s="33" t="s">
        <v>52</v>
      </c>
      <c r="N50" s="33" t="s">
        <v>128</v>
      </c>
      <c r="O50" s="33" t="s">
        <v>198</v>
      </c>
    </row>
    <row r="51" spans="2:22">
      <c r="B51">
        <v>1</v>
      </c>
      <c r="C51" s="52">
        <v>2024</v>
      </c>
      <c r="D51" s="117">
        <f>-NPV(After_Tax_Cost_of_Capital,J$8:J8)</f>
        <v>4701855.927470563</v>
      </c>
      <c r="E51" s="118"/>
      <c r="L51">
        <v>1</v>
      </c>
      <c r="M51" s="52">
        <v>2024</v>
      </c>
      <c r="N51" s="117">
        <f>-NPV(After_Tax_Cost_of_Capital,T$8:T8)</f>
        <v>4556964.3012611177</v>
      </c>
      <c r="O51" s="118"/>
      <c r="V51">
        <v>1</v>
      </c>
    </row>
    <row r="52" spans="2:22">
      <c r="B52">
        <v>2</v>
      </c>
      <c r="C52" s="52">
        <v>2025</v>
      </c>
      <c r="D52" s="117">
        <f>-NPV(After_Tax_Cost_of_Capital,J$8:J9)</f>
        <v>-5813189.884045098</v>
      </c>
      <c r="E52" s="118"/>
      <c r="L52">
        <v>2</v>
      </c>
      <c r="M52" s="52">
        <v>2025</v>
      </c>
      <c r="N52" s="117">
        <f>-NPV(After_Tax_Cost_of_Capital,T$8:T9)</f>
        <v>1471276.7608462158</v>
      </c>
      <c r="O52" s="118"/>
      <c r="V52">
        <v>2</v>
      </c>
    </row>
    <row r="53" spans="2:22">
      <c r="B53">
        <v>3</v>
      </c>
      <c r="C53" s="52">
        <v>2026</v>
      </c>
      <c r="D53" s="117">
        <f>-NPV(After_Tax_Cost_of_Capital,J$8:J10)</f>
        <v>2003432.9269604341</v>
      </c>
      <c r="E53" s="118"/>
      <c r="L53">
        <v>3</v>
      </c>
      <c r="M53" s="52">
        <v>2026</v>
      </c>
      <c r="N53" s="117">
        <f>-NPV(After_Tax_Cost_of_Capital,T$8:T10)</f>
        <v>6601633.3749955148</v>
      </c>
      <c r="O53" s="118"/>
      <c r="V53">
        <v>3</v>
      </c>
    </row>
    <row r="54" spans="2:22">
      <c r="B54">
        <v>4</v>
      </c>
      <c r="C54" s="52">
        <v>2027</v>
      </c>
      <c r="D54" s="117">
        <f>-NPV(After_Tax_Cost_of_Capital,J$8:J11)</f>
        <v>17085443.372951355</v>
      </c>
      <c r="E54" s="118"/>
      <c r="L54">
        <v>4</v>
      </c>
      <c r="M54" s="52">
        <v>2027</v>
      </c>
      <c r="N54" s="117">
        <f>-NPV(After_Tax_Cost_of_Capital,T$8:T11)</f>
        <v>11425520.106044745</v>
      </c>
      <c r="O54" s="118"/>
      <c r="V54">
        <v>4</v>
      </c>
    </row>
    <row r="55" spans="2:22">
      <c r="B55">
        <v>5</v>
      </c>
      <c r="C55" s="52">
        <v>2028</v>
      </c>
      <c r="D55" s="117">
        <f>-NPV(After_Tax_Cost_of_Capital,J$8:J12)</f>
        <v>34269998.688867241</v>
      </c>
      <c r="E55" s="118"/>
      <c r="L55">
        <v>5</v>
      </c>
      <c r="M55" s="52">
        <v>2028</v>
      </c>
      <c r="N55" s="117">
        <f>-NPV(After_Tax_Cost_of_Capital,T$8:T12)</f>
        <v>20438385.56776163</v>
      </c>
      <c r="O55" s="118"/>
      <c r="V55">
        <v>5</v>
      </c>
    </row>
    <row r="56" spans="2:22">
      <c r="B56">
        <v>6</v>
      </c>
      <c r="C56" s="52">
        <v>2029</v>
      </c>
      <c r="D56" s="117">
        <f>-NPV(After_Tax_Cost_of_Capital,J$8:J13)</f>
        <v>55091742.111233182</v>
      </c>
      <c r="E56" s="118"/>
      <c r="L56">
        <v>6</v>
      </c>
      <c r="M56" s="52">
        <v>2029</v>
      </c>
      <c r="N56" s="117">
        <f>-NPV(After_Tax_Cost_of_Capital,T$8:T13)</f>
        <v>31825158.193273731</v>
      </c>
      <c r="O56" s="118"/>
      <c r="V56">
        <v>6</v>
      </c>
    </row>
    <row r="57" spans="2:22">
      <c r="B57">
        <v>7</v>
      </c>
      <c r="C57" s="52">
        <v>2030</v>
      </c>
      <c r="D57" s="117">
        <f>-NPV(After_Tax_Cost_of_Capital,J$8:J14)</f>
        <v>75346508.013318866</v>
      </c>
      <c r="E57" s="118"/>
      <c r="L57">
        <v>7</v>
      </c>
      <c r="M57" s="52">
        <v>2030</v>
      </c>
      <c r="N57" s="117">
        <f>-NPV(After_Tax_Cost_of_Capital,T$8:T14)</f>
        <v>42789865.66764418</v>
      </c>
      <c r="O57" s="118"/>
      <c r="V57">
        <v>7</v>
      </c>
    </row>
    <row r="58" spans="2:22">
      <c r="B58">
        <v>8</v>
      </c>
      <c r="C58" s="52">
        <v>2031</v>
      </c>
      <c r="D58" s="117">
        <f>-NPV(After_Tax_Cost_of_Capital,J$8:J15)</f>
        <v>97539488.185077891</v>
      </c>
      <c r="E58" s="118"/>
      <c r="L58">
        <v>8</v>
      </c>
      <c r="M58" s="52">
        <v>2031</v>
      </c>
      <c r="N58" s="117">
        <f>-NPV(After_Tax_Cost_of_Capital,T$8:T15)</f>
        <v>54898498.279189885</v>
      </c>
      <c r="O58" s="118"/>
      <c r="V58">
        <v>8</v>
      </c>
    </row>
    <row r="59" spans="2:22">
      <c r="B59">
        <v>9</v>
      </c>
      <c r="C59" s="52">
        <v>2032</v>
      </c>
      <c r="D59" s="117">
        <f>-NPV(After_Tax_Cost_of_Capital,J$8:J16)</f>
        <v>113880115.61143713</v>
      </c>
      <c r="E59" s="118"/>
      <c r="L59">
        <v>9</v>
      </c>
      <c r="M59" s="52">
        <v>2032</v>
      </c>
      <c r="N59" s="117">
        <f>-NPV(After_Tax_Cost_of_Capital,T$8:T16)</f>
        <v>61418590.123697259</v>
      </c>
      <c r="O59" s="118"/>
      <c r="V59">
        <v>9</v>
      </c>
    </row>
    <row r="60" spans="2:22">
      <c r="B60">
        <v>10</v>
      </c>
      <c r="C60" s="52">
        <v>2033</v>
      </c>
      <c r="D60" s="117">
        <f>-NPV(After_Tax_Cost_of_Capital,J$8:J17)</f>
        <v>129066865.34825055</v>
      </c>
      <c r="E60" s="118"/>
      <c r="L60">
        <v>10</v>
      </c>
      <c r="M60" s="52">
        <v>2033</v>
      </c>
      <c r="N60" s="117">
        <f>-NPV(After_Tax_Cost_of_Capital,T$8:T17)</f>
        <v>66801796.326526895</v>
      </c>
      <c r="O60" s="118"/>
      <c r="V60">
        <v>10</v>
      </c>
    </row>
    <row r="61" spans="2:22">
      <c r="B61">
        <v>11</v>
      </c>
      <c r="C61" s="52">
        <v>2034</v>
      </c>
      <c r="D61" s="117">
        <f>-NPV(After_Tax_Cost_of_Capital,J$8:J18)</f>
        <v>143159033.02300408</v>
      </c>
      <c r="E61" s="118"/>
      <c r="L61">
        <v>11</v>
      </c>
      <c r="M61" s="52">
        <v>2034</v>
      </c>
      <c r="N61" s="117">
        <f>-NPV(After_Tax_Cost_of_Capital,T$8:T18)</f>
        <v>71825548.97480309</v>
      </c>
      <c r="O61" s="118"/>
      <c r="V61">
        <v>11</v>
      </c>
    </row>
    <row r="62" spans="2:22">
      <c r="B62">
        <v>12</v>
      </c>
      <c r="C62" s="52">
        <v>2035</v>
      </c>
      <c r="D62" s="117">
        <f>-NPV(After_Tax_Cost_of_Capital,J$8:J19)</f>
        <v>154594246.79954931</v>
      </c>
      <c r="E62" s="118"/>
      <c r="L62">
        <v>12</v>
      </c>
      <c r="M62" s="52">
        <v>2035</v>
      </c>
      <c r="N62" s="117">
        <f>-NPV(After_Tax_Cost_of_Capital,T$8:T19)</f>
        <v>76115918.501018837</v>
      </c>
      <c r="O62" s="118"/>
      <c r="V62">
        <v>12</v>
      </c>
    </row>
    <row r="63" spans="2:22">
      <c r="B63">
        <v>13</v>
      </c>
      <c r="C63" s="52">
        <v>2036</v>
      </c>
      <c r="D63" s="117">
        <f>-NPV(After_Tax_Cost_of_Capital,J$8:J20)</f>
        <v>163219587.99266294</v>
      </c>
      <c r="E63" s="118"/>
      <c r="L63">
        <v>13</v>
      </c>
      <c r="M63" s="52">
        <v>2036</v>
      </c>
      <c r="N63" s="117">
        <f>-NPV(After_Tax_Cost_of_Capital,T$8:T20)</f>
        <v>79449530.671645522</v>
      </c>
      <c r="O63" s="118"/>
      <c r="V63">
        <v>13</v>
      </c>
    </row>
    <row r="64" spans="2:22">
      <c r="B64">
        <v>14</v>
      </c>
      <c r="C64" s="52">
        <v>2037</v>
      </c>
      <c r="D64" s="117">
        <f>-NPV(After_Tax_Cost_of_Capital,J$8:J21)</f>
        <v>171613100.53380767</v>
      </c>
      <c r="E64" s="118"/>
      <c r="L64">
        <v>14</v>
      </c>
      <c r="M64" s="52">
        <v>2037</v>
      </c>
      <c r="N64" s="117">
        <f>-NPV(After_Tax_Cost_of_Capital,T$8:T21)</f>
        <v>82693543.277640417</v>
      </c>
      <c r="O64" s="118"/>
      <c r="V64">
        <v>14</v>
      </c>
    </row>
    <row r="65" spans="2:22">
      <c r="B65">
        <v>15</v>
      </c>
      <c r="C65" s="52">
        <v>2038</v>
      </c>
      <c r="D65" s="117">
        <f>-NPV(After_Tax_Cost_of_Capital,J$8:J22)</f>
        <v>179781015.42563832</v>
      </c>
      <c r="E65" s="118"/>
      <c r="L65">
        <v>15</v>
      </c>
      <c r="M65" s="52">
        <v>2038</v>
      </c>
      <c r="N65" s="117">
        <f>-NPV(After_Tax_Cost_of_Capital,T$8:T22)</f>
        <v>85850364.542147458</v>
      </c>
      <c r="O65" s="118"/>
      <c r="V65">
        <v>15</v>
      </c>
    </row>
    <row r="66" spans="2:22">
      <c r="B66">
        <v>16</v>
      </c>
      <c r="C66" s="52">
        <v>2039</v>
      </c>
      <c r="D66" s="117">
        <f>-NPV(After_Tax_Cost_of_Capital,J$8:J23)</f>
        <v>187729396.19628179</v>
      </c>
      <c r="E66" s="118"/>
      <c r="L66">
        <v>16</v>
      </c>
      <c r="M66" s="52">
        <v>2039</v>
      </c>
      <c r="N66" s="117">
        <f>-NPV(After_Tax_Cost_of_Capital,T$8:T23)</f>
        <v>88922337.96100153</v>
      </c>
      <c r="O66" s="118"/>
      <c r="V66">
        <v>16</v>
      </c>
    </row>
    <row r="67" spans="2:22">
      <c r="B67">
        <v>17</v>
      </c>
      <c r="C67" s="52">
        <v>2040</v>
      </c>
      <c r="D67" s="117">
        <f>-NPV(After_Tax_Cost_of_Capital,J$8:J24)</f>
        <v>189938198.6374698</v>
      </c>
      <c r="E67" s="118"/>
      <c r="L67">
        <v>17</v>
      </c>
      <c r="M67" s="52">
        <v>2040</v>
      </c>
      <c r="N67" s="117">
        <f>-NPV(After_Tax_Cost_of_Capital,T$8:T24)</f>
        <v>86385799.27926065</v>
      </c>
      <c r="O67" s="118"/>
      <c r="V67">
        <v>17</v>
      </c>
    </row>
    <row r="68" spans="2:22">
      <c r="B68">
        <v>18</v>
      </c>
      <c r="C68" s="52">
        <v>2041</v>
      </c>
      <c r="D68" s="119">
        <f>-NPV(After_Tax_Cost_of_Capital,J$8:J25)</f>
        <v>197465054.23760673</v>
      </c>
      <c r="E68" s="118"/>
      <c r="L68">
        <v>18</v>
      </c>
      <c r="M68" s="52">
        <v>2041</v>
      </c>
      <c r="N68" s="119">
        <f>-NPV(After_Tax_Cost_of_Capital,T$8:T25)</f>
        <v>89294857.236898199</v>
      </c>
      <c r="O68" s="118"/>
      <c r="V68">
        <v>18</v>
      </c>
    </row>
    <row r="69" spans="2:22">
      <c r="B69">
        <v>19</v>
      </c>
      <c r="C69" s="52">
        <v>2042</v>
      </c>
      <c r="D69" s="117">
        <f>-NPV(After_Tax_Cost_of_Capital,J$8:J26)</f>
        <v>204789605.86526573</v>
      </c>
      <c r="E69" s="118"/>
      <c r="L69">
        <v>19</v>
      </c>
      <c r="M69" s="52">
        <v>2042</v>
      </c>
      <c r="N69" s="117">
        <f>-NPV(After_Tax_Cost_of_Capital,T$8:T26)</f>
        <v>92125726.637153566</v>
      </c>
      <c r="O69" s="118"/>
      <c r="V69">
        <v>19</v>
      </c>
    </row>
    <row r="70" spans="2:22">
      <c r="B70">
        <v>20</v>
      </c>
      <c r="C70" s="52">
        <v>2043</v>
      </c>
      <c r="D70" s="117">
        <f>-NPV(After_Tax_Cost_of_Capital,J$8:J27)</f>
        <v>211917290.96995488</v>
      </c>
      <c r="E70" s="118"/>
      <c r="L70">
        <v>20</v>
      </c>
      <c r="M70" s="52">
        <v>2043</v>
      </c>
      <c r="N70" s="117">
        <f>-NPV(After_Tax_Cost_of_Capital,T$8:T27)</f>
        <v>94880509.002442107</v>
      </c>
      <c r="O70" s="118"/>
      <c r="V70">
        <v>20</v>
      </c>
    </row>
    <row r="71" spans="2:22">
      <c r="B71">
        <v>21</v>
      </c>
      <c r="C71" s="52">
        <v>2044</v>
      </c>
      <c r="D71" s="117">
        <f>-NPV(After_Tax_Cost_of_Capital,J$8:J28)</f>
        <v>213718779.32885221</v>
      </c>
      <c r="E71" s="118"/>
      <c r="L71">
        <v>21</v>
      </c>
      <c r="M71" s="52">
        <v>2044</v>
      </c>
      <c r="N71" s="117">
        <f>-NPV(After_Tax_Cost_of_Capital,T$8:T28)</f>
        <v>92426627.844633386</v>
      </c>
      <c r="O71" s="118"/>
      <c r="V71">
        <v>21</v>
      </c>
    </row>
    <row r="72" spans="2:22">
      <c r="B72">
        <v>22</v>
      </c>
      <c r="C72" s="52">
        <v>2045</v>
      </c>
      <c r="D72" s="117">
        <f>-NPV(After_Tax_Cost_of_Capital,J$8:J29)</f>
        <v>220468463.0813455</v>
      </c>
      <c r="E72" s="118"/>
      <c r="L72">
        <v>22</v>
      </c>
      <c r="M72" s="52">
        <v>2045</v>
      </c>
      <c r="N72" s="117">
        <f>-NPV(After_Tax_Cost_of_Capital,T$8:T29)</f>
        <v>95035316.289695382</v>
      </c>
      <c r="O72" s="118"/>
      <c r="V72">
        <v>22</v>
      </c>
    </row>
    <row r="73" spans="2:22">
      <c r="B73">
        <v>23</v>
      </c>
      <c r="C73" s="52">
        <v>2046</v>
      </c>
      <c r="D73" s="117">
        <f>-NPV(After_Tax_Cost_of_Capital,J$8:J30)</f>
        <v>227036731.39176834</v>
      </c>
      <c r="E73" s="118"/>
      <c r="L73">
        <v>23</v>
      </c>
      <c r="M73" s="52">
        <v>2046</v>
      </c>
      <c r="N73" s="117">
        <f>-NPV(After_Tax_Cost_of_Capital,T$8:T30)</f>
        <v>97573889.395307541</v>
      </c>
      <c r="O73" s="118"/>
      <c r="V73">
        <v>23</v>
      </c>
    </row>
    <row r="74" spans="2:22">
      <c r="B74">
        <v>24</v>
      </c>
      <c r="C74" s="52">
        <v>2047</v>
      </c>
      <c r="D74" s="117">
        <f>-NPV(After_Tax_Cost_of_Capital,J$8:J31)</f>
        <v>233428460.27562431</v>
      </c>
      <c r="E74" s="118"/>
      <c r="L74">
        <v>24</v>
      </c>
      <c r="M74" s="52">
        <v>2047</v>
      </c>
      <c r="N74" s="117">
        <f>-NPV(After_Tax_Cost_of_Capital,T$8:T31)</f>
        <v>100044231.69499306</v>
      </c>
      <c r="O74" s="118"/>
      <c r="V74">
        <v>24</v>
      </c>
    </row>
    <row r="75" spans="2:22">
      <c r="B75">
        <v>25</v>
      </c>
      <c r="C75" s="52">
        <v>2048</v>
      </c>
      <c r="D75" s="117">
        <f>-NPV(After_Tax_Cost_of_Capital,J$8:J32)</f>
        <v>239648394.69272017</v>
      </c>
      <c r="E75" s="118"/>
      <c r="L75">
        <v>25</v>
      </c>
      <c r="M75" s="52">
        <v>2048</v>
      </c>
      <c r="N75" s="117">
        <f>-NPV(After_Tax_Cost_of_Capital,T$8:T32)</f>
        <v>102448177.07049716</v>
      </c>
      <c r="O75" s="118"/>
      <c r="V75">
        <v>25</v>
      </c>
    </row>
    <row r="76" spans="2:22">
      <c r="B76">
        <v>26</v>
      </c>
      <c r="C76" s="52">
        <v>2049</v>
      </c>
      <c r="D76" s="117">
        <f>-NPV(After_Tax_Cost_of_Capital,J$8:J33)</f>
        <v>245701152.06963101</v>
      </c>
      <c r="E76" s="118"/>
      <c r="L76">
        <v>26</v>
      </c>
      <c r="M76" s="52">
        <v>2049</v>
      </c>
      <c r="N76" s="117">
        <f>-NPV(After_Tax_Cost_of_Capital,T$8:T33)</f>
        <v>104787510.11318651</v>
      </c>
      <c r="O76" s="118"/>
      <c r="V76">
        <v>26</v>
      </c>
    </row>
    <row r="77" spans="2:22">
      <c r="B77">
        <v>27</v>
      </c>
      <c r="C77" s="52">
        <v>2050</v>
      </c>
      <c r="D77" s="117">
        <f>-NPV(After_Tax_Cost_of_Capital,J$8:J34)</f>
        <v>251591225.72749031</v>
      </c>
      <c r="E77" s="118"/>
      <c r="L77">
        <v>27</v>
      </c>
      <c r="M77" s="52">
        <v>2050</v>
      </c>
      <c r="N77" s="117">
        <f>-NPV(After_Tax_Cost_of_Capital,T$8:T34)</f>
        <v>107063967.44885737</v>
      </c>
      <c r="O77" s="118"/>
      <c r="V77">
        <v>27</v>
      </c>
    </row>
    <row r="78" spans="2:22">
      <c r="B78">
        <v>28</v>
      </c>
      <c r="C78" s="52">
        <v>2051</v>
      </c>
      <c r="D78" s="117">
        <f>-NPV(After_Tax_Cost_of_Capital,J$8:J35)</f>
        <v>257322988.21764886</v>
      </c>
      <c r="E78" s="118"/>
      <c r="L78">
        <v>28</v>
      </c>
      <c r="M78" s="52">
        <v>2051</v>
      </c>
      <c r="N78" s="117">
        <f>-NPV(After_Tax_Cost_of_Capital,T$8:T35)</f>
        <v>109279239.02693582</v>
      </c>
      <c r="O78" s="118"/>
      <c r="V78">
        <v>28</v>
      </c>
    </row>
    <row r="79" spans="2:22">
      <c r="B79">
        <v>29</v>
      </c>
      <c r="C79" s="52">
        <v>2052</v>
      </c>
      <c r="D79" s="117">
        <f>-NPV(After_Tax_Cost_of_Capital,J$8:J36)</f>
        <v>262900694.56767929</v>
      </c>
      <c r="E79" s="118"/>
      <c r="L79">
        <v>29</v>
      </c>
      <c r="M79" s="52">
        <v>2052</v>
      </c>
      <c r="N79" s="117">
        <f>-NPV(After_Tax_Cost_of_Capital,T$8:T36)</f>
        <v>111434969.37502781</v>
      </c>
      <c r="O79" s="118"/>
      <c r="V79">
        <v>29</v>
      </c>
    </row>
    <row r="80" spans="2:22">
      <c r="B80">
        <v>30</v>
      </c>
      <c r="C80" s="52">
        <v>2053</v>
      </c>
      <c r="D80" s="117">
        <f>-NPV(After_Tax_Cost_of_Capital,J$8:J37)</f>
        <v>268328485.44013545</v>
      </c>
      <c r="E80" s="118"/>
      <c r="L80">
        <v>30</v>
      </c>
      <c r="M80" s="52">
        <v>2053</v>
      </c>
      <c r="N80" s="117">
        <f>-NPV(After_Tax_Cost_of_Capital,T$8:T37)</f>
        <v>113532758.81974941</v>
      </c>
      <c r="O80" s="118"/>
      <c r="V80">
        <v>30</v>
      </c>
    </row>
    <row r="81" spans="2:22">
      <c r="B81">
        <v>31</v>
      </c>
      <c r="C81" s="52">
        <v>2054</v>
      </c>
      <c r="D81" s="117">
        <f>-NPV(After_Tax_Cost_of_Capital,J$8:J38)</f>
        <v>273610390.20641237</v>
      </c>
      <c r="E81" s="118"/>
      <c r="L81">
        <v>31</v>
      </c>
      <c r="M81" s="52">
        <v>2054</v>
      </c>
      <c r="N81" s="117">
        <f>-NPV(After_Tax_Cost_of_Capital,T$8:T38)</f>
        <v>115574164.67474443</v>
      </c>
      <c r="O81" s="118"/>
      <c r="V81">
        <v>31</v>
      </c>
    </row>
    <row r="82" spans="2:22">
      <c r="B82">
        <v>32</v>
      </c>
      <c r="C82" s="52">
        <v>2055</v>
      </c>
      <c r="D82" s="117">
        <f>-NPV(After_Tax_Cost_of_Capital,J$8:J39)</f>
        <v>278750329.93798763</v>
      </c>
      <c r="E82" s="118"/>
      <c r="L82">
        <v>32</v>
      </c>
      <c r="M82" s="52">
        <v>2055</v>
      </c>
      <c r="N82" s="117">
        <f>-NPV(After_Tax_Cost_of_Capital,T$8:T39)</f>
        <v>117560702.39677064</v>
      </c>
      <c r="O82" s="118"/>
      <c r="V82">
        <v>32</v>
      </c>
    </row>
    <row r="83" spans="2:22">
      <c r="B83">
        <v>33</v>
      </c>
      <c r="C83" s="52">
        <v>2056</v>
      </c>
      <c r="D83" s="117">
        <f>-NPV(After_Tax_Cost_of_Capital,J$8:J40)</f>
        <v>283752120.31726545</v>
      </c>
      <c r="E83" s="118"/>
      <c r="L83">
        <v>33</v>
      </c>
      <c r="M83" s="52">
        <v>2056</v>
      </c>
      <c r="N83" s="117">
        <f>-NPV(After_Tax_Cost_of_Capital,T$8:T40)</f>
        <v>119493846.71071343</v>
      </c>
      <c r="O83" s="118"/>
      <c r="V83">
        <v>33</v>
      </c>
    </row>
    <row r="84" spans="2:22">
      <c r="B84">
        <v>34</v>
      </c>
      <c r="C84" s="52">
        <v>2057</v>
      </c>
      <c r="D84" s="117">
        <f>-NPV(After_Tax_Cost_of_Capital,J$8:J41)</f>
        <v>288619474.47018456</v>
      </c>
      <c r="E84" s="118"/>
      <c r="L84">
        <v>34</v>
      </c>
      <c r="M84" s="52">
        <v>2057</v>
      </c>
      <c r="N84" s="117">
        <f>-NPV(After_Tax_Cost_of_Capital,T$8:T41)</f>
        <v>121375032.70436153</v>
      </c>
      <c r="O84" s="118"/>
      <c r="V84">
        <v>34</v>
      </c>
    </row>
    <row r="85" spans="2:22">
      <c r="B85">
        <v>35</v>
      </c>
      <c r="C85" s="52">
        <v>2058</v>
      </c>
      <c r="D85" s="117">
        <f>-NPV(After_Tax_Cost_of_Capital,J$8:J42)</f>
        <v>293356005.7226916</v>
      </c>
      <c r="E85" s="118"/>
      <c r="L85">
        <v>35</v>
      </c>
      <c r="M85" s="52">
        <v>2058</v>
      </c>
      <c r="N85" s="117">
        <f>-NPV(After_Tax_Cost_of_Capital,T$8:T42)</f>
        <v>123205656.89375794</v>
      </c>
      <c r="O85" s="118"/>
      <c r="V85">
        <v>35</v>
      </c>
    </row>
    <row r="86" spans="2:22">
      <c r="B86">
        <v>36</v>
      </c>
      <c r="C86" s="52">
        <v>2059</v>
      </c>
      <c r="D86" s="117">
        <f>-NPV(After_Tax_Cost_of_Capital,J$8:J43)</f>
        <v>297965230.28312778</v>
      </c>
      <c r="E86" s="118"/>
      <c r="L86">
        <v>36</v>
      </c>
      <c r="M86" s="52">
        <v>2059</v>
      </c>
      <c r="N86" s="117">
        <f>-NPV(After_Tax_Cost_of_Capital,T$8:T43)</f>
        <v>124987078.25991665</v>
      </c>
      <c r="O86" s="118"/>
      <c r="V86">
        <v>36</v>
      </c>
    </row>
    <row r="87" spans="2:22">
      <c r="B87">
        <v>37</v>
      </c>
      <c r="C87" s="52">
        <v>2060</v>
      </c>
      <c r="D87" s="117">
        <f>-NPV(After_Tax_Cost_of_Capital,J$8:J44)</f>
        <v>302450569.85251909</v>
      </c>
      <c r="E87" s="118"/>
      <c r="L87">
        <v>37</v>
      </c>
      <c r="M87" s="52">
        <v>2060</v>
      </c>
      <c r="N87" s="117">
        <f>-NPV(After_Tax_Cost_of_Capital,T$8:T44)</f>
        <v>126720619.25767499</v>
      </c>
      <c r="O87" s="118"/>
      <c r="V87">
        <v>37</v>
      </c>
    </row>
    <row r="88" spans="2:22">
      <c r="B88">
        <v>38</v>
      </c>
      <c r="C88" s="52">
        <v>2061</v>
      </c>
      <c r="D88" s="117">
        <f>-NPV(After_Tax_Cost_of_Capital,J$8:J45)</f>
        <v>306815354.16470796</v>
      </c>
      <c r="E88" s="118"/>
      <c r="L88">
        <v>38</v>
      </c>
      <c r="M88" s="52">
        <v>2061</v>
      </c>
      <c r="N88" s="117">
        <f>-NPV(After_Tax_Cost_of_Capital,T$8:T45)</f>
        <v>128407566.79743029</v>
      </c>
      <c r="O88" s="118"/>
      <c r="V88">
        <v>38</v>
      </c>
    </row>
    <row r="89" spans="2:22">
      <c r="B89">
        <v>39</v>
      </c>
      <c r="C89" s="52">
        <v>2062</v>
      </c>
      <c r="D89" s="117">
        <f>-NPV(After_Tax_Cost_of_Capital,J$8:J46)</f>
        <v>311062823.45821238</v>
      </c>
      <c r="E89" s="118"/>
      <c r="L89">
        <v>39</v>
      </c>
      <c r="M89" s="52">
        <v>2062</v>
      </c>
      <c r="N89" s="117">
        <f>-NPV(After_Tax_Cost_of_Capital,T$8:T46)</f>
        <v>130049173.20048994</v>
      </c>
      <c r="O89" s="118"/>
      <c r="V89">
        <v>39</v>
      </c>
    </row>
    <row r="90" spans="2:22">
      <c r="B90">
        <v>40</v>
      </c>
      <c r="C90" s="52">
        <v>2063</v>
      </c>
      <c r="D90" s="117">
        <f>-NPV(After_Tax_Cost_of_Capital,J$8:J47)</f>
        <v>315196130.88164741</v>
      </c>
      <c r="E90" s="118"/>
      <c r="L90">
        <v>40</v>
      </c>
      <c r="M90" s="52">
        <v>2063</v>
      </c>
      <c r="N90" s="117">
        <f>-NPV(After_Tax_Cost_of_Capital,T$8:T47)</f>
        <v>131646657.12874374</v>
      </c>
      <c r="O90" s="118"/>
      <c r="V90">
        <v>40</v>
      </c>
    </row>
  </sheetData>
  <mergeCells count="4">
    <mergeCell ref="C4:J4"/>
    <mergeCell ref="M4:T4"/>
    <mergeCell ref="C7:J7"/>
    <mergeCell ref="M7:T7"/>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7BB70-9F97-4205-A90F-FE219C1A616B}">
  <sheetPr>
    <tabColor theme="0" tint="-0.249977111117893"/>
  </sheetPr>
  <dimension ref="B2:AC49"/>
  <sheetViews>
    <sheetView showGridLines="0" zoomScale="69" zoomScaleNormal="69" workbookViewId="0">
      <selection activeCell="J38" sqref="J38"/>
    </sheetView>
  </sheetViews>
  <sheetFormatPr defaultRowHeight="15"/>
  <cols>
    <col min="2" max="2" width="20.7109375" bestFit="1" customWidth="1"/>
    <col min="3" max="3" width="20.5703125" customWidth="1"/>
    <col min="4" max="5" width="15.5703125" customWidth="1"/>
    <col min="6" max="6" width="13.28515625" customWidth="1"/>
    <col min="7" max="7" width="20.7109375" customWidth="1"/>
    <col min="8" max="8" width="16.28515625" customWidth="1"/>
    <col min="9" max="10" width="13.28515625" customWidth="1"/>
    <col min="11" max="11" width="15.5703125" customWidth="1"/>
    <col min="12" max="12" width="16.42578125" customWidth="1"/>
    <col min="13" max="14" width="14.28515625" customWidth="1"/>
    <col min="16" max="16" width="16.7109375" customWidth="1"/>
    <col min="18" max="19" width="17" customWidth="1"/>
    <col min="21" max="22" width="20.5703125" customWidth="1"/>
    <col min="26" max="27" width="14" customWidth="1"/>
    <col min="28" max="28" width="18.28515625" bestFit="1" customWidth="1"/>
    <col min="29" max="29" width="16.28515625" customWidth="1"/>
  </cols>
  <sheetData>
    <row r="2" spans="2:29">
      <c r="B2" t="s">
        <v>208</v>
      </c>
      <c r="C2" t="s">
        <v>207</v>
      </c>
      <c r="D2" s="3" t="s">
        <v>124</v>
      </c>
      <c r="E2" s="3" t="s">
        <v>125</v>
      </c>
      <c r="F2" s="143" t="s">
        <v>209</v>
      </c>
      <c r="G2" s="3" t="s">
        <v>210</v>
      </c>
      <c r="H2" s="3"/>
      <c r="I2" s="3"/>
      <c r="J2" s="3"/>
      <c r="L2" s="3" t="s">
        <v>124</v>
      </c>
      <c r="M2" s="3" t="s">
        <v>125</v>
      </c>
    </row>
    <row r="3" spans="2:29">
      <c r="B3" t="s">
        <v>126</v>
      </c>
      <c r="C3" s="35">
        <v>1.9054325955734405E-2</v>
      </c>
      <c r="D3" s="7">
        <v>1894</v>
      </c>
      <c r="E3" s="7">
        <v>99400</v>
      </c>
      <c r="F3" s="36">
        <v>19551.280883643005</v>
      </c>
      <c r="G3" s="36">
        <v>18421.611837707282</v>
      </c>
      <c r="H3" s="36"/>
      <c r="I3" s="36"/>
      <c r="J3" s="36"/>
      <c r="L3" s="37">
        <f>F3/SUM(F3:J3)</f>
        <v>0.51487467723654035</v>
      </c>
      <c r="M3" s="37">
        <f>1-L3</f>
        <v>0.48512532276345965</v>
      </c>
      <c r="N3" s="6"/>
      <c r="O3" s="6"/>
      <c r="Q3" s="24"/>
      <c r="R3" s="24"/>
    </row>
    <row r="4" spans="2:29">
      <c r="B4" t="s">
        <v>127</v>
      </c>
      <c r="C4" s="35">
        <v>1.5270196451891855E-2</v>
      </c>
      <c r="D4" s="7">
        <v>1228</v>
      </c>
      <c r="E4" s="7">
        <v>84673.058234029304</v>
      </c>
      <c r="F4" s="36"/>
      <c r="G4" s="36"/>
      <c r="H4" s="36"/>
      <c r="I4" s="36"/>
      <c r="J4" s="36"/>
      <c r="K4" s="36"/>
      <c r="L4" s="36"/>
      <c r="M4" s="36"/>
      <c r="N4" s="6"/>
      <c r="O4" s="6"/>
      <c r="Q4" s="24"/>
      <c r="R4" s="24"/>
      <c r="AB4" s="43" t="s">
        <v>128</v>
      </c>
      <c r="AC4" s="43" t="s">
        <v>128</v>
      </c>
    </row>
    <row r="5" spans="2:29">
      <c r="B5" t="s">
        <v>129</v>
      </c>
      <c r="C5" s="140">
        <v>1.2E-2</v>
      </c>
      <c r="D5" s="7">
        <v>666</v>
      </c>
      <c r="E5" s="7">
        <f>D5/C5</f>
        <v>55500</v>
      </c>
      <c r="F5" s="36"/>
      <c r="G5" s="36"/>
      <c r="H5" s="36"/>
      <c r="I5" s="36"/>
      <c r="J5" s="36"/>
      <c r="K5" s="36"/>
      <c r="N5" s="6"/>
      <c r="O5" s="6"/>
      <c r="Q5" s="24"/>
      <c r="R5" s="24"/>
      <c r="AB5" s="44">
        <f>NPV(After_Tax_Cost_of_Capital,AB10:AB49)</f>
        <v>1164236614.9094083</v>
      </c>
      <c r="AC5" s="44">
        <f>NPV(After_Tax_Cost_of_Capital,AC10:AC49)</f>
        <v>980687141.15650463</v>
      </c>
    </row>
    <row r="8" spans="2:29">
      <c r="C8" s="15" t="s">
        <v>130</v>
      </c>
      <c r="D8" s="172" t="s">
        <v>191</v>
      </c>
      <c r="E8" s="172"/>
      <c r="G8" s="15" t="s">
        <v>131</v>
      </c>
      <c r="H8" s="172" t="s">
        <v>191</v>
      </c>
      <c r="I8" s="172"/>
      <c r="M8" s="38">
        <v>0.5</v>
      </c>
      <c r="U8" t="s">
        <v>132</v>
      </c>
      <c r="Z8" s="24">
        <f>AVERAGE(Z10:Z49)</f>
        <v>1.3787602060115842</v>
      </c>
      <c r="AA8" s="24">
        <f t="shared" ref="AA8" si="0">AVERAGE(AA10:AA49)</f>
        <v>1.1585865341340607</v>
      </c>
    </row>
    <row r="9" spans="2:29" ht="74.650000000000006" customHeight="1">
      <c r="C9" s="10" t="s">
        <v>114</v>
      </c>
      <c r="D9" s="1" t="s">
        <v>133</v>
      </c>
      <c r="E9" s="1" t="s">
        <v>134</v>
      </c>
      <c r="G9" s="10" t="s">
        <v>114</v>
      </c>
      <c r="H9" s="1" t="s">
        <v>126</v>
      </c>
      <c r="I9" s="1" t="s">
        <v>155</v>
      </c>
      <c r="K9" s="1" t="s">
        <v>137</v>
      </c>
      <c r="L9" s="1" t="s">
        <v>138</v>
      </c>
      <c r="M9" s="1" t="s">
        <v>139</v>
      </c>
      <c r="P9" s="1" t="s">
        <v>140</v>
      </c>
      <c r="R9" s="1" t="s">
        <v>141</v>
      </c>
      <c r="S9" s="1" t="s">
        <v>142</v>
      </c>
      <c r="U9" s="1" t="s">
        <v>143</v>
      </c>
      <c r="V9" s="1" t="s">
        <v>144</v>
      </c>
      <c r="Y9" s="10" t="s">
        <v>52</v>
      </c>
      <c r="Z9" s="1" t="s">
        <v>156</v>
      </c>
      <c r="AA9" s="1" t="s">
        <v>157</v>
      </c>
      <c r="AB9" s="29" t="s">
        <v>147</v>
      </c>
      <c r="AC9" s="29" t="s">
        <v>148</v>
      </c>
    </row>
    <row r="10" spans="2:29">
      <c r="C10" s="52">
        <v>2024</v>
      </c>
      <c r="D10" s="113">
        <v>0.94654163218195519</v>
      </c>
      <c r="E10" s="113">
        <v>0.93590324246754975</v>
      </c>
      <c r="G10" s="52">
        <v>2024</v>
      </c>
      <c r="H10" s="113">
        <v>0.61543143829440561</v>
      </c>
      <c r="I10" s="113">
        <v>0.58091734327895195</v>
      </c>
      <c r="K10" s="40">
        <f>D10*$M$3</f>
        <v>0.45919131482132292</v>
      </c>
      <c r="L10" s="39">
        <f>'#2-Storage Value 1.2%'!H10*'#2-Storage Value 1.2%'!$M$3</f>
        <v>0.29856137514135372</v>
      </c>
      <c r="M10" s="39">
        <f>L10+(K10-L10)*$M$8</f>
        <v>0.37887634498133832</v>
      </c>
      <c r="P10" s="4">
        <f>(E10-K10)/$C$4*$C$5</f>
        <v>0.37462144968318284</v>
      </c>
      <c r="R10" s="4">
        <f>$P10+M10</f>
        <v>0.75349779466452116</v>
      </c>
      <c r="S10" s="4">
        <f>$P10+N10</f>
        <v>0.37462144968318284</v>
      </c>
      <c r="U10" s="4">
        <f t="shared" ref="U10:V23" si="1">R10/1.021^($C10-Start_Year)</f>
        <v>0.73799979888787581</v>
      </c>
      <c r="V10" s="4">
        <f t="shared" si="1"/>
        <v>0.36691620928813212</v>
      </c>
      <c r="Y10" s="14">
        <v>2024</v>
      </c>
      <c r="Z10" s="4">
        <f>R10</f>
        <v>0.75349779466452116</v>
      </c>
      <c r="AA10" s="4">
        <f t="shared" ref="AA10:AA49" si="2">(0.3424*1.2+0.2945)*1.021^(Y10-2021)</f>
        <v>0.75075869026417963</v>
      </c>
      <c r="AB10" s="45">
        <f>Z10*$E$5*1000</f>
        <v>41819127.60388092</v>
      </c>
      <c r="AC10" s="45">
        <f>AA10*$E$5*1000</f>
        <v>41667107.30966197</v>
      </c>
    </row>
    <row r="11" spans="2:29">
      <c r="C11" s="52">
        <v>2025</v>
      </c>
      <c r="D11" s="113">
        <v>0.79319734869768244</v>
      </c>
      <c r="E11" s="113">
        <v>0.77644098819886109</v>
      </c>
      <c r="G11" s="52">
        <v>2025</v>
      </c>
      <c r="H11" s="113">
        <v>0.49058392591111621</v>
      </c>
      <c r="I11" s="113">
        <v>0.44992321920833278</v>
      </c>
      <c r="K11" s="40">
        <f t="shared" ref="K11:K23" si="3">D11*$M$3</f>
        <v>0.38480011980208367</v>
      </c>
      <c r="L11" s="39">
        <f>'#2-Storage Value 1.2%'!H11*'#2-Storage Value 1.2%'!$M$3</f>
        <v>0.23799468540019544</v>
      </c>
      <c r="M11" s="39">
        <f t="shared" ref="M11:M23" si="4">L11+(K11-L11)*$M$8</f>
        <v>0.31139740260113957</v>
      </c>
      <c r="P11" s="4">
        <f t="shared" ref="P11:P23" si="5">(E11-K11)/$C$4*$C$5</f>
        <v>0.30776882508142683</v>
      </c>
      <c r="R11" s="4">
        <f t="shared" ref="R11:S23" si="6">$P11+M11</f>
        <v>0.61916622768256646</v>
      </c>
      <c r="S11" s="4">
        <f t="shared" si="6"/>
        <v>0.30776882508142683</v>
      </c>
      <c r="U11" s="4">
        <f t="shared" si="1"/>
        <v>0.59395805391630474</v>
      </c>
      <c r="V11" s="4">
        <f t="shared" si="1"/>
        <v>0.29523860350986475</v>
      </c>
      <c r="Y11" s="14">
        <v>2025</v>
      </c>
      <c r="Z11" s="4">
        <f t="shared" ref="Z11:Z21" si="7">R11</f>
        <v>0.61916622768256646</v>
      </c>
      <c r="AA11" s="4">
        <f t="shared" si="2"/>
        <v>0.76652462275972733</v>
      </c>
      <c r="AB11" s="45">
        <f t="shared" ref="AB11:AB49" si="8">Z11*$E$5*1000</f>
        <v>34363725.636382438</v>
      </c>
      <c r="AC11" s="45">
        <f t="shared" ref="AC11:AC49" si="9">AA11*$E$5*1000</f>
        <v>42542116.563164867</v>
      </c>
    </row>
    <row r="12" spans="2:29">
      <c r="C12" s="52">
        <v>2026</v>
      </c>
      <c r="D12" s="113">
        <v>1.0188880967484359</v>
      </c>
      <c r="E12" s="113">
        <v>1.0212989419021052</v>
      </c>
      <c r="G12" s="52">
        <v>2026</v>
      </c>
      <c r="H12" s="113">
        <v>0.73066300876039991</v>
      </c>
      <c r="I12" s="113">
        <v>0.68432741338366043</v>
      </c>
      <c r="K12" s="40">
        <f t="shared" si="3"/>
        <v>0.49428841679493207</v>
      </c>
      <c r="L12" s="39">
        <f>'#2-Storage Value 1.2%'!H12*'#2-Storage Value 1.2%'!$M$3</f>
        <v>0.35446312795620954</v>
      </c>
      <c r="M12" s="39">
        <f t="shared" si="4"/>
        <v>0.42437577237557078</v>
      </c>
      <c r="P12" s="4">
        <f t="shared" si="5"/>
        <v>0.41414832619933778</v>
      </c>
      <c r="R12" s="4">
        <f t="shared" si="6"/>
        <v>0.83852409857490851</v>
      </c>
      <c r="S12" s="4">
        <f t="shared" si="6"/>
        <v>0.41414832619933778</v>
      </c>
      <c r="U12" s="4">
        <f t="shared" si="1"/>
        <v>0.78784053561156575</v>
      </c>
      <c r="V12" s="4">
        <f t="shared" si="1"/>
        <v>0.38911563745161898</v>
      </c>
      <c r="Y12" s="14">
        <v>2026</v>
      </c>
      <c r="Z12" s="4">
        <f t="shared" si="7"/>
        <v>0.83852409857490851</v>
      </c>
      <c r="AA12" s="4">
        <f t="shared" si="2"/>
        <v>0.7826216398376814</v>
      </c>
      <c r="AB12" s="45">
        <f t="shared" si="8"/>
        <v>46538087.47090742</v>
      </c>
      <c r="AC12" s="45">
        <f t="shared" si="9"/>
        <v>43435501.01099132</v>
      </c>
    </row>
    <row r="13" spans="2:29">
      <c r="C13" s="52">
        <v>2027</v>
      </c>
      <c r="D13" s="113">
        <v>1.1594011424423372</v>
      </c>
      <c r="E13" s="113">
        <v>1.1571963159992673</v>
      </c>
      <c r="G13" s="52">
        <v>2027</v>
      </c>
      <c r="H13" s="113">
        <v>1.1313957172497933</v>
      </c>
      <c r="I13" s="113">
        <v>1.0561714447734518</v>
      </c>
      <c r="K13" s="40">
        <f t="shared" si="3"/>
        <v>0.56245485343966273</v>
      </c>
      <c r="L13" s="39">
        <f>'#2-Storage Value 1.2%'!H13*'#2-Storage Value 1.2%'!$M$3</f>
        <v>0.54886871250400193</v>
      </c>
      <c r="M13" s="39">
        <f t="shared" si="4"/>
        <v>0.55566178297183233</v>
      </c>
      <c r="P13" s="4">
        <f t="shared" si="5"/>
        <v>0.46737431133906926</v>
      </c>
      <c r="R13" s="4">
        <f t="shared" si="6"/>
        <v>1.0230360943109016</v>
      </c>
      <c r="S13" s="4">
        <f t="shared" si="6"/>
        <v>0.46737431133906926</v>
      </c>
      <c r="U13" s="4">
        <f t="shared" si="1"/>
        <v>0.94142990163438434</v>
      </c>
      <c r="V13" s="4">
        <f t="shared" si="1"/>
        <v>0.43009250054540271</v>
      </c>
      <c r="Y13" s="14">
        <v>2027</v>
      </c>
      <c r="Z13" s="4">
        <f t="shared" si="7"/>
        <v>1.0230360943109016</v>
      </c>
      <c r="AA13" s="4">
        <f t="shared" si="2"/>
        <v>0.79905669427427273</v>
      </c>
      <c r="AB13" s="45">
        <f t="shared" si="8"/>
        <v>56778503.234255038</v>
      </c>
      <c r="AC13" s="45">
        <f t="shared" si="9"/>
        <v>44347646.532222137</v>
      </c>
    </row>
    <row r="14" spans="2:29">
      <c r="C14" s="52">
        <v>2028</v>
      </c>
      <c r="D14" s="113">
        <v>1.1882593421982162</v>
      </c>
      <c r="E14" s="113">
        <v>1.2120268272244414</v>
      </c>
      <c r="G14" s="52">
        <v>2028</v>
      </c>
      <c r="H14" s="113">
        <v>0.88781426272714647</v>
      </c>
      <c r="I14" s="113">
        <v>0.84573182184910167</v>
      </c>
      <c r="K14" s="40">
        <f t="shared" si="3"/>
        <v>0.57645469691060591</v>
      </c>
      <c r="L14" s="39">
        <f>'#2-Storage Value 1.2%'!H14*'#2-Storage Value 1.2%'!$M$3</f>
        <v>0.43070118075950992</v>
      </c>
      <c r="M14" s="39">
        <f t="shared" si="4"/>
        <v>0.50357793883505786</v>
      </c>
      <c r="P14" s="4">
        <f t="shared" si="5"/>
        <v>0.49946086730410849</v>
      </c>
      <c r="R14" s="4">
        <f t="shared" si="6"/>
        <v>1.0030388061391664</v>
      </c>
      <c r="S14" s="4">
        <f t="shared" si="6"/>
        <v>0.49946086730410849</v>
      </c>
      <c r="U14" s="4">
        <f t="shared" si="1"/>
        <v>0.90404286958023294</v>
      </c>
      <c r="V14" s="4">
        <f t="shared" si="1"/>
        <v>0.45016606830861755</v>
      </c>
      <c r="Y14" s="14">
        <v>2028</v>
      </c>
      <c r="Z14" s="4">
        <f t="shared" si="7"/>
        <v>1.0030388061391664</v>
      </c>
      <c r="AA14" s="4">
        <f t="shared" si="2"/>
        <v>0.81583688485403238</v>
      </c>
      <c r="AB14" s="45">
        <f t="shared" si="8"/>
        <v>55668653.740723737</v>
      </c>
      <c r="AC14" s="45">
        <f t="shared" si="9"/>
        <v>45278947.109398797</v>
      </c>
    </row>
    <row r="15" spans="2:29">
      <c r="C15" s="52">
        <v>2029</v>
      </c>
      <c r="D15" s="113">
        <v>1.2888166954878675</v>
      </c>
      <c r="E15" s="113">
        <v>1.2759637237232746</v>
      </c>
      <c r="G15" s="52">
        <v>2029</v>
      </c>
      <c r="H15" s="113">
        <v>0.97194352021721775</v>
      </c>
      <c r="I15" s="113">
        <v>0.90452899733135761</v>
      </c>
      <c r="K15" s="40">
        <f t="shared" si="3"/>
        <v>0.62523761538148726</v>
      </c>
      <c r="L15" s="39">
        <f>'#2-Storage Value 1.2%'!H15*'#2-Storage Value 1.2%'!$M$3</f>
        <v>0.47151441395323096</v>
      </c>
      <c r="M15" s="39">
        <f t="shared" si="4"/>
        <v>0.54837601466735908</v>
      </c>
      <c r="P15" s="4">
        <f t="shared" si="5"/>
        <v>0.51136953769406224</v>
      </c>
      <c r="R15" s="4">
        <f t="shared" si="6"/>
        <v>1.0597455523614214</v>
      </c>
      <c r="S15" s="4">
        <f t="shared" si="6"/>
        <v>0.51136953769406224</v>
      </c>
      <c r="U15" s="4">
        <f t="shared" si="1"/>
        <v>0.93550723381852452</v>
      </c>
      <c r="V15" s="4">
        <f t="shared" si="1"/>
        <v>0.45141958897703133</v>
      </c>
      <c r="Y15" s="14">
        <v>2029</v>
      </c>
      <c r="Z15" s="4">
        <f t="shared" si="7"/>
        <v>1.0597455523614214</v>
      </c>
      <c r="AA15" s="4">
        <f t="shared" si="2"/>
        <v>0.8329694594359669</v>
      </c>
      <c r="AB15" s="45">
        <f t="shared" si="8"/>
        <v>58815878.156058893</v>
      </c>
      <c r="AC15" s="45">
        <f t="shared" si="9"/>
        <v>46229804.998696163</v>
      </c>
    </row>
    <row r="16" spans="2:29">
      <c r="C16" s="52">
        <v>2030</v>
      </c>
      <c r="D16" s="113">
        <v>1.298897911942076</v>
      </c>
      <c r="E16" s="113">
        <v>1.3104672460260722</v>
      </c>
      <c r="G16" s="52">
        <v>2030</v>
      </c>
      <c r="H16" s="113">
        <v>0.96897055081457373</v>
      </c>
      <c r="I16" s="113">
        <v>0.92744580312815494</v>
      </c>
      <c r="K16" s="40">
        <f t="shared" si="3"/>
        <v>0.63012826876768346</v>
      </c>
      <c r="L16" s="39">
        <f>'#2-Storage Value 1.2%'!H16*'#2-Storage Value 1.2%'!$M$3</f>
        <v>0.47007215121220736</v>
      </c>
      <c r="M16" s="39">
        <f t="shared" si="4"/>
        <v>0.55010020998994547</v>
      </c>
      <c r="P16" s="4">
        <f t="shared" si="5"/>
        <v>0.53464064806377809</v>
      </c>
      <c r="R16" s="4">
        <f t="shared" si="6"/>
        <v>1.0847408580537237</v>
      </c>
      <c r="S16" s="4">
        <f t="shared" si="6"/>
        <v>0.53464064806377809</v>
      </c>
      <c r="U16" s="4">
        <f t="shared" si="1"/>
        <v>0.93787682398159178</v>
      </c>
      <c r="V16" s="4">
        <f t="shared" si="1"/>
        <v>0.46225517297946395</v>
      </c>
      <c r="Y16" s="14">
        <v>2030</v>
      </c>
      <c r="Z16" s="4">
        <f t="shared" si="7"/>
        <v>1.0847408580537237</v>
      </c>
      <c r="AA16" s="4">
        <f t="shared" si="2"/>
        <v>0.85046181808412202</v>
      </c>
      <c r="AB16" s="45">
        <f t="shared" si="8"/>
        <v>60203117.621981665</v>
      </c>
      <c r="AC16" s="45">
        <f t="shared" si="9"/>
        <v>47200630.903668776</v>
      </c>
    </row>
    <row r="17" spans="3:29">
      <c r="C17" s="52">
        <v>2031</v>
      </c>
      <c r="D17" s="113">
        <v>1.4007961981763919</v>
      </c>
      <c r="E17" s="113">
        <v>1.3806876047588772</v>
      </c>
      <c r="G17" s="52">
        <v>2031</v>
      </c>
      <c r="H17" s="113">
        <v>1.0075185672634681</v>
      </c>
      <c r="I17" s="113">
        <v>0.93307070559449079</v>
      </c>
      <c r="K17" s="40">
        <f t="shared" si="3"/>
        <v>0.67956170776614933</v>
      </c>
      <c r="L17" s="39">
        <f>'#2-Storage Value 1.2%'!H17*'#2-Storage Value 1.2%'!$M$3</f>
        <v>0.48877277013386838</v>
      </c>
      <c r="M17" s="39">
        <f t="shared" si="4"/>
        <v>0.58416723895000888</v>
      </c>
      <c r="P17" s="4">
        <f t="shared" si="5"/>
        <v>0.55097593475101414</v>
      </c>
      <c r="R17" s="4">
        <f t="shared" si="6"/>
        <v>1.1351431737010231</v>
      </c>
      <c r="S17" s="4">
        <f t="shared" si="6"/>
        <v>0.55097593475101414</v>
      </c>
      <c r="U17" s="4">
        <f t="shared" si="1"/>
        <v>0.96126848685114441</v>
      </c>
      <c r="V17" s="4">
        <f t="shared" si="1"/>
        <v>0.46658061763493375</v>
      </c>
      <c r="Y17" s="14">
        <v>2031</v>
      </c>
      <c r="Z17" s="4">
        <f t="shared" si="7"/>
        <v>1.1351431737010231</v>
      </c>
      <c r="AA17" s="4">
        <f t="shared" si="2"/>
        <v>0.86832151626388854</v>
      </c>
      <c r="AB17" s="45">
        <f t="shared" si="8"/>
        <v>63000446.140406787</v>
      </c>
      <c r="AC17" s="45">
        <f t="shared" si="9"/>
        <v>48191844.152645811</v>
      </c>
    </row>
    <row r="18" spans="3:29">
      <c r="C18" s="52">
        <v>2032</v>
      </c>
      <c r="D18" s="113">
        <v>1.3801869276710117</v>
      </c>
      <c r="E18" s="113">
        <v>1.34028142217484</v>
      </c>
      <c r="G18" s="52">
        <v>2032</v>
      </c>
      <c r="H18" s="113">
        <v>1.2257460278125671</v>
      </c>
      <c r="I18" s="113">
        <v>0.90493675049026856</v>
      </c>
      <c r="K18" s="40">
        <f t="shared" si="3"/>
        <v>0.66956362876030728</v>
      </c>
      <c r="L18" s="39">
        <f>'#2-Storage Value 1.2%'!H18*'#2-Storage Value 1.2%'!$M$3</f>
        <v>0.59464043736860028</v>
      </c>
      <c r="M18" s="39">
        <f t="shared" si="4"/>
        <v>0.63210203306445378</v>
      </c>
      <c r="P18" s="4">
        <f t="shared" si="5"/>
        <v>0.52707989359084084</v>
      </c>
      <c r="R18" s="4">
        <f t="shared" si="6"/>
        <v>1.1591819266552945</v>
      </c>
      <c r="S18" s="4">
        <f t="shared" si="6"/>
        <v>0.52707989359084084</v>
      </c>
      <c r="U18" s="4">
        <f t="shared" si="1"/>
        <v>0.96143498748256995</v>
      </c>
      <c r="V18" s="4">
        <f t="shared" si="1"/>
        <v>0.43716438226311072</v>
      </c>
      <c r="Y18" s="14">
        <v>2032</v>
      </c>
      <c r="Z18" s="4">
        <f t="shared" si="7"/>
        <v>1.1591819266552945</v>
      </c>
      <c r="AA18" s="4">
        <f t="shared" si="2"/>
        <v>0.8865562681054302</v>
      </c>
      <c r="AB18" s="45">
        <f t="shared" si="8"/>
        <v>64334596.929368846</v>
      </c>
      <c r="AC18" s="45">
        <f t="shared" si="9"/>
        <v>49203872.879851379</v>
      </c>
    </row>
    <row r="19" spans="3:29">
      <c r="C19" s="52">
        <v>2033</v>
      </c>
      <c r="D19" s="113">
        <v>1.3841559673925472</v>
      </c>
      <c r="E19" s="113">
        <v>1.3896777229773878</v>
      </c>
      <c r="G19" s="52">
        <v>2033</v>
      </c>
      <c r="H19" s="113">
        <v>1.1979945187946475</v>
      </c>
      <c r="I19" s="113">
        <v>1.1634215503740271</v>
      </c>
      <c r="K19" s="40">
        <f t="shared" si="3"/>
        <v>0.67148911043627824</v>
      </c>
      <c r="L19" s="39">
        <f>'#2-Storage Value 1.2%'!H19*'#2-Storage Value 1.2%'!$M$3</f>
        <v>0.58117747759910887</v>
      </c>
      <c r="M19" s="39">
        <f t="shared" si="4"/>
        <v>0.62633329401769355</v>
      </c>
      <c r="P19" s="4">
        <f t="shared" si="5"/>
        <v>0.56438457603638625</v>
      </c>
      <c r="R19" s="4">
        <f t="shared" si="6"/>
        <v>1.1907178700540797</v>
      </c>
      <c r="S19" s="4">
        <f t="shared" si="6"/>
        <v>0.56438457603638625</v>
      </c>
      <c r="U19" s="4">
        <f t="shared" si="1"/>
        <v>0.96727831275286857</v>
      </c>
      <c r="V19" s="4">
        <f t="shared" si="1"/>
        <v>0.45847717094178192</v>
      </c>
      <c r="Y19" s="14">
        <v>2033</v>
      </c>
      <c r="Z19" s="4">
        <f t="shared" si="7"/>
        <v>1.1907178700540797</v>
      </c>
      <c r="AA19" s="4">
        <f t="shared" si="2"/>
        <v>0.90517394973564391</v>
      </c>
      <c r="AB19" s="45">
        <f t="shared" si="8"/>
        <v>66084841.788001418</v>
      </c>
      <c r="AC19" s="45">
        <f t="shared" si="9"/>
        <v>50237154.210328236</v>
      </c>
    </row>
    <row r="20" spans="3:29">
      <c r="C20" s="52">
        <v>2034</v>
      </c>
      <c r="D20" s="113">
        <v>1.4624396847728696</v>
      </c>
      <c r="E20" s="113">
        <v>1.4262678366175938</v>
      </c>
      <c r="G20" s="52">
        <v>2034</v>
      </c>
      <c r="H20" s="113">
        <v>1.1678730342515713</v>
      </c>
      <c r="I20" s="113">
        <v>1.1341367130052844</v>
      </c>
      <c r="K20" s="40">
        <f t="shared" si="3"/>
        <v>0.70946652409753053</v>
      </c>
      <c r="L20" s="39">
        <f>'#2-Storage Value 1.2%'!H20*'#2-Storage Value 1.2%'!$M$3</f>
        <v>0.56656478268803445</v>
      </c>
      <c r="M20" s="39">
        <f t="shared" si="4"/>
        <v>0.63801565339278254</v>
      </c>
      <c r="P20" s="4">
        <f t="shared" si="5"/>
        <v>0.56329437393551596</v>
      </c>
      <c r="R20" s="4">
        <f t="shared" si="6"/>
        <v>1.2013100273282986</v>
      </c>
      <c r="S20" s="4">
        <f t="shared" si="6"/>
        <v>0.56329437393551596</v>
      </c>
      <c r="U20" s="4">
        <f t="shared" si="1"/>
        <v>0.95581081264890888</v>
      </c>
      <c r="V20" s="4">
        <f t="shared" si="1"/>
        <v>0.44817977130288872</v>
      </c>
      <c r="Y20" s="14">
        <v>2034</v>
      </c>
      <c r="Z20" s="4">
        <f t="shared" si="7"/>
        <v>1.2013100273282986</v>
      </c>
      <c r="AA20" s="4">
        <f t="shared" si="2"/>
        <v>0.92418260268009234</v>
      </c>
      <c r="AB20" s="45">
        <f t="shared" si="8"/>
        <v>66672706.516720571</v>
      </c>
      <c r="AC20" s="45">
        <f t="shared" si="9"/>
        <v>51292134.448745131</v>
      </c>
    </row>
    <row r="21" spans="3:29">
      <c r="C21" s="52">
        <v>2035</v>
      </c>
      <c r="D21" s="113">
        <v>1.4405889206589519</v>
      </c>
      <c r="E21" s="113">
        <v>1.3890643806163332</v>
      </c>
      <c r="G21" s="52">
        <v>2035</v>
      </c>
      <c r="H21" s="113">
        <v>1.1578665992575092</v>
      </c>
      <c r="I21" s="113">
        <v>0.85188580550662552</v>
      </c>
      <c r="K21" s="40">
        <f t="shared" si="3"/>
        <v>0.69886616510413802</v>
      </c>
      <c r="L21" s="39">
        <f>'#2-Storage Value 1.2%'!H21*'#2-Storage Value 1.2%'!$M$3</f>
        <v>0.56171040768182856</v>
      </c>
      <c r="M21" s="39">
        <f t="shared" si="4"/>
        <v>0.63028828639298329</v>
      </c>
      <c r="P21" s="4">
        <f t="shared" si="5"/>
        <v>0.54238847628710252</v>
      </c>
      <c r="R21" s="4">
        <f t="shared" si="6"/>
        <v>1.1726767626800858</v>
      </c>
      <c r="S21" s="4">
        <f t="shared" si="6"/>
        <v>0.54238847628710252</v>
      </c>
      <c r="U21" s="42">
        <f t="shared" si="1"/>
        <v>0.91383842310183316</v>
      </c>
      <c r="V21" s="42">
        <f t="shared" si="1"/>
        <v>0.42267012159942485</v>
      </c>
      <c r="Y21" s="14">
        <v>2035</v>
      </c>
      <c r="Z21" s="4">
        <f t="shared" si="7"/>
        <v>1.1726767626800858</v>
      </c>
      <c r="AA21" s="4">
        <f t="shared" si="2"/>
        <v>0.94359043733637427</v>
      </c>
      <c r="AB21" s="45">
        <f t="shared" si="8"/>
        <v>65083560.328744762</v>
      </c>
      <c r="AC21" s="45">
        <f t="shared" si="9"/>
        <v>52369269.27216877</v>
      </c>
    </row>
    <row r="22" spans="3:29">
      <c r="C22" s="52">
        <v>2040</v>
      </c>
      <c r="D22" s="113">
        <v>1.5651322465615918</v>
      </c>
      <c r="E22" s="113">
        <v>1.5016497981479671</v>
      </c>
      <c r="G22" s="52">
        <v>2040</v>
      </c>
      <c r="H22" s="113">
        <v>1.0026732460524665</v>
      </c>
      <c r="I22" s="113">
        <v>0.90101798422321255</v>
      </c>
      <c r="K22" s="40">
        <f t="shared" si="3"/>
        <v>0.75928528628069092</v>
      </c>
      <c r="L22" s="39">
        <f>'#2-Storage Value 1.2%'!H22*'#2-Storage Value 1.2%'!$M$3</f>
        <v>0.48642218211748861</v>
      </c>
      <c r="M22" s="39">
        <f t="shared" si="4"/>
        <v>0.62285373419908974</v>
      </c>
      <c r="P22" s="4">
        <f t="shared" si="5"/>
        <v>0.5833830737196336</v>
      </c>
      <c r="R22" s="4">
        <f t="shared" si="6"/>
        <v>1.2062368079187233</v>
      </c>
      <c r="S22" s="4">
        <f t="shared" si="6"/>
        <v>0.5833830737196336</v>
      </c>
      <c r="U22" s="42">
        <f t="shared" si="1"/>
        <v>0.84721758446471307</v>
      </c>
      <c r="V22" s="42">
        <f t="shared" si="1"/>
        <v>0.40974740224280282</v>
      </c>
      <c r="Y22" s="14">
        <v>2036</v>
      </c>
      <c r="Z22" s="4">
        <f t="shared" ref="Z22:Z49" si="10">$U$24*1.021^($Y22-Start_Year)</f>
        <v>1.1414231647548752</v>
      </c>
      <c r="AA22" s="4">
        <f t="shared" si="2"/>
        <v>0.96340583652043799</v>
      </c>
      <c r="AB22" s="45">
        <f t="shared" si="8"/>
        <v>63348985.643895566</v>
      </c>
      <c r="AC22" s="45">
        <f t="shared" si="9"/>
        <v>53469023.926884308</v>
      </c>
    </row>
    <row r="23" spans="3:29">
      <c r="C23" s="52">
        <v>2044</v>
      </c>
      <c r="D23" s="113">
        <v>1.6667249456216791</v>
      </c>
      <c r="E23" s="113">
        <v>1.6416289446698242</v>
      </c>
      <c r="G23" s="52">
        <v>2044</v>
      </c>
      <c r="H23" s="113">
        <v>1.0720704843292863</v>
      </c>
      <c r="I23" s="113">
        <v>0.98371321474062023</v>
      </c>
      <c r="K23" s="40">
        <f t="shared" si="3"/>
        <v>0.80857047720262676</v>
      </c>
      <c r="L23" s="39">
        <f>'#2-Storage Value 1.2%'!H23*'#2-Storage Value 1.2%'!$M$3</f>
        <v>0.52008853973542357</v>
      </c>
      <c r="M23" s="39">
        <f t="shared" si="4"/>
        <v>0.66432950846902517</v>
      </c>
      <c r="P23" s="4">
        <f t="shared" si="5"/>
        <v>0.65465442053090672</v>
      </c>
      <c r="R23" s="4">
        <f t="shared" si="6"/>
        <v>1.3189839289999319</v>
      </c>
      <c r="S23" s="4">
        <f t="shared" si="6"/>
        <v>0.65465442053090672</v>
      </c>
      <c r="U23" s="42">
        <f t="shared" si="1"/>
        <v>0.85250889709600208</v>
      </c>
      <c r="V23" s="42">
        <f t="shared" si="1"/>
        <v>0.42312776202586649</v>
      </c>
      <c r="Y23" s="14">
        <v>2037</v>
      </c>
      <c r="Z23" s="4">
        <f t="shared" si="10"/>
        <v>1.1653930512147275</v>
      </c>
      <c r="AA23" s="4">
        <f t="shared" si="2"/>
        <v>0.98363735908736716</v>
      </c>
      <c r="AB23" s="45">
        <f t="shared" si="8"/>
        <v>64679314.342417374</v>
      </c>
      <c r="AC23" s="45">
        <f t="shared" si="9"/>
        <v>54591873.429348871</v>
      </c>
    </row>
    <row r="24" spans="3:29">
      <c r="D24" s="24">
        <f>AVERAGE(D10:D23)</f>
        <v>1.2852876471824008</v>
      </c>
      <c r="E24" s="24">
        <f>AVERAGE(E10:E23)</f>
        <v>1.2684682139645995</v>
      </c>
      <c r="R24" s="24"/>
      <c r="U24" s="24">
        <f>AVERAGE(U21:U23)</f>
        <v>0.8711883015541827</v>
      </c>
      <c r="V24" s="24">
        <f>AVERAGE(V21:V23)</f>
        <v>0.41851509528936476</v>
      </c>
      <c r="Y24" s="14">
        <v>2038</v>
      </c>
      <c r="Z24" s="4">
        <f t="shared" si="10"/>
        <v>1.1898663052902365</v>
      </c>
      <c r="AA24" s="4">
        <f t="shared" si="2"/>
        <v>1.0042937436282018</v>
      </c>
      <c r="AB24" s="45">
        <f t="shared" si="8"/>
        <v>66037579.943608128</v>
      </c>
      <c r="AC24" s="45">
        <f t="shared" si="9"/>
        <v>55738302.771365196</v>
      </c>
    </row>
    <row r="25" spans="3:29">
      <c r="Y25" s="14">
        <v>2039</v>
      </c>
      <c r="Z25" s="4">
        <f t="shared" si="10"/>
        <v>1.2148534977013314</v>
      </c>
      <c r="AA25" s="4">
        <f t="shared" si="2"/>
        <v>1.0253839122443937</v>
      </c>
      <c r="AB25" s="45">
        <f t="shared" si="8"/>
        <v>67424369.122423902</v>
      </c>
      <c r="AC25" s="45">
        <f t="shared" si="9"/>
        <v>56908807.129563853</v>
      </c>
    </row>
    <row r="26" spans="3:29">
      <c r="Y26" s="14">
        <v>2040</v>
      </c>
      <c r="Z26" s="4">
        <f t="shared" si="10"/>
        <v>1.2403654211530595</v>
      </c>
      <c r="AA26" s="4">
        <f t="shared" si="2"/>
        <v>1.0469169744015261</v>
      </c>
      <c r="AB26" s="45">
        <f t="shared" si="8"/>
        <v>68840280.873994797</v>
      </c>
      <c r="AC26" s="45">
        <f t="shared" si="9"/>
        <v>58103892.079284698</v>
      </c>
    </row>
    <row r="27" spans="3:29">
      <c r="Y27" s="14">
        <v>2041</v>
      </c>
      <c r="Z27" s="4">
        <f t="shared" si="10"/>
        <v>1.2664130949972734</v>
      </c>
      <c r="AA27" s="4">
        <f t="shared" si="2"/>
        <v>1.0689022308639577</v>
      </c>
      <c r="AB27" s="45">
        <f t="shared" si="8"/>
        <v>70285926.772348672</v>
      </c>
      <c r="AC27" s="45">
        <f t="shared" si="9"/>
        <v>59324073.81294965</v>
      </c>
    </row>
    <row r="28" spans="3:29">
      <c r="Y28" s="14">
        <v>2042</v>
      </c>
      <c r="Z28" s="4">
        <f t="shared" si="10"/>
        <v>1.293007769992216</v>
      </c>
      <c r="AA28" s="4">
        <f t="shared" si="2"/>
        <v>1.0913491777121009</v>
      </c>
      <c r="AB28" s="45">
        <f t="shared" si="8"/>
        <v>71761931.234568</v>
      </c>
      <c r="AC28" s="45">
        <f t="shared" si="9"/>
        <v>60569879.363021605</v>
      </c>
    </row>
    <row r="29" spans="3:29">
      <c r="Y29" s="14">
        <v>2043</v>
      </c>
      <c r="Z29" s="4">
        <f t="shared" si="10"/>
        <v>1.3201609331620523</v>
      </c>
      <c r="AA29" s="4">
        <f t="shared" si="2"/>
        <v>1.1142675104440549</v>
      </c>
      <c r="AB29" s="45">
        <f t="shared" si="8"/>
        <v>73268931.790493906</v>
      </c>
      <c r="AC29" s="45">
        <f t="shared" si="9"/>
        <v>61841846.829645045</v>
      </c>
    </row>
    <row r="30" spans="3:29">
      <c r="Y30" s="14">
        <v>2044</v>
      </c>
      <c r="Z30" s="4">
        <f t="shared" si="10"/>
        <v>1.3478843127584552</v>
      </c>
      <c r="AA30" s="4">
        <f t="shared" si="2"/>
        <v>1.1376671281633799</v>
      </c>
      <c r="AB30" s="45">
        <f t="shared" si="8"/>
        <v>74807579.358094275</v>
      </c>
      <c r="AC30" s="45">
        <f t="shared" si="9"/>
        <v>63140525.613067582</v>
      </c>
    </row>
    <row r="31" spans="3:29">
      <c r="Y31" s="14">
        <v>2045</v>
      </c>
      <c r="Z31" s="4">
        <f t="shared" si="10"/>
        <v>1.3761898833263828</v>
      </c>
      <c r="AA31" s="4">
        <f t="shared" si="2"/>
        <v>1.1615581378548108</v>
      </c>
      <c r="AB31" s="45">
        <f t="shared" si="8"/>
        <v>76378538.524614245</v>
      </c>
      <c r="AC31" s="45">
        <f t="shared" si="9"/>
        <v>64466476.650941998</v>
      </c>
    </row>
    <row r="32" spans="3:29">
      <c r="Y32" s="14">
        <v>2046</v>
      </c>
      <c r="Z32" s="4">
        <f t="shared" si="10"/>
        <v>1.4050898708762367</v>
      </c>
      <c r="AA32" s="4">
        <f t="shared" si="2"/>
        <v>1.1859508587497616</v>
      </c>
      <c r="AB32" s="45">
        <f t="shared" si="8"/>
        <v>77982487.833631143</v>
      </c>
      <c r="AC32" s="45">
        <f t="shared" si="9"/>
        <v>65820272.660611764</v>
      </c>
    </row>
    <row r="33" spans="25:29">
      <c r="Y33" s="14">
        <v>2047</v>
      </c>
      <c r="Z33" s="4">
        <f t="shared" si="10"/>
        <v>1.4345967581646373</v>
      </c>
      <c r="AA33" s="4">
        <f t="shared" si="2"/>
        <v>1.2108558267835063</v>
      </c>
      <c r="AB33" s="45">
        <f t="shared" si="8"/>
        <v>79620120.078137368</v>
      </c>
      <c r="AC33" s="45">
        <f t="shared" si="9"/>
        <v>67202498.386484593</v>
      </c>
    </row>
    <row r="34" spans="25:29">
      <c r="Y34" s="14">
        <v>2048</v>
      </c>
      <c r="Z34" s="4">
        <f t="shared" si="10"/>
        <v>1.4647232900860945</v>
      </c>
      <c r="AA34" s="4">
        <f t="shared" si="2"/>
        <v>1.2362837991459601</v>
      </c>
      <c r="AB34" s="45">
        <f t="shared" si="8"/>
        <v>81292142.59977825</v>
      </c>
      <c r="AC34" s="45">
        <f t="shared" si="9"/>
        <v>68613750.852600783</v>
      </c>
    </row>
    <row r="35" spans="25:29">
      <c r="Y35" s="14">
        <v>2049</v>
      </c>
      <c r="Z35" s="4">
        <f t="shared" si="10"/>
        <v>1.4954824791779022</v>
      </c>
      <c r="AA35" s="4">
        <f t="shared" si="2"/>
        <v>1.2622457589280249</v>
      </c>
      <c r="AB35" s="45">
        <f t="shared" si="8"/>
        <v>82999277.594373569</v>
      </c>
      <c r="AC35" s="45">
        <f t="shared" si="9"/>
        <v>70054639.620505393</v>
      </c>
    </row>
    <row r="36" spans="25:29">
      <c r="Y36" s="14">
        <v>2050</v>
      </c>
      <c r="Z36" s="4">
        <f t="shared" si="10"/>
        <v>1.5268876112406384</v>
      </c>
      <c r="AA36" s="4">
        <f t="shared" si="2"/>
        <v>1.2887529198655132</v>
      </c>
      <c r="AB36" s="45">
        <f t="shared" si="8"/>
        <v>84742262.423855424</v>
      </c>
      <c r="AC36" s="45">
        <f t="shared" si="9"/>
        <v>71525787.052535996</v>
      </c>
    </row>
    <row r="37" spans="25:29">
      <c r="Y37" s="14">
        <v>2051</v>
      </c>
      <c r="Z37" s="4">
        <f t="shared" si="10"/>
        <v>1.5589522510766913</v>
      </c>
      <c r="AA37" s="4">
        <f t="shared" si="2"/>
        <v>1.3158167311826889</v>
      </c>
      <c r="AB37" s="45">
        <f t="shared" si="8"/>
        <v>86521849.934756368</v>
      </c>
      <c r="AC37" s="45">
        <f t="shared" si="9"/>
        <v>73027828.580639243</v>
      </c>
    </row>
    <row r="38" spans="25:29">
      <c r="Y38" s="14">
        <v>2052</v>
      </c>
      <c r="Z38" s="4">
        <f t="shared" si="10"/>
        <v>1.5916902483493014</v>
      </c>
      <c r="AA38" s="4">
        <f t="shared" si="2"/>
        <v>1.3434488825375253</v>
      </c>
      <c r="AB38" s="45">
        <f t="shared" si="8"/>
        <v>88338808.783386216</v>
      </c>
      <c r="AC38" s="45">
        <f t="shared" si="9"/>
        <v>74561412.980832651</v>
      </c>
    </row>
    <row r="39" spans="25:29">
      <c r="Y39" s="14">
        <v>2053</v>
      </c>
      <c r="Z39" s="4">
        <f t="shared" si="10"/>
        <v>1.6251157435646368</v>
      </c>
      <c r="AA39" s="4">
        <f t="shared" si="2"/>
        <v>1.3716613090708132</v>
      </c>
      <c r="AB39" s="45">
        <f t="shared" si="8"/>
        <v>90193923.767837346</v>
      </c>
      <c r="AC39" s="45">
        <f t="shared" si="9"/>
        <v>76127202.653430119</v>
      </c>
    </row>
    <row r="40" spans="25:29">
      <c r="Y40" s="14">
        <v>2054</v>
      </c>
      <c r="Z40" s="4">
        <f t="shared" si="10"/>
        <v>1.659243174179494</v>
      </c>
      <c r="AA40" s="4">
        <f t="shared" si="2"/>
        <v>1.4004661965613001</v>
      </c>
      <c r="AB40" s="45">
        <f t="shared" si="8"/>
        <v>92087996.166961908</v>
      </c>
      <c r="AC40" s="45">
        <f t="shared" si="9"/>
        <v>77725873.90915215</v>
      </c>
    </row>
    <row r="41" spans="25:29">
      <c r="Y41" s="14">
        <v>2055</v>
      </c>
      <c r="Z41" s="4">
        <f t="shared" si="10"/>
        <v>1.6940872808372631</v>
      </c>
      <c r="AA41" s="4">
        <f t="shared" si="2"/>
        <v>1.4298759866890871</v>
      </c>
      <c r="AB41" s="45">
        <f t="shared" si="8"/>
        <v>94021844.086468101</v>
      </c>
      <c r="AC41" s="45">
        <f t="shared" si="9"/>
        <v>79358117.261244327</v>
      </c>
    </row>
    <row r="42" spans="25:29">
      <c r="Y42" s="14">
        <v>2056</v>
      </c>
      <c r="Z42" s="4">
        <f t="shared" si="10"/>
        <v>1.7296631137348455</v>
      </c>
      <c r="AA42" s="4">
        <f t="shared" si="2"/>
        <v>1.459903382409558</v>
      </c>
      <c r="AB42" s="45">
        <f t="shared" si="8"/>
        <v>95996302.812283933</v>
      </c>
      <c r="AC42" s="45">
        <f t="shared" si="9"/>
        <v>81024637.723730475</v>
      </c>
    </row>
    <row r="43" spans="25:29">
      <c r="Y43" s="14">
        <v>2057</v>
      </c>
      <c r="Z43" s="4">
        <f t="shared" si="10"/>
        <v>1.7659860391232769</v>
      </c>
      <c r="AA43" s="4">
        <f t="shared" si="2"/>
        <v>1.4905613534401583</v>
      </c>
      <c r="AB43" s="45">
        <f t="shared" si="8"/>
        <v>98012225.171341866</v>
      </c>
      <c r="AC43" s="45">
        <f t="shared" si="9"/>
        <v>82726155.115928784</v>
      </c>
    </row>
    <row r="44" spans="25:29">
      <c r="Y44" s="14">
        <v>2058</v>
      </c>
      <c r="Z44" s="4">
        <f t="shared" si="10"/>
        <v>1.8030717459448657</v>
      </c>
      <c r="AA44" s="4">
        <f t="shared" si="2"/>
        <v>1.5218631418624013</v>
      </c>
      <c r="AB44" s="45">
        <f t="shared" si="8"/>
        <v>100070481.89994004</v>
      </c>
      <c r="AC44" s="45">
        <f t="shared" si="9"/>
        <v>84463404.373363271</v>
      </c>
    </row>
    <row r="45" spans="25:29">
      <c r="Y45" s="14">
        <v>2059</v>
      </c>
      <c r="Z45" s="4">
        <f t="shared" si="10"/>
        <v>1.8409362526097075</v>
      </c>
      <c r="AA45" s="4">
        <f t="shared" si="2"/>
        <v>1.5538222678415117</v>
      </c>
      <c r="AB45" s="45">
        <f t="shared" si="8"/>
        <v>102171962.01983877</v>
      </c>
      <c r="AC45" s="45">
        <f t="shared" si="9"/>
        <v>86237135.865203887</v>
      </c>
    </row>
    <row r="46" spans="25:29">
      <c r="Y46" s="14">
        <v>2060</v>
      </c>
      <c r="Z46" s="4">
        <f t="shared" si="10"/>
        <v>1.8795959139145111</v>
      </c>
      <c r="AA46" s="4">
        <f t="shared" si="2"/>
        <v>1.5864525354661831</v>
      </c>
      <c r="AB46" s="45">
        <f t="shared" si="8"/>
        <v>104317573.22225536</v>
      </c>
      <c r="AC46" s="45">
        <f t="shared" si="9"/>
        <v>88048115.718373165</v>
      </c>
    </row>
    <row r="47" spans="25:29">
      <c r="Y47" s="14">
        <v>2061</v>
      </c>
      <c r="Z47" s="4">
        <f t="shared" si="10"/>
        <v>1.9190674281067157</v>
      </c>
      <c r="AA47" s="4">
        <f t="shared" si="2"/>
        <v>1.619768038710973</v>
      </c>
      <c r="AB47" s="45">
        <f t="shared" si="8"/>
        <v>106508242.25992273</v>
      </c>
      <c r="AC47" s="45">
        <f t="shared" si="9"/>
        <v>89897126.148459002</v>
      </c>
    </row>
    <row r="48" spans="25:29">
      <c r="Y48" s="14">
        <v>2062</v>
      </c>
      <c r="Z48" s="4">
        <f t="shared" si="10"/>
        <v>1.9593678440969564</v>
      </c>
      <c r="AA48" s="4">
        <f t="shared" si="2"/>
        <v>1.653783167523903</v>
      </c>
      <c r="AB48" s="45">
        <f t="shared" si="8"/>
        <v>108744915.34738109</v>
      </c>
      <c r="AC48" s="45">
        <f t="shared" si="9"/>
        <v>91784965.797576621</v>
      </c>
    </row>
    <row r="49" spans="25:29">
      <c r="Y49" s="14">
        <v>2063</v>
      </c>
      <c r="Z49" s="4">
        <f t="shared" si="10"/>
        <v>2.0005145688229926</v>
      </c>
      <c r="AA49" s="4">
        <f t="shared" si="2"/>
        <v>1.6885126140419049</v>
      </c>
      <c r="AB49" s="45">
        <f t="shared" si="8"/>
        <v>111028558.56967609</v>
      </c>
      <c r="AC49" s="45">
        <f t="shared" si="9"/>
        <v>93712450.079325721</v>
      </c>
    </row>
  </sheetData>
  <mergeCells count="2">
    <mergeCell ref="D8:E8"/>
    <mergeCell ref="H8:I8"/>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3D00-D93B-4916-8DDF-695786C5A54F}">
  <sheetPr>
    <tabColor theme="0" tint="-0.249977111117893"/>
  </sheetPr>
  <dimension ref="B2:AN81"/>
  <sheetViews>
    <sheetView showGridLines="0" zoomScale="68" zoomScaleNormal="68" workbookViewId="0">
      <selection activeCell="F38" sqref="F38"/>
    </sheetView>
  </sheetViews>
  <sheetFormatPr defaultRowHeight="15"/>
  <cols>
    <col min="2" max="2" width="20.5703125" bestFit="1" customWidth="1"/>
    <col min="3" max="7" width="17.5703125" customWidth="1"/>
    <col min="9" max="9" width="15.28515625" customWidth="1"/>
    <col min="10" max="15" width="17.5703125" customWidth="1"/>
    <col min="17" max="17" width="12.7109375" customWidth="1"/>
    <col min="18" max="19" width="20.5703125" customWidth="1"/>
    <col min="20" max="23" width="17.5703125" customWidth="1"/>
    <col min="24" max="26" width="4.42578125" customWidth="1"/>
    <col min="28" max="28" width="18.42578125" customWidth="1"/>
    <col min="29" max="29" width="18" customWidth="1"/>
    <col min="30" max="30" width="17" customWidth="1"/>
    <col min="31" max="31" width="14.7109375" bestFit="1" customWidth="1"/>
    <col min="32" max="32" width="17" customWidth="1"/>
    <col min="34" max="34" width="24.28515625" customWidth="1"/>
    <col min="35" max="35" width="20.5703125" customWidth="1"/>
    <col min="36" max="36" width="16.7109375" customWidth="1"/>
    <col min="38" max="38" width="16.28515625" bestFit="1" customWidth="1"/>
    <col min="39" max="39" width="14.5703125" customWidth="1"/>
    <col min="40" max="40" width="13.7109375" bestFit="1" customWidth="1"/>
  </cols>
  <sheetData>
    <row r="2" spans="2:40">
      <c r="B2" s="15" t="s">
        <v>130</v>
      </c>
      <c r="C2" s="172" t="s">
        <v>191</v>
      </c>
      <c r="D2" s="172"/>
      <c r="E2" s="172"/>
      <c r="F2" s="172"/>
      <c r="AD2" s="28">
        <v>0.5</v>
      </c>
      <c r="AE2" s="28">
        <v>0.25</v>
      </c>
    </row>
    <row r="3" spans="2:40" ht="70.150000000000006" customHeight="1">
      <c r="B3" s="11" t="s">
        <v>60</v>
      </c>
      <c r="C3" s="11" t="s">
        <v>149</v>
      </c>
      <c r="D3" s="11" t="s">
        <v>62</v>
      </c>
      <c r="E3" s="11" t="s">
        <v>63</v>
      </c>
      <c r="F3" s="11" t="s">
        <v>64</v>
      </c>
      <c r="G3" s="11" t="s">
        <v>65</v>
      </c>
      <c r="I3" s="11" t="s">
        <v>66</v>
      </c>
      <c r="J3" s="11" t="s">
        <v>61</v>
      </c>
      <c r="K3" s="11" t="s">
        <v>62</v>
      </c>
      <c r="L3" s="11" t="s">
        <v>63</v>
      </c>
      <c r="M3" s="11" t="s">
        <v>64</v>
      </c>
      <c r="N3" s="11" t="s">
        <v>65</v>
      </c>
      <c r="O3" s="11" t="s">
        <v>67</v>
      </c>
      <c r="Q3" s="11" t="s">
        <v>68</v>
      </c>
      <c r="R3" s="11" t="s">
        <v>61</v>
      </c>
      <c r="S3" s="11" t="s">
        <v>62</v>
      </c>
      <c r="T3" s="11" t="s">
        <v>63</v>
      </c>
      <c r="U3" s="11" t="s">
        <v>64</v>
      </c>
      <c r="V3" s="11" t="s">
        <v>65</v>
      </c>
      <c r="W3" s="11" t="s">
        <v>67</v>
      </c>
      <c r="AA3" s="10" t="s">
        <v>52</v>
      </c>
      <c r="AB3" s="1" t="s">
        <v>69</v>
      </c>
      <c r="AC3" s="1" t="s">
        <v>70</v>
      </c>
      <c r="AD3" s="29" t="s">
        <v>150</v>
      </c>
      <c r="AE3" s="115" t="s">
        <v>151</v>
      </c>
      <c r="AF3" s="29" t="s">
        <v>72</v>
      </c>
      <c r="AH3" s="29" t="s">
        <v>73</v>
      </c>
      <c r="AI3" s="29" t="s">
        <v>152</v>
      </c>
      <c r="AJ3" s="29" t="s">
        <v>72</v>
      </c>
      <c r="AM3" s="114">
        <f>NPV(4.92%,AM4:AM44)</f>
        <v>-611745812.97536635</v>
      </c>
    </row>
    <row r="4" spans="2:40">
      <c r="B4" s="12">
        <v>2024</v>
      </c>
      <c r="C4" s="112">
        <v>1374021197.69555</v>
      </c>
      <c r="D4" s="112">
        <v>1405355214.3556116</v>
      </c>
      <c r="E4" s="112">
        <v>-8814548.9658903331</v>
      </c>
      <c r="F4" s="112">
        <v>-1773076.7458481428</v>
      </c>
      <c r="G4" s="13">
        <f>C4-D4</f>
        <v>-31334016.660061598</v>
      </c>
      <c r="I4" s="12">
        <v>2024</v>
      </c>
      <c r="J4" s="13">
        <f>C4*1.3</f>
        <v>1786227557.004215</v>
      </c>
      <c r="K4" s="13">
        <f t="shared" ref="K4:M17" si="0">D4*1.3</f>
        <v>1826961778.6622951</v>
      </c>
      <c r="L4" s="13">
        <f t="shared" si="0"/>
        <v>-11458913.655657433</v>
      </c>
      <c r="M4" s="13">
        <f t="shared" si="0"/>
        <v>-2304999.7696025856</v>
      </c>
      <c r="N4" s="13">
        <f>J4-K4</f>
        <v>-40734221.658080101</v>
      </c>
      <c r="O4" s="13">
        <f t="shared" ref="O4:O17" si="1">L4-M4</f>
        <v>-9153913.8860548474</v>
      </c>
      <c r="Q4" s="12">
        <v>2024</v>
      </c>
      <c r="R4" s="13">
        <f t="shared" ref="R4:U17" si="2">J4/1.021^($I4-Start_Year)</f>
        <v>1749488302.6485946</v>
      </c>
      <c r="S4" s="13">
        <f t="shared" si="2"/>
        <v>1789384699.9630709</v>
      </c>
      <c r="T4" s="13">
        <f t="shared" si="2"/>
        <v>-11223225.911515607</v>
      </c>
      <c r="U4" s="13">
        <f t="shared" si="2"/>
        <v>-2257590.3717948929</v>
      </c>
      <c r="V4" s="13">
        <f>R4-S4</f>
        <v>-39896397.314476252</v>
      </c>
      <c r="W4" s="13">
        <f>T4-U4</f>
        <v>-8965635.5397207141</v>
      </c>
      <c r="AA4" s="14">
        <v>2024</v>
      </c>
      <c r="AB4" s="5">
        <f t="shared" ref="AB4:AB15" si="3">N4</f>
        <v>-40734221.658080101</v>
      </c>
      <c r="AC4" s="53">
        <f>J42</f>
        <v>-34158539.667338371</v>
      </c>
      <c r="AD4" s="30">
        <f>AC4+(AB4-AC4)*$AD$2</f>
        <v>-37446380.662709236</v>
      </c>
      <c r="AE4" s="116">
        <f>AC4+(AB4-AC4)*$AE$2</f>
        <v>-35802460.165023804</v>
      </c>
      <c r="AF4" s="30">
        <f>O4</f>
        <v>-9153913.8860548474</v>
      </c>
      <c r="AH4" s="31">
        <f>NPV(After_Tax_Cost_of_Capital,AD4:AD43)</f>
        <v>-1143271915.238816</v>
      </c>
      <c r="AI4" s="31">
        <f>NPV(After_Tax_Cost_of_Capital,AE4:AE43)</f>
        <v>-1085637674.9218228</v>
      </c>
      <c r="AJ4" s="31">
        <f>NPV(After_Tax_Cost_of_Capital,AF4:AF43)</f>
        <v>-152611356.79933581</v>
      </c>
      <c r="AL4" s="7">
        <f>'#1-With Volatility'!AB4</f>
        <v>-25875412.838119507</v>
      </c>
      <c r="AM4" s="7">
        <f>'#1-With Volatility'!AC4</f>
        <v>-13907067.487240791</v>
      </c>
      <c r="AN4" t="e">
        <f>'#1-With Volatility'!#REF!</f>
        <v>#REF!</v>
      </c>
    </row>
    <row r="5" spans="2:40">
      <c r="B5" s="12">
        <v>2025</v>
      </c>
      <c r="C5" s="112">
        <v>1352738050.2404287</v>
      </c>
      <c r="D5" s="112">
        <v>1373857179.6847155</v>
      </c>
      <c r="E5" s="112">
        <v>-7256466.4373477753</v>
      </c>
      <c r="F5" s="112">
        <v>-1896440.9966497044</v>
      </c>
      <c r="G5" s="13">
        <f t="shared" ref="G5:G17" si="4">C5-D5</f>
        <v>-21119129.444286823</v>
      </c>
      <c r="I5" s="12">
        <v>2025</v>
      </c>
      <c r="J5" s="13">
        <f t="shared" ref="J5:J17" si="5">C5*1.3</f>
        <v>1758559465.3125575</v>
      </c>
      <c r="K5" s="13">
        <f t="shared" si="0"/>
        <v>1786014333.5901303</v>
      </c>
      <c r="L5" s="13">
        <f t="shared" si="0"/>
        <v>-9433406.3685521074</v>
      </c>
      <c r="M5" s="13">
        <f t="shared" si="0"/>
        <v>-2465373.2956446158</v>
      </c>
      <c r="N5" s="13">
        <f t="shared" ref="N5:N17" si="6">J5-K5</f>
        <v>-27454868.27757287</v>
      </c>
      <c r="O5" s="13">
        <f t="shared" si="1"/>
        <v>-6968033.0729074916</v>
      </c>
      <c r="Q5" s="12">
        <v>2025</v>
      </c>
      <c r="R5" s="13">
        <f t="shared" si="2"/>
        <v>1686963065.8354361</v>
      </c>
      <c r="S5" s="13">
        <f t="shared" si="2"/>
        <v>1713300161.4385185</v>
      </c>
      <c r="T5" s="13">
        <f t="shared" si="2"/>
        <v>-9049343.1940532941</v>
      </c>
      <c r="U5" s="13">
        <f t="shared" si="2"/>
        <v>-2365000.3171830508</v>
      </c>
      <c r="V5" s="13">
        <f t="shared" ref="V5:V17" si="7">R5-S5</f>
        <v>-26337095.603082418</v>
      </c>
      <c r="W5" s="13">
        <f t="shared" ref="W5:W17" si="8">T5-U5</f>
        <v>-6684342.8768702429</v>
      </c>
      <c r="AA5" s="14">
        <v>2025</v>
      </c>
      <c r="AB5" s="5">
        <f t="shared" si="3"/>
        <v>-27454868.27757287</v>
      </c>
      <c r="AC5" s="53">
        <f t="shared" ref="AC5:AC43" si="9">J43</f>
        <v>-20542939.783217907</v>
      </c>
      <c r="AD5" s="30">
        <f t="shared" ref="AD5:AD43" si="10">AC5+(AB5-AC5)*$AD$2</f>
        <v>-23998904.030395389</v>
      </c>
      <c r="AE5" s="116">
        <f t="shared" ref="AE5:AE43" si="11">AC5+(AB5-AC5)*$AE$2</f>
        <v>-22270921.906806648</v>
      </c>
      <c r="AF5" s="30">
        <f t="shared" ref="AF5:AF15" si="12">O5</f>
        <v>-6968033.0729074916</v>
      </c>
      <c r="AL5" s="7">
        <f>'#1-With Volatility'!AB5</f>
        <v>-20378001.173370123</v>
      </c>
      <c r="AM5" s="7">
        <f>'#1-With Volatility'!AC5</f>
        <v>-7961716.319996357</v>
      </c>
    </row>
    <row r="6" spans="2:40">
      <c r="B6" s="14">
        <v>2026</v>
      </c>
      <c r="C6" s="112">
        <v>1254719879.6612124</v>
      </c>
      <c r="D6" s="112">
        <v>1290667756.3321362</v>
      </c>
      <c r="E6" s="112">
        <v>-8074569.4473334886</v>
      </c>
      <c r="F6" s="112">
        <v>-1063261.6187433756</v>
      </c>
      <c r="G6" s="13">
        <f t="shared" si="4"/>
        <v>-35947876.67092371</v>
      </c>
      <c r="I6" s="14">
        <v>2026</v>
      </c>
      <c r="J6" s="13">
        <f t="shared" si="5"/>
        <v>1631135843.5595763</v>
      </c>
      <c r="K6" s="13">
        <f t="shared" si="0"/>
        <v>1677868083.231777</v>
      </c>
      <c r="L6" s="13">
        <f t="shared" si="0"/>
        <v>-10496940.281533536</v>
      </c>
      <c r="M6" s="13">
        <f t="shared" si="0"/>
        <v>-1382240.1043663884</v>
      </c>
      <c r="N6" s="13">
        <f t="shared" si="6"/>
        <v>-46732239.67220068</v>
      </c>
      <c r="O6" s="13">
        <f t="shared" si="1"/>
        <v>-9114700.1771671474</v>
      </c>
      <c r="Q6" s="14">
        <v>2026</v>
      </c>
      <c r="R6" s="13">
        <f t="shared" si="2"/>
        <v>1532543833.6587045</v>
      </c>
      <c r="S6" s="13">
        <f t="shared" si="2"/>
        <v>1576451400.2942333</v>
      </c>
      <c r="T6" s="13">
        <f t="shared" si="2"/>
        <v>-9862465.5722368807</v>
      </c>
      <c r="U6" s="13">
        <f t="shared" si="2"/>
        <v>-1298692.2928256413</v>
      </c>
      <c r="V6" s="13">
        <f t="shared" si="7"/>
        <v>-43907566.635528803</v>
      </c>
      <c r="W6" s="13">
        <f t="shared" si="8"/>
        <v>-8563773.2794112395</v>
      </c>
      <c r="AA6" s="14">
        <v>2026</v>
      </c>
      <c r="AB6" s="5">
        <f t="shared" si="3"/>
        <v>-46732239.67220068</v>
      </c>
      <c r="AC6" s="53">
        <f t="shared" si="9"/>
        <v>-39965463.899331331</v>
      </c>
      <c r="AD6" s="30">
        <f t="shared" si="10"/>
        <v>-43348851.785766006</v>
      </c>
      <c r="AE6" s="116">
        <f t="shared" si="11"/>
        <v>-41657157.842548668</v>
      </c>
      <c r="AF6" s="30">
        <f t="shared" si="12"/>
        <v>-9114700.1771671474</v>
      </c>
      <c r="AL6" s="7">
        <f>'#1-With Volatility'!AB6</f>
        <v>-22450262.205816984</v>
      </c>
      <c r="AM6" s="7">
        <f>'#1-With Volatility'!AC6</f>
        <v>-12417189.941564322</v>
      </c>
    </row>
    <row r="7" spans="2:40">
      <c r="B7" s="14">
        <v>2027</v>
      </c>
      <c r="C7" s="112">
        <v>1278437323.6490641</v>
      </c>
      <c r="D7" s="112">
        <v>1323703180.1432459</v>
      </c>
      <c r="E7" s="112">
        <v>-6072688.0707229543</v>
      </c>
      <c r="F7" s="112">
        <v>-1343235.8960656116</v>
      </c>
      <c r="G7" s="13">
        <f t="shared" si="4"/>
        <v>-45265856.494181871</v>
      </c>
      <c r="I7" s="14">
        <v>2027</v>
      </c>
      <c r="J7" s="13">
        <f t="shared" si="5"/>
        <v>1661968520.7437832</v>
      </c>
      <c r="K7" s="13">
        <f t="shared" si="0"/>
        <v>1720814134.1862197</v>
      </c>
      <c r="L7" s="13">
        <f t="shared" si="0"/>
        <v>-7894494.4919398408</v>
      </c>
      <c r="M7" s="13">
        <f t="shared" si="0"/>
        <v>-1746206.6648852951</v>
      </c>
      <c r="N7" s="13">
        <f t="shared" si="6"/>
        <v>-58845613.442436457</v>
      </c>
      <c r="O7" s="13">
        <f t="shared" si="1"/>
        <v>-6148287.8270545453</v>
      </c>
      <c r="Q7" s="14">
        <v>2027</v>
      </c>
      <c r="R7" s="13">
        <f t="shared" si="2"/>
        <v>1529395560.6299181</v>
      </c>
      <c r="S7" s="13">
        <f t="shared" si="2"/>
        <v>1583547139.8193541</v>
      </c>
      <c r="T7" s="13">
        <f t="shared" si="2"/>
        <v>-7264761.443247268</v>
      </c>
      <c r="U7" s="13">
        <f t="shared" si="2"/>
        <v>-1606914.1430084065</v>
      </c>
      <c r="V7" s="13">
        <f t="shared" si="7"/>
        <v>-54151579.189435959</v>
      </c>
      <c r="W7" s="13">
        <f t="shared" si="8"/>
        <v>-5657847.3002388617</v>
      </c>
      <c r="AA7" s="14">
        <v>2027</v>
      </c>
      <c r="AB7" s="5">
        <f t="shared" si="3"/>
        <v>-58845613.442436457</v>
      </c>
      <c r="AC7" s="53">
        <f t="shared" si="9"/>
        <v>-54106047.925787449</v>
      </c>
      <c r="AD7" s="30">
        <f t="shared" si="10"/>
        <v>-56475830.684111953</v>
      </c>
      <c r="AE7" s="116">
        <f t="shared" si="11"/>
        <v>-55290939.304949701</v>
      </c>
      <c r="AF7" s="30">
        <f t="shared" si="12"/>
        <v>-6148287.8270545453</v>
      </c>
      <c r="AL7" s="7">
        <f>'#1-With Volatility'!AB7</f>
        <v>-28113355.859857559</v>
      </c>
      <c r="AM7" s="7">
        <f>'#1-With Volatility'!AC7</f>
        <v>-17197894.113091707</v>
      </c>
    </row>
    <row r="8" spans="2:40">
      <c r="B8" s="14">
        <v>2028</v>
      </c>
      <c r="C8" s="112">
        <v>1342345365.0934379</v>
      </c>
      <c r="D8" s="112">
        <v>1391276283.3385396</v>
      </c>
      <c r="E8" s="112">
        <v>-7601065.3889102479</v>
      </c>
      <c r="F8" s="112">
        <v>-1178749.0064314795</v>
      </c>
      <c r="G8" s="13">
        <f t="shared" si="4"/>
        <v>-48930918.24510169</v>
      </c>
      <c r="I8" s="14">
        <v>2028</v>
      </c>
      <c r="J8" s="13">
        <f t="shared" si="5"/>
        <v>1745048974.6214693</v>
      </c>
      <c r="K8" s="13">
        <f t="shared" si="0"/>
        <v>1808659168.3401015</v>
      </c>
      <c r="L8" s="13">
        <f t="shared" si="0"/>
        <v>-9881385.0055833235</v>
      </c>
      <c r="M8" s="13">
        <f t="shared" si="0"/>
        <v>-1532373.7083609235</v>
      </c>
      <c r="N8" s="13">
        <f t="shared" si="6"/>
        <v>-63610193.718632221</v>
      </c>
      <c r="O8" s="13">
        <f t="shared" si="1"/>
        <v>-8349011.2972224001</v>
      </c>
      <c r="Q8" s="14">
        <v>2028</v>
      </c>
      <c r="R8" s="13">
        <f t="shared" si="2"/>
        <v>1572819588.7527332</v>
      </c>
      <c r="S8" s="13">
        <f t="shared" si="2"/>
        <v>1630151709.6158297</v>
      </c>
      <c r="T8" s="13">
        <f t="shared" si="2"/>
        <v>-8906131.6483454183</v>
      </c>
      <c r="U8" s="13">
        <f t="shared" si="2"/>
        <v>-1381134.5245038352</v>
      </c>
      <c r="V8" s="13">
        <f t="shared" si="7"/>
        <v>-57332120.863096476</v>
      </c>
      <c r="W8" s="13">
        <f t="shared" si="8"/>
        <v>-7524997.1238415828</v>
      </c>
      <c r="AA8" s="14">
        <v>2028</v>
      </c>
      <c r="AB8" s="5">
        <f t="shared" si="3"/>
        <v>-63610193.718632221</v>
      </c>
      <c r="AC8" s="53">
        <f t="shared" si="9"/>
        <v>-53947491.089464426</v>
      </c>
      <c r="AD8" s="30">
        <f t="shared" si="10"/>
        <v>-58778842.404048324</v>
      </c>
      <c r="AE8" s="116">
        <f t="shared" si="11"/>
        <v>-56363166.746756375</v>
      </c>
      <c r="AF8" s="30">
        <f t="shared" si="12"/>
        <v>-8349011.2972224001</v>
      </c>
      <c r="AL8" s="7">
        <f>'#1-With Volatility'!AB8</f>
        <v>-42806624.783373594</v>
      </c>
      <c r="AM8" s="7">
        <f>'#1-With Volatility'!AC8</f>
        <v>-29866694.833969831</v>
      </c>
    </row>
    <row r="9" spans="2:40">
      <c r="B9" s="14">
        <v>2029</v>
      </c>
      <c r="C9" s="112">
        <v>1435709620.1045206</v>
      </c>
      <c r="D9" s="112">
        <v>1488616279.0566971</v>
      </c>
      <c r="E9" s="112">
        <v>-9765689.7585212868</v>
      </c>
      <c r="F9" s="112">
        <v>-1852963.5874405501</v>
      </c>
      <c r="G9" s="13">
        <f t="shared" si="4"/>
        <v>-52906658.952176571</v>
      </c>
      <c r="I9" s="14">
        <v>2029</v>
      </c>
      <c r="J9" s="13">
        <f t="shared" si="5"/>
        <v>1866422506.1358769</v>
      </c>
      <c r="K9" s="13">
        <f t="shared" si="0"/>
        <v>1935201162.7737064</v>
      </c>
      <c r="L9" s="13">
        <f t="shared" si="0"/>
        <v>-12695396.686077673</v>
      </c>
      <c r="M9" s="13">
        <f t="shared" si="0"/>
        <v>-2408852.6636727154</v>
      </c>
      <c r="N9" s="13">
        <f t="shared" si="6"/>
        <v>-68778656.637829542</v>
      </c>
      <c r="O9" s="13">
        <f t="shared" si="1"/>
        <v>-10286544.022404958</v>
      </c>
      <c r="Q9" s="14">
        <v>2029</v>
      </c>
      <c r="R9" s="13">
        <f t="shared" si="2"/>
        <v>1647614139.0365839</v>
      </c>
      <c r="S9" s="13">
        <f t="shared" si="2"/>
        <v>1708329591.6031318</v>
      </c>
      <c r="T9" s="13">
        <f t="shared" si="2"/>
        <v>-11207063.25169923</v>
      </c>
      <c r="U9" s="13">
        <f t="shared" si="2"/>
        <v>-2126452.9839709117</v>
      </c>
      <c r="V9" s="13">
        <f t="shared" si="7"/>
        <v>-60715452.566547871</v>
      </c>
      <c r="W9" s="13">
        <f t="shared" si="8"/>
        <v>-9080610.2677283175</v>
      </c>
      <c r="AA9" s="14">
        <v>2029</v>
      </c>
      <c r="AB9" s="5">
        <f t="shared" si="3"/>
        <v>-68778656.637829542</v>
      </c>
      <c r="AC9" s="53">
        <f t="shared" si="9"/>
        <v>-58659491.625058174</v>
      </c>
      <c r="AD9" s="30">
        <f t="shared" si="10"/>
        <v>-63719074.131443858</v>
      </c>
      <c r="AE9" s="116">
        <f t="shared" si="11"/>
        <v>-61189282.878251016</v>
      </c>
      <c r="AF9" s="30">
        <f t="shared" si="12"/>
        <v>-10286544.022404958</v>
      </c>
      <c r="AL9" s="7">
        <f>'#1-With Volatility'!AB9</f>
        <v>-42558533.470010281</v>
      </c>
      <c r="AM9" s="7">
        <f>'#1-With Volatility'!AC9</f>
        <v>-29072105.078477144</v>
      </c>
    </row>
    <row r="10" spans="2:40">
      <c r="B10" s="14">
        <v>2030</v>
      </c>
      <c r="C10" s="112">
        <v>1490533755.6706231</v>
      </c>
      <c r="D10" s="112">
        <v>1546370199.5608768</v>
      </c>
      <c r="E10" s="112">
        <v>-7492316.3074801294</v>
      </c>
      <c r="F10" s="112">
        <v>-1591300.6070967666</v>
      </c>
      <c r="G10" s="13">
        <f t="shared" si="4"/>
        <v>-55836443.890253782</v>
      </c>
      <c r="I10" s="14">
        <v>2030</v>
      </c>
      <c r="J10" s="13">
        <f t="shared" si="5"/>
        <v>1937693882.37181</v>
      </c>
      <c r="K10" s="13">
        <f t="shared" si="0"/>
        <v>2010281259.4291399</v>
      </c>
      <c r="L10" s="13">
        <f t="shared" si="0"/>
        <v>-9740011.1997241694</v>
      </c>
      <c r="M10" s="13">
        <f t="shared" si="0"/>
        <v>-2068690.7892257967</v>
      </c>
      <c r="N10" s="13">
        <f t="shared" si="6"/>
        <v>-72587377.057329893</v>
      </c>
      <c r="O10" s="13">
        <f t="shared" si="1"/>
        <v>-7671320.4104983732</v>
      </c>
      <c r="Q10" s="14">
        <v>2030</v>
      </c>
      <c r="R10" s="13">
        <f t="shared" si="2"/>
        <v>1675347776.1574531</v>
      </c>
      <c r="S10" s="13">
        <f t="shared" si="2"/>
        <v>1738107483.3725297</v>
      </c>
      <c r="T10" s="13">
        <f t="shared" si="2"/>
        <v>-8421302.3799367342</v>
      </c>
      <c r="U10" s="13">
        <f t="shared" si="2"/>
        <v>-1788608.894736564</v>
      </c>
      <c r="V10" s="13">
        <f t="shared" si="7"/>
        <v>-62759707.215076685</v>
      </c>
      <c r="W10" s="13">
        <f t="shared" si="8"/>
        <v>-6632693.4852001704</v>
      </c>
      <c r="AA10" s="14">
        <v>2030</v>
      </c>
      <c r="AB10" s="5">
        <f t="shared" si="3"/>
        <v>-72587377.057329893</v>
      </c>
      <c r="AC10" s="53">
        <f t="shared" si="9"/>
        <v>-63168912.016589642</v>
      </c>
      <c r="AD10" s="30">
        <f t="shared" si="10"/>
        <v>-67878144.536959767</v>
      </c>
      <c r="AE10" s="116">
        <f t="shared" si="11"/>
        <v>-65523528.276774704</v>
      </c>
      <c r="AF10" s="30">
        <f t="shared" si="12"/>
        <v>-7671320.4104983732</v>
      </c>
      <c r="AL10" s="7">
        <f>'#1-With Volatility'!AB10</f>
        <v>-40483267.976233482</v>
      </c>
      <c r="AM10" s="7">
        <f>'#1-With Volatility'!AC10</f>
        <v>-26475630.948000193</v>
      </c>
    </row>
    <row r="11" spans="2:40">
      <c r="B11" s="14">
        <v>2031</v>
      </c>
      <c r="C11" s="112">
        <v>1583214664.9036615</v>
      </c>
      <c r="D11" s="112">
        <v>1642578572.7539909</v>
      </c>
      <c r="E11" s="112">
        <v>-8371173.8267720016</v>
      </c>
      <c r="F11" s="112">
        <v>-1135298.6476987612</v>
      </c>
      <c r="G11" s="13">
        <f t="shared" si="4"/>
        <v>-59363907.850329399</v>
      </c>
      <c r="I11" s="14">
        <v>2031</v>
      </c>
      <c r="J11" s="13">
        <f t="shared" si="5"/>
        <v>2058179064.3747599</v>
      </c>
      <c r="K11" s="13">
        <f t="shared" si="0"/>
        <v>2135352144.5801883</v>
      </c>
      <c r="L11" s="13">
        <f t="shared" si="0"/>
        <v>-10882525.974803602</v>
      </c>
      <c r="M11" s="13">
        <f t="shared" si="0"/>
        <v>-1475888.2420083897</v>
      </c>
      <c r="N11" s="13">
        <f t="shared" si="6"/>
        <v>-77173080.205428362</v>
      </c>
      <c r="O11" s="13">
        <f t="shared" si="1"/>
        <v>-9406637.7327952124</v>
      </c>
      <c r="Q11" s="14">
        <v>2031</v>
      </c>
      <c r="R11" s="13">
        <f t="shared" si="2"/>
        <v>1742919061.4164078</v>
      </c>
      <c r="S11" s="13">
        <f t="shared" si="2"/>
        <v>1808271214.125783</v>
      </c>
      <c r="T11" s="13">
        <f t="shared" si="2"/>
        <v>-9215603.3875538111</v>
      </c>
      <c r="U11" s="13">
        <f t="shared" si="2"/>
        <v>-1249820.1901097524</v>
      </c>
      <c r="V11" s="13">
        <f t="shared" si="7"/>
        <v>-65352152.709375143</v>
      </c>
      <c r="W11" s="13">
        <f t="shared" si="8"/>
        <v>-7965783.197444059</v>
      </c>
      <c r="AA11" s="14">
        <v>2031</v>
      </c>
      <c r="AB11" s="5">
        <f t="shared" si="3"/>
        <v>-77173080.205428362</v>
      </c>
      <c r="AC11" s="53">
        <f t="shared" si="9"/>
        <v>-65576960.433396101</v>
      </c>
      <c r="AD11" s="30">
        <f t="shared" si="10"/>
        <v>-71375020.319412231</v>
      </c>
      <c r="AE11" s="116">
        <f t="shared" si="11"/>
        <v>-68475990.376404166</v>
      </c>
      <c r="AF11" s="30">
        <f t="shared" si="12"/>
        <v>-9406637.7327952124</v>
      </c>
      <c r="AL11" s="7">
        <f>'#1-With Volatility'!AB11</f>
        <v>-49274701.999984741</v>
      </c>
      <c r="AM11" s="7">
        <f>'#1-With Volatility'!AC11</f>
        <v>-32392762.922955275</v>
      </c>
    </row>
    <row r="12" spans="2:40">
      <c r="B12" s="14">
        <v>2032</v>
      </c>
      <c r="C12" s="112">
        <v>1678768874.3992438</v>
      </c>
      <c r="D12" s="112">
        <v>1733084397.8406389</v>
      </c>
      <c r="E12" s="112">
        <v>-7697871.1840064861</v>
      </c>
      <c r="F12" s="112">
        <v>-1510771.7372282578</v>
      </c>
      <c r="G12" s="13">
        <f t="shared" si="4"/>
        <v>-54315523.441395044</v>
      </c>
      <c r="I12" s="14">
        <v>2032</v>
      </c>
      <c r="J12" s="13">
        <f t="shared" si="5"/>
        <v>2182399536.719017</v>
      </c>
      <c r="K12" s="13">
        <f t="shared" si="0"/>
        <v>2253009717.1928306</v>
      </c>
      <c r="L12" s="13">
        <f t="shared" si="0"/>
        <v>-10007232.539208433</v>
      </c>
      <c r="M12" s="13">
        <f t="shared" si="0"/>
        <v>-1964003.2583967352</v>
      </c>
      <c r="N12" s="13">
        <f t="shared" si="6"/>
        <v>-70610180.473813534</v>
      </c>
      <c r="O12" s="13">
        <f t="shared" si="1"/>
        <v>-8043229.2808116972</v>
      </c>
      <c r="Q12" s="14">
        <v>2032</v>
      </c>
      <c r="R12" s="13">
        <f t="shared" si="2"/>
        <v>1810100056.7888994</v>
      </c>
      <c r="S12" s="13">
        <f t="shared" si="2"/>
        <v>1868664719.0036259</v>
      </c>
      <c r="T12" s="13">
        <f t="shared" si="2"/>
        <v>-8300080.6601862321</v>
      </c>
      <c r="U12" s="13">
        <f t="shared" si="2"/>
        <v>-1628960.3941641708</v>
      </c>
      <c r="V12" s="13">
        <f t="shared" si="7"/>
        <v>-58564662.214726448</v>
      </c>
      <c r="W12" s="13">
        <f t="shared" si="8"/>
        <v>-6671120.266022061</v>
      </c>
      <c r="AA12" s="14">
        <v>2032</v>
      </c>
      <c r="AB12" s="5">
        <f t="shared" si="3"/>
        <v>-70610180.473813534</v>
      </c>
      <c r="AC12" s="53">
        <f t="shared" si="9"/>
        <v>-62063864.437627792</v>
      </c>
      <c r="AD12" s="30">
        <f t="shared" si="10"/>
        <v>-66337022.455720663</v>
      </c>
      <c r="AE12" s="116">
        <f t="shared" si="11"/>
        <v>-64200443.446674228</v>
      </c>
      <c r="AF12" s="30">
        <f t="shared" si="12"/>
        <v>-8043229.2808116972</v>
      </c>
      <c r="AL12" s="7">
        <f>'#1-With Volatility'!AB12</f>
        <v>-48927404.377706528</v>
      </c>
      <c r="AM12" s="7">
        <f>'#1-With Volatility'!AC12</f>
        <v>-31979018.879654408</v>
      </c>
    </row>
    <row r="13" spans="2:40">
      <c r="B13" s="14">
        <v>2033</v>
      </c>
      <c r="C13" s="112">
        <v>1777971403.4813335</v>
      </c>
      <c r="D13" s="112">
        <v>1832910574.9361742</v>
      </c>
      <c r="E13" s="112">
        <v>-8472433.825451253</v>
      </c>
      <c r="F13" s="112">
        <v>-1506867.7486473722</v>
      </c>
      <c r="G13" s="13">
        <f t="shared" si="4"/>
        <v>-54939171.45484066</v>
      </c>
      <c r="I13" s="14">
        <v>2033</v>
      </c>
      <c r="J13" s="13">
        <f t="shared" si="5"/>
        <v>2311362824.5257335</v>
      </c>
      <c r="K13" s="13">
        <f t="shared" si="0"/>
        <v>2382783747.4170265</v>
      </c>
      <c r="L13" s="13">
        <f t="shared" si="0"/>
        <v>-11014163.973086629</v>
      </c>
      <c r="M13" s="13">
        <f t="shared" si="0"/>
        <v>-1958928.073241584</v>
      </c>
      <c r="N13" s="13">
        <f t="shared" si="6"/>
        <v>-71420922.891293049</v>
      </c>
      <c r="O13" s="13">
        <f t="shared" si="1"/>
        <v>-9055235.8998450451</v>
      </c>
      <c r="Q13" s="14">
        <v>2033</v>
      </c>
      <c r="R13" s="13">
        <f t="shared" si="2"/>
        <v>1877632971.9192123</v>
      </c>
      <c r="S13" s="13">
        <f t="shared" si="2"/>
        <v>1935651677.7159138</v>
      </c>
      <c r="T13" s="13">
        <f t="shared" si="2"/>
        <v>-8947343.625393644</v>
      </c>
      <c r="U13" s="13">
        <f t="shared" si="2"/>
        <v>-1591333.0009931643</v>
      </c>
      <c r="V13" s="13">
        <f t="shared" si="7"/>
        <v>-58018705.796701431</v>
      </c>
      <c r="W13" s="13">
        <f t="shared" si="8"/>
        <v>-7356010.6244004797</v>
      </c>
      <c r="AA13" s="14">
        <v>2033</v>
      </c>
      <c r="AB13" s="5">
        <f t="shared" si="3"/>
        <v>-71420922.891293049</v>
      </c>
      <c r="AC13" s="53">
        <f t="shared" si="9"/>
        <v>-60042479.476494312</v>
      </c>
      <c r="AD13" s="30">
        <f t="shared" si="10"/>
        <v>-65731701.183893681</v>
      </c>
      <c r="AE13" s="116">
        <f t="shared" si="11"/>
        <v>-62887090.330193996</v>
      </c>
      <c r="AF13" s="30">
        <f t="shared" si="12"/>
        <v>-9055235.8998450451</v>
      </c>
      <c r="AL13" s="7">
        <f>'#1-With Volatility'!AB13</f>
        <v>-52342884.418901443</v>
      </c>
      <c r="AM13" s="7">
        <f>'#1-With Volatility'!AC13</f>
        <v>-32863251.67856741</v>
      </c>
    </row>
    <row r="14" spans="2:40">
      <c r="B14" s="14">
        <v>2034</v>
      </c>
      <c r="C14" s="112">
        <v>1886827569.9180536</v>
      </c>
      <c r="D14" s="112">
        <v>1943446299.7313507</v>
      </c>
      <c r="E14" s="112">
        <v>-8720603.8186441399</v>
      </c>
      <c r="F14" s="112">
        <v>-1323006.0245902464</v>
      </c>
      <c r="G14" s="13">
        <f t="shared" si="4"/>
        <v>-56618729.813297033</v>
      </c>
      <c r="I14" s="14">
        <v>2034</v>
      </c>
      <c r="J14" s="13">
        <f t="shared" si="5"/>
        <v>2452875840.8934698</v>
      </c>
      <c r="K14" s="13">
        <f t="shared" si="0"/>
        <v>2526480189.6507559</v>
      </c>
      <c r="L14" s="13">
        <f t="shared" si="0"/>
        <v>-11336784.964237383</v>
      </c>
      <c r="M14" s="13">
        <f t="shared" si="0"/>
        <v>-1719907.8319673203</v>
      </c>
      <c r="N14" s="13">
        <f t="shared" si="6"/>
        <v>-73604348.757286072</v>
      </c>
      <c r="O14" s="13">
        <f t="shared" si="1"/>
        <v>-9616877.1322700623</v>
      </c>
      <c r="Q14" s="14">
        <v>2034</v>
      </c>
      <c r="R14" s="13">
        <f t="shared" si="2"/>
        <v>1951607160.0812113</v>
      </c>
      <c r="S14" s="13">
        <f t="shared" si="2"/>
        <v>2010169754.9150004</v>
      </c>
      <c r="T14" s="13">
        <f t="shared" si="2"/>
        <v>-9020004.3310987949</v>
      </c>
      <c r="U14" s="13">
        <f t="shared" si="2"/>
        <v>-1368428.1868602554</v>
      </c>
      <c r="V14" s="13">
        <f t="shared" si="7"/>
        <v>-58562594.83378911</v>
      </c>
      <c r="W14" s="13">
        <f t="shared" si="8"/>
        <v>-7651576.144238539</v>
      </c>
      <c r="AA14" s="14">
        <v>2034</v>
      </c>
      <c r="AB14" s="5">
        <f t="shared" si="3"/>
        <v>-73604348.757286072</v>
      </c>
      <c r="AC14" s="53">
        <f t="shared" si="9"/>
        <v>-57548477.499625206</v>
      </c>
      <c r="AD14" s="30">
        <f t="shared" si="10"/>
        <v>-65576413.128455639</v>
      </c>
      <c r="AE14" s="116">
        <f t="shared" si="11"/>
        <v>-61562445.314040422</v>
      </c>
      <c r="AF14" s="30">
        <f t="shared" si="12"/>
        <v>-9616877.1322700623</v>
      </c>
      <c r="AL14" s="7">
        <f>'#1-With Volatility'!AB14</f>
        <v>-56053183.843857765</v>
      </c>
      <c r="AM14" s="7">
        <f>'#1-With Volatility'!AC14</f>
        <v>-33099088.55891037</v>
      </c>
    </row>
    <row r="15" spans="2:40">
      <c r="B15" s="14">
        <v>2035</v>
      </c>
      <c r="C15" s="112">
        <v>1930453226.1698053</v>
      </c>
      <c r="D15" s="112">
        <v>1984468703.004992</v>
      </c>
      <c r="E15" s="112">
        <v>-9205728.3655747138</v>
      </c>
      <c r="F15" s="112">
        <v>-1522198.8382813009</v>
      </c>
      <c r="G15" s="13">
        <f t="shared" si="4"/>
        <v>-54015476.83518672</v>
      </c>
      <c r="I15" s="14">
        <v>2035</v>
      </c>
      <c r="J15" s="13">
        <f t="shared" si="5"/>
        <v>2509589194.0207472</v>
      </c>
      <c r="K15" s="13">
        <f t="shared" si="0"/>
        <v>2579809313.9064898</v>
      </c>
      <c r="L15" s="13">
        <f t="shared" si="0"/>
        <v>-11967446.875247128</v>
      </c>
      <c r="M15" s="13">
        <f t="shared" si="0"/>
        <v>-1978858.4897656911</v>
      </c>
      <c r="N15" s="13">
        <f t="shared" si="6"/>
        <v>-70220119.885742664</v>
      </c>
      <c r="O15" s="13">
        <f t="shared" si="1"/>
        <v>-9988588.3854814377</v>
      </c>
      <c r="Q15" s="22">
        <v>2035</v>
      </c>
      <c r="R15" s="23">
        <f t="shared" si="2"/>
        <v>1955661700.3785243</v>
      </c>
      <c r="S15" s="23">
        <f t="shared" si="2"/>
        <v>2010382528.5458295</v>
      </c>
      <c r="T15" s="23">
        <f t="shared" si="2"/>
        <v>-9325939.7039952222</v>
      </c>
      <c r="U15" s="23">
        <f t="shared" si="2"/>
        <v>-1542076.1964245439</v>
      </c>
      <c r="V15" s="23">
        <f t="shared" si="7"/>
        <v>-54720828.167305231</v>
      </c>
      <c r="W15" s="23">
        <f t="shared" si="8"/>
        <v>-7783863.5075706784</v>
      </c>
      <c r="AA15" s="14">
        <v>2035</v>
      </c>
      <c r="AB15" s="5">
        <f t="shared" si="3"/>
        <v>-70220119.885742664</v>
      </c>
      <c r="AC15" s="53">
        <f t="shared" si="9"/>
        <v>-55239298.0397892</v>
      </c>
      <c r="AD15" s="30">
        <f t="shared" si="10"/>
        <v>-62729708.962765932</v>
      </c>
      <c r="AE15" s="116">
        <f t="shared" si="11"/>
        <v>-58984503.501277566</v>
      </c>
      <c r="AF15" s="30">
        <f t="shared" si="12"/>
        <v>-9988588.3854814377</v>
      </c>
      <c r="AL15" s="7">
        <f>'#1-With Volatility'!AB15</f>
        <v>-53365111.179617405</v>
      </c>
      <c r="AM15" s="7">
        <f>'#1-With Volatility'!AC15</f>
        <v>-31041832.922673225</v>
      </c>
    </row>
    <row r="16" spans="2:40">
      <c r="B16" s="14">
        <v>2040</v>
      </c>
      <c r="C16" s="112">
        <v>2204670631.4092827</v>
      </c>
      <c r="D16" s="112">
        <v>2261016321.8469653</v>
      </c>
      <c r="E16" s="112">
        <v>-4594243.719978082</v>
      </c>
      <c r="F16" s="112">
        <v>-680865.46359063406</v>
      </c>
      <c r="G16" s="13">
        <f t="shared" si="4"/>
        <v>-56345690.437682629</v>
      </c>
      <c r="I16" s="14">
        <v>2040</v>
      </c>
      <c r="J16" s="13">
        <f t="shared" si="5"/>
        <v>2866071820.8320675</v>
      </c>
      <c r="K16" s="13">
        <f t="shared" si="0"/>
        <v>2939321218.4010549</v>
      </c>
      <c r="L16" s="13">
        <f>E16*1.3</f>
        <v>-5972516.8359715072</v>
      </c>
      <c r="M16" s="13">
        <f t="shared" si="0"/>
        <v>-885125.10266782425</v>
      </c>
      <c r="N16" s="13">
        <f t="shared" si="6"/>
        <v>-73249397.56898737</v>
      </c>
      <c r="O16" s="13">
        <f t="shared" si="1"/>
        <v>-5087391.7333036829</v>
      </c>
      <c r="Q16" s="22">
        <v>2040</v>
      </c>
      <c r="R16" s="23">
        <f t="shared" si="2"/>
        <v>2013026322.0348837</v>
      </c>
      <c r="S16" s="23">
        <f t="shared" si="2"/>
        <v>2064474078.6150944</v>
      </c>
      <c r="T16" s="23">
        <f t="shared" si="2"/>
        <v>-4194882.1771384357</v>
      </c>
      <c r="U16" s="23">
        <f t="shared" si="2"/>
        <v>-621680.20948158903</v>
      </c>
      <c r="V16" s="23">
        <f t="shared" si="7"/>
        <v>-51447756.580210686</v>
      </c>
      <c r="W16" s="23">
        <f t="shared" si="8"/>
        <v>-3573201.9676568466</v>
      </c>
      <c r="AA16" s="14">
        <v>2036</v>
      </c>
      <c r="AB16" s="5">
        <f>$V$18*1.021^(AA16-Start_Year)</f>
        <v>-70354249.395051077</v>
      </c>
      <c r="AC16" s="53">
        <f t="shared" si="9"/>
        <v>-54438587.97319033</v>
      </c>
      <c r="AD16" s="30">
        <f t="shared" si="10"/>
        <v>-62396418.6841207</v>
      </c>
      <c r="AE16" s="116">
        <f t="shared" si="11"/>
        <v>-58417503.328655519</v>
      </c>
      <c r="AF16" s="30">
        <f t="shared" ref="AF16:AF43" si="13">$W$18*1.021^(AA16-Start_Year)</f>
        <v>-7176612.1603500778</v>
      </c>
      <c r="AL16" s="7">
        <f>'#1-With Volatility'!AB16</f>
        <v>-61413359.421449468</v>
      </c>
      <c r="AM16" s="7">
        <f>'#1-With Volatility'!AC16</f>
        <v>-38768693.115041852</v>
      </c>
    </row>
    <row r="17" spans="2:39">
      <c r="B17" s="14">
        <v>2044</v>
      </c>
      <c r="C17" s="112">
        <v>2440713169.074852</v>
      </c>
      <c r="D17" s="112">
        <v>2506080909.3215685</v>
      </c>
      <c r="E17" s="112">
        <v>-6996683.9322881978</v>
      </c>
      <c r="F17" s="112">
        <v>-956107.67142594012</v>
      </c>
      <c r="G17" s="13">
        <f t="shared" si="4"/>
        <v>-65367740.246716499</v>
      </c>
      <c r="I17" s="14">
        <v>2044</v>
      </c>
      <c r="J17" s="13">
        <f t="shared" si="5"/>
        <v>3172927119.7973075</v>
      </c>
      <c r="K17" s="13">
        <f t="shared" si="0"/>
        <v>3257905182.1180391</v>
      </c>
      <c r="L17" s="13">
        <f t="shared" si="0"/>
        <v>-9095689.1119746566</v>
      </c>
      <c r="M17" s="13">
        <f t="shared" si="0"/>
        <v>-1242939.9728537223</v>
      </c>
      <c r="N17" s="13">
        <f t="shared" si="6"/>
        <v>-84978062.32073164</v>
      </c>
      <c r="O17" s="13">
        <f t="shared" si="1"/>
        <v>-7852749.1391209345</v>
      </c>
      <c r="Q17" s="22">
        <v>2044</v>
      </c>
      <c r="R17" s="23">
        <f t="shared" si="2"/>
        <v>2050782075.499069</v>
      </c>
      <c r="S17" s="23">
        <f t="shared" si="2"/>
        <v>2105706591.7070341</v>
      </c>
      <c r="T17" s="23">
        <f t="shared" si="2"/>
        <v>-5878885.8019346111</v>
      </c>
      <c r="U17" s="23">
        <f t="shared" si="2"/>
        <v>-803358.82956320408</v>
      </c>
      <c r="V17" s="23">
        <f t="shared" si="7"/>
        <v>-54924516.207965136</v>
      </c>
      <c r="W17" s="23">
        <f t="shared" si="8"/>
        <v>-5075526.9723714069</v>
      </c>
      <c r="AA17" s="14">
        <v>2037</v>
      </c>
      <c r="AB17" s="5">
        <f>$V$18*1.021^(AA17-Start_Year)</f>
        <v>-71831688.632347152</v>
      </c>
      <c r="AC17" s="53">
        <f t="shared" si="9"/>
        <v>-55581798.320627324</v>
      </c>
      <c r="AD17" s="30">
        <f t="shared" si="10"/>
        <v>-63706743.476487234</v>
      </c>
      <c r="AE17" s="116">
        <f t="shared" si="11"/>
        <v>-59644270.898557283</v>
      </c>
      <c r="AF17" s="30">
        <f t="shared" si="13"/>
        <v>-7327321.0157174291</v>
      </c>
      <c r="AL17" s="7">
        <f>'#1-With Volatility'!AB17</f>
        <v>-62703039.969299912</v>
      </c>
      <c r="AM17" s="7">
        <f>'#1-With Volatility'!AC17</f>
        <v>-39582835.670457728</v>
      </c>
    </row>
    <row r="18" spans="2:39">
      <c r="R18" s="21">
        <f t="shared" ref="R18:U18" si="14">AVERAGE(R15:R17)</f>
        <v>2006490032.6374924</v>
      </c>
      <c r="S18" s="21">
        <f>AVERAGE(S15:S17)</f>
        <v>2060187732.955986</v>
      </c>
      <c r="T18" s="21">
        <f t="shared" si="14"/>
        <v>-6466569.2276894227</v>
      </c>
      <c r="U18" s="21">
        <f t="shared" si="14"/>
        <v>-989038.4118231124</v>
      </c>
      <c r="V18" s="21">
        <f>AVERAGE(V15:V17)</f>
        <v>-53697700.318493687</v>
      </c>
      <c r="W18" s="21">
        <f>AVERAGE(W15:W17)</f>
        <v>-5477530.8158663111</v>
      </c>
      <c r="AA18" s="14">
        <v>2038</v>
      </c>
      <c r="AB18" s="5">
        <f>$V$18*1.021^(AA18-Start_Year)</f>
        <v>-73340154.093626425</v>
      </c>
      <c r="AC18" s="53">
        <f t="shared" si="9"/>
        <v>-56749016.085360482</v>
      </c>
      <c r="AD18" s="30">
        <f t="shared" si="10"/>
        <v>-65044585.089493454</v>
      </c>
      <c r="AE18" s="116">
        <f t="shared" si="11"/>
        <v>-60896800.587426968</v>
      </c>
      <c r="AF18" s="30">
        <f t="shared" si="13"/>
        <v>-7481194.7570474939</v>
      </c>
      <c r="AL18" s="7">
        <f>'#1-With Volatility'!AB18</f>
        <v>-64019803.808655195</v>
      </c>
      <c r="AM18" s="7">
        <f>'#1-With Volatility'!AC18</f>
        <v>-40414075.219537333</v>
      </c>
    </row>
    <row r="19" spans="2:39">
      <c r="V19" s="21"/>
      <c r="AA19" s="14">
        <v>2039</v>
      </c>
      <c r="AB19" s="5">
        <f>$V$18*1.021^(AA19-Start_Year)</f>
        <v>-74880297.329592571</v>
      </c>
      <c r="AC19" s="53">
        <f t="shared" si="9"/>
        <v>-57940745.423153058</v>
      </c>
      <c r="AD19" s="30">
        <f t="shared" si="10"/>
        <v>-66410521.376372814</v>
      </c>
      <c r="AE19" s="116">
        <f t="shared" si="11"/>
        <v>-62175633.399762936</v>
      </c>
      <c r="AF19" s="30">
        <f t="shared" si="13"/>
        <v>-7638299.8469454907</v>
      </c>
      <c r="AL19" s="7">
        <f>'#1-With Volatility'!AB19</f>
        <v>-65364219.688636951</v>
      </c>
      <c r="AM19" s="7">
        <f>'#1-With Volatility'!AC19</f>
        <v>-41262770.799147613</v>
      </c>
    </row>
    <row r="20" spans="2:39">
      <c r="AA20" s="14">
        <v>2040</v>
      </c>
      <c r="AB20" s="5">
        <f>V16</f>
        <v>-51447756.580210686</v>
      </c>
      <c r="AC20" s="53">
        <f t="shared" si="9"/>
        <v>-59157501.077039264</v>
      </c>
      <c r="AD20" s="30">
        <f t="shared" si="10"/>
        <v>-55302628.828624979</v>
      </c>
      <c r="AE20" s="116">
        <f t="shared" si="11"/>
        <v>-57230064.952832118</v>
      </c>
      <c r="AF20" s="30">
        <f t="shared" si="13"/>
        <v>-7798704.1437313464</v>
      </c>
      <c r="AL20" s="7">
        <f>'#1-With Volatility'!AB20</f>
        <v>-37128120.287690639</v>
      </c>
      <c r="AM20" s="7">
        <f>'#1-With Volatility'!AC20</f>
        <v>-19145129.759803534</v>
      </c>
    </row>
    <row r="21" spans="2:39">
      <c r="AA21" s="14">
        <v>2041</v>
      </c>
      <c r="AB21" s="5">
        <f>$V$18*1.021^(AA21-Start_Year)</f>
        <v>-78058292.028557792</v>
      </c>
      <c r="AC21" s="53">
        <f t="shared" si="9"/>
        <v>-60399808.599657074</v>
      </c>
      <c r="AD21" s="30">
        <f t="shared" si="10"/>
        <v>-69229050.314107433</v>
      </c>
      <c r="AE21" s="116">
        <f t="shared" si="11"/>
        <v>-64814429.456882253</v>
      </c>
      <c r="AF21" s="30">
        <f t="shared" si="13"/>
        <v>-7962476.9307497023</v>
      </c>
      <c r="AL21" s="7">
        <f>'#1-With Volatility'!AB21</f>
        <v>-68138342.536442369</v>
      </c>
      <c r="AM21" s="7">
        <f>'#1-With Volatility'!AC21</f>
        <v>-43014004.054634228</v>
      </c>
    </row>
    <row r="22" spans="2:39">
      <c r="B22" s="15" t="s">
        <v>131</v>
      </c>
      <c r="C22" s="172" t="s">
        <v>191</v>
      </c>
      <c r="D22" s="172"/>
      <c r="AA22" s="14">
        <v>2042</v>
      </c>
      <c r="AB22" s="5">
        <f>$V$18*1.021^(AA22-Start_Year)</f>
        <v>-79697516.161157504</v>
      </c>
      <c r="AC22" s="53">
        <f t="shared" si="9"/>
        <v>-61668204.580249876</v>
      </c>
      <c r="AD22" s="30">
        <f t="shared" si="10"/>
        <v>-70682860.370703697</v>
      </c>
      <c r="AE22" s="116">
        <f t="shared" si="11"/>
        <v>-66175532.475476786</v>
      </c>
      <c r="AF22" s="30">
        <f t="shared" si="13"/>
        <v>-8129688.9462954458</v>
      </c>
      <c r="AL22" s="7">
        <f>'#1-With Volatility'!AB22</f>
        <v>-69569247.729707658</v>
      </c>
      <c r="AM22" s="7">
        <f>'#1-With Volatility'!AC22</f>
        <v>-43917298.139781542</v>
      </c>
    </row>
    <row r="23" spans="2:39" ht="51">
      <c r="B23" s="11" t="s">
        <v>60</v>
      </c>
      <c r="C23" s="11" t="s">
        <v>153</v>
      </c>
      <c r="D23" s="11" t="s">
        <v>62</v>
      </c>
      <c r="E23" s="11" t="s">
        <v>65</v>
      </c>
      <c r="I23" s="11" t="s">
        <v>66</v>
      </c>
      <c r="J23" s="11" t="s">
        <v>61</v>
      </c>
      <c r="K23" s="11" t="s">
        <v>62</v>
      </c>
      <c r="L23" s="11" t="s">
        <v>65</v>
      </c>
      <c r="Q23" s="11" t="s">
        <v>68</v>
      </c>
      <c r="R23" s="11" t="s">
        <v>61</v>
      </c>
      <c r="S23" s="11" t="s">
        <v>62</v>
      </c>
      <c r="T23" s="11" t="s">
        <v>65</v>
      </c>
      <c r="AA23" s="14">
        <v>2043</v>
      </c>
      <c r="AB23" s="5">
        <f>$V$18*1.021^(AA23-Start_Year)</f>
        <v>-81371164.000541791</v>
      </c>
      <c r="AC23" s="53">
        <f t="shared" si="9"/>
        <v>-62963236.876435108</v>
      </c>
      <c r="AD23" s="30">
        <f t="shared" si="10"/>
        <v>-72167200.438488454</v>
      </c>
      <c r="AE23" s="116">
        <f t="shared" si="11"/>
        <v>-67565218.657461777</v>
      </c>
      <c r="AF23" s="30">
        <f t="shared" si="13"/>
        <v>-8300412.4141676482</v>
      </c>
      <c r="AL23" s="7">
        <f>'#1-With Volatility'!AB23</f>
        <v>-71030201.932031512</v>
      </c>
      <c r="AM23" s="7">
        <f>'#1-With Volatility'!AC23</f>
        <v>-44839561.400716946</v>
      </c>
    </row>
    <row r="24" spans="2:39">
      <c r="B24" s="12">
        <v>2024</v>
      </c>
      <c r="C24" s="112">
        <v>1403412081.0170286</v>
      </c>
      <c r="D24" s="112">
        <v>1429687880.7611349</v>
      </c>
      <c r="E24" s="13">
        <f>C24-D24</f>
        <v>-26275799.744106293</v>
      </c>
      <c r="I24" s="12">
        <v>2024</v>
      </c>
      <c r="J24" s="13">
        <f>C24*1.3</f>
        <v>1824435705.3221371</v>
      </c>
      <c r="K24" s="13">
        <f t="shared" ref="K24:K37" si="15">D24*1.3</f>
        <v>1858594244.9894755</v>
      </c>
      <c r="L24" s="13">
        <f t="shared" ref="L24:L37" si="16">J24-K24</f>
        <v>-34158539.667338371</v>
      </c>
      <c r="Q24" s="12">
        <v>2024</v>
      </c>
      <c r="R24" s="13">
        <f t="shared" ref="R24:S37" si="17">J24/1.021^($I24-Start_Year)</f>
        <v>1786910583.0775096</v>
      </c>
      <c r="S24" s="13">
        <f t="shared" si="17"/>
        <v>1820366547.4921408</v>
      </c>
      <c r="T24" s="13">
        <f t="shared" ref="T24:T37" si="18">R24-S24</f>
        <v>-33455964.414631128</v>
      </c>
      <c r="AA24" s="14">
        <v>2044</v>
      </c>
      <c r="AB24" s="5">
        <f>V17</f>
        <v>-54924516.207965136</v>
      </c>
      <c r="AC24" s="53">
        <f t="shared" si="9"/>
        <v>-64285464.850840241</v>
      </c>
      <c r="AD24" s="30">
        <f t="shared" si="10"/>
        <v>-59604990.529402688</v>
      </c>
      <c r="AE24" s="116">
        <f t="shared" si="11"/>
        <v>-61945227.690121464</v>
      </c>
      <c r="AF24" s="30">
        <f t="shared" si="13"/>
        <v>-8474721.074865168</v>
      </c>
      <c r="AL24" s="7">
        <f>'#1-With Volatility'!AB24</f>
        <v>-61906516.040892363</v>
      </c>
      <c r="AM24" s="7">
        <f>'#1-With Volatility'!AC24</f>
        <v>-45435042.944315434</v>
      </c>
    </row>
    <row r="25" spans="2:39">
      <c r="B25" s="12">
        <v>2025</v>
      </c>
      <c r="C25" s="112">
        <v>1383195965.8931544</v>
      </c>
      <c r="D25" s="112">
        <v>1398998227.2648606</v>
      </c>
      <c r="E25" s="13">
        <f t="shared" ref="E25:E37" si="19">C25-D25</f>
        <v>-15802261.371706247</v>
      </c>
      <c r="I25" s="12">
        <v>2025</v>
      </c>
      <c r="J25" s="13">
        <f t="shared" ref="J25:J37" si="20">C25*1.3</f>
        <v>1798154755.6611009</v>
      </c>
      <c r="K25" s="13">
        <f t="shared" si="15"/>
        <v>1818697695.4443188</v>
      </c>
      <c r="L25" s="13">
        <f t="shared" si="16"/>
        <v>-20542939.783217907</v>
      </c>
      <c r="Q25" s="12">
        <v>2025</v>
      </c>
      <c r="R25" s="13">
        <f t="shared" si="17"/>
        <v>1724946309.3461418</v>
      </c>
      <c r="S25" s="13">
        <f t="shared" si="17"/>
        <v>1744652882.459841</v>
      </c>
      <c r="T25" s="13">
        <f t="shared" si="18"/>
        <v>-19706573.113699198</v>
      </c>
      <c r="AA25" s="14">
        <v>2045</v>
      </c>
      <c r="AB25" s="5">
        <f t="shared" ref="AB25:AB43" si="21">$V$18*1.021^(AA25-Start_Year)</f>
        <v>-84824637.571888775</v>
      </c>
      <c r="AC25" s="53">
        <f t="shared" si="9"/>
        <v>-65635459.612707883</v>
      </c>
      <c r="AD25" s="30">
        <f t="shared" si="10"/>
        <v>-75230048.592298329</v>
      </c>
      <c r="AE25" s="116">
        <f t="shared" si="11"/>
        <v>-70432754.102503106</v>
      </c>
      <c r="AF25" s="30">
        <f t="shared" si="13"/>
        <v>-8652690.2174373362</v>
      </c>
      <c r="AL25" s="7">
        <f>'#1-With Volatility'!AB25</f>
        <v>-74044794.732228845</v>
      </c>
      <c r="AM25" s="7">
        <f>'#1-With Volatility'!AC25</f>
        <v>-46742597.226124771</v>
      </c>
    </row>
    <row r="26" spans="2:39">
      <c r="B26" s="14">
        <v>2026</v>
      </c>
      <c r="C26" s="112">
        <v>1280773735.7852705</v>
      </c>
      <c r="D26" s="112">
        <v>1311516400.3232176</v>
      </c>
      <c r="E26" s="13">
        <f t="shared" si="19"/>
        <v>-30742664.537947178</v>
      </c>
      <c r="I26" s="14">
        <v>2026</v>
      </c>
      <c r="J26" s="13">
        <f t="shared" si="20"/>
        <v>1665005856.5208516</v>
      </c>
      <c r="K26" s="13">
        <f t="shared" si="15"/>
        <v>1704971320.4201829</v>
      </c>
      <c r="L26" s="13">
        <f t="shared" si="16"/>
        <v>-39965463.899331331</v>
      </c>
      <c r="Q26" s="14">
        <v>2026</v>
      </c>
      <c r="R26" s="13">
        <f t="shared" si="17"/>
        <v>1564366615.1362221</v>
      </c>
      <c r="S26" s="13">
        <f t="shared" si="17"/>
        <v>1601916415.4793797</v>
      </c>
      <c r="T26" s="13">
        <f t="shared" si="18"/>
        <v>-37549800.34315753</v>
      </c>
      <c r="AA26" s="14">
        <v>2046</v>
      </c>
      <c r="AB26" s="5">
        <f t="shared" si="21"/>
        <v>-86605954.960898429</v>
      </c>
      <c r="AC26" s="53">
        <f t="shared" si="9"/>
        <v>-67013804.264574736</v>
      </c>
      <c r="AD26" s="30">
        <f t="shared" si="10"/>
        <v>-76809879.612736583</v>
      </c>
      <c r="AE26" s="116">
        <f t="shared" si="11"/>
        <v>-71911841.93865566</v>
      </c>
      <c r="AF26" s="30">
        <f t="shared" si="13"/>
        <v>-8834396.7120035198</v>
      </c>
      <c r="AL26" s="7">
        <f>'#1-With Volatility'!AB26</f>
        <v>-75599735.421605647</v>
      </c>
      <c r="AM26" s="7">
        <f>'#1-With Volatility'!AC26</f>
        <v>-47724191.767873384</v>
      </c>
    </row>
    <row r="27" spans="2:39">
      <c r="B27" s="14">
        <v>2027</v>
      </c>
      <c r="C27" s="112">
        <v>1305152093.2744031</v>
      </c>
      <c r="D27" s="112">
        <v>1346772130.1403935</v>
      </c>
      <c r="E27" s="13">
        <f t="shared" si="19"/>
        <v>-41620036.8659904</v>
      </c>
      <c r="I27" s="14">
        <v>2027</v>
      </c>
      <c r="J27" s="13">
        <f t="shared" si="20"/>
        <v>1696697721.2567241</v>
      </c>
      <c r="K27" s="13">
        <f t="shared" si="15"/>
        <v>1750803769.1825116</v>
      </c>
      <c r="L27" s="13">
        <f t="shared" si="16"/>
        <v>-54106047.925787449</v>
      </c>
      <c r="Q27" s="14">
        <v>2027</v>
      </c>
      <c r="R27" s="13">
        <f t="shared" si="17"/>
        <v>1561354460.2274554</v>
      </c>
      <c r="S27" s="13">
        <f t="shared" si="17"/>
        <v>1611144542.5714314</v>
      </c>
      <c r="T27" s="13">
        <f t="shared" si="18"/>
        <v>-49790082.343976021</v>
      </c>
      <c r="AA27" s="14">
        <v>2047</v>
      </c>
      <c r="AB27" s="5">
        <f t="shared" si="21"/>
        <v>-88424680.015077278</v>
      </c>
      <c r="AC27" s="53">
        <f t="shared" si="9"/>
        <v>-68421094.154130802</v>
      </c>
      <c r="AD27" s="30">
        <f t="shared" si="10"/>
        <v>-78422887.08460404</v>
      </c>
      <c r="AE27" s="116">
        <f t="shared" si="11"/>
        <v>-73421990.619367421</v>
      </c>
      <c r="AF27" s="30">
        <f t="shared" si="13"/>
        <v>-9019919.0429555923</v>
      </c>
      <c r="AL27" s="7">
        <f>'#1-With Volatility'!AB27</f>
        <v>-77187329.865459353</v>
      </c>
      <c r="AM27" s="7">
        <f>'#1-With Volatility'!AC27</f>
        <v>-48726399.794998713</v>
      </c>
    </row>
    <row r="28" spans="2:39">
      <c r="B28" s="14">
        <v>2028</v>
      </c>
      <c r="C28" s="112">
        <v>1371780869.9581921</v>
      </c>
      <c r="D28" s="112">
        <v>1413278940.0270109</v>
      </c>
      <c r="E28" s="13">
        <f t="shared" si="19"/>
        <v>-41498070.068818808</v>
      </c>
      <c r="I28" s="14">
        <v>2028</v>
      </c>
      <c r="J28" s="13">
        <f t="shared" si="20"/>
        <v>1783315130.9456499</v>
      </c>
      <c r="K28" s="13">
        <f t="shared" si="15"/>
        <v>1837262622.0351143</v>
      </c>
      <c r="L28" s="13">
        <f t="shared" si="16"/>
        <v>-53947491.089464426</v>
      </c>
      <c r="Q28" s="14">
        <v>2028</v>
      </c>
      <c r="R28" s="13">
        <f t="shared" si="17"/>
        <v>1607309027.8047235</v>
      </c>
      <c r="S28" s="13">
        <f t="shared" si="17"/>
        <v>1655932116.3160236</v>
      </c>
      <c r="T28" s="13">
        <f t="shared" si="18"/>
        <v>-48623088.511300087</v>
      </c>
      <c r="AA28" s="14">
        <v>2048</v>
      </c>
      <c r="AB28" s="5">
        <f t="shared" si="21"/>
        <v>-90281598.295393884</v>
      </c>
      <c r="AC28" s="53">
        <f t="shared" si="9"/>
        <v>-69857937.131367534</v>
      </c>
      <c r="AD28" s="30">
        <f t="shared" si="10"/>
        <v>-80069767.713380709</v>
      </c>
      <c r="AE28" s="116">
        <f t="shared" si="11"/>
        <v>-74963852.422374129</v>
      </c>
      <c r="AF28" s="30">
        <f t="shared" si="13"/>
        <v>-9209337.342857657</v>
      </c>
      <c r="AL28" s="7">
        <f>'#1-With Volatility'!AB28</f>
        <v>-78808263.792633981</v>
      </c>
      <c r="AM28" s="7">
        <f>'#1-With Volatility'!AC28</f>
        <v>-49749654.190693676</v>
      </c>
    </row>
    <row r="29" spans="2:39">
      <c r="B29" s="14">
        <v>2029</v>
      </c>
      <c r="C29" s="112">
        <v>1476080247.4797683</v>
      </c>
      <c r="D29" s="112">
        <v>1521202933.3451977</v>
      </c>
      <c r="E29" s="13">
        <f t="shared" si="19"/>
        <v>-45122685.865429401</v>
      </c>
      <c r="I29" s="14">
        <v>2029</v>
      </c>
      <c r="J29" s="13">
        <f t="shared" si="20"/>
        <v>1918904321.7236989</v>
      </c>
      <c r="K29" s="13">
        <f t="shared" si="15"/>
        <v>1977563813.348757</v>
      </c>
      <c r="L29" s="13">
        <f t="shared" si="16"/>
        <v>-58659491.625058174</v>
      </c>
      <c r="Q29" s="14">
        <v>2029</v>
      </c>
      <c r="R29" s="13">
        <f t="shared" si="17"/>
        <v>1693943296.0846457</v>
      </c>
      <c r="S29" s="13">
        <f t="shared" si="17"/>
        <v>1745725894.8651533</v>
      </c>
      <c r="T29" s="13">
        <f t="shared" si="18"/>
        <v>-51782598.780507565</v>
      </c>
      <c r="AA29" s="14">
        <v>2049</v>
      </c>
      <c r="AB29" s="5">
        <f t="shared" si="21"/>
        <v>-92177511.859597147</v>
      </c>
      <c r="AC29" s="53">
        <f t="shared" si="9"/>
        <v>-71324953.811126247</v>
      </c>
      <c r="AD29" s="30">
        <f t="shared" si="10"/>
        <v>-81751232.835361689</v>
      </c>
      <c r="AE29" s="116">
        <f t="shared" si="11"/>
        <v>-76538093.323243976</v>
      </c>
      <c r="AF29" s="30">
        <f t="shared" si="13"/>
        <v>-9402733.4270576667</v>
      </c>
      <c r="AL29" s="7">
        <f>'#1-With Volatility'!AB29</f>
        <v>-80463237.33227928</v>
      </c>
      <c r="AM29" s="7">
        <f>'#1-With Volatility'!AC29</f>
        <v>-50794396.928698242</v>
      </c>
    </row>
    <row r="30" spans="2:39">
      <c r="B30" s="14">
        <v>2030</v>
      </c>
      <c r="C30" s="112">
        <v>1526072492.1613326</v>
      </c>
      <c r="D30" s="112">
        <v>1574663962.9433246</v>
      </c>
      <c r="E30" s="13">
        <f t="shared" si="19"/>
        <v>-48591470.781991959</v>
      </c>
      <c r="I30" s="14">
        <v>2030</v>
      </c>
      <c r="J30" s="13">
        <f t="shared" si="20"/>
        <v>1983894239.8097324</v>
      </c>
      <c r="K30" s="13">
        <f t="shared" si="15"/>
        <v>2047063151.8263221</v>
      </c>
      <c r="L30" s="13">
        <f t="shared" si="16"/>
        <v>-63168912.016589642</v>
      </c>
      <c r="Q30" s="14">
        <v>2030</v>
      </c>
      <c r="R30" s="13">
        <f t="shared" si="17"/>
        <v>1715293025.918246</v>
      </c>
      <c r="S30" s="13">
        <f t="shared" si="17"/>
        <v>1769909442.4905787</v>
      </c>
      <c r="T30" s="13">
        <f t="shared" si="18"/>
        <v>-54616416.572332621</v>
      </c>
      <c r="AA30" s="14">
        <v>2050</v>
      </c>
      <c r="AB30" s="5">
        <f t="shared" si="21"/>
        <v>-94113239.608648688</v>
      </c>
      <c r="AC30" s="53">
        <f t="shared" si="9"/>
        <v>-72822777.841159895</v>
      </c>
      <c r="AD30" s="30">
        <f t="shared" si="10"/>
        <v>-83468008.724904299</v>
      </c>
      <c r="AE30" s="116">
        <f t="shared" si="11"/>
        <v>-78145393.283032089</v>
      </c>
      <c r="AF30" s="30">
        <f t="shared" si="13"/>
        <v>-9600190.8290258795</v>
      </c>
      <c r="AL30" s="7">
        <f>'#1-With Volatility'!AB30</f>
        <v>-82152965.316257149</v>
      </c>
      <c r="AM30" s="7">
        <f>'#1-With Volatility'!AC30</f>
        <v>-51861079.264200911</v>
      </c>
    </row>
    <row r="31" spans="2:39">
      <c r="B31" s="14">
        <v>2031</v>
      </c>
      <c r="C31" s="112">
        <v>1614699892.3003862</v>
      </c>
      <c r="D31" s="112">
        <v>1665143708.018383</v>
      </c>
      <c r="E31" s="13">
        <f t="shared" si="19"/>
        <v>-50443815.717996836</v>
      </c>
      <c r="I31" s="14">
        <v>2031</v>
      </c>
      <c r="J31" s="13">
        <f t="shared" si="20"/>
        <v>2099109859.9905021</v>
      </c>
      <c r="K31" s="13">
        <f t="shared" si="15"/>
        <v>2164686820.4238982</v>
      </c>
      <c r="L31" s="13">
        <f t="shared" si="16"/>
        <v>-65576960.433396101</v>
      </c>
      <c r="Q31" s="14">
        <v>2031</v>
      </c>
      <c r="R31" s="13">
        <f t="shared" si="17"/>
        <v>1777580313.7400911</v>
      </c>
      <c r="S31" s="13">
        <f t="shared" si="17"/>
        <v>1833112573.4484255</v>
      </c>
      <c r="T31" s="13">
        <f t="shared" si="18"/>
        <v>-55532259.708334446</v>
      </c>
      <c r="AA31" s="14">
        <v>2051</v>
      </c>
      <c r="AB31" s="5">
        <f t="shared" si="21"/>
        <v>-96089617.640430287</v>
      </c>
      <c r="AC31" s="53">
        <f t="shared" si="9"/>
        <v>-74352056.175824225</v>
      </c>
      <c r="AD31" s="30">
        <f t="shared" si="10"/>
        <v>-85220836.908127248</v>
      </c>
      <c r="AE31" s="116">
        <f t="shared" si="11"/>
        <v>-79786446.541975737</v>
      </c>
      <c r="AF31" s="30">
        <f t="shared" si="13"/>
        <v>-9801794.8364354186</v>
      </c>
      <c r="AL31" s="7">
        <f>'#1-With Volatility'!AB31</f>
        <v>-83878177.587898523</v>
      </c>
      <c r="AM31" s="7">
        <f>'#1-With Volatility'!AC31</f>
        <v>-52950161.928749107</v>
      </c>
    </row>
    <row r="32" spans="2:39">
      <c r="B32" s="14">
        <v>2032</v>
      </c>
      <c r="C32" s="112">
        <v>1715810957.1713548</v>
      </c>
      <c r="D32" s="112">
        <v>1763552391.3541453</v>
      </c>
      <c r="E32" s="13">
        <f t="shared" si="19"/>
        <v>-47741434.182790518</v>
      </c>
      <c r="I32" s="14">
        <v>2032</v>
      </c>
      <c r="J32" s="13">
        <f t="shared" si="20"/>
        <v>2230554244.3227611</v>
      </c>
      <c r="K32" s="13">
        <f t="shared" si="15"/>
        <v>2292618108.7603889</v>
      </c>
      <c r="L32" s="13">
        <f t="shared" si="16"/>
        <v>-62063864.437627792</v>
      </c>
      <c r="Q32" s="14">
        <v>2032</v>
      </c>
      <c r="R32" s="13">
        <f t="shared" si="17"/>
        <v>1850039965.8209698</v>
      </c>
      <c r="S32" s="13">
        <f t="shared" si="17"/>
        <v>1901516243.4928308</v>
      </c>
      <c r="T32" s="13">
        <f t="shared" si="18"/>
        <v>-51476277.671860933</v>
      </c>
      <c r="AA32" s="14">
        <v>2052</v>
      </c>
      <c r="AB32" s="5">
        <f t="shared" si="21"/>
        <v>-98107499.610879302</v>
      </c>
      <c r="AC32" s="53">
        <f t="shared" si="9"/>
        <v>-75913449.355516523</v>
      </c>
      <c r="AD32" s="30">
        <f t="shared" si="10"/>
        <v>-87010474.483197913</v>
      </c>
      <c r="AE32" s="116">
        <f t="shared" si="11"/>
        <v>-81461961.91935721</v>
      </c>
      <c r="AF32" s="30">
        <f t="shared" si="13"/>
        <v>-10007632.528000562</v>
      </c>
      <c r="AL32" s="7">
        <f>'#1-With Volatility'!AB32</f>
        <v>-85639619.317244381</v>
      </c>
      <c r="AM32" s="7">
        <f>'#1-With Volatility'!AC32</f>
        <v>-54062115.329252832</v>
      </c>
    </row>
    <row r="33" spans="2:39">
      <c r="B33" s="14">
        <v>2033</v>
      </c>
      <c r="C33" s="112">
        <v>1811700873.0533023</v>
      </c>
      <c r="D33" s="112">
        <v>1857887395.7275288</v>
      </c>
      <c r="E33" s="13">
        <f t="shared" si="19"/>
        <v>-46186522.674226522</v>
      </c>
      <c r="I33" s="14">
        <v>2033</v>
      </c>
      <c r="J33" s="13">
        <f t="shared" si="20"/>
        <v>2355211134.9692931</v>
      </c>
      <c r="K33" s="13">
        <f t="shared" si="15"/>
        <v>2415253614.4457874</v>
      </c>
      <c r="L33" s="13">
        <f t="shared" si="16"/>
        <v>-60042479.476494312</v>
      </c>
      <c r="Q33" s="14">
        <v>2033</v>
      </c>
      <c r="R33" s="13">
        <f t="shared" si="17"/>
        <v>1913253097.2315032</v>
      </c>
      <c r="S33" s="13">
        <f t="shared" si="17"/>
        <v>1962028537.4110348</v>
      </c>
      <c r="T33" s="13">
        <f t="shared" si="18"/>
        <v>-48775440.179531574</v>
      </c>
      <c r="AA33" s="14">
        <v>2053</v>
      </c>
      <c r="AB33" s="5">
        <f t="shared" si="21"/>
        <v>-100167757.10270777</v>
      </c>
      <c r="AC33" s="53">
        <f t="shared" si="9"/>
        <v>-77507631.791982383</v>
      </c>
      <c r="AD33" s="30">
        <f t="shared" si="10"/>
        <v>-88837694.447345078</v>
      </c>
      <c r="AE33" s="116">
        <f t="shared" si="11"/>
        <v>-83172663.11966373</v>
      </c>
      <c r="AF33" s="30">
        <f t="shared" si="13"/>
        <v>-10217792.811088573</v>
      </c>
      <c r="AL33" s="7">
        <f>'#1-With Volatility'!AB33</f>
        <v>-87438051.322906524</v>
      </c>
      <c r="AM33" s="7">
        <f>'#1-With Volatility'!AC33</f>
        <v>-55197419.751167141</v>
      </c>
    </row>
    <row r="34" spans="2:39">
      <c r="B34" s="14">
        <v>2034</v>
      </c>
      <c r="C34" s="112">
        <v>1930027869.8770356</v>
      </c>
      <c r="D34" s="112">
        <v>1974295929.4921322</v>
      </c>
      <c r="E34" s="13">
        <f t="shared" si="19"/>
        <v>-44268059.615096569</v>
      </c>
      <c r="I34" s="14">
        <v>2034</v>
      </c>
      <c r="J34" s="13">
        <f t="shared" si="20"/>
        <v>2509036230.8401465</v>
      </c>
      <c r="K34" s="13">
        <f t="shared" si="15"/>
        <v>2566584708.3397717</v>
      </c>
      <c r="L34" s="13">
        <f t="shared" si="16"/>
        <v>-57548477.499625206</v>
      </c>
      <c r="Q34" s="14">
        <v>2034</v>
      </c>
      <c r="R34" s="13">
        <f t="shared" si="17"/>
        <v>1996290636.2301564</v>
      </c>
      <c r="S34" s="13">
        <f t="shared" si="17"/>
        <v>2042078530.9403636</v>
      </c>
      <c r="T34" s="13">
        <f t="shared" si="18"/>
        <v>-45787894.710207224</v>
      </c>
      <c r="AA34" s="14">
        <v>2054</v>
      </c>
      <c r="AB34" s="5">
        <f t="shared" si="21"/>
        <v>-102271280.00186461</v>
      </c>
      <c r="AC34" s="53">
        <f t="shared" si="9"/>
        <v>-79135292.059613988</v>
      </c>
      <c r="AD34" s="30">
        <f t="shared" si="10"/>
        <v>-90703286.030739307</v>
      </c>
      <c r="AE34" s="116">
        <f t="shared" si="11"/>
        <v>-84919289.04517664</v>
      </c>
      <c r="AF34" s="30">
        <f t="shared" si="13"/>
        <v>-10432366.46012143</v>
      </c>
      <c r="AL34" s="7">
        <f>'#1-With Volatility'!AB34</f>
        <v>-89274250.400687531</v>
      </c>
      <c r="AM34" s="7">
        <f>'#1-With Volatility'!AC34</f>
        <v>-56356565.565941639</v>
      </c>
    </row>
    <row r="35" spans="2:39">
      <c r="B35" s="14">
        <v>2035</v>
      </c>
      <c r="C35" s="112">
        <v>1979633589.428139</v>
      </c>
      <c r="D35" s="112">
        <v>2022125357.1510537</v>
      </c>
      <c r="E35" s="13">
        <f t="shared" si="19"/>
        <v>-42491767.722914696</v>
      </c>
      <c r="I35" s="14">
        <v>2035</v>
      </c>
      <c r="J35" s="13">
        <f t="shared" si="20"/>
        <v>2573523666.2565808</v>
      </c>
      <c r="K35" s="13">
        <f t="shared" si="15"/>
        <v>2628762964.29637</v>
      </c>
      <c r="L35" s="13">
        <f t="shared" si="16"/>
        <v>-55239298.0397892</v>
      </c>
      <c r="Q35" s="22">
        <v>2035</v>
      </c>
      <c r="R35" s="23">
        <f t="shared" si="17"/>
        <v>2005484276.5130711</v>
      </c>
      <c r="S35" s="23">
        <f t="shared" si="17"/>
        <v>2048530915.2974572</v>
      </c>
      <c r="T35" s="23">
        <f t="shared" si="18"/>
        <v>-43046638.784386158</v>
      </c>
      <c r="AA35" s="14">
        <v>2055</v>
      </c>
      <c r="AB35" s="5">
        <f t="shared" si="21"/>
        <v>-104418976.88190377</v>
      </c>
      <c r="AC35" s="53">
        <f t="shared" si="9"/>
        <v>-80797133.192865878</v>
      </c>
      <c r="AD35" s="30">
        <f t="shared" si="10"/>
        <v>-92608055.037384823</v>
      </c>
      <c r="AE35" s="116">
        <f t="shared" si="11"/>
        <v>-86702594.115125358</v>
      </c>
      <c r="AF35" s="30">
        <f t="shared" si="13"/>
        <v>-10651446.155783981</v>
      </c>
      <c r="AL35" s="7">
        <f>'#1-With Volatility'!AB35</f>
        <v>-91149009.659101963</v>
      </c>
      <c r="AM35" s="7">
        <f>'#1-With Volatility'!AC35</f>
        <v>-57540053.442826413</v>
      </c>
    </row>
    <row r="36" spans="2:39">
      <c r="B36" s="14">
        <v>2040</v>
      </c>
      <c r="C36" s="112">
        <v>2257226376.3634129</v>
      </c>
      <c r="D36" s="112">
        <v>2298174606.0078344</v>
      </c>
      <c r="E36" s="13">
        <f t="shared" si="19"/>
        <v>-40948229.644421577</v>
      </c>
      <c r="I36" s="14">
        <v>2040</v>
      </c>
      <c r="J36" s="13">
        <f t="shared" si="20"/>
        <v>2934394289.2724366</v>
      </c>
      <c r="K36" s="13">
        <f t="shared" si="15"/>
        <v>2987626987.810185</v>
      </c>
      <c r="L36" s="13">
        <f t="shared" si="16"/>
        <v>-53232698.537748337</v>
      </c>
      <c r="Q36" s="22">
        <v>2040</v>
      </c>
      <c r="R36" s="23">
        <f t="shared" si="17"/>
        <v>2061013579.8409116</v>
      </c>
      <c r="S36" s="23">
        <f t="shared" si="17"/>
        <v>2098402323.0575159</v>
      </c>
      <c r="T36" s="23">
        <f t="shared" si="18"/>
        <v>-37388743.216604233</v>
      </c>
      <c r="AA36" s="14">
        <v>2056</v>
      </c>
      <c r="AB36" s="5">
        <f t="shared" si="21"/>
        <v>-106611775.39642373</v>
      </c>
      <c r="AC36" s="53">
        <f t="shared" si="9"/>
        <v>-82493872.989916056</v>
      </c>
      <c r="AD36" s="30">
        <f t="shared" si="10"/>
        <v>-94552824.193169892</v>
      </c>
      <c r="AE36" s="116">
        <f t="shared" si="11"/>
        <v>-88523348.591542974</v>
      </c>
      <c r="AF36" s="30">
        <f t="shared" si="13"/>
        <v>-10875126.525055444</v>
      </c>
      <c r="AL36" s="7">
        <f>'#1-With Volatility'!AB36</f>
        <v>-93063138.861943096</v>
      </c>
      <c r="AM36" s="7">
        <f>'#1-With Volatility'!AC36</f>
        <v>-58748394.565125763</v>
      </c>
    </row>
    <row r="37" spans="2:39">
      <c r="B37" s="14">
        <v>2044</v>
      </c>
      <c r="C37" s="112">
        <v>2481753015.9988585</v>
      </c>
      <c r="D37" s="112">
        <v>2534374904.019628</v>
      </c>
      <c r="E37" s="13">
        <f t="shared" si="19"/>
        <v>-52621888.020769596</v>
      </c>
      <c r="I37" s="14">
        <v>2044</v>
      </c>
      <c r="J37" s="13">
        <f t="shared" si="20"/>
        <v>3226278920.7985163</v>
      </c>
      <c r="K37" s="13">
        <f t="shared" si="15"/>
        <v>3294687375.2255168</v>
      </c>
      <c r="L37" s="13">
        <f t="shared" si="16"/>
        <v>-68408454.427000523</v>
      </c>
      <c r="Q37" s="22">
        <v>2044</v>
      </c>
      <c r="R37" s="23">
        <f t="shared" si="17"/>
        <v>2085265350.1088753</v>
      </c>
      <c r="S37" s="23">
        <f t="shared" si="17"/>
        <v>2129480305.8436446</v>
      </c>
      <c r="T37" s="23">
        <f t="shared" si="18"/>
        <v>-44214955.734769344</v>
      </c>
      <c r="AA37" s="14">
        <v>2057</v>
      </c>
      <c r="AB37" s="5">
        <f t="shared" si="21"/>
        <v>-108850622.67974861</v>
      </c>
      <c r="AC37" s="53">
        <f t="shared" si="9"/>
        <v>-84226244.32270427</v>
      </c>
      <c r="AD37" s="30">
        <f t="shared" si="10"/>
        <v>-96538433.50122644</v>
      </c>
      <c r="AE37" s="116">
        <f t="shared" si="11"/>
        <v>-90382338.911965355</v>
      </c>
      <c r="AF37" s="30">
        <f t="shared" si="13"/>
        <v>-11103504.182081604</v>
      </c>
      <c r="AL37" s="7">
        <f>'#1-With Volatility'!AB37</f>
        <v>-95017464.778043881</v>
      </c>
      <c r="AM37" s="7">
        <f>'#1-With Volatility'!AC37</f>
        <v>-59982110.850993387</v>
      </c>
    </row>
    <row r="38" spans="2:39">
      <c r="R38" s="21">
        <f t="shared" ref="R38" si="22">AVERAGE(R35:R37)</f>
        <v>2050587735.4876194</v>
      </c>
      <c r="S38" s="21">
        <f>AVERAGE(S35:S37)</f>
        <v>2092137848.066206</v>
      </c>
      <c r="T38" s="21">
        <f>AVERAGE(T35:T37)</f>
        <v>-41550112.578586578</v>
      </c>
      <c r="AA38" s="14">
        <v>2058</v>
      </c>
      <c r="AB38" s="5">
        <f t="shared" si="21"/>
        <v>-111136485.75602333</v>
      </c>
      <c r="AC38" s="53">
        <f t="shared" si="9"/>
        <v>-85994995.453481063</v>
      </c>
      <c r="AD38" s="30">
        <f t="shared" si="10"/>
        <v>-98565740.604752198</v>
      </c>
      <c r="AE38" s="116">
        <f t="shared" si="11"/>
        <v>-92280368.029116631</v>
      </c>
      <c r="AF38" s="30">
        <f t="shared" si="13"/>
        <v>-11336677.769905319</v>
      </c>
      <c r="AL38" s="7">
        <f>'#1-With Volatility'!AB38</f>
        <v>-97012831.538382813</v>
      </c>
      <c r="AM38" s="7">
        <f>'#1-With Volatility'!AC38</f>
        <v>-61241735.178864248</v>
      </c>
    </row>
    <row r="39" spans="2:39">
      <c r="AA39" s="14">
        <v>2059</v>
      </c>
      <c r="AB39" s="5">
        <f t="shared" si="21"/>
        <v>-113470351.95689981</v>
      </c>
      <c r="AC39" s="53">
        <f t="shared" si="9"/>
        <v>-87800890.358004153</v>
      </c>
      <c r="AD39" s="30">
        <f t="shared" si="10"/>
        <v>-100635621.15745199</v>
      </c>
      <c r="AE39" s="116">
        <f t="shared" si="11"/>
        <v>-94218255.75772807</v>
      </c>
      <c r="AF39" s="30">
        <f t="shared" si="13"/>
        <v>-11574748.003073329</v>
      </c>
      <c r="AL39" s="7">
        <f>'#1-With Volatility'!AB39</f>
        <v>-99050101.000688836</v>
      </c>
      <c r="AM39" s="7">
        <f>'#1-With Volatility'!AC39</f>
        <v>-62527811.617620386</v>
      </c>
    </row>
    <row r="40" spans="2:39">
      <c r="AA40" s="14">
        <v>2060</v>
      </c>
      <c r="AB40" s="5">
        <f t="shared" si="21"/>
        <v>-115853229.34799467</v>
      </c>
      <c r="AC40" s="53">
        <f t="shared" si="9"/>
        <v>-89644709.055522218</v>
      </c>
      <c r="AD40" s="30">
        <f t="shared" si="10"/>
        <v>-102748969.20175844</v>
      </c>
      <c r="AE40" s="116">
        <f t="shared" si="11"/>
        <v>-96196839.128640324</v>
      </c>
      <c r="AF40" s="30">
        <f t="shared" si="13"/>
        <v>-11817817.711137867</v>
      </c>
      <c r="AL40" s="7">
        <f>'#1-With Volatility'!AB40</f>
        <v>-101130153.12170328</v>
      </c>
      <c r="AM40" s="7">
        <f>'#1-With Volatility'!AC40</f>
        <v>-63840895.661590405</v>
      </c>
    </row>
    <row r="41" spans="2:39" ht="30">
      <c r="I41" s="19" t="s">
        <v>52</v>
      </c>
      <c r="J41" s="18" t="s">
        <v>74</v>
      </c>
      <c r="AA41" s="14">
        <v>2061</v>
      </c>
      <c r="AB41" s="5">
        <f t="shared" si="21"/>
        <v>-118286147.16430256</v>
      </c>
      <c r="AC41" s="53">
        <f t="shared" si="9"/>
        <v>-91527247.945688173</v>
      </c>
      <c r="AD41" s="30">
        <f t="shared" si="10"/>
        <v>-104906697.55499536</v>
      </c>
      <c r="AE41" s="116">
        <f t="shared" si="11"/>
        <v>-98216972.750341773</v>
      </c>
      <c r="AF41" s="30">
        <f t="shared" si="13"/>
        <v>-12065991.88307176</v>
      </c>
      <c r="AL41" s="7">
        <f>'#1-With Volatility'!AB41</f>
        <v>-103253886.33725904</v>
      </c>
      <c r="AM41" s="7">
        <f>'#1-With Volatility'!AC41</f>
        <v>-65181554.470483802</v>
      </c>
    </row>
    <row r="42" spans="2:39">
      <c r="I42" s="17">
        <v>2024</v>
      </c>
      <c r="J42" s="20">
        <f>L24</f>
        <v>-34158539.667338371</v>
      </c>
      <c r="AA42" s="14">
        <v>2062</v>
      </c>
      <c r="AB42" s="5">
        <f t="shared" si="21"/>
        <v>-120770156.25475289</v>
      </c>
      <c r="AC42" s="53">
        <f t="shared" si="9"/>
        <v>-93449320.152547613</v>
      </c>
      <c r="AD42" s="30">
        <f t="shared" si="10"/>
        <v>-107109738.20365025</v>
      </c>
      <c r="AE42" s="116">
        <f t="shared" si="11"/>
        <v>-100279529.17809893</v>
      </c>
      <c r="AF42" s="30">
        <f t="shared" si="13"/>
        <v>-12319377.712616265</v>
      </c>
      <c r="AL42" s="7">
        <f>'#1-With Volatility'!AB42</f>
        <v>-105422217.95034146</v>
      </c>
      <c r="AM42" s="7">
        <f>'#1-With Volatility'!AC42</f>
        <v>-66550367.114363946</v>
      </c>
    </row>
    <row r="43" spans="2:39">
      <c r="I43" s="17">
        <v>2025</v>
      </c>
      <c r="J43" s="20">
        <f t="shared" ref="J43:J53" si="23">L25</f>
        <v>-20542939.783217907</v>
      </c>
      <c r="AA43" s="14">
        <v>2063</v>
      </c>
      <c r="AB43" s="5">
        <f t="shared" si="21"/>
        <v>-123306329.5361027</v>
      </c>
      <c r="AC43" s="53">
        <f t="shared" si="9"/>
        <v>-95411755.875751108</v>
      </c>
      <c r="AD43" s="30">
        <f t="shared" si="10"/>
        <v>-109359042.7059269</v>
      </c>
      <c r="AE43" s="116">
        <f t="shared" si="11"/>
        <v>-102385399.290839</v>
      </c>
      <c r="AF43" s="30">
        <f t="shared" si="13"/>
        <v>-12578084.644581206</v>
      </c>
      <c r="AL43" s="7">
        <f>'#1-With Volatility'!AB43</f>
        <v>-107636084.52729863</v>
      </c>
      <c r="AM43" s="7">
        <f>'#1-With Volatility'!AC43</f>
        <v>-67947924.823765591</v>
      </c>
    </row>
    <row r="44" spans="2:39">
      <c r="I44" s="17">
        <v>2026</v>
      </c>
      <c r="J44" s="20">
        <f t="shared" si="23"/>
        <v>-39965463.899331331</v>
      </c>
      <c r="AL44" s="7">
        <f>'#1-With Volatility'!AB44</f>
        <v>0</v>
      </c>
      <c r="AM44" s="7">
        <f>'#1-With Volatility'!AC44</f>
        <v>0</v>
      </c>
    </row>
    <row r="45" spans="2:39">
      <c r="I45" s="17">
        <v>2027</v>
      </c>
      <c r="J45" s="20">
        <f t="shared" si="23"/>
        <v>-54106047.925787449</v>
      </c>
    </row>
    <row r="46" spans="2:39">
      <c r="I46" s="17">
        <v>2028</v>
      </c>
      <c r="J46" s="20">
        <f t="shared" si="23"/>
        <v>-53947491.089464426</v>
      </c>
    </row>
    <row r="47" spans="2:39">
      <c r="I47" s="17">
        <v>2029</v>
      </c>
      <c r="J47" s="20">
        <f t="shared" si="23"/>
        <v>-58659491.625058174</v>
      </c>
    </row>
    <row r="48" spans="2:39">
      <c r="I48" s="17">
        <v>2030</v>
      </c>
      <c r="J48" s="20">
        <f t="shared" si="23"/>
        <v>-63168912.016589642</v>
      </c>
    </row>
    <row r="49" spans="9:10">
      <c r="I49" s="17">
        <v>2031</v>
      </c>
      <c r="J49" s="20">
        <f t="shared" si="23"/>
        <v>-65576960.433396101</v>
      </c>
    </row>
    <row r="50" spans="9:10">
      <c r="I50" s="17">
        <v>2032</v>
      </c>
      <c r="J50" s="20">
        <f t="shared" si="23"/>
        <v>-62063864.437627792</v>
      </c>
    </row>
    <row r="51" spans="9:10">
      <c r="I51" s="17">
        <v>2033</v>
      </c>
      <c r="J51" s="20">
        <f t="shared" si="23"/>
        <v>-60042479.476494312</v>
      </c>
    </row>
    <row r="52" spans="9:10">
      <c r="I52" s="17">
        <v>2034</v>
      </c>
      <c r="J52" s="20">
        <f t="shared" si="23"/>
        <v>-57548477.499625206</v>
      </c>
    </row>
    <row r="53" spans="9:10">
      <c r="I53" s="17">
        <v>2035</v>
      </c>
      <c r="J53" s="20">
        <f t="shared" si="23"/>
        <v>-55239298.0397892</v>
      </c>
    </row>
    <row r="54" spans="9:10">
      <c r="I54" s="17">
        <v>2036</v>
      </c>
      <c r="J54" s="20">
        <f t="shared" ref="J54:J81" si="24">$T$38*1.021^(I54-Start_Year)</f>
        <v>-54438587.97319033</v>
      </c>
    </row>
    <row r="55" spans="9:10">
      <c r="I55" s="17">
        <v>2037</v>
      </c>
      <c r="J55" s="20">
        <f t="shared" si="24"/>
        <v>-55581798.320627324</v>
      </c>
    </row>
    <row r="56" spans="9:10">
      <c r="I56" s="17">
        <v>2038</v>
      </c>
      <c r="J56" s="20">
        <f t="shared" si="24"/>
        <v>-56749016.085360482</v>
      </c>
    </row>
    <row r="57" spans="9:10">
      <c r="I57" s="17">
        <v>2039</v>
      </c>
      <c r="J57" s="20">
        <f t="shared" si="24"/>
        <v>-57940745.423153058</v>
      </c>
    </row>
    <row r="58" spans="9:10">
      <c r="I58" s="17">
        <v>2040</v>
      </c>
      <c r="J58" s="20">
        <f t="shared" si="24"/>
        <v>-59157501.077039264</v>
      </c>
    </row>
    <row r="59" spans="9:10">
      <c r="I59" s="17">
        <v>2041</v>
      </c>
      <c r="J59" s="20">
        <f t="shared" si="24"/>
        <v>-60399808.599657074</v>
      </c>
    </row>
    <row r="60" spans="9:10">
      <c r="I60" s="17">
        <v>2042</v>
      </c>
      <c r="J60" s="20">
        <f t="shared" si="24"/>
        <v>-61668204.580249876</v>
      </c>
    </row>
    <row r="61" spans="9:10">
      <c r="I61" s="17">
        <v>2043</v>
      </c>
      <c r="J61" s="20">
        <f t="shared" si="24"/>
        <v>-62963236.876435108</v>
      </c>
    </row>
    <row r="62" spans="9:10">
      <c r="I62" s="17">
        <v>2044</v>
      </c>
      <c r="J62" s="20">
        <f t="shared" si="24"/>
        <v>-64285464.850840241</v>
      </c>
    </row>
    <row r="63" spans="9:10">
      <c r="I63" s="17">
        <v>2045</v>
      </c>
      <c r="J63" s="20">
        <f t="shared" si="24"/>
        <v>-65635459.612707883</v>
      </c>
    </row>
    <row r="64" spans="9:10">
      <c r="I64" s="17">
        <v>2046</v>
      </c>
      <c r="J64" s="20">
        <f t="shared" si="24"/>
        <v>-67013804.264574736</v>
      </c>
    </row>
    <row r="65" spans="9:10">
      <c r="I65" s="17">
        <v>2047</v>
      </c>
      <c r="J65" s="20">
        <f t="shared" si="24"/>
        <v>-68421094.154130802</v>
      </c>
    </row>
    <row r="66" spans="9:10">
      <c r="I66" s="17">
        <v>2048</v>
      </c>
      <c r="J66" s="20">
        <f t="shared" si="24"/>
        <v>-69857937.131367534</v>
      </c>
    </row>
    <row r="67" spans="9:10">
      <c r="I67" s="17">
        <v>2049</v>
      </c>
      <c r="J67" s="20">
        <f t="shared" si="24"/>
        <v>-71324953.811126247</v>
      </c>
    </row>
    <row r="68" spans="9:10">
      <c r="I68" s="17">
        <v>2050</v>
      </c>
      <c r="J68" s="20">
        <f t="shared" si="24"/>
        <v>-72822777.841159895</v>
      </c>
    </row>
    <row r="69" spans="9:10">
      <c r="I69" s="17">
        <v>2051</v>
      </c>
      <c r="J69" s="20">
        <f t="shared" si="24"/>
        <v>-74352056.175824225</v>
      </c>
    </row>
    <row r="70" spans="9:10">
      <c r="I70" s="17">
        <v>2052</v>
      </c>
      <c r="J70" s="20">
        <f t="shared" si="24"/>
        <v>-75913449.355516523</v>
      </c>
    </row>
    <row r="71" spans="9:10">
      <c r="I71" s="17">
        <v>2053</v>
      </c>
      <c r="J71" s="20">
        <f t="shared" si="24"/>
        <v>-77507631.791982383</v>
      </c>
    </row>
    <row r="72" spans="9:10">
      <c r="I72" s="17">
        <v>2054</v>
      </c>
      <c r="J72" s="20">
        <f t="shared" si="24"/>
        <v>-79135292.059613988</v>
      </c>
    </row>
    <row r="73" spans="9:10">
      <c r="I73" s="17">
        <v>2055</v>
      </c>
      <c r="J73" s="20">
        <f t="shared" si="24"/>
        <v>-80797133.192865878</v>
      </c>
    </row>
    <row r="74" spans="9:10">
      <c r="I74" s="17">
        <v>2056</v>
      </c>
      <c r="J74" s="20">
        <f t="shared" si="24"/>
        <v>-82493872.989916056</v>
      </c>
    </row>
    <row r="75" spans="9:10">
      <c r="I75" s="17">
        <v>2057</v>
      </c>
      <c r="J75" s="20">
        <f t="shared" si="24"/>
        <v>-84226244.32270427</v>
      </c>
    </row>
    <row r="76" spans="9:10">
      <c r="I76" s="17">
        <v>2058</v>
      </c>
      <c r="J76" s="20">
        <f t="shared" si="24"/>
        <v>-85994995.453481063</v>
      </c>
    </row>
    <row r="77" spans="9:10">
      <c r="I77" s="17">
        <v>2059</v>
      </c>
      <c r="J77" s="20">
        <f t="shared" si="24"/>
        <v>-87800890.358004153</v>
      </c>
    </row>
    <row r="78" spans="9:10">
      <c r="I78" s="17">
        <v>2060</v>
      </c>
      <c r="J78" s="20">
        <f t="shared" si="24"/>
        <v>-89644709.055522218</v>
      </c>
    </row>
    <row r="79" spans="9:10">
      <c r="I79" s="17">
        <v>2061</v>
      </c>
      <c r="J79" s="20">
        <f t="shared" si="24"/>
        <v>-91527247.945688173</v>
      </c>
    </row>
    <row r="80" spans="9:10">
      <c r="I80" s="17">
        <v>2062</v>
      </c>
      <c r="J80" s="20">
        <f t="shared" si="24"/>
        <v>-93449320.152547613</v>
      </c>
    </row>
    <row r="81" spans="9:10">
      <c r="I81" s="17">
        <v>2063</v>
      </c>
      <c r="J81" s="20">
        <f t="shared" si="24"/>
        <v>-95411755.875751108</v>
      </c>
    </row>
  </sheetData>
  <mergeCells count="2">
    <mergeCell ref="C2:F2"/>
    <mergeCell ref="C22:D2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3E5A-A579-4C66-AED4-ED3A13E2A5D6}">
  <sheetPr>
    <tabColor theme="0" tint="-0.249977111117893"/>
  </sheetPr>
  <dimension ref="B3:AD109"/>
  <sheetViews>
    <sheetView showGridLines="0" zoomScale="60" zoomScaleNormal="60" workbookViewId="0">
      <selection activeCell="O30" sqref="O30"/>
    </sheetView>
  </sheetViews>
  <sheetFormatPr defaultRowHeight="15"/>
  <cols>
    <col min="3" max="3" width="14.28515625" customWidth="1"/>
    <col min="4" max="11" width="15.7109375" customWidth="1"/>
    <col min="15" max="15" width="14.7109375" customWidth="1"/>
    <col min="16" max="19" width="13.28515625" bestFit="1" customWidth="1"/>
    <col min="20" max="20" width="14.7109375" bestFit="1" customWidth="1"/>
    <col min="21" max="21" width="13.28515625" bestFit="1" customWidth="1"/>
    <col min="22" max="22" width="14.7109375" bestFit="1" customWidth="1"/>
    <col min="24" max="24" width="13.28515625" customWidth="1"/>
    <col min="25" max="29" width="16.7109375" customWidth="1"/>
    <col min="30" max="30" width="13.5703125" customWidth="1"/>
  </cols>
  <sheetData>
    <row r="3" spans="2:11">
      <c r="B3" t="s">
        <v>158</v>
      </c>
    </row>
    <row r="6" spans="2:11" ht="63.75">
      <c r="C6" s="11" t="s">
        <v>66</v>
      </c>
      <c r="D6" s="11" t="s">
        <v>159</v>
      </c>
      <c r="E6" s="11" t="s">
        <v>160</v>
      </c>
      <c r="F6" s="11" t="s">
        <v>62</v>
      </c>
      <c r="G6" s="11" t="s">
        <v>161</v>
      </c>
      <c r="H6" s="11" t="s">
        <v>162</v>
      </c>
      <c r="I6" s="11" t="s">
        <v>64</v>
      </c>
      <c r="J6" s="11" t="s">
        <v>163</v>
      </c>
      <c r="K6" s="11" t="s">
        <v>164</v>
      </c>
    </row>
    <row r="7" spans="2:11">
      <c r="C7" s="12">
        <v>2024</v>
      </c>
      <c r="D7" s="13">
        <f>'#2-Commodity'!J4</f>
        <v>1799142682.1054263</v>
      </c>
      <c r="E7" s="13">
        <f>'#2-Commodity 1.2%'!J4</f>
        <v>1786227557.004215</v>
      </c>
      <c r="F7" s="13">
        <f>'#2-Commodity'!K4</f>
        <v>1826961778.6622951</v>
      </c>
      <c r="G7" s="13">
        <f>'#2-Commodity'!E4</f>
        <v>-6192187.8518630704</v>
      </c>
      <c r="H7" s="13">
        <f>'#2-Commodity 1.2%'!E4</f>
        <v>-8814548.9658903331</v>
      </c>
      <c r="I7" s="13">
        <f>'#2-Commodity 1.2%'!F4</f>
        <v>-1773076.7458481428</v>
      </c>
      <c r="J7" s="13">
        <f>E7-D7</f>
        <v>-12915125.101211309</v>
      </c>
      <c r="K7" s="13">
        <f>H7-G7</f>
        <v>-2622361.1140272627</v>
      </c>
    </row>
    <row r="8" spans="2:11">
      <c r="C8" s="12">
        <v>2025</v>
      </c>
      <c r="D8" s="13">
        <f>'#2-Commodity'!J5</f>
        <v>1760684833.5246174</v>
      </c>
      <c r="E8" s="13">
        <f>'#2-Commodity 1.2%'!J5</f>
        <v>1758559465.3125575</v>
      </c>
      <c r="F8" s="13">
        <f>'#2-Commodity'!K5</f>
        <v>1786014333.5901303</v>
      </c>
      <c r="G8" s="13">
        <f>'#2-Commodity'!E5</f>
        <v>-5950271.059074562</v>
      </c>
      <c r="H8" s="13">
        <f>'#2-Commodity 1.2%'!E5</f>
        <v>-7256466.4373477753</v>
      </c>
      <c r="I8" s="13">
        <f>'#2-Commodity 1.2%'!F5</f>
        <v>-1896440.9966497044</v>
      </c>
      <c r="J8" s="13">
        <f t="shared" ref="J8:J20" si="0">E8-D8</f>
        <v>-2125368.2120599747</v>
      </c>
      <c r="K8" s="13">
        <f t="shared" ref="K8:K20" si="1">H8-G8</f>
        <v>-1306195.3782732133</v>
      </c>
    </row>
    <row r="9" spans="2:11">
      <c r="C9" s="14">
        <v>2026</v>
      </c>
      <c r="D9" s="13">
        <f>'#2-Commodity'!J6</f>
        <v>1647087273.1580682</v>
      </c>
      <c r="E9" s="13">
        <f>'#2-Commodity 1.2%'!J6</f>
        <v>1631135843.5595763</v>
      </c>
      <c r="F9" s="13">
        <f>'#2-Commodity'!K6</f>
        <v>1677868083.231777</v>
      </c>
      <c r="G9" s="13">
        <f>'#2-Commodity'!E6</f>
        <v>-3588932.2454589629</v>
      </c>
      <c r="H9" s="13">
        <f>'#2-Commodity 1.2%'!E6</f>
        <v>-8074569.4473334886</v>
      </c>
      <c r="I9" s="13">
        <f>'#2-Commodity 1.2%'!F6</f>
        <v>-1063261.6187433756</v>
      </c>
      <c r="J9" s="13">
        <f t="shared" si="0"/>
        <v>-15951429.598491907</v>
      </c>
      <c r="K9" s="13">
        <f t="shared" si="1"/>
        <v>-4485637.2018745262</v>
      </c>
    </row>
    <row r="10" spans="2:11">
      <c r="C10" s="14">
        <v>2027</v>
      </c>
      <c r="D10" s="13">
        <f>'#2-Commodity'!J7</f>
        <v>1686148623.4715326</v>
      </c>
      <c r="E10" s="13">
        <f>'#2-Commodity 1.2%'!J7</f>
        <v>1661968520.7437832</v>
      </c>
      <c r="F10" s="13">
        <f>'#2-Commodity'!K7</f>
        <v>1720814134.1862197</v>
      </c>
      <c r="G10" s="13">
        <f>'#2-Commodity'!E7</f>
        <v>-4698105.6205833983</v>
      </c>
      <c r="H10" s="13">
        <f>'#2-Commodity 1.2%'!E7</f>
        <v>-6072688.0707229543</v>
      </c>
      <c r="I10" s="13">
        <f>'#2-Commodity 1.2%'!F7</f>
        <v>-1343235.8960656116</v>
      </c>
      <c r="J10" s="13">
        <f t="shared" si="0"/>
        <v>-24180102.727749348</v>
      </c>
      <c r="K10" s="13">
        <f t="shared" si="1"/>
        <v>-1374582.4501395561</v>
      </c>
    </row>
    <row r="11" spans="2:11">
      <c r="C11" s="14">
        <v>2028</v>
      </c>
      <c r="D11" s="13">
        <f>'#2-Commodity'!J8</f>
        <v>1772130505.9031539</v>
      </c>
      <c r="E11" s="13">
        <f>'#2-Commodity 1.2%'!J8</f>
        <v>1745048974.6214693</v>
      </c>
      <c r="F11" s="13">
        <f>'#2-Commodity'!K8</f>
        <v>1808659168.3401015</v>
      </c>
      <c r="G11" s="13">
        <f>'#2-Commodity'!E8</f>
        <v>-5491144.6509440318</v>
      </c>
      <c r="H11" s="13">
        <f>'#2-Commodity 1.2%'!E8</f>
        <v>-7601065.3889102479</v>
      </c>
      <c r="I11" s="13">
        <f>'#2-Commodity 1.2%'!F8</f>
        <v>-1178749.0064314795</v>
      </c>
      <c r="J11" s="13">
        <f t="shared" si="0"/>
        <v>-27081531.281684637</v>
      </c>
      <c r="K11" s="13">
        <f t="shared" si="1"/>
        <v>-2109920.7379662162</v>
      </c>
    </row>
    <row r="12" spans="2:11">
      <c r="C12" s="14">
        <v>2029</v>
      </c>
      <c r="D12" s="13">
        <f>'#2-Commodity'!J9</f>
        <v>1896343707.0399628</v>
      </c>
      <c r="E12" s="13">
        <f>'#2-Commodity 1.2%'!J9</f>
        <v>1866422506.1358769</v>
      </c>
      <c r="F12" s="13">
        <f>'#2-Commodity'!K9</f>
        <v>1935201162.7737064</v>
      </c>
      <c r="G12" s="13">
        <f>'#2-Commodity'!E9</f>
        <v>-5703579.2357948404</v>
      </c>
      <c r="H12" s="13">
        <f>'#2-Commodity 1.2%'!E9</f>
        <v>-9765689.7585212868</v>
      </c>
      <c r="I12" s="13">
        <f>'#2-Commodity 1.2%'!F9</f>
        <v>-1852963.5874405501</v>
      </c>
      <c r="J12" s="13">
        <f t="shared" si="0"/>
        <v>-29921200.904085875</v>
      </c>
      <c r="K12" s="13">
        <f t="shared" si="1"/>
        <v>-4062110.5227264464</v>
      </c>
    </row>
    <row r="13" spans="2:11">
      <c r="C13" s="14">
        <v>2030</v>
      </c>
      <c r="D13" s="13">
        <f>'#2-Commodity'!J10</f>
        <v>1971120459.5987477</v>
      </c>
      <c r="E13" s="13">
        <f>'#2-Commodity 1.2%'!J10</f>
        <v>1937693882.37181</v>
      </c>
      <c r="F13" s="13">
        <f>'#2-Commodity'!K10</f>
        <v>2010281259.4291399</v>
      </c>
      <c r="G13" s="13">
        <f>'#2-Commodity'!E10</f>
        <v>-4016797.3879897962</v>
      </c>
      <c r="H13" s="13">
        <f>'#2-Commodity 1.2%'!E10</f>
        <v>-7492316.3074801294</v>
      </c>
      <c r="I13" s="13">
        <f>'#2-Commodity 1.2%'!F10</f>
        <v>-1591300.6070967666</v>
      </c>
      <c r="J13" s="13">
        <f t="shared" si="0"/>
        <v>-33426577.226937771</v>
      </c>
      <c r="K13" s="13">
        <f t="shared" si="1"/>
        <v>-3475518.9194903332</v>
      </c>
    </row>
    <row r="14" spans="2:11">
      <c r="C14" s="14">
        <v>2031</v>
      </c>
      <c r="D14" s="13">
        <f>'#2-Commodity'!J11</f>
        <v>2091648867.0727255</v>
      </c>
      <c r="E14" s="13">
        <f>'#2-Commodity 1.2%'!J11</f>
        <v>2058179064.3747599</v>
      </c>
      <c r="F14" s="13">
        <f>'#2-Commodity'!K11</f>
        <v>2135352144.5801883</v>
      </c>
      <c r="G14" s="13">
        <f>'#2-Commodity'!E11</f>
        <v>-5712395.392224717</v>
      </c>
      <c r="H14" s="13">
        <f>'#2-Commodity 1.2%'!E11</f>
        <v>-8371173.8267720016</v>
      </c>
      <c r="I14" s="13">
        <f>'#2-Commodity 1.2%'!F11</f>
        <v>-1135298.6476987612</v>
      </c>
      <c r="J14" s="13">
        <f t="shared" si="0"/>
        <v>-33469802.697965622</v>
      </c>
      <c r="K14" s="13">
        <f t="shared" si="1"/>
        <v>-2658778.4345472846</v>
      </c>
    </row>
    <row r="15" spans="2:11">
      <c r="C15" s="14">
        <v>2032</v>
      </c>
      <c r="D15" s="13">
        <f>'#2-Commodity'!J12</f>
        <v>2209839725.3781986</v>
      </c>
      <c r="E15" s="13">
        <f>'#2-Commodity 1.2%'!J12</f>
        <v>2182399536.719017</v>
      </c>
      <c r="F15" s="13">
        <f>'#2-Commodity'!K12</f>
        <v>2253009717.1928306</v>
      </c>
      <c r="G15" s="13">
        <f>'#2-Commodity'!E12</f>
        <v>-4891941.494935913</v>
      </c>
      <c r="H15" s="13">
        <f>'#2-Commodity 1.2%'!E12</f>
        <v>-7697871.1840064861</v>
      </c>
      <c r="I15" s="13">
        <f>'#2-Commodity 1.2%'!F12</f>
        <v>-1510771.7372282578</v>
      </c>
      <c r="J15" s="13">
        <f t="shared" si="0"/>
        <v>-27440188.659181595</v>
      </c>
      <c r="K15" s="13">
        <f t="shared" si="1"/>
        <v>-2805929.6890705731</v>
      </c>
    </row>
    <row r="16" spans="2:11">
      <c r="C16" s="14">
        <v>2033</v>
      </c>
      <c r="D16" s="13">
        <f>'#2-Commodity'!J13</f>
        <v>2337318702.4894915</v>
      </c>
      <c r="E16" s="13">
        <f>'#2-Commodity 1.2%'!J13</f>
        <v>2311362824.5257335</v>
      </c>
      <c r="F16" s="13">
        <f>'#2-Commodity'!K13</f>
        <v>2382783747.4170265</v>
      </c>
      <c r="G16" s="13">
        <f>'#2-Commodity'!E13</f>
        <v>-5549250.298229997</v>
      </c>
      <c r="H16" s="13">
        <f>'#2-Commodity 1.2%'!E13</f>
        <v>-8472433.825451253</v>
      </c>
      <c r="I16" s="13">
        <f>'#2-Commodity 1.2%'!F13</f>
        <v>-1506867.7486473722</v>
      </c>
      <c r="J16" s="13">
        <f t="shared" si="0"/>
        <v>-25955877.963757992</v>
      </c>
      <c r="K16" s="13">
        <f t="shared" si="1"/>
        <v>-2923183.5272212559</v>
      </c>
    </row>
    <row r="17" spans="3:30">
      <c r="C17" s="14">
        <v>2034</v>
      </c>
      <c r="D17" s="13">
        <f>'#2-Commodity'!J14</f>
        <v>2477623063.4002662</v>
      </c>
      <c r="E17" s="13">
        <f>'#2-Commodity 1.2%'!J14</f>
        <v>2452875840.8934698</v>
      </c>
      <c r="F17" s="13">
        <f>'#2-Commodity'!K14</f>
        <v>2526480189.6507559</v>
      </c>
      <c r="G17" s="13">
        <f>'#2-Commodity'!E14</f>
        <v>-5554962.1988440733</v>
      </c>
      <c r="H17" s="13">
        <f>'#2-Commodity 1.2%'!E14</f>
        <v>-8720603.8186441399</v>
      </c>
      <c r="I17" s="13">
        <f>'#2-Commodity 1.2%'!F14</f>
        <v>-1323006.0245902464</v>
      </c>
      <c r="J17" s="13">
        <f t="shared" si="0"/>
        <v>-24747222.50679636</v>
      </c>
      <c r="K17" s="13">
        <f t="shared" si="1"/>
        <v>-3165641.6198000666</v>
      </c>
    </row>
    <row r="18" spans="3:30">
      <c r="C18" s="14">
        <v>2035</v>
      </c>
      <c r="D18" s="13">
        <f>'#2-Commodity'!J15</f>
        <v>2531811472.3094358</v>
      </c>
      <c r="E18" s="13">
        <f>'#2-Commodity 1.2%'!J15</f>
        <v>2509589194.0207472</v>
      </c>
      <c r="F18" s="13">
        <f>'#2-Commodity'!K15</f>
        <v>2579809313.9064898</v>
      </c>
      <c r="G18" s="13">
        <f>'#2-Commodity'!E15</f>
        <v>-5247657.5895027258</v>
      </c>
      <c r="H18" s="13">
        <f>'#2-Commodity 1.2%'!E15</f>
        <v>-9205728.3655747138</v>
      </c>
      <c r="I18" s="13">
        <f>'#2-Commodity 1.2%'!F15</f>
        <v>-1522198.8382813009</v>
      </c>
      <c r="J18" s="13">
        <f t="shared" si="0"/>
        <v>-22222278.28868866</v>
      </c>
      <c r="K18" s="13">
        <f t="shared" si="1"/>
        <v>-3958070.776071988</v>
      </c>
    </row>
    <row r="19" spans="3:30">
      <c r="C19" s="14">
        <v>2040</v>
      </c>
      <c r="D19" s="13">
        <f>'#2-Commodity'!J16</f>
        <v>2883157895.4907985</v>
      </c>
      <c r="E19" s="13">
        <f>'#2-Commodity 1.2%'!J16</f>
        <v>2866071820.8320675</v>
      </c>
      <c r="F19" s="13">
        <f>'#2-Commodity'!K16</f>
        <v>2939321218.4010549</v>
      </c>
      <c r="G19" s="13">
        <f>'#2-Commodity'!E16</f>
        <v>-4684091.7815594329</v>
      </c>
      <c r="H19" s="13">
        <f>'#2-Commodity 1.2%'!E16</f>
        <v>-4594243.719978082</v>
      </c>
      <c r="I19" s="13">
        <f>'#2-Commodity 1.2%'!F16</f>
        <v>-680865.46359063406</v>
      </c>
      <c r="J19" s="13">
        <f t="shared" si="0"/>
        <v>-17086074.658730984</v>
      </c>
      <c r="K19" s="13">
        <f t="shared" si="1"/>
        <v>89848.061581350863</v>
      </c>
    </row>
    <row r="20" spans="3:30">
      <c r="C20" s="14">
        <v>2044</v>
      </c>
      <c r="D20" s="13">
        <f>'#2-Commodity'!J17</f>
        <v>3197423706.3882141</v>
      </c>
      <c r="E20" s="13">
        <f>'#2-Commodity 1.2%'!J17</f>
        <v>3172927119.7973075</v>
      </c>
      <c r="F20" s="13">
        <f>'#2-Commodity'!K17</f>
        <v>3257905182.1180391</v>
      </c>
      <c r="G20" s="13">
        <f>'#2-Commodity'!E17</f>
        <v>-2766338.0719389315</v>
      </c>
      <c r="H20" s="13">
        <f>'#2-Commodity 1.2%'!E17</f>
        <v>-6996683.9322881978</v>
      </c>
      <c r="I20" s="13">
        <f>'#2-Commodity 1.2%'!F17</f>
        <v>-956107.67142594012</v>
      </c>
      <c r="J20" s="13">
        <f t="shared" si="0"/>
        <v>-24496586.59090662</v>
      </c>
      <c r="K20" s="13">
        <f t="shared" si="1"/>
        <v>-4230345.8603492659</v>
      </c>
    </row>
    <row r="23" spans="3:30">
      <c r="C23" t="s">
        <v>165</v>
      </c>
      <c r="O23" t="s">
        <v>166</v>
      </c>
      <c r="Y23" t="s">
        <v>167</v>
      </c>
    </row>
    <row r="24" spans="3:30" ht="50.1" customHeight="1">
      <c r="C24" s="11" t="s">
        <v>66</v>
      </c>
      <c r="D24" s="11" t="s">
        <v>168</v>
      </c>
      <c r="E24" s="11" t="s">
        <v>169</v>
      </c>
      <c r="F24" s="11" t="s">
        <v>170</v>
      </c>
      <c r="G24" s="11" t="s">
        <v>171</v>
      </c>
      <c r="H24" s="11" t="s">
        <v>172</v>
      </c>
      <c r="I24" s="11" t="s">
        <v>173</v>
      </c>
      <c r="J24" s="11" t="s">
        <v>174</v>
      </c>
      <c r="O24" s="11" t="s">
        <v>66</v>
      </c>
      <c r="P24" s="11" t="s">
        <v>168</v>
      </c>
      <c r="Q24" s="11" t="s">
        <v>169</v>
      </c>
      <c r="R24" s="11" t="s">
        <v>170</v>
      </c>
      <c r="S24" s="11" t="s">
        <v>171</v>
      </c>
      <c r="T24" s="11" t="s">
        <v>172</v>
      </c>
      <c r="U24" s="11" t="s">
        <v>173</v>
      </c>
      <c r="V24" s="11" t="s">
        <v>175</v>
      </c>
      <c r="Y24" s="11" t="s">
        <v>66</v>
      </c>
      <c r="Z24" s="11" t="s">
        <v>168</v>
      </c>
      <c r="AA24" s="11" t="s">
        <v>169</v>
      </c>
      <c r="AB24" s="11" t="s">
        <v>170</v>
      </c>
      <c r="AC24" s="11" t="s">
        <v>171</v>
      </c>
      <c r="AD24" s="11" t="s">
        <v>172</v>
      </c>
    </row>
    <row r="25" spans="3:30">
      <c r="C25" s="12">
        <v>2024</v>
      </c>
      <c r="D25" s="5">
        <f t="shared" ref="D25:D38" si="2">P46-D46</f>
        <v>1120015.0671558827</v>
      </c>
      <c r="E25" s="5">
        <f t="shared" ref="E25:E38" si="3">Q46-E46</f>
        <v>0</v>
      </c>
      <c r="F25" s="5">
        <f t="shared" ref="F25:F38" si="4">R46-F46</f>
        <v>-21335360.015346825</v>
      </c>
      <c r="G25" s="5">
        <f t="shared" ref="G25:G38" si="5">S46-G46</f>
        <v>-16544015.181449652</v>
      </c>
      <c r="H25" s="5">
        <f t="shared" ref="H25:H38" si="6">T46-H46</f>
        <v>22228821.346411228</v>
      </c>
      <c r="I25" s="5">
        <f t="shared" ref="I25:I38" si="7">U46-I46</f>
        <v>1615413.6820172747</v>
      </c>
      <c r="J25" s="5">
        <f>SUM(D25:I25)</f>
        <v>-12915125.101212092</v>
      </c>
      <c r="O25" s="12">
        <v>2024</v>
      </c>
      <c r="P25" s="26">
        <f t="shared" ref="P25:P38" si="8">P66-D66</f>
        <v>256999.00384434499</v>
      </c>
      <c r="Q25" s="26">
        <f t="shared" ref="Q25:Q38" si="9">Q66-E66</f>
        <v>0</v>
      </c>
      <c r="R25" s="26">
        <f t="shared" ref="R25:R38" si="10">R66-F66</f>
        <v>-4396801.7716595158</v>
      </c>
      <c r="S25" s="26">
        <f t="shared" ref="S25:S38" si="11">S66-G66</f>
        <v>-3416576.5115785301</v>
      </c>
      <c r="T25" s="26">
        <f t="shared" ref="T25:T38" si="12">T66-H66</f>
        <v>7556379.273706615</v>
      </c>
      <c r="U25" s="26">
        <f t="shared" ref="U25:U38" si="13">U66-I66</f>
        <v>12782915.686940104</v>
      </c>
      <c r="V25" s="26">
        <f>SUM(P25:T25)</f>
        <v>-5.6870859116315842E-3</v>
      </c>
      <c r="Y25" s="12">
        <v>2024</v>
      </c>
      <c r="Z25" s="4">
        <f t="shared" ref="Z25:Z38" si="14">IFERROR(D25/P25,"")</f>
        <v>4.3580521729735393</v>
      </c>
      <c r="AA25" s="4" t="str">
        <f t="shared" ref="AA25:AA38" si="15">IFERROR(E25/Q25,"")</f>
        <v/>
      </c>
      <c r="AB25" s="4">
        <f t="shared" ref="AB25:AB38" si="16">IFERROR(F25/R25,"")</f>
        <v>4.8524725751495659</v>
      </c>
      <c r="AC25" s="4">
        <f t="shared" ref="AC25:AC38" si="17">IFERROR(G25/S25,"")</f>
        <v>4.8422785573170053</v>
      </c>
      <c r="AD25" s="4">
        <f t="shared" ref="AD25:AD38" si="18">IFERROR(H25/T25,"")</f>
        <v>2.941729172298067</v>
      </c>
    </row>
    <row r="26" spans="3:30">
      <c r="C26" s="12">
        <v>2025</v>
      </c>
      <c r="D26" s="5">
        <f t="shared" si="2"/>
        <v>-22284135.008289151</v>
      </c>
      <c r="E26" s="5">
        <f t="shared" si="3"/>
        <v>0</v>
      </c>
      <c r="F26" s="5">
        <f t="shared" si="4"/>
        <v>0</v>
      </c>
      <c r="G26" s="5">
        <f t="shared" si="5"/>
        <v>3510865.8214843273</v>
      </c>
      <c r="H26" s="5">
        <f t="shared" si="6"/>
        <v>15849223.020670176</v>
      </c>
      <c r="I26" s="5">
        <f t="shared" si="7"/>
        <v>798677.95407451084</v>
      </c>
      <c r="J26" s="5">
        <f t="shared" ref="J26:J38" si="19">SUM(D26:I26)</f>
        <v>-2125368.2120601372</v>
      </c>
      <c r="O26" s="12">
        <v>2025</v>
      </c>
      <c r="P26" s="26">
        <f t="shared" si="8"/>
        <v>-4844993.5169318337</v>
      </c>
      <c r="Q26" s="26">
        <f t="shared" si="9"/>
        <v>0</v>
      </c>
      <c r="R26" s="26">
        <f t="shared" si="10"/>
        <v>0</v>
      </c>
      <c r="S26" s="26">
        <f t="shared" si="11"/>
        <v>778991.32529456913</v>
      </c>
      <c r="T26" s="26">
        <f t="shared" si="12"/>
        <v>4066002.1515445411</v>
      </c>
      <c r="U26" s="26">
        <f t="shared" si="13"/>
        <v>6514060.1152925789</v>
      </c>
      <c r="V26" s="26">
        <f t="shared" ref="V26:V38" si="20">SUM(P26:T26)</f>
        <v>-4.0092723444104195E-2</v>
      </c>
      <c r="Y26" s="12">
        <v>2025</v>
      </c>
      <c r="Z26" s="4">
        <f t="shared" si="14"/>
        <v>4.5994148248934952</v>
      </c>
      <c r="AA26" s="4" t="str">
        <f t="shared" si="15"/>
        <v/>
      </c>
      <c r="AB26" s="4" t="str">
        <f t="shared" si="16"/>
        <v/>
      </c>
      <c r="AC26" s="4">
        <f t="shared" si="17"/>
        <v>4.5069382770812272</v>
      </c>
      <c r="AD26" s="4">
        <f t="shared" si="18"/>
        <v>3.897986875056024</v>
      </c>
    </row>
    <row r="27" spans="3:30">
      <c r="C27" s="14">
        <v>2026</v>
      </c>
      <c r="D27" s="5">
        <f t="shared" si="2"/>
        <v>-8263893.3511042818</v>
      </c>
      <c r="E27" s="5">
        <f t="shared" si="3"/>
        <v>0</v>
      </c>
      <c r="F27" s="5">
        <f t="shared" si="4"/>
        <v>-29120180.033704787</v>
      </c>
      <c r="G27" s="5">
        <f t="shared" si="5"/>
        <v>-19625112.211787879</v>
      </c>
      <c r="H27" s="5">
        <f t="shared" si="6"/>
        <v>39612972.769981623</v>
      </c>
      <c r="I27" s="5">
        <f t="shared" si="7"/>
        <v>1444783.2281230814</v>
      </c>
      <c r="J27" s="5">
        <f t="shared" si="19"/>
        <v>-15951429.598492244</v>
      </c>
      <c r="O27" s="14">
        <v>2026</v>
      </c>
      <c r="P27" s="26">
        <f t="shared" si="8"/>
        <v>-1784997.6115012001</v>
      </c>
      <c r="Q27" s="26">
        <f t="shared" si="9"/>
        <v>0</v>
      </c>
      <c r="R27" s="26">
        <f t="shared" si="10"/>
        <v>-6462011.2392138466</v>
      </c>
      <c r="S27" s="26">
        <f t="shared" si="11"/>
        <v>-4302062.8440575451</v>
      </c>
      <c r="T27" s="26">
        <f t="shared" si="12"/>
        <v>12549071.811353981</v>
      </c>
      <c r="U27" s="26">
        <f t="shared" si="13"/>
        <v>11306773.668885857</v>
      </c>
      <c r="V27" s="26">
        <f t="shared" si="20"/>
        <v>0.1165813896805048</v>
      </c>
      <c r="Y27" s="14">
        <v>2026</v>
      </c>
      <c r="Z27" s="4">
        <f t="shared" si="14"/>
        <v>4.6296383243640689</v>
      </c>
      <c r="AA27" s="4" t="str">
        <f t="shared" si="15"/>
        <v/>
      </c>
      <c r="AB27" s="4">
        <f t="shared" si="16"/>
        <v>4.5063648074446059</v>
      </c>
      <c r="AC27" s="4">
        <f t="shared" si="17"/>
        <v>4.5617911507025326</v>
      </c>
      <c r="AD27" s="4">
        <f t="shared" si="18"/>
        <v>3.1566456360653801</v>
      </c>
    </row>
    <row r="28" spans="3:30">
      <c r="C28" s="14">
        <v>2027</v>
      </c>
      <c r="D28" s="5">
        <f t="shared" si="2"/>
        <v>-12171248.504203267</v>
      </c>
      <c r="E28" s="5">
        <f t="shared" si="3"/>
        <v>0</v>
      </c>
      <c r="F28" s="5">
        <f t="shared" si="4"/>
        <v>-11580013.317682922</v>
      </c>
      <c r="G28" s="5">
        <f t="shared" si="5"/>
        <v>2280705.6287242174</v>
      </c>
      <c r="H28" s="5">
        <f t="shared" si="6"/>
        <v>-4184901.7484633923</v>
      </c>
      <c r="I28" s="5">
        <f t="shared" si="7"/>
        <v>1475355.2138730232</v>
      </c>
      <c r="J28" s="5">
        <f t="shared" si="19"/>
        <v>-24180102.727752343</v>
      </c>
      <c r="O28" s="14">
        <v>2027</v>
      </c>
      <c r="P28" s="26">
        <f t="shared" si="8"/>
        <v>-2549996.587858865</v>
      </c>
      <c r="Q28" s="26">
        <f t="shared" si="9"/>
        <v>0</v>
      </c>
      <c r="R28" s="26">
        <f t="shared" si="10"/>
        <v>-2454045.5482931659</v>
      </c>
      <c r="S28" s="26">
        <f t="shared" si="11"/>
        <v>578742.73972186446</v>
      </c>
      <c r="T28" s="26">
        <f t="shared" si="12"/>
        <v>4425299.2845876217</v>
      </c>
      <c r="U28" s="26">
        <f t="shared" si="13"/>
        <v>11947630.600555986</v>
      </c>
      <c r="V28" s="26">
        <f t="shared" si="20"/>
        <v>-0.11184254474937916</v>
      </c>
      <c r="Y28" s="14">
        <v>2027</v>
      </c>
      <c r="Z28" s="4">
        <f t="shared" si="14"/>
        <v>4.7730450158849038</v>
      </c>
      <c r="AA28" s="4" t="str">
        <f t="shared" si="15"/>
        <v/>
      </c>
      <c r="AB28" s="4">
        <f t="shared" si="16"/>
        <v>4.7187442489553773</v>
      </c>
      <c r="AC28" s="4">
        <f t="shared" si="17"/>
        <v>3.9407935032071282</v>
      </c>
      <c r="AD28" s="4">
        <f t="shared" si="18"/>
        <v>-0.94567654735545614</v>
      </c>
    </row>
    <row r="29" spans="3:30">
      <c r="C29" s="14">
        <v>2028</v>
      </c>
      <c r="D29" s="5">
        <f t="shared" si="2"/>
        <v>-10077005.581131175</v>
      </c>
      <c r="E29" s="5">
        <f t="shared" si="3"/>
        <v>0</v>
      </c>
      <c r="F29" s="5">
        <f t="shared" si="4"/>
        <v>-6798387.44844836</v>
      </c>
      <c r="G29" s="5">
        <f t="shared" si="5"/>
        <v>-12451817.469395638</v>
      </c>
      <c r="H29" s="5">
        <f t="shared" si="6"/>
        <v>662372.88081419468</v>
      </c>
      <c r="I29" s="5">
        <f t="shared" si="7"/>
        <v>1583306.3364736908</v>
      </c>
      <c r="J29" s="5">
        <f t="shared" si="19"/>
        <v>-27081531.281687286</v>
      </c>
      <c r="O29" s="14">
        <v>2028</v>
      </c>
      <c r="P29" s="26">
        <f t="shared" si="8"/>
        <v>-1955108.3380408324</v>
      </c>
      <c r="Q29" s="26">
        <f t="shared" si="9"/>
        <v>0</v>
      </c>
      <c r="R29" s="26">
        <f t="shared" si="10"/>
        <v>-1376244.872310102</v>
      </c>
      <c r="S29" s="26">
        <f t="shared" si="11"/>
        <v>-2402801.1926381141</v>
      </c>
      <c r="T29" s="26">
        <f t="shared" si="12"/>
        <v>5734154.4331296086</v>
      </c>
      <c r="U29" s="26">
        <f t="shared" si="13"/>
        <v>10872045.875290245</v>
      </c>
      <c r="V29" s="26">
        <f t="shared" si="20"/>
        <v>3.0140560120344162E-2</v>
      </c>
      <c r="Y29" s="14">
        <v>2028</v>
      </c>
      <c r="Z29" s="4">
        <f t="shared" si="14"/>
        <v>5.1541929339982779</v>
      </c>
      <c r="AA29" s="4" t="str">
        <f t="shared" si="15"/>
        <v/>
      </c>
      <c r="AB29" s="4">
        <f t="shared" si="16"/>
        <v>4.9398094664918872</v>
      </c>
      <c r="AC29" s="4">
        <f t="shared" si="17"/>
        <v>5.1822087934476091</v>
      </c>
      <c r="AD29" s="4">
        <f t="shared" si="18"/>
        <v>0.11551361033935081</v>
      </c>
    </row>
    <row r="30" spans="3:30">
      <c r="C30" s="14">
        <v>2029</v>
      </c>
      <c r="D30" s="5">
        <f t="shared" si="2"/>
        <v>-8242697.2916062027</v>
      </c>
      <c r="E30" s="5">
        <f t="shared" si="3"/>
        <v>0</v>
      </c>
      <c r="F30" s="5">
        <f t="shared" si="4"/>
        <v>-28829417.851313829</v>
      </c>
      <c r="G30" s="5">
        <f t="shared" si="5"/>
        <v>-16511819.117135584</v>
      </c>
      <c r="H30" s="5">
        <f t="shared" si="6"/>
        <v>22069813.211929321</v>
      </c>
      <c r="I30" s="5">
        <f t="shared" si="7"/>
        <v>1592920.1440405883</v>
      </c>
      <c r="J30" s="5">
        <f t="shared" si="19"/>
        <v>-29921200.904085707</v>
      </c>
      <c r="O30" s="14">
        <v>2029</v>
      </c>
      <c r="P30" s="26">
        <f t="shared" si="8"/>
        <v>-1540235.2832456362</v>
      </c>
      <c r="Q30" s="26">
        <f t="shared" si="9"/>
        <v>0</v>
      </c>
      <c r="R30" s="26">
        <f t="shared" si="10"/>
        <v>-5497338.5298979431</v>
      </c>
      <c r="S30" s="26">
        <f t="shared" si="11"/>
        <v>-3168356.0784451216</v>
      </c>
      <c r="T30" s="26">
        <f t="shared" si="12"/>
        <v>10205929.75064823</v>
      </c>
      <c r="U30" s="26">
        <f t="shared" si="13"/>
        <v>13708477.22282055</v>
      </c>
      <c r="V30" s="26">
        <f t="shared" si="20"/>
        <v>-0.1409404706209898</v>
      </c>
      <c r="Y30" s="14">
        <v>2029</v>
      </c>
      <c r="Z30" s="4">
        <f t="shared" si="14"/>
        <v>5.3515832167127808</v>
      </c>
      <c r="AA30" s="4" t="str">
        <f t="shared" si="15"/>
        <v/>
      </c>
      <c r="AB30" s="4">
        <f t="shared" si="16"/>
        <v>5.2442500483682313</v>
      </c>
      <c r="AC30" s="4">
        <f t="shared" si="17"/>
        <v>5.2114783529125299</v>
      </c>
      <c r="AD30" s="4">
        <f t="shared" si="18"/>
        <v>2.1624500414112253</v>
      </c>
    </row>
    <row r="31" spans="3:30">
      <c r="C31" s="14">
        <v>2030</v>
      </c>
      <c r="D31" s="5">
        <f t="shared" si="2"/>
        <v>-13389963.576628208</v>
      </c>
      <c r="E31" s="5">
        <f t="shared" si="3"/>
        <v>0</v>
      </c>
      <c r="F31" s="5">
        <f t="shared" si="4"/>
        <v>-27967862.232002288</v>
      </c>
      <c r="G31" s="5">
        <f t="shared" si="5"/>
        <v>-16394957.37944746</v>
      </c>
      <c r="H31" s="5">
        <f t="shared" si="6"/>
        <v>22692879.156937361</v>
      </c>
      <c r="I31" s="5">
        <f t="shared" si="7"/>
        <v>1633326.8042013822</v>
      </c>
      <c r="J31" s="5">
        <f t="shared" si="19"/>
        <v>-33426577.226939213</v>
      </c>
      <c r="O31" s="14">
        <v>2030</v>
      </c>
      <c r="P31" s="26">
        <f t="shared" si="8"/>
        <v>-2417199.5069456175</v>
      </c>
      <c r="Q31" s="26">
        <f t="shared" si="9"/>
        <v>0</v>
      </c>
      <c r="R31" s="26">
        <f t="shared" si="10"/>
        <v>-5118211.7347325683</v>
      </c>
      <c r="S31" s="26">
        <f t="shared" si="11"/>
        <v>-2975198.2046450675</v>
      </c>
      <c r="T31" s="26">
        <f t="shared" si="12"/>
        <v>10510609.501658648</v>
      </c>
      <c r="U31" s="26">
        <f t="shared" si="13"/>
        <v>14108357.245151252</v>
      </c>
      <c r="V31" s="26">
        <f t="shared" si="20"/>
        <v>5.5335395038127899E-2</v>
      </c>
      <c r="Y31" s="14">
        <v>2030</v>
      </c>
      <c r="Z31" s="4">
        <f t="shared" si="14"/>
        <v>5.5394532135859222</v>
      </c>
      <c r="AA31" s="4" t="str">
        <f t="shared" si="15"/>
        <v/>
      </c>
      <c r="AB31" s="4">
        <f t="shared" si="16"/>
        <v>5.4643816398235892</v>
      </c>
      <c r="AC31" s="4">
        <f t="shared" si="17"/>
        <v>5.5105429123513909</v>
      </c>
      <c r="AD31" s="4">
        <f t="shared" si="18"/>
        <v>2.159045025253413</v>
      </c>
    </row>
    <row r="32" spans="3:30">
      <c r="C32" s="14">
        <v>2031</v>
      </c>
      <c r="D32" s="5">
        <f t="shared" si="2"/>
        <v>-19287761.945890456</v>
      </c>
      <c r="E32" s="5">
        <f t="shared" si="3"/>
        <v>0</v>
      </c>
      <c r="F32" s="5">
        <f t="shared" si="4"/>
        <v>-30312394.714816988</v>
      </c>
      <c r="G32" s="5">
        <f t="shared" si="5"/>
        <v>0</v>
      </c>
      <c r="H32" s="5">
        <f t="shared" si="6"/>
        <v>14452435.543481588</v>
      </c>
      <c r="I32" s="5">
        <f t="shared" si="7"/>
        <v>1677918.4192599878</v>
      </c>
      <c r="J32" s="5">
        <f t="shared" si="19"/>
        <v>-33469802.697965868</v>
      </c>
      <c r="O32" s="14">
        <v>2031</v>
      </c>
      <c r="P32" s="26">
        <f t="shared" si="8"/>
        <v>-3350387.3510031924</v>
      </c>
      <c r="Q32" s="26">
        <f t="shared" si="9"/>
        <v>0</v>
      </c>
      <c r="R32" s="26">
        <f t="shared" si="10"/>
        <v>-5307126.2461897805</v>
      </c>
      <c r="S32" s="26">
        <f t="shared" si="11"/>
        <v>0</v>
      </c>
      <c r="T32" s="26">
        <f t="shared" si="12"/>
        <v>8657513.8587904572</v>
      </c>
      <c r="U32" s="26">
        <f t="shared" si="13"/>
        <v>14904849.258238643</v>
      </c>
      <c r="V32" s="26">
        <f t="shared" si="20"/>
        <v>0.26159748435020447</v>
      </c>
      <c r="Y32" s="14">
        <v>2031</v>
      </c>
      <c r="Z32" s="4">
        <f t="shared" si="14"/>
        <v>5.7568752282076288</v>
      </c>
      <c r="AA32" s="4" t="str">
        <f t="shared" si="15"/>
        <v/>
      </c>
      <c r="AB32" s="4">
        <f t="shared" si="16"/>
        <v>5.7116400305305701</v>
      </c>
      <c r="AC32" s="4" t="str">
        <f t="shared" si="17"/>
        <v/>
      </c>
      <c r="AD32" s="4">
        <f t="shared" si="18"/>
        <v>1.6693517075698612</v>
      </c>
    </row>
    <row r="33" spans="2:30">
      <c r="C33" s="14">
        <v>2032</v>
      </c>
      <c r="D33" s="5">
        <f t="shared" si="2"/>
        <v>-19500956.837596983</v>
      </c>
      <c r="E33" s="5">
        <f t="shared" si="3"/>
        <v>-2879670.8207140863</v>
      </c>
      <c r="F33" s="5">
        <f t="shared" si="4"/>
        <v>-24708158.365022749</v>
      </c>
      <c r="G33" s="5">
        <f t="shared" si="5"/>
        <v>0</v>
      </c>
      <c r="H33" s="5">
        <f t="shared" si="6"/>
        <v>17917218.564747334</v>
      </c>
      <c r="I33" s="5">
        <f t="shared" si="7"/>
        <v>1731378.7994052237</v>
      </c>
      <c r="J33" s="5">
        <f t="shared" si="19"/>
        <v>-27440188.65918126</v>
      </c>
      <c r="O33" s="14">
        <v>2032</v>
      </c>
      <c r="P33" s="26">
        <f t="shared" si="8"/>
        <v>-3249743.8932151683</v>
      </c>
      <c r="Q33" s="26">
        <f t="shared" si="9"/>
        <v>-490620.27513233572</v>
      </c>
      <c r="R33" s="26">
        <f t="shared" si="10"/>
        <v>-4170394.7468191236</v>
      </c>
      <c r="S33" s="26">
        <f t="shared" si="11"/>
        <v>0</v>
      </c>
      <c r="T33" s="26">
        <f t="shared" si="12"/>
        <v>7910759.0421741605</v>
      </c>
      <c r="U33" s="26">
        <f t="shared" si="13"/>
        <v>18804635.133111686</v>
      </c>
      <c r="V33" s="26">
        <f t="shared" si="20"/>
        <v>0.12700753286480904</v>
      </c>
      <c r="Y33" s="14">
        <v>2032</v>
      </c>
      <c r="Z33" s="4">
        <f t="shared" si="14"/>
        <v>6.0007672845577709</v>
      </c>
      <c r="AA33" s="4">
        <f t="shared" si="15"/>
        <v>5.8694492801736509</v>
      </c>
      <c r="AB33" s="4">
        <f t="shared" si="16"/>
        <v>5.9246569845380588</v>
      </c>
      <c r="AC33" s="4" t="str">
        <f t="shared" si="17"/>
        <v/>
      </c>
      <c r="AD33" s="4">
        <f t="shared" si="18"/>
        <v>2.2649177492610164</v>
      </c>
    </row>
    <row r="34" spans="2:30">
      <c r="C34" s="14">
        <v>2033</v>
      </c>
      <c r="D34" s="5">
        <f t="shared" si="2"/>
        <v>-20686198.927627042</v>
      </c>
      <c r="E34" s="5">
        <f t="shared" si="3"/>
        <v>0</v>
      </c>
      <c r="F34" s="5">
        <f t="shared" si="4"/>
        <v>-27995293.589517802</v>
      </c>
      <c r="G34" s="5">
        <f t="shared" si="5"/>
        <v>0</v>
      </c>
      <c r="H34" s="5">
        <f t="shared" si="6"/>
        <v>20878749.941485643</v>
      </c>
      <c r="I34" s="5">
        <f t="shared" si="7"/>
        <v>1846864.6119016008</v>
      </c>
      <c r="J34" s="5">
        <f t="shared" si="19"/>
        <v>-25955877.963757601</v>
      </c>
      <c r="O34" s="14">
        <v>2033</v>
      </c>
      <c r="P34" s="26">
        <f t="shared" si="8"/>
        <v>-3319005.2945057154</v>
      </c>
      <c r="Q34" s="26">
        <f t="shared" si="9"/>
        <v>0</v>
      </c>
      <c r="R34" s="26">
        <f t="shared" si="10"/>
        <v>-4549521.541984506</v>
      </c>
      <c r="S34" s="26">
        <f t="shared" si="11"/>
        <v>0</v>
      </c>
      <c r="T34" s="26">
        <f t="shared" si="12"/>
        <v>7868526.8061599433</v>
      </c>
      <c r="U34" s="26">
        <f t="shared" si="13"/>
        <v>12847428.828422487</v>
      </c>
      <c r="V34" s="26">
        <f t="shared" si="20"/>
        <v>-3.0330277979373932E-2</v>
      </c>
      <c r="Y34" s="14">
        <v>2033</v>
      </c>
      <c r="Z34" s="4">
        <f t="shared" si="14"/>
        <v>6.2326501743974303</v>
      </c>
      <c r="AA34" s="4" t="str">
        <f t="shared" si="15"/>
        <v/>
      </c>
      <c r="AB34" s="4">
        <f t="shared" si="16"/>
        <v>6.1534588486213053</v>
      </c>
      <c r="AC34" s="4" t="str">
        <f t="shared" si="17"/>
        <v/>
      </c>
      <c r="AD34" s="4">
        <f t="shared" si="18"/>
        <v>2.6534509515987841</v>
      </c>
    </row>
    <row r="35" spans="2:30">
      <c r="C35" s="14">
        <v>2034</v>
      </c>
      <c r="D35" s="5">
        <f t="shared" si="2"/>
        <v>-22181172.580034137</v>
      </c>
      <c r="E35" s="5">
        <f t="shared" si="3"/>
        <v>-1930711.9925356507</v>
      </c>
      <c r="F35" s="5">
        <f t="shared" si="4"/>
        <v>-29344430.533295512</v>
      </c>
      <c r="G35" s="5">
        <f t="shared" si="5"/>
        <v>0</v>
      </c>
      <c r="H35" s="5">
        <f t="shared" si="6"/>
        <v>26691486.844127417</v>
      </c>
      <c r="I35" s="5">
        <f t="shared" si="7"/>
        <v>2017605.7549400516</v>
      </c>
      <c r="J35" s="5">
        <f t="shared" si="19"/>
        <v>-24747222.506797832</v>
      </c>
      <c r="O35" s="14">
        <v>2034</v>
      </c>
      <c r="P35" s="26">
        <f t="shared" si="8"/>
        <v>-3399995.4504784774</v>
      </c>
      <c r="Q35" s="26">
        <f t="shared" si="9"/>
        <v>-300087.44369968027</v>
      </c>
      <c r="R35" s="26">
        <f t="shared" si="10"/>
        <v>-4549521.541984506</v>
      </c>
      <c r="S35" s="26">
        <f t="shared" si="11"/>
        <v>0</v>
      </c>
      <c r="T35" s="26">
        <f t="shared" si="12"/>
        <v>8249604.4532231688</v>
      </c>
      <c r="U35" s="26">
        <f t="shared" si="13"/>
        <v>16022387.024954349</v>
      </c>
      <c r="V35" s="26">
        <f t="shared" si="20"/>
        <v>1.7060505226254463E-2</v>
      </c>
      <c r="Y35" s="14">
        <v>2034</v>
      </c>
      <c r="Z35" s="4">
        <f t="shared" si="14"/>
        <v>6.523883017817746</v>
      </c>
      <c r="AA35" s="4">
        <f t="shared" si="15"/>
        <v>6.4338313150744728</v>
      </c>
      <c r="AB35" s="4">
        <f t="shared" si="16"/>
        <v>6.4500036459867909</v>
      </c>
      <c r="AC35" s="4" t="str">
        <f t="shared" si="17"/>
        <v/>
      </c>
      <c r="AD35" s="4">
        <f t="shared" si="18"/>
        <v>3.235486864306433</v>
      </c>
    </row>
    <row r="36" spans="2:30">
      <c r="C36" s="14">
        <v>2035</v>
      </c>
      <c r="D36" s="5">
        <f t="shared" si="2"/>
        <v>-20782305.665757164</v>
      </c>
      <c r="E36" s="5">
        <f t="shared" si="3"/>
        <v>-2203486.1199639142</v>
      </c>
      <c r="F36" s="5">
        <f t="shared" si="4"/>
        <v>-27184896.063892633</v>
      </c>
      <c r="G36" s="5">
        <f t="shared" si="5"/>
        <v>-15889161.20322299</v>
      </c>
      <c r="H36" s="5">
        <f t="shared" si="6"/>
        <v>41823446.279874802</v>
      </c>
      <c r="I36" s="5">
        <f t="shared" si="7"/>
        <v>2014124.4842733685</v>
      </c>
      <c r="J36" s="5">
        <f t="shared" si="19"/>
        <v>-22222278.288688533</v>
      </c>
      <c r="O36" s="14">
        <v>2035</v>
      </c>
      <c r="P36" s="26">
        <f t="shared" si="8"/>
        <v>-3144995.7916925903</v>
      </c>
      <c r="Q36" s="26">
        <f t="shared" si="9"/>
        <v>-340986.3230008781</v>
      </c>
      <c r="R36" s="26">
        <f t="shared" si="10"/>
        <v>-4170394.7468191236</v>
      </c>
      <c r="S36" s="26">
        <f t="shared" si="11"/>
        <v>-2409134.2194158584</v>
      </c>
      <c r="T36" s="26">
        <f t="shared" si="12"/>
        <v>10065510.977616251</v>
      </c>
      <c r="U36" s="26">
        <f t="shared" si="13"/>
        <v>13231308.196816415</v>
      </c>
      <c r="V36" s="26">
        <f t="shared" si="20"/>
        <v>-0.10331219993531704</v>
      </c>
      <c r="Y36" s="14">
        <v>2035</v>
      </c>
      <c r="Z36" s="4">
        <f t="shared" si="14"/>
        <v>6.6080551588186491</v>
      </c>
      <c r="AA36" s="4">
        <f t="shared" si="15"/>
        <v>6.462095313888117</v>
      </c>
      <c r="AB36" s="4">
        <f t="shared" si="16"/>
        <v>6.5185426594514375</v>
      </c>
      <c r="AC36" s="4">
        <f t="shared" si="17"/>
        <v>6.5953823058790091</v>
      </c>
      <c r="AD36" s="4">
        <f t="shared" si="18"/>
        <v>4.1551240044228308</v>
      </c>
    </row>
    <row r="37" spans="2:30">
      <c r="C37" s="14">
        <v>2040</v>
      </c>
      <c r="D37" s="5">
        <f t="shared" si="2"/>
        <v>-17707556.332178831</v>
      </c>
      <c r="E37" s="5">
        <f t="shared" si="3"/>
        <v>0</v>
      </c>
      <c r="F37" s="5">
        <f t="shared" si="4"/>
        <v>0</v>
      </c>
      <c r="G37" s="5">
        <f t="shared" si="5"/>
        <v>0</v>
      </c>
      <c r="H37" s="5">
        <f t="shared" si="6"/>
        <v>-1635758.1969513893</v>
      </c>
      <c r="I37" s="5">
        <f t="shared" si="7"/>
        <v>2257239.8703962928</v>
      </c>
      <c r="J37" s="5">
        <f t="shared" si="19"/>
        <v>-17086074.658733927</v>
      </c>
      <c r="O37" s="14">
        <v>2040</v>
      </c>
      <c r="P37" s="26">
        <f t="shared" si="8"/>
        <v>-2401981.3753961995</v>
      </c>
      <c r="Q37" s="26">
        <f t="shared" si="9"/>
        <v>0</v>
      </c>
      <c r="R37" s="26">
        <f t="shared" si="10"/>
        <v>0</v>
      </c>
      <c r="S37" s="26">
        <f t="shared" si="11"/>
        <v>0</v>
      </c>
      <c r="T37" s="26">
        <f t="shared" si="12"/>
        <v>2401981.1346507967</v>
      </c>
      <c r="U37" s="26">
        <f t="shared" si="13"/>
        <v>12128041.404437542</v>
      </c>
      <c r="V37" s="26">
        <f t="shared" si="20"/>
        <v>-0.24074540287256241</v>
      </c>
      <c r="Y37" s="14">
        <v>2040</v>
      </c>
      <c r="Z37" s="4">
        <f t="shared" si="14"/>
        <v>7.3720622955529889</v>
      </c>
      <c r="AA37" s="4" t="str">
        <f t="shared" si="15"/>
        <v/>
      </c>
      <c r="AB37" s="4" t="str">
        <f t="shared" si="16"/>
        <v/>
      </c>
      <c r="AC37" s="4" t="str">
        <f t="shared" si="17"/>
        <v/>
      </c>
      <c r="AD37" s="4">
        <f t="shared" si="18"/>
        <v>-0.68100376533107043</v>
      </c>
    </row>
    <row r="38" spans="2:30">
      <c r="C38" s="14">
        <v>2044</v>
      </c>
      <c r="D38" s="5">
        <f t="shared" si="2"/>
        <v>-31806462.04353641</v>
      </c>
      <c r="E38" s="5">
        <f t="shared" si="3"/>
        <v>-4862655.5306227803</v>
      </c>
      <c r="F38" s="5">
        <f t="shared" si="4"/>
        <v>-54073153.827409863</v>
      </c>
      <c r="G38" s="5">
        <f t="shared" si="5"/>
        <v>0</v>
      </c>
      <c r="H38" s="5">
        <f t="shared" si="6"/>
        <v>63814012.475599766</v>
      </c>
      <c r="I38" s="5">
        <f t="shared" si="7"/>
        <v>2431672.3350661658</v>
      </c>
      <c r="J38" s="5">
        <f t="shared" si="19"/>
        <v>-24496586.590903122</v>
      </c>
      <c r="O38" s="14">
        <v>2044</v>
      </c>
      <c r="P38" s="26">
        <f t="shared" si="8"/>
        <v>-4015838.7968980074</v>
      </c>
      <c r="Q38" s="26">
        <f t="shared" si="9"/>
        <v>-611626.71270530671</v>
      </c>
      <c r="R38" s="26">
        <f t="shared" si="10"/>
        <v>-6750952.0546776652</v>
      </c>
      <c r="S38" s="26">
        <f t="shared" si="11"/>
        <v>0</v>
      </c>
      <c r="T38" s="26">
        <f t="shared" si="12"/>
        <v>11378417.731191665</v>
      </c>
      <c r="U38" s="26">
        <f t="shared" si="13"/>
        <v>8886767.4800202549</v>
      </c>
      <c r="V38" s="26">
        <f t="shared" si="20"/>
        <v>0.16691068559885025</v>
      </c>
      <c r="Y38" s="14">
        <v>2044</v>
      </c>
      <c r="Z38" s="4">
        <f t="shared" si="14"/>
        <v>7.9202536884959072</v>
      </c>
      <c r="AA38" s="4">
        <f t="shared" si="15"/>
        <v>7.9503648706162702</v>
      </c>
      <c r="AB38" s="4">
        <f t="shared" si="16"/>
        <v>8.009707873712884</v>
      </c>
      <c r="AC38" s="4" t="str">
        <f t="shared" si="17"/>
        <v/>
      </c>
      <c r="AD38" s="4">
        <f t="shared" si="18"/>
        <v>5.6083379941893297</v>
      </c>
    </row>
    <row r="39" spans="2:30">
      <c r="Z39" s="144" t="s">
        <v>176</v>
      </c>
      <c r="AA39" s="144"/>
      <c r="AB39" s="144"/>
      <c r="AC39" s="144"/>
      <c r="AD39" s="143" t="s">
        <v>177</v>
      </c>
    </row>
    <row r="44" spans="2:30">
      <c r="B44">
        <v>1.3</v>
      </c>
      <c r="C44" s="142">
        <v>4.4999999999999998E-2</v>
      </c>
      <c r="N44">
        <v>1.3</v>
      </c>
      <c r="O44" s="142">
        <v>1.2E-2</v>
      </c>
    </row>
    <row r="45" spans="2:30" ht="25.5">
      <c r="C45" s="11" t="s">
        <v>66</v>
      </c>
      <c r="D45" s="11" t="s">
        <v>168</v>
      </c>
      <c r="E45" s="11" t="s">
        <v>169</v>
      </c>
      <c r="F45" s="11" t="s">
        <v>170</v>
      </c>
      <c r="G45" s="11" t="s">
        <v>171</v>
      </c>
      <c r="H45" s="11" t="s">
        <v>172</v>
      </c>
      <c r="I45" s="11" t="s">
        <v>173</v>
      </c>
      <c r="J45" s="11" t="s">
        <v>174</v>
      </c>
      <c r="O45" s="11" t="s">
        <v>66</v>
      </c>
      <c r="P45" s="11" t="s">
        <v>168</v>
      </c>
      <c r="Q45" s="11" t="s">
        <v>169</v>
      </c>
      <c r="R45" s="11" t="s">
        <v>170</v>
      </c>
      <c r="S45" s="11" t="s">
        <v>171</v>
      </c>
      <c r="T45" s="11" t="s">
        <v>172</v>
      </c>
      <c r="U45" s="11" t="s">
        <v>173</v>
      </c>
      <c r="V45" s="11" t="s">
        <v>174</v>
      </c>
    </row>
    <row r="46" spans="2:30">
      <c r="C46" s="12">
        <v>2024</v>
      </c>
      <c r="D46" s="5">
        <v>67272980.625515208</v>
      </c>
      <c r="E46" s="5">
        <v>147421596.35126987</v>
      </c>
      <c r="F46" s="5">
        <v>199609808.4963612</v>
      </c>
      <c r="G46" s="5">
        <v>360859715.13877314</v>
      </c>
      <c r="H46" s="5">
        <v>1019907439.7717782</v>
      </c>
      <c r="I46" s="5">
        <v>4071141.7217278886</v>
      </c>
      <c r="J46" s="5">
        <f>SUM(D46:I46)</f>
        <v>1799142682.1054254</v>
      </c>
      <c r="O46" s="12">
        <v>2024</v>
      </c>
      <c r="P46" s="5">
        <v>68392995.69267109</v>
      </c>
      <c r="Q46" s="5">
        <v>147421596.35126987</v>
      </c>
      <c r="R46" s="5">
        <v>178274448.48101437</v>
      </c>
      <c r="S46" s="5">
        <v>344315699.95732349</v>
      </c>
      <c r="T46" s="5">
        <v>1042136261.1181895</v>
      </c>
      <c r="U46" s="5">
        <v>5686555.4037451632</v>
      </c>
      <c r="V46" s="5">
        <f>SUM(P46:U46)</f>
        <v>1786227557.0042133</v>
      </c>
    </row>
    <row r="47" spans="2:30">
      <c r="C47" s="12">
        <v>2025</v>
      </c>
      <c r="D47" s="5">
        <v>69818689.57847169</v>
      </c>
      <c r="E47" s="5">
        <v>150458349.72078234</v>
      </c>
      <c r="F47" s="5">
        <v>205591179.99557996</v>
      </c>
      <c r="G47" s="5">
        <v>325366287.9872483</v>
      </c>
      <c r="H47" s="5">
        <v>1005462405.5501225</v>
      </c>
      <c r="I47" s="5">
        <v>3987920.6924140393</v>
      </c>
      <c r="J47" s="5">
        <f t="shared" ref="J47:J59" si="21">SUM(D47:I47)</f>
        <v>1760684833.5246189</v>
      </c>
      <c r="O47" s="12">
        <v>2025</v>
      </c>
      <c r="P47" s="5">
        <v>47534554.57018254</v>
      </c>
      <c r="Q47" s="5">
        <v>150458349.72078234</v>
      </c>
      <c r="R47" s="5">
        <v>205591179.99557996</v>
      </c>
      <c r="S47" s="5">
        <v>328877153.80873263</v>
      </c>
      <c r="T47" s="5">
        <v>1021311628.5707927</v>
      </c>
      <c r="U47" s="5">
        <v>4786598.6464885501</v>
      </c>
      <c r="V47" s="5">
        <f t="shared" ref="V47:V59" si="22">SUM(P47:U47)</f>
        <v>1758559465.3125587</v>
      </c>
    </row>
    <row r="48" spans="2:30">
      <c r="C48" s="14">
        <v>2026</v>
      </c>
      <c r="D48" s="5">
        <v>68254625.82504113</v>
      </c>
      <c r="E48" s="5">
        <v>140411106.15410468</v>
      </c>
      <c r="F48" s="5">
        <v>189380703.61189955</v>
      </c>
      <c r="G48" s="5">
        <v>351309243.45523995</v>
      </c>
      <c r="H48" s="5">
        <v>894008544.54924524</v>
      </c>
      <c r="I48" s="5">
        <v>3723049.5625382601</v>
      </c>
      <c r="J48" s="5">
        <f t="shared" si="21"/>
        <v>1647087273.1580687</v>
      </c>
      <c r="O48" s="14">
        <v>2026</v>
      </c>
      <c r="P48" s="5">
        <v>59990732.473936848</v>
      </c>
      <c r="Q48" s="5">
        <v>140411106.15410468</v>
      </c>
      <c r="R48" s="5">
        <v>160260523.57819477</v>
      </c>
      <c r="S48" s="5">
        <v>331684131.24345207</v>
      </c>
      <c r="T48" s="5">
        <v>933621517.31922686</v>
      </c>
      <c r="U48" s="5">
        <v>5167832.7906613415</v>
      </c>
      <c r="V48" s="5">
        <f t="shared" si="22"/>
        <v>1631135843.5595765</v>
      </c>
    </row>
    <row r="49" spans="2:22">
      <c r="C49" s="14">
        <v>2027</v>
      </c>
      <c r="D49" s="5">
        <v>67841518.000167206</v>
      </c>
      <c r="E49" s="5">
        <v>141098467.49442816</v>
      </c>
      <c r="F49" s="5">
        <v>189227952.29698977</v>
      </c>
      <c r="G49" s="5">
        <v>328782757.91330767</v>
      </c>
      <c r="H49" s="5">
        <v>955404222.77550757</v>
      </c>
      <c r="I49" s="5">
        <v>3793704.9911346743</v>
      </c>
      <c r="J49" s="5">
        <f t="shared" si="21"/>
        <v>1686148623.471535</v>
      </c>
      <c r="O49" s="14">
        <v>2027</v>
      </c>
      <c r="P49" s="5">
        <v>55670269.495963939</v>
      </c>
      <c r="Q49" s="5">
        <v>141098467.49442816</v>
      </c>
      <c r="R49" s="5">
        <v>177647938.97930685</v>
      </c>
      <c r="S49" s="5">
        <v>331063463.54203188</v>
      </c>
      <c r="T49" s="5">
        <v>951219321.02704418</v>
      </c>
      <c r="U49" s="5">
        <v>5269060.2050076975</v>
      </c>
      <c r="V49" s="5">
        <f t="shared" si="22"/>
        <v>1661968520.7437828</v>
      </c>
    </row>
    <row r="50" spans="2:22">
      <c r="C50" s="14">
        <v>2028</v>
      </c>
      <c r="D50" s="5">
        <v>76490389.927043483</v>
      </c>
      <c r="E50" s="5">
        <v>149996454.81885529</v>
      </c>
      <c r="F50" s="5">
        <v>205502595.70659044</v>
      </c>
      <c r="G50" s="5">
        <v>316958115.71122402</v>
      </c>
      <c r="H50" s="5">
        <v>1019238431.7807202</v>
      </c>
      <c r="I50" s="5">
        <v>3944517.9587214203</v>
      </c>
      <c r="J50" s="5">
        <f t="shared" si="21"/>
        <v>1772130505.9031549</v>
      </c>
      <c r="O50" s="14">
        <v>2028</v>
      </c>
      <c r="P50" s="5">
        <v>66413384.345912308</v>
      </c>
      <c r="Q50" s="5">
        <v>149996454.81885529</v>
      </c>
      <c r="R50" s="5">
        <v>198704208.25814208</v>
      </c>
      <c r="S50" s="5">
        <v>304506298.24182838</v>
      </c>
      <c r="T50" s="5">
        <v>1019900804.6615344</v>
      </c>
      <c r="U50" s="5">
        <v>5527824.2951951111</v>
      </c>
      <c r="V50" s="5">
        <f t="shared" si="22"/>
        <v>1745048974.6214676</v>
      </c>
    </row>
    <row r="51" spans="2:22">
      <c r="C51" s="14">
        <v>2029</v>
      </c>
      <c r="D51" s="5">
        <v>74955572.412081987</v>
      </c>
      <c r="E51" s="5">
        <v>157862104.6009773</v>
      </c>
      <c r="F51" s="5">
        <v>206619637.01093441</v>
      </c>
      <c r="G51" s="5">
        <v>323949880.20433855</v>
      </c>
      <c r="H51" s="5">
        <v>1128809602.9657631</v>
      </c>
      <c r="I51" s="5">
        <v>4146909.8458662173</v>
      </c>
      <c r="J51" s="5">
        <f t="shared" si="21"/>
        <v>1896343707.0399616</v>
      </c>
      <c r="O51" s="14">
        <v>2029</v>
      </c>
      <c r="P51" s="5">
        <v>66712875.120475784</v>
      </c>
      <c r="Q51" s="5">
        <v>157862104.6009773</v>
      </c>
      <c r="R51" s="5">
        <v>177790219.15962058</v>
      </c>
      <c r="S51" s="5">
        <v>307438061.08720297</v>
      </c>
      <c r="T51" s="5">
        <v>1150879416.1776924</v>
      </c>
      <c r="U51" s="5">
        <v>5739829.9899068056</v>
      </c>
      <c r="V51" s="5">
        <f t="shared" si="22"/>
        <v>1866422506.1358757</v>
      </c>
    </row>
    <row r="52" spans="2:22">
      <c r="C52" s="14">
        <v>2030</v>
      </c>
      <c r="D52" s="5">
        <v>83345302.777714372</v>
      </c>
      <c r="E52" s="5">
        <v>159999682.052807</v>
      </c>
      <c r="F52" s="5">
        <v>209098422.82754961</v>
      </c>
      <c r="G52" s="5">
        <v>395994134.70324785</v>
      </c>
      <c r="H52" s="5">
        <v>1118437441.8613989</v>
      </c>
      <c r="I52" s="5">
        <v>4245475.376029023</v>
      </c>
      <c r="J52" s="5">
        <f t="shared" si="21"/>
        <v>1971120459.5987468</v>
      </c>
      <c r="O52" s="14">
        <v>2030</v>
      </c>
      <c r="P52" s="5">
        <v>69955339.201086164</v>
      </c>
      <c r="Q52" s="5">
        <v>159999682.052807</v>
      </c>
      <c r="R52" s="5">
        <v>181130560.59554732</v>
      </c>
      <c r="S52" s="5">
        <v>379599177.32380038</v>
      </c>
      <c r="T52" s="5">
        <v>1141130321.0183363</v>
      </c>
      <c r="U52" s="5">
        <v>5878802.1802304052</v>
      </c>
      <c r="V52" s="5">
        <f t="shared" si="22"/>
        <v>1937693882.3718076</v>
      </c>
    </row>
    <row r="53" spans="2:22">
      <c r="C53" s="14">
        <v>2031</v>
      </c>
      <c r="D53" s="5">
        <v>95538683.385317147</v>
      </c>
      <c r="E53" s="5">
        <v>170740237.59925473</v>
      </c>
      <c r="F53" s="5">
        <v>211719966.66244665</v>
      </c>
      <c r="G53" s="5">
        <v>420256037.11565626</v>
      </c>
      <c r="H53" s="5">
        <v>1188964869.8053274</v>
      </c>
      <c r="I53" s="5">
        <v>4429072.5047234995</v>
      </c>
      <c r="J53" s="5">
        <f t="shared" si="21"/>
        <v>2091648867.0727258</v>
      </c>
      <c r="O53" s="14">
        <v>2031</v>
      </c>
      <c r="P53" s="5">
        <v>76250921.43942669</v>
      </c>
      <c r="Q53" s="5">
        <v>170740237.59925473</v>
      </c>
      <c r="R53" s="5">
        <v>181407571.94762966</v>
      </c>
      <c r="S53" s="5">
        <v>420256037.11565626</v>
      </c>
      <c r="T53" s="5">
        <v>1203417305.348809</v>
      </c>
      <c r="U53" s="5">
        <v>6106990.9239834873</v>
      </c>
      <c r="V53" s="5">
        <f t="shared" si="22"/>
        <v>2058179064.3747599</v>
      </c>
    </row>
    <row r="54" spans="2:22">
      <c r="C54" s="14">
        <v>2032</v>
      </c>
      <c r="D54" s="5">
        <v>97102486.73876141</v>
      </c>
      <c r="E54" s="5">
        <v>177366973.42967069</v>
      </c>
      <c r="F54" s="5">
        <v>220945625.51639876</v>
      </c>
      <c r="G54" s="5">
        <v>441582165.8019197</v>
      </c>
      <c r="H54" s="5">
        <v>1268147683.6070838</v>
      </c>
      <c r="I54" s="5">
        <v>4694790.2843625555</v>
      </c>
      <c r="J54" s="5">
        <f t="shared" si="21"/>
        <v>2209839725.3781972</v>
      </c>
      <c r="O54" s="14">
        <v>2032</v>
      </c>
      <c r="P54" s="5">
        <v>77601529.901164427</v>
      </c>
      <c r="Q54" s="5">
        <v>174487302.60895661</v>
      </c>
      <c r="R54" s="5">
        <v>196237467.15137601</v>
      </c>
      <c r="S54" s="5">
        <v>441582165.8019197</v>
      </c>
      <c r="T54" s="5">
        <v>1286064902.1718311</v>
      </c>
      <c r="U54" s="5">
        <v>6426169.0837677792</v>
      </c>
      <c r="V54" s="5">
        <f t="shared" si="22"/>
        <v>2182399536.7190161</v>
      </c>
    </row>
    <row r="55" spans="2:22">
      <c r="C55" s="14">
        <v>2033</v>
      </c>
      <c r="D55" s="5">
        <v>106893452.44021083</v>
      </c>
      <c r="E55" s="5">
        <v>184960544.67580166</v>
      </c>
      <c r="F55" s="5">
        <v>235420248.61721277</v>
      </c>
      <c r="G55" s="5">
        <v>466667949.23960888</v>
      </c>
      <c r="H55" s="5">
        <v>1338446897.6406689</v>
      </c>
      <c r="I55" s="5">
        <v>4929609.8759865602</v>
      </c>
      <c r="J55" s="5">
        <f t="shared" si="21"/>
        <v>2337318702.4894896</v>
      </c>
      <c r="O55" s="14">
        <v>2033</v>
      </c>
      <c r="P55" s="5">
        <v>86207253.512583792</v>
      </c>
      <c r="Q55" s="5">
        <v>184960544.67580166</v>
      </c>
      <c r="R55" s="5">
        <v>207424955.02769497</v>
      </c>
      <c r="S55" s="5">
        <v>466667949.23960888</v>
      </c>
      <c r="T55" s="5">
        <v>1359325647.5821545</v>
      </c>
      <c r="U55" s="5">
        <v>6776474.4878881611</v>
      </c>
      <c r="V55" s="5">
        <f t="shared" si="22"/>
        <v>2311362824.525732</v>
      </c>
    </row>
    <row r="56" spans="2:22">
      <c r="C56" s="14">
        <v>2034</v>
      </c>
      <c r="D56" s="5">
        <v>112194769.5554346</v>
      </c>
      <c r="E56" s="5">
        <v>192654558.32924446</v>
      </c>
      <c r="F56" s="5">
        <v>243358007.87949914</v>
      </c>
      <c r="G56" s="5">
        <v>491371980.62011409</v>
      </c>
      <c r="H56" s="5">
        <v>1432873431.9976602</v>
      </c>
      <c r="I56" s="5">
        <v>5170315.0183129786</v>
      </c>
      <c r="J56" s="5">
        <f t="shared" si="21"/>
        <v>2477623063.4002652</v>
      </c>
      <c r="O56" s="14">
        <v>2034</v>
      </c>
      <c r="P56" s="5">
        <v>90013596.975400463</v>
      </c>
      <c r="Q56" s="5">
        <v>190723846.33670881</v>
      </c>
      <c r="R56" s="5">
        <v>214013577.34620363</v>
      </c>
      <c r="S56" s="5">
        <v>491371980.62011409</v>
      </c>
      <c r="T56" s="5">
        <v>1459564918.8417876</v>
      </c>
      <c r="U56" s="5">
        <v>7187920.7732530301</v>
      </c>
      <c r="V56" s="5">
        <f t="shared" si="22"/>
        <v>2452875840.8934674</v>
      </c>
    </row>
    <row r="57" spans="2:22">
      <c r="C57" s="14">
        <v>2035</v>
      </c>
      <c r="D57" s="5">
        <v>109600002.8500917</v>
      </c>
      <c r="E57" s="5">
        <v>193638781.80829889</v>
      </c>
      <c r="F57" s="5">
        <v>234628378.36007819</v>
      </c>
      <c r="G57" s="5">
        <v>512337610.58280522</v>
      </c>
      <c r="H57" s="5">
        <v>1476277258.1242054</v>
      </c>
      <c r="I57" s="5">
        <v>5329440.5839564968</v>
      </c>
      <c r="J57" s="5">
        <f t="shared" si="21"/>
        <v>2531811472.3094358</v>
      </c>
      <c r="O57" s="14">
        <v>2035</v>
      </c>
      <c r="P57" s="5">
        <v>88817697.184334531</v>
      </c>
      <c r="Q57" s="5">
        <v>191435295.68833497</v>
      </c>
      <c r="R57" s="5">
        <v>207443482.29618555</v>
      </c>
      <c r="S57" s="5">
        <v>496448449.37958223</v>
      </c>
      <c r="T57" s="5">
        <v>1518100704.4040802</v>
      </c>
      <c r="U57" s="5">
        <v>7343565.0682298653</v>
      </c>
      <c r="V57" s="5">
        <f t="shared" si="22"/>
        <v>2509589194.0207472</v>
      </c>
    </row>
    <row r="58" spans="2:22">
      <c r="C58" s="14">
        <v>2040</v>
      </c>
      <c r="D58" s="5">
        <v>140327728.04767108</v>
      </c>
      <c r="E58" s="5">
        <v>223759263.27520433</v>
      </c>
      <c r="F58" s="5">
        <v>267852015.7563436</v>
      </c>
      <c r="G58" s="5">
        <v>575883397.61716318</v>
      </c>
      <c r="H58" s="5">
        <v>1669154515.0836048</v>
      </c>
      <c r="I58" s="5">
        <v>6180975.7108157957</v>
      </c>
      <c r="J58" s="5">
        <f t="shared" si="21"/>
        <v>2883157895.4908028</v>
      </c>
      <c r="O58" s="14">
        <v>2040</v>
      </c>
      <c r="P58" s="5">
        <v>122620171.71549225</v>
      </c>
      <c r="Q58" s="5">
        <v>223759263.27520433</v>
      </c>
      <c r="R58" s="5">
        <v>267852015.7563436</v>
      </c>
      <c r="S58" s="5">
        <v>575883397.61716318</v>
      </c>
      <c r="T58" s="5">
        <v>1667518756.8866534</v>
      </c>
      <c r="U58" s="5">
        <v>8438215.5812120885</v>
      </c>
      <c r="V58" s="5">
        <f t="shared" si="22"/>
        <v>2866071820.8320689</v>
      </c>
    </row>
    <row r="59" spans="2:22">
      <c r="C59" s="14">
        <v>2044</v>
      </c>
      <c r="D59" s="5">
        <v>159335578.04832023</v>
      </c>
      <c r="E59" s="5">
        <v>235866537.1496022</v>
      </c>
      <c r="F59" s="5">
        <v>339181703.79211599</v>
      </c>
      <c r="G59" s="5">
        <v>607165230.99526834</v>
      </c>
      <c r="H59" s="5">
        <v>1849473014.2346618</v>
      </c>
      <c r="I59" s="5">
        <v>6401642.1682427786</v>
      </c>
      <c r="J59" s="5">
        <f t="shared" si="21"/>
        <v>3197423706.3882117</v>
      </c>
      <c r="O59" s="14">
        <v>2044</v>
      </c>
      <c r="P59" s="5">
        <v>127529116.00478382</v>
      </c>
      <c r="Q59" s="5">
        <v>231003881.61897942</v>
      </c>
      <c r="R59" s="5">
        <v>285108549.96470612</v>
      </c>
      <c r="S59" s="5">
        <v>607165230.99526834</v>
      </c>
      <c r="T59" s="5">
        <v>1913287026.7102616</v>
      </c>
      <c r="U59" s="5">
        <v>8833314.5033089444</v>
      </c>
      <c r="V59" s="5">
        <f t="shared" si="22"/>
        <v>3172927119.7973084</v>
      </c>
    </row>
    <row r="64" spans="2:22">
      <c r="B64">
        <v>0.94781698791343783</v>
      </c>
      <c r="C64" s="142">
        <v>4.4999999999999998E-2</v>
      </c>
      <c r="N64">
        <v>1.3</v>
      </c>
      <c r="O64" s="142">
        <v>1.2E-2</v>
      </c>
    </row>
    <row r="65" spans="3:22" ht="25.5">
      <c r="C65" s="11" t="s">
        <v>66</v>
      </c>
      <c r="D65" s="11" t="s">
        <v>168</v>
      </c>
      <c r="E65" s="11" t="s">
        <v>169</v>
      </c>
      <c r="F65" s="11" t="s">
        <v>170</v>
      </c>
      <c r="G65" s="11" t="s">
        <v>171</v>
      </c>
      <c r="H65" s="11" t="s">
        <v>172</v>
      </c>
      <c r="I65" s="11" t="s">
        <v>173</v>
      </c>
      <c r="J65" s="11" t="s">
        <v>174</v>
      </c>
      <c r="O65" s="11" t="s">
        <v>66</v>
      </c>
      <c r="P65" s="11" t="s">
        <v>168</v>
      </c>
      <c r="Q65" s="11" t="s">
        <v>169</v>
      </c>
      <c r="R65" s="11" t="s">
        <v>170</v>
      </c>
      <c r="S65" s="11" t="s">
        <v>171</v>
      </c>
      <c r="T65" s="11" t="s">
        <v>172</v>
      </c>
      <c r="U65" s="11" t="s">
        <v>173</v>
      </c>
      <c r="V65" s="11" t="s">
        <v>174</v>
      </c>
    </row>
    <row r="66" spans="3:22">
      <c r="C66" s="12">
        <v>2024</v>
      </c>
      <c r="D66" s="26">
        <v>15837662.969264232</v>
      </c>
      <c r="E66" s="26">
        <v>35530012.245795436</v>
      </c>
      <c r="F66" s="26">
        <v>48037300.511062913</v>
      </c>
      <c r="G66" s="26">
        <v>86093076.063829795</v>
      </c>
      <c r="H66" s="26">
        <v>234355831.51605234</v>
      </c>
      <c r="I66" s="26">
        <v>166021445.95737097</v>
      </c>
      <c r="J66" s="26">
        <f>SUM(D66:I66)</f>
        <v>585875329.26337576</v>
      </c>
      <c r="O66" s="12">
        <v>2024</v>
      </c>
      <c r="P66" s="5">
        <v>16094661.973108577</v>
      </c>
      <c r="Q66" s="5">
        <v>35530012.245795436</v>
      </c>
      <c r="R66" s="5">
        <v>43640498.739403397</v>
      </c>
      <c r="S66" s="5">
        <v>82676499.552251264</v>
      </c>
      <c r="T66" s="5">
        <v>241912210.78975895</v>
      </c>
      <c r="U66" s="5">
        <v>178804361.64431107</v>
      </c>
      <c r="V66" s="5">
        <f>SUM(P66:U66)</f>
        <v>598658244.94462872</v>
      </c>
    </row>
    <row r="67" spans="3:22">
      <c r="C67" s="12">
        <v>2025</v>
      </c>
      <c r="D67" s="26">
        <v>16224322.975273393</v>
      </c>
      <c r="E67" s="26">
        <v>38610013.307350546</v>
      </c>
      <c r="F67" s="26">
        <v>51315939.141050339</v>
      </c>
      <c r="G67" s="26">
        <v>78550691.053460672</v>
      </c>
      <c r="H67" s="26">
        <v>236728299.75280941</v>
      </c>
      <c r="I67" s="26">
        <v>166659005.09830752</v>
      </c>
      <c r="J67" s="26">
        <f t="shared" ref="J67:J79" si="23">SUM(D67:I67)</f>
        <v>588088271.32825184</v>
      </c>
      <c r="O67" s="12">
        <v>2025</v>
      </c>
      <c r="P67" s="5">
        <v>11379329.458341559</v>
      </c>
      <c r="Q67" s="5">
        <v>38610013.307350546</v>
      </c>
      <c r="R67" s="5">
        <v>51315939.141050339</v>
      </c>
      <c r="S67" s="5">
        <v>79329682.378755242</v>
      </c>
      <c r="T67" s="5">
        <v>240794301.90435395</v>
      </c>
      <c r="U67" s="5">
        <v>173173065.2136001</v>
      </c>
      <c r="V67" s="5">
        <f t="shared" ref="V67:V79" si="24">SUM(P67:U67)</f>
        <v>594602331.40345168</v>
      </c>
    </row>
    <row r="68" spans="3:22">
      <c r="C68" s="14">
        <v>2026</v>
      </c>
      <c r="D68" s="26">
        <v>17266147.103092205</v>
      </c>
      <c r="E68" s="26">
        <v>38830013.38317591</v>
      </c>
      <c r="F68" s="26">
        <v>51820016.058389321</v>
      </c>
      <c r="G68" s="26">
        <v>91926680.659604803</v>
      </c>
      <c r="H68" s="26">
        <v>223378727.09221125</v>
      </c>
      <c r="I68" s="26">
        <v>165565430.91172418</v>
      </c>
      <c r="J68" s="26">
        <f t="shared" si="23"/>
        <v>588787015.20819771</v>
      </c>
      <c r="O68" s="14">
        <v>2026</v>
      </c>
      <c r="P68" s="5">
        <v>15481149.491591005</v>
      </c>
      <c r="Q68" s="5">
        <v>38830013.38317591</v>
      </c>
      <c r="R68" s="5">
        <v>45358004.819175474</v>
      </c>
      <c r="S68" s="5">
        <v>87624617.815547258</v>
      </c>
      <c r="T68" s="5">
        <v>235927798.90356523</v>
      </c>
      <c r="U68" s="5">
        <v>176872204.58061004</v>
      </c>
      <c r="V68" s="5">
        <f t="shared" si="24"/>
        <v>600093788.99366498</v>
      </c>
    </row>
    <row r="69" spans="3:22">
      <c r="C69" s="14">
        <v>2027</v>
      </c>
      <c r="D69" s="26">
        <v>16957455.640269384</v>
      </c>
      <c r="E69" s="26">
        <v>38720013.345263228</v>
      </c>
      <c r="F69" s="26">
        <v>51640248.277816541</v>
      </c>
      <c r="G69" s="26">
        <v>85382538.389431477</v>
      </c>
      <c r="H69" s="26">
        <v>232744986.30072731</v>
      </c>
      <c r="I69" s="26">
        <v>164434958.84749255</v>
      </c>
      <c r="J69" s="26">
        <f t="shared" si="23"/>
        <v>589880200.80100048</v>
      </c>
      <c r="O69" s="14">
        <v>2027</v>
      </c>
      <c r="P69" s="5">
        <v>14407459.052410519</v>
      </c>
      <c r="Q69" s="5">
        <v>38720013.345263228</v>
      </c>
      <c r="R69" s="5">
        <v>49186202.729523376</v>
      </c>
      <c r="S69" s="5">
        <v>85961281.129153341</v>
      </c>
      <c r="T69" s="5">
        <v>237170285.58531493</v>
      </c>
      <c r="U69" s="5">
        <v>176382589.44804853</v>
      </c>
      <c r="V69" s="5">
        <f t="shared" si="24"/>
        <v>601827831.28971386</v>
      </c>
    </row>
    <row r="70" spans="3:22">
      <c r="C70" s="14">
        <v>2028</v>
      </c>
      <c r="D70" s="26">
        <v>18597991.852565229</v>
      </c>
      <c r="E70" s="26">
        <v>39270013.534826636</v>
      </c>
      <c r="F70" s="26">
        <v>53013361.540998764</v>
      </c>
      <c r="G70" s="26">
        <v>79587706.364306748</v>
      </c>
      <c r="H70" s="26">
        <v>236138573.30331284</v>
      </c>
      <c r="I70" s="26">
        <v>166842382.35836679</v>
      </c>
      <c r="J70" s="26">
        <f t="shared" si="23"/>
        <v>593450028.95437694</v>
      </c>
      <c r="O70" s="14">
        <v>2028</v>
      </c>
      <c r="P70" s="5">
        <v>16642883.514524397</v>
      </c>
      <c r="Q70" s="5">
        <v>39270013.534826636</v>
      </c>
      <c r="R70" s="5">
        <v>51637116.668688662</v>
      </c>
      <c r="S70" s="5">
        <v>77184905.171668634</v>
      </c>
      <c r="T70" s="5">
        <v>241872727.73644245</v>
      </c>
      <c r="U70" s="5">
        <v>177714428.23365703</v>
      </c>
      <c r="V70" s="5">
        <f t="shared" si="24"/>
        <v>604322074.85980785</v>
      </c>
    </row>
    <row r="71" spans="3:22">
      <c r="C71" s="14">
        <v>2029</v>
      </c>
      <c r="D71" s="26">
        <v>17303933.260130316</v>
      </c>
      <c r="E71" s="26">
        <v>38610013.307350546</v>
      </c>
      <c r="F71" s="26">
        <v>50619503.167604387</v>
      </c>
      <c r="G71" s="26">
        <v>73564001.3060918</v>
      </c>
      <c r="H71" s="26">
        <v>249098534.23562357</v>
      </c>
      <c r="I71" s="26">
        <v>166630998.95759085</v>
      </c>
      <c r="J71" s="26">
        <f t="shared" si="23"/>
        <v>595826984.23439145</v>
      </c>
      <c r="O71" s="14">
        <v>2029</v>
      </c>
      <c r="P71" s="5">
        <v>15763697.97688468</v>
      </c>
      <c r="Q71" s="5">
        <v>38610013.307350546</v>
      </c>
      <c r="R71" s="5">
        <v>45122164.637706444</v>
      </c>
      <c r="S71" s="5">
        <v>70395645.227646679</v>
      </c>
      <c r="T71" s="5">
        <v>259304463.9862718</v>
      </c>
      <c r="U71" s="5">
        <v>180339476.1804114</v>
      </c>
      <c r="V71" s="5">
        <f t="shared" si="24"/>
        <v>609535461.31627154</v>
      </c>
    </row>
    <row r="72" spans="3:22">
      <c r="C72" s="14">
        <v>2030</v>
      </c>
      <c r="D72" s="26">
        <v>18425481.509986255</v>
      </c>
      <c r="E72" s="26">
        <v>37730013.004049085</v>
      </c>
      <c r="F72" s="26">
        <v>49840222.507620454</v>
      </c>
      <c r="G72" s="26">
        <v>89057556.812150255</v>
      </c>
      <c r="H72" s="26">
        <v>236746754.55105507</v>
      </c>
      <c r="I72" s="26">
        <v>166877195.45555872</v>
      </c>
      <c r="J72" s="26">
        <f t="shared" si="23"/>
        <v>598677223.84041977</v>
      </c>
      <c r="O72" s="14">
        <v>2030</v>
      </c>
      <c r="P72" s="5">
        <v>16008282.003040638</v>
      </c>
      <c r="Q72" s="5">
        <v>37730013.004049085</v>
      </c>
      <c r="R72" s="5">
        <v>44722010.772887886</v>
      </c>
      <c r="S72" s="5">
        <v>86082358.607505187</v>
      </c>
      <c r="T72" s="5">
        <v>247257364.05271372</v>
      </c>
      <c r="U72" s="5">
        <v>180985552.70070997</v>
      </c>
      <c r="V72" s="5">
        <f t="shared" si="24"/>
        <v>612785581.14090645</v>
      </c>
    </row>
    <row r="73" spans="3:22">
      <c r="C73" s="14">
        <v>2031</v>
      </c>
      <c r="D73" s="26">
        <v>20145997.133801494</v>
      </c>
      <c r="E73" s="26">
        <v>38060013.11778713</v>
      </c>
      <c r="F73" s="26">
        <v>48074245.128220685</v>
      </c>
      <c r="G73" s="26">
        <v>91270232.413255811</v>
      </c>
      <c r="H73" s="26">
        <v>237363050.60698202</v>
      </c>
      <c r="I73" s="26">
        <v>165084165.70589614</v>
      </c>
      <c r="J73" s="26">
        <f t="shared" si="23"/>
        <v>599997704.10594332</v>
      </c>
      <c r="O73" s="14">
        <v>2031</v>
      </c>
      <c r="P73" s="5">
        <v>16795609.782798301</v>
      </c>
      <c r="Q73" s="5">
        <v>38060013.11778713</v>
      </c>
      <c r="R73" s="5">
        <v>42767118.882030904</v>
      </c>
      <c r="S73" s="5">
        <v>91270232.413255811</v>
      </c>
      <c r="T73" s="5">
        <v>246020564.46577248</v>
      </c>
      <c r="U73" s="5">
        <v>179989014.96413478</v>
      </c>
      <c r="V73" s="5">
        <f t="shared" si="24"/>
        <v>614902553.62577939</v>
      </c>
    </row>
    <row r="74" spans="3:22">
      <c r="C74" s="14">
        <v>2032</v>
      </c>
      <c r="D74" s="26">
        <v>19125880.966943994</v>
      </c>
      <c r="E74" s="26">
        <v>37400012.89031104</v>
      </c>
      <c r="F74" s="26">
        <v>47259512.872586861</v>
      </c>
      <c r="G74" s="26">
        <v>90948600.213637963</v>
      </c>
      <c r="H74" s="26">
        <v>242321601.83914405</v>
      </c>
      <c r="I74" s="26">
        <v>163848180.43781546</v>
      </c>
      <c r="J74" s="26">
        <f t="shared" si="23"/>
        <v>600903789.22043931</v>
      </c>
      <c r="O74" s="14">
        <v>2032</v>
      </c>
      <c r="P74" s="5">
        <v>15876137.073728826</v>
      </c>
      <c r="Q74" s="5">
        <v>36909392.615178704</v>
      </c>
      <c r="R74" s="5">
        <v>43089118.125767738</v>
      </c>
      <c r="S74" s="5">
        <v>90948600.213637963</v>
      </c>
      <c r="T74" s="5">
        <v>250232360.88131821</v>
      </c>
      <c r="U74" s="5">
        <v>182652815.57092714</v>
      </c>
      <c r="V74" s="5">
        <f t="shared" si="24"/>
        <v>619708424.48055863</v>
      </c>
    </row>
    <row r="75" spans="3:22">
      <c r="C75" s="14">
        <v>2033</v>
      </c>
      <c r="D75" s="26">
        <v>19951425.784034278</v>
      </c>
      <c r="E75" s="26">
        <v>36850012.700747624</v>
      </c>
      <c r="F75" s="26">
        <v>47183129.067082696</v>
      </c>
      <c r="G75" s="26">
        <v>91889638.93385753</v>
      </c>
      <c r="H75" s="26">
        <v>243833131.39397335</v>
      </c>
      <c r="I75" s="26">
        <v>169374024.74276251</v>
      </c>
      <c r="J75" s="26">
        <f t="shared" si="23"/>
        <v>609081362.62245798</v>
      </c>
      <c r="O75" s="14">
        <v>2033</v>
      </c>
      <c r="P75" s="5">
        <v>16632420.489528563</v>
      </c>
      <c r="Q75" s="5">
        <v>36850012.700747624</v>
      </c>
      <c r="R75" s="5">
        <v>42633607.52509819</v>
      </c>
      <c r="S75" s="5">
        <v>91889638.93385753</v>
      </c>
      <c r="T75" s="5">
        <v>251701658.20013329</v>
      </c>
      <c r="U75" s="5">
        <v>182221453.57118499</v>
      </c>
      <c r="V75" s="5">
        <f t="shared" si="24"/>
        <v>621928791.42055023</v>
      </c>
    </row>
    <row r="76" spans="3:22">
      <c r="C76" s="14">
        <v>2034</v>
      </c>
      <c r="D76" s="26">
        <v>19813544.397548623</v>
      </c>
      <c r="E76" s="26">
        <v>36080012.435358852</v>
      </c>
      <c r="F76" s="26">
        <v>45780488.155131094</v>
      </c>
      <c r="G76" s="26">
        <v>91656154.073338285</v>
      </c>
      <c r="H76" s="26">
        <v>249044956.68097243</v>
      </c>
      <c r="I76" s="26">
        <v>167020956.96057841</v>
      </c>
      <c r="J76" s="26">
        <f t="shared" si="23"/>
        <v>609396112.70292771</v>
      </c>
      <c r="O76" s="14">
        <v>2034</v>
      </c>
      <c r="P76" s="5">
        <v>16413548.947070146</v>
      </c>
      <c r="Q76" s="5">
        <v>35779924.991659172</v>
      </c>
      <c r="R76" s="5">
        <v>41230966.613146588</v>
      </c>
      <c r="S76" s="5">
        <v>91656154.073338285</v>
      </c>
      <c r="T76" s="5">
        <v>257294561.1341956</v>
      </c>
      <c r="U76" s="5">
        <v>183043343.98553276</v>
      </c>
      <c r="V76" s="5">
        <f t="shared" si="24"/>
        <v>625418499.74494255</v>
      </c>
    </row>
    <row r="77" spans="3:22">
      <c r="C77" s="14">
        <v>2035</v>
      </c>
      <c r="D77" s="26">
        <v>19053400.756926704</v>
      </c>
      <c r="E77" s="26">
        <v>35530012.245795436</v>
      </c>
      <c r="F77" s="26">
        <v>43406575.767542191</v>
      </c>
      <c r="G77" s="26">
        <v>94045695.204804301</v>
      </c>
      <c r="H77" s="26">
        <v>253529234.35628068</v>
      </c>
      <c r="I77" s="26">
        <v>166096620.35285312</v>
      </c>
      <c r="J77" s="26">
        <f t="shared" si="23"/>
        <v>611661538.68420243</v>
      </c>
      <c r="O77" s="14">
        <v>2035</v>
      </c>
      <c r="P77" s="5">
        <v>15908404.965234114</v>
      </c>
      <c r="Q77" s="5">
        <v>35189025.922794558</v>
      </c>
      <c r="R77" s="5">
        <v>39236181.020723067</v>
      </c>
      <c r="S77" s="5">
        <v>91636560.985388443</v>
      </c>
      <c r="T77" s="5">
        <v>263594745.33389693</v>
      </c>
      <c r="U77" s="5">
        <v>179327928.54966953</v>
      </c>
      <c r="V77" s="5">
        <f t="shared" si="24"/>
        <v>624892846.77770662</v>
      </c>
    </row>
    <row r="78" spans="3:22">
      <c r="C78" s="14">
        <v>2040</v>
      </c>
      <c r="D78" s="26">
        <v>21325417.454808161</v>
      </c>
      <c r="E78" s="26">
        <v>37180012.814485677</v>
      </c>
      <c r="F78" s="26">
        <v>43973048.234406523</v>
      </c>
      <c r="G78" s="26">
        <v>103594950.4102152</v>
      </c>
      <c r="H78" s="26">
        <v>252652007.10767961</v>
      </c>
      <c r="I78" s="26">
        <v>167883657.34046334</v>
      </c>
      <c r="J78" s="26">
        <f t="shared" si="23"/>
        <v>626609093.36205852</v>
      </c>
      <c r="O78" s="14">
        <v>2040</v>
      </c>
      <c r="P78" s="5">
        <v>18923436.079411961</v>
      </c>
      <c r="Q78" s="5">
        <v>37180012.814485677</v>
      </c>
      <c r="R78" s="5">
        <v>43973048.234406523</v>
      </c>
      <c r="S78" s="5">
        <v>103594950.4102152</v>
      </c>
      <c r="T78" s="5">
        <v>255053988.2423304</v>
      </c>
      <c r="U78" s="5">
        <v>180011698.74490088</v>
      </c>
      <c r="V78" s="5">
        <f t="shared" si="24"/>
        <v>638737134.52575064</v>
      </c>
    </row>
    <row r="79" spans="3:22">
      <c r="C79" s="14">
        <v>2044</v>
      </c>
      <c r="D79" s="26">
        <v>22538635.928329952</v>
      </c>
      <c r="E79" s="26">
        <v>35420012.207882755</v>
      </c>
      <c r="F79" s="26">
        <v>49904045.944480672</v>
      </c>
      <c r="G79" s="26">
        <v>103305579.04035427</v>
      </c>
      <c r="H79" s="26">
        <v>258791714.85807398</v>
      </c>
      <c r="I79" s="26">
        <v>168752800.32377422</v>
      </c>
      <c r="J79" s="26">
        <f t="shared" si="23"/>
        <v>638712788.30289578</v>
      </c>
      <c r="O79" s="14">
        <v>2044</v>
      </c>
      <c r="P79" s="5">
        <v>18522797.131431945</v>
      </c>
      <c r="Q79" s="5">
        <v>34808385.495177448</v>
      </c>
      <c r="R79" s="5">
        <v>43153093.889803007</v>
      </c>
      <c r="S79" s="5">
        <v>103305579.04035427</v>
      </c>
      <c r="T79" s="5">
        <v>270170132.58926564</v>
      </c>
      <c r="U79" s="5">
        <v>177639567.80379447</v>
      </c>
      <c r="V79" s="5">
        <f t="shared" si="24"/>
        <v>647599555.94982684</v>
      </c>
    </row>
    <row r="98" spans="4:4">
      <c r="D98" s="25"/>
    </row>
    <row r="99" spans="4:4">
      <c r="D99" s="25"/>
    </row>
    <row r="100" spans="4:4">
      <c r="D100" s="25"/>
    </row>
    <row r="101" spans="4:4">
      <c r="D101" s="25"/>
    </row>
    <row r="102" spans="4:4">
      <c r="D102" s="25"/>
    </row>
    <row r="103" spans="4:4">
      <c r="D103" s="25"/>
    </row>
    <row r="104" spans="4:4">
      <c r="D104" s="25"/>
    </row>
    <row r="105" spans="4:4">
      <c r="D105" s="25"/>
    </row>
    <row r="106" spans="4:4">
      <c r="D106" s="25"/>
    </row>
    <row r="107" spans="4:4">
      <c r="D107" s="25"/>
    </row>
    <row r="108" spans="4:4">
      <c r="D108" s="25"/>
    </row>
    <row r="109" spans="4:4">
      <c r="D109" s="2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3BC26-C08B-40F6-AF3F-4F1BD97F5F63}">
  <sheetPr>
    <tabColor rgb="FFC00000"/>
  </sheetPr>
  <dimension ref="B2:K90"/>
  <sheetViews>
    <sheetView showGridLines="0" zoomScale="62" zoomScaleNormal="62" workbookViewId="0">
      <selection activeCell="I63" sqref="I63"/>
    </sheetView>
  </sheetViews>
  <sheetFormatPr defaultRowHeight="15"/>
  <cols>
    <col min="3" max="3" width="19.28515625" customWidth="1"/>
    <col min="4" max="4" width="23.5703125" bestFit="1" customWidth="1"/>
    <col min="5" max="5" width="21.28515625" bestFit="1" customWidth="1"/>
    <col min="6" max="6" width="16" customWidth="1"/>
    <col min="7" max="7" width="21.5703125" bestFit="1" customWidth="1"/>
    <col min="8" max="8" width="22.42578125" bestFit="1" customWidth="1"/>
    <col min="9" max="9" width="21.5703125" bestFit="1" customWidth="1"/>
    <col min="10" max="10" width="22.28515625" bestFit="1" customWidth="1"/>
    <col min="11" max="11" width="20.5703125" bestFit="1" customWidth="1"/>
  </cols>
  <sheetData>
    <row r="2" spans="3:11">
      <c r="C2" s="15" t="s">
        <v>195</v>
      </c>
    </row>
    <row r="3" spans="3:11" ht="45">
      <c r="C3" s="56" t="s">
        <v>52</v>
      </c>
      <c r="D3" s="57" t="s">
        <v>53</v>
      </c>
      <c r="E3" s="57" t="s">
        <v>7</v>
      </c>
      <c r="F3" s="57" t="s">
        <v>8</v>
      </c>
      <c r="G3" s="57" t="s">
        <v>54</v>
      </c>
      <c r="H3" s="57" t="s">
        <v>10</v>
      </c>
      <c r="I3" s="57" t="s">
        <v>11</v>
      </c>
      <c r="J3" s="57" t="s">
        <v>12</v>
      </c>
      <c r="K3" s="107" t="s">
        <v>55</v>
      </c>
    </row>
    <row r="4" spans="3:11">
      <c r="C4" s="169" t="s">
        <v>56</v>
      </c>
      <c r="D4" s="170"/>
      <c r="E4" s="170"/>
      <c r="F4" s="170"/>
      <c r="G4" s="170"/>
      <c r="H4" s="170"/>
      <c r="I4" s="170"/>
      <c r="J4" s="171"/>
      <c r="K4" s="108"/>
    </row>
    <row r="5" spans="3:11">
      <c r="C5" s="54" t="s">
        <v>57</v>
      </c>
      <c r="D5" s="55">
        <f t="shared" ref="D5:K5" si="0">NPV(After_Tax_Cost_of_Capital,D8:D47)</f>
        <v>46581647168.76693</v>
      </c>
      <c r="E5" s="55">
        <f t="shared" si="0"/>
        <v>0</v>
      </c>
      <c r="F5" s="55">
        <f t="shared" si="0"/>
        <v>0</v>
      </c>
      <c r="G5" s="55">
        <f t="shared" si="0"/>
        <v>7199549901.4038115</v>
      </c>
      <c r="H5" s="55">
        <f t="shared" si="0"/>
        <v>-645695341.76927054</v>
      </c>
      <c r="I5" s="55">
        <f t="shared" si="0"/>
        <v>-2490021071.8588767</v>
      </c>
      <c r="J5" s="55">
        <f t="shared" si="0"/>
        <v>4063833487.7756648</v>
      </c>
      <c r="K5" s="55">
        <f t="shared" si="0"/>
        <v>54709314144.318275</v>
      </c>
    </row>
    <row r="6" spans="3:11">
      <c r="C6" s="54" t="s">
        <v>58</v>
      </c>
      <c r="D6" s="55">
        <f t="shared" ref="D6:K6" si="1">NPV(After_Tax_Cost_of_Capital,D8:D27)</f>
        <v>28410150180.226055</v>
      </c>
      <c r="E6" s="55">
        <f t="shared" si="1"/>
        <v>0</v>
      </c>
      <c r="F6" s="55">
        <f t="shared" si="1"/>
        <v>0</v>
      </c>
      <c r="G6" s="55">
        <f t="shared" si="1"/>
        <v>4556980609.3504648</v>
      </c>
      <c r="H6" s="55">
        <f t="shared" si="1"/>
        <v>-435068596.51919442</v>
      </c>
      <c r="I6" s="55">
        <f t="shared" si="1"/>
        <v>-1398483594.4320645</v>
      </c>
      <c r="J6" s="55">
        <f t="shared" si="1"/>
        <v>2723428418.3992052</v>
      </c>
      <c r="K6" s="55">
        <f t="shared" si="1"/>
        <v>33857007017.024467</v>
      </c>
    </row>
    <row r="7" spans="3:11">
      <c r="C7" s="169" t="s">
        <v>59</v>
      </c>
      <c r="D7" s="170"/>
      <c r="E7" s="170"/>
      <c r="F7" s="170"/>
      <c r="G7" s="170"/>
      <c r="H7" s="170"/>
      <c r="I7" s="170"/>
      <c r="J7" s="171"/>
      <c r="K7" s="108"/>
    </row>
    <row r="8" spans="3:11">
      <c r="C8" s="52">
        <v>2024</v>
      </c>
      <c r="D8" s="53">
        <f>'#1-With Volatility'!K4</f>
        <v>1826961778.6622951</v>
      </c>
      <c r="E8" s="5">
        <v>0</v>
      </c>
      <c r="F8" s="5">
        <v>0</v>
      </c>
      <c r="G8" s="5">
        <f>'#3-With Volatility'!AG4</f>
        <v>305892068.66656095</v>
      </c>
      <c r="H8" s="55">
        <f>'#3-With Volatility'!AE4</f>
        <v>-32685731.135265779</v>
      </c>
      <c r="I8" s="55">
        <f>'#3-With Volatility'!AD4</f>
        <v>-59335012.254855156</v>
      </c>
      <c r="J8" s="5">
        <f>SUM(E8:I8)</f>
        <v>213871325.27644002</v>
      </c>
      <c r="K8" s="5">
        <f>SUM(D8:J8)</f>
        <v>2254704429.2151752</v>
      </c>
    </row>
    <row r="9" spans="3:11">
      <c r="C9" s="52">
        <v>2025</v>
      </c>
      <c r="D9" s="53">
        <f>'#1-With Volatility'!K5</f>
        <v>1786014333.5901303</v>
      </c>
      <c r="E9" s="5">
        <v>0</v>
      </c>
      <c r="F9" s="5">
        <v>0</v>
      </c>
      <c r="G9" s="5">
        <f>'#3-With Volatility'!AG5</f>
        <v>312315802.10855871</v>
      </c>
      <c r="H9" s="55">
        <f>'#3-With Volatility'!AE5</f>
        <v>-37394385.674204268</v>
      </c>
      <c r="I9" s="55">
        <f>'#3-With Volatility'!AD5</f>
        <v>-71798766.27455163</v>
      </c>
      <c r="J9" s="5">
        <f t="shared" ref="J9:J47" si="2">SUM(E9:I9)</f>
        <v>203122650.15980279</v>
      </c>
      <c r="K9" s="5">
        <f t="shared" ref="K9:K47" si="3">SUM(D9:J9)</f>
        <v>2192259633.9097357</v>
      </c>
    </row>
    <row r="10" spans="3:11">
      <c r="C10" s="52">
        <v>2026</v>
      </c>
      <c r="D10" s="53">
        <f>'#1-With Volatility'!K6</f>
        <v>1677868083.231777</v>
      </c>
      <c r="E10" s="5">
        <v>0</v>
      </c>
      <c r="F10" s="5">
        <v>0</v>
      </c>
      <c r="G10" s="5">
        <f>'#3-With Volatility'!AG6</f>
        <v>318874433.95283836</v>
      </c>
      <c r="H10" s="55">
        <f>'#3-With Volatility'!AE6</f>
        <v>-35649900.431273356</v>
      </c>
      <c r="I10" s="55">
        <f>'#3-With Volatility'!AD6</f>
        <v>-78538485.320696831</v>
      </c>
      <c r="J10" s="5">
        <f t="shared" si="2"/>
        <v>204686048.20086819</v>
      </c>
      <c r="K10" s="5">
        <f t="shared" si="3"/>
        <v>2087240179.6335132</v>
      </c>
    </row>
    <row r="11" spans="3:11">
      <c r="C11" s="52">
        <v>2027</v>
      </c>
      <c r="D11" s="53">
        <f>'#1-With Volatility'!K7</f>
        <v>1720814134.1862197</v>
      </c>
      <c r="E11" s="5">
        <v>0</v>
      </c>
      <c r="F11" s="5">
        <v>0</v>
      </c>
      <c r="G11" s="5">
        <f>'#3-With Volatility'!AG7</f>
        <v>325570797.06584799</v>
      </c>
      <c r="H11" s="55">
        <f>'#3-With Volatility'!AE7</f>
        <v>-33818434.564874887</v>
      </c>
      <c r="I11" s="55">
        <f>'#3-With Volatility'!AD7</f>
        <v>-81410589.503274202</v>
      </c>
      <c r="J11" s="5">
        <f t="shared" si="2"/>
        <v>210341772.9976989</v>
      </c>
      <c r="K11" s="5">
        <f t="shared" si="3"/>
        <v>2141497680.1816173</v>
      </c>
    </row>
    <row r="12" spans="3:11">
      <c r="C12" s="52">
        <v>2028</v>
      </c>
      <c r="D12" s="53">
        <f>'#1-With Volatility'!K8</f>
        <v>1808659168.3401015</v>
      </c>
      <c r="E12" s="5">
        <v>0</v>
      </c>
      <c r="F12" s="5">
        <v>0</v>
      </c>
      <c r="G12" s="5">
        <f>'#3-With Volatility'!AG8</f>
        <v>332407783.80423069</v>
      </c>
      <c r="H12" s="55">
        <f>'#3-With Volatility'!AE8</f>
        <v>-37287465.769848384</v>
      </c>
      <c r="I12" s="55">
        <f>'#3-With Volatility'!AD8</f>
        <v>-82055933.916204929</v>
      </c>
      <c r="J12" s="5">
        <f t="shared" si="2"/>
        <v>213064384.11817735</v>
      </c>
      <c r="K12" s="5">
        <f t="shared" si="3"/>
        <v>2234787936.5764561</v>
      </c>
    </row>
    <row r="13" spans="3:11">
      <c r="C13" s="52">
        <v>2029</v>
      </c>
      <c r="D13" s="53">
        <f>'#1-With Volatility'!K9</f>
        <v>1935201162.7737064</v>
      </c>
      <c r="E13" s="5">
        <v>0</v>
      </c>
      <c r="F13" s="5">
        <v>0</v>
      </c>
      <c r="G13" s="5">
        <f>'#3-With Volatility'!AG9</f>
        <v>339388347.26411951</v>
      </c>
      <c r="H13" s="55">
        <f>'#3-With Volatility'!AE9</f>
        <v>-36359960.351331629</v>
      </c>
      <c r="I13" s="55">
        <f>'#3-With Volatility'!AD9</f>
        <v>-78859688.107581854</v>
      </c>
      <c r="J13" s="5">
        <f t="shared" si="2"/>
        <v>224168698.805206</v>
      </c>
      <c r="K13" s="5">
        <f t="shared" si="3"/>
        <v>2383538560.3841186</v>
      </c>
    </row>
    <row r="14" spans="3:11">
      <c r="C14" s="52">
        <v>2030</v>
      </c>
      <c r="D14" s="53">
        <f>'#1-With Volatility'!K10</f>
        <v>2010281259.4291399</v>
      </c>
      <c r="E14" s="5">
        <v>0</v>
      </c>
      <c r="F14" s="5">
        <v>0</v>
      </c>
      <c r="G14" s="5">
        <f>'#3-With Volatility'!AG10</f>
        <v>346515502.55666602</v>
      </c>
      <c r="H14" s="55">
        <f>'#3-With Volatility'!AE10</f>
        <v>-37370232.082231864</v>
      </c>
      <c r="I14" s="55">
        <f>'#3-With Volatility'!AD10</f>
        <v>-86693537.175373793</v>
      </c>
      <c r="J14" s="5">
        <f t="shared" si="2"/>
        <v>222451733.29906034</v>
      </c>
      <c r="K14" s="5">
        <f t="shared" si="3"/>
        <v>2455184726.0272603</v>
      </c>
    </row>
    <row r="15" spans="3:11">
      <c r="C15" s="52">
        <v>2031</v>
      </c>
      <c r="D15" s="53">
        <f>'#1-With Volatility'!K11</f>
        <v>2135352144.5801883</v>
      </c>
      <c r="E15" s="5">
        <v>0</v>
      </c>
      <c r="F15" s="5">
        <v>0</v>
      </c>
      <c r="G15" s="5">
        <f>'#3-With Volatility'!AG11</f>
        <v>353792328.11035597</v>
      </c>
      <c r="H15" s="55">
        <f>'#3-With Volatility'!AE11</f>
        <v>-33721020.94110278</v>
      </c>
      <c r="I15" s="55">
        <f>'#3-With Volatility'!AD11</f>
        <v>-100508509.37811995</v>
      </c>
      <c r="J15" s="5">
        <f t="shared" si="2"/>
        <v>219562797.79113322</v>
      </c>
      <c r="K15" s="5">
        <f t="shared" si="3"/>
        <v>2574477740.1624546</v>
      </c>
    </row>
    <row r="16" spans="3:11">
      <c r="C16" s="52">
        <v>2032</v>
      </c>
      <c r="D16" s="53">
        <f>'#1-With Volatility'!K12</f>
        <v>2253009717.1928306</v>
      </c>
      <c r="E16" s="5">
        <v>0</v>
      </c>
      <c r="F16" s="5">
        <v>0</v>
      </c>
      <c r="G16" s="5">
        <f>'#3-With Volatility'!AG12</f>
        <v>361221967.00067335</v>
      </c>
      <c r="H16" s="55">
        <f>'#3-With Volatility'!AE12</f>
        <v>-32242566.048327554</v>
      </c>
      <c r="I16" s="55">
        <f>'#3-With Volatility'!AD12</f>
        <v>-99197439.924138069</v>
      </c>
      <c r="J16" s="5">
        <f t="shared" si="2"/>
        <v>229781961.02820772</v>
      </c>
      <c r="K16" s="5">
        <f t="shared" si="3"/>
        <v>2712573639.2492461</v>
      </c>
    </row>
    <row r="17" spans="3:11">
      <c r="C17" s="52">
        <v>2033</v>
      </c>
      <c r="D17" s="53">
        <f>'#1-With Volatility'!K13</f>
        <v>2382783747.4170265</v>
      </c>
      <c r="E17" s="5">
        <v>0</v>
      </c>
      <c r="F17" s="5">
        <v>0</v>
      </c>
      <c r="G17" s="5">
        <f>'#3-With Volatility'!AG13</f>
        <v>368807628.3076874</v>
      </c>
      <c r="H17" s="55">
        <f>'#3-With Volatility'!AE13</f>
        <v>-34774287.550423957</v>
      </c>
      <c r="I17" s="55">
        <f>'#3-With Volatility'!AD13</f>
        <v>-105833502.79568148</v>
      </c>
      <c r="J17" s="5">
        <f t="shared" si="2"/>
        <v>228199837.96158195</v>
      </c>
      <c r="K17" s="5">
        <f t="shared" si="3"/>
        <v>2839183423.3401899</v>
      </c>
    </row>
    <row r="18" spans="3:11">
      <c r="C18" s="52">
        <v>2034</v>
      </c>
      <c r="D18" s="53">
        <f>'#1-With Volatility'!K14</f>
        <v>2526480189.6507559</v>
      </c>
      <c r="E18" s="5">
        <v>0</v>
      </c>
      <c r="F18" s="5">
        <v>0</v>
      </c>
      <c r="G18" s="5">
        <f>'#3-With Volatility'!AG14</f>
        <v>376552588.50214881</v>
      </c>
      <c r="H18" s="55">
        <f>'#3-With Volatility'!AE14</f>
        <v>-35145939.559581235</v>
      </c>
      <c r="I18" s="55">
        <f>'#3-With Volatility'!AD14</f>
        <v>-109818987.72361517</v>
      </c>
      <c r="J18" s="5">
        <f t="shared" si="2"/>
        <v>231587661.21895242</v>
      </c>
      <c r="K18" s="5">
        <f t="shared" si="3"/>
        <v>2989655512.0886602</v>
      </c>
    </row>
    <row r="19" spans="3:11">
      <c r="C19" s="52">
        <v>2035</v>
      </c>
      <c r="D19" s="53">
        <f>'#1-With Volatility'!K15</f>
        <v>2579809313.9064898</v>
      </c>
      <c r="E19" s="5">
        <v>0</v>
      </c>
      <c r="F19" s="5">
        <v>0</v>
      </c>
      <c r="G19" s="5">
        <f>'#3-With Volatility'!AG15</f>
        <v>384460192.86069393</v>
      </c>
      <c r="H19" s="55">
        <f>'#3-With Volatility'!AE15</f>
        <v>-34985550.80317796</v>
      </c>
      <c r="I19" s="55">
        <f>'#3-With Volatility'!AD15</f>
        <v>-113793756.52457809</v>
      </c>
      <c r="J19" s="5">
        <f t="shared" si="2"/>
        <v>235680885.53293788</v>
      </c>
      <c r="K19" s="5">
        <f t="shared" si="3"/>
        <v>3051171084.9723659</v>
      </c>
    </row>
    <row r="20" spans="3:11">
      <c r="C20" s="52">
        <v>2036</v>
      </c>
      <c r="D20" s="53">
        <f>'#1-With Volatility'!$S$18*1.021^($C20-Start_Year)</f>
        <v>2699239645.3725119</v>
      </c>
      <c r="E20" s="5">
        <v>0</v>
      </c>
      <c r="F20" s="5">
        <v>0</v>
      </c>
      <c r="G20" s="5">
        <f>'#3-With Volatility'!AG16</f>
        <v>392533856.91076839</v>
      </c>
      <c r="H20" s="55">
        <f>'#3-With Volatility'!AE16</f>
        <v>-31287023.931671865</v>
      </c>
      <c r="I20" s="55">
        <f>'#3-With Volatility'!AD16</f>
        <v>-164936667.60017368</v>
      </c>
      <c r="J20" s="5">
        <f t="shared" si="2"/>
        <v>196310165.37892285</v>
      </c>
      <c r="K20" s="5">
        <f t="shared" si="3"/>
        <v>3091859976.1303577</v>
      </c>
    </row>
    <row r="21" spans="3:11">
      <c r="C21" s="52">
        <v>2037</v>
      </c>
      <c r="D21" s="53">
        <f>'#1-With Volatility'!$S$18*1.021^($C21-Start_Year)</f>
        <v>2755923677.9253349</v>
      </c>
      <c r="E21" s="5">
        <v>0</v>
      </c>
      <c r="F21" s="5">
        <v>0</v>
      </c>
      <c r="G21" s="5">
        <f>'#3-With Volatility'!AG17</f>
        <v>400777067.90589452</v>
      </c>
      <c r="H21" s="55">
        <f>'#3-With Volatility'!AE17</f>
        <v>-31944051.434236977</v>
      </c>
      <c r="I21" s="55">
        <f>'#3-With Volatility'!AD17</f>
        <v>-168400337.61977732</v>
      </c>
      <c r="J21" s="5">
        <f t="shared" si="2"/>
        <v>200432678.85188019</v>
      </c>
      <c r="K21" s="5">
        <f t="shared" si="3"/>
        <v>3156789035.6290951</v>
      </c>
    </row>
    <row r="22" spans="3:11">
      <c r="C22" s="52">
        <v>2038</v>
      </c>
      <c r="D22" s="53">
        <f>'#1-With Volatility'!$S$18*1.021^($C22-Start_Year)</f>
        <v>2813798075.1617661</v>
      </c>
      <c r="E22" s="5">
        <v>0</v>
      </c>
      <c r="F22" s="5">
        <v>0</v>
      </c>
      <c r="G22" s="5">
        <f>'#3-With Volatility'!AG18</f>
        <v>409193386.3319183</v>
      </c>
      <c r="H22" s="55">
        <f>'#3-With Volatility'!AE18</f>
        <v>-32614876.514355946</v>
      </c>
      <c r="I22" s="55">
        <f>'#3-With Volatility'!AD18</f>
        <v>-171936744.70979261</v>
      </c>
      <c r="J22" s="5">
        <f t="shared" si="2"/>
        <v>204641765.10776973</v>
      </c>
      <c r="K22" s="5">
        <f t="shared" si="3"/>
        <v>3223081605.377305</v>
      </c>
    </row>
    <row r="23" spans="3:11">
      <c r="C23" s="52">
        <v>2039</v>
      </c>
      <c r="D23" s="53">
        <f>'#1-With Volatility'!$S$18*1.021^($C23-Start_Year)</f>
        <v>2872887834.7401633</v>
      </c>
      <c r="E23" s="5">
        <v>0</v>
      </c>
      <c r="F23" s="5">
        <v>0</v>
      </c>
      <c r="G23" s="5">
        <f>'#3-With Volatility'!AG19</f>
        <v>417786447.44488847</v>
      </c>
      <c r="H23" s="55">
        <f>'#3-With Volatility'!AE19</f>
        <v>-33299788.92115742</v>
      </c>
      <c r="I23" s="55">
        <f>'#3-With Volatility'!AD19</f>
        <v>-175547416.34869826</v>
      </c>
      <c r="J23" s="5">
        <f t="shared" si="2"/>
        <v>208939242.17503279</v>
      </c>
      <c r="K23" s="5">
        <f t="shared" si="3"/>
        <v>3290766319.090229</v>
      </c>
    </row>
    <row r="24" spans="3:11">
      <c r="C24" s="52">
        <v>2040</v>
      </c>
      <c r="D24" s="53">
        <f>'#1-With Volatility'!$S$18*1.021^($C24-Start_Year)</f>
        <v>2933218479.2697067</v>
      </c>
      <c r="E24" s="5">
        <v>0</v>
      </c>
      <c r="F24" s="5">
        <v>0</v>
      </c>
      <c r="G24" s="5">
        <f>'#3-With Volatility'!AG20</f>
        <v>426559962.84123117</v>
      </c>
      <c r="H24" s="55">
        <f>'#3-With Volatility'!AE20</f>
        <v>-33999084.488501728</v>
      </c>
      <c r="I24" s="55">
        <f>'#3-With Volatility'!AD20</f>
        <v>-145840175.6124537</v>
      </c>
      <c r="J24" s="5">
        <f t="shared" si="2"/>
        <v>246720702.74027574</v>
      </c>
      <c r="K24" s="5">
        <f t="shared" si="3"/>
        <v>3426659884.7502589</v>
      </c>
    </row>
    <row r="25" spans="3:11">
      <c r="C25" s="52">
        <v>2041</v>
      </c>
      <c r="D25" s="53">
        <f>'#1-With Volatility'!$S$18*1.021^($C25-Start_Year)</f>
        <v>2994816067.3343697</v>
      </c>
      <c r="E25" s="5">
        <v>0</v>
      </c>
      <c r="F25" s="5">
        <v>0</v>
      </c>
      <c r="G25" s="5">
        <f>'#3-With Volatility'!AG21</f>
        <v>435517722.06089699</v>
      </c>
      <c r="H25" s="55">
        <f>'#3-With Volatility'!AE21</f>
        <v>-34713065.262760252</v>
      </c>
      <c r="I25" s="55">
        <f>'#3-With Volatility'!AD21</f>
        <v>-182997824.24595329</v>
      </c>
      <c r="J25" s="5">
        <f t="shared" si="2"/>
        <v>217806832.55218342</v>
      </c>
      <c r="K25" s="5">
        <f t="shared" si="3"/>
        <v>3430429732.4387369</v>
      </c>
    </row>
    <row r="26" spans="3:11">
      <c r="C26" s="52">
        <v>2042</v>
      </c>
      <c r="D26" s="53">
        <f>'#1-With Volatility'!$S$18*1.021^($C26-Start_Year)</f>
        <v>3057707204.7483912</v>
      </c>
      <c r="E26" s="5">
        <v>0</v>
      </c>
      <c r="F26" s="5">
        <v>0</v>
      </c>
      <c r="G26" s="5">
        <f>'#3-With Volatility'!AG22</f>
        <v>444663594.22417569</v>
      </c>
      <c r="H26" s="55">
        <f>'#3-With Volatility'!AE22</f>
        <v>-35442039.633278213</v>
      </c>
      <c r="I26" s="55">
        <f>'#3-With Volatility'!AD22</f>
        <v>-186840778.55511832</v>
      </c>
      <c r="J26" s="5">
        <f t="shared" si="2"/>
        <v>222380776.03577918</v>
      </c>
      <c r="K26" s="5">
        <f t="shared" si="3"/>
        <v>3502468756.8199492</v>
      </c>
    </row>
    <row r="27" spans="3:11">
      <c r="C27" s="52">
        <v>2043</v>
      </c>
      <c r="D27" s="53">
        <f>'#1-With Volatility'!$S$18*1.021^($C27-Start_Year)</f>
        <v>3121919056.0481071</v>
      </c>
      <c r="E27" s="5">
        <v>0</v>
      </c>
      <c r="F27" s="5">
        <v>0</v>
      </c>
      <c r="G27" s="5">
        <f>'#3-With Volatility'!AG23</f>
        <v>454001529.70288336</v>
      </c>
      <c r="H27" s="55">
        <f>'#3-With Volatility'!AE23</f>
        <v>-36186322.465577051</v>
      </c>
      <c r="I27" s="55">
        <f>'#3-With Volatility'!AD23</f>
        <v>-190764434.90477577</v>
      </c>
      <c r="J27" s="5">
        <f t="shared" si="2"/>
        <v>227050772.33253053</v>
      </c>
      <c r="K27" s="5">
        <f t="shared" si="3"/>
        <v>3576020600.7131681</v>
      </c>
    </row>
    <row r="28" spans="3:11">
      <c r="C28" s="52">
        <v>2044</v>
      </c>
      <c r="D28" s="53">
        <f>'#1-With Volatility'!$S$18*1.021^($C28-Start_Year)</f>
        <v>3187479356.2251167</v>
      </c>
      <c r="E28" s="5">
        <v>0</v>
      </c>
      <c r="F28" s="5">
        <v>0</v>
      </c>
      <c r="G28" s="5">
        <f>'#3-With Volatility'!AG24</f>
        <v>463535561.82664382</v>
      </c>
      <c r="H28" s="55">
        <f>'#3-With Volatility'!AE24</f>
        <v>-36946235.237354167</v>
      </c>
      <c r="I28" s="55">
        <f>'#3-With Volatility'!AD24</f>
        <v>-143145588.00622153</v>
      </c>
      <c r="J28" s="5">
        <f t="shared" si="2"/>
        <v>283443738.58306813</v>
      </c>
      <c r="K28" s="5">
        <f t="shared" si="3"/>
        <v>3754366833.3912525</v>
      </c>
    </row>
    <row r="29" spans="3:11">
      <c r="C29" s="52">
        <v>2045</v>
      </c>
      <c r="D29" s="53">
        <f>'#1-With Volatility'!$S$18*1.021^($C29-Start_Year)</f>
        <v>3254416422.7058444</v>
      </c>
      <c r="E29" s="5">
        <v>0</v>
      </c>
      <c r="F29" s="5">
        <v>0</v>
      </c>
      <c r="G29" s="5">
        <f>'#3-With Volatility'!AG25</f>
        <v>473269808.62500328</v>
      </c>
      <c r="H29" s="55">
        <f>'#3-With Volatility'!AE25</f>
        <v>-37722106.1773386</v>
      </c>
      <c r="I29" s="55">
        <f>'#3-With Volatility'!AD25</f>
        <v>-198860668.28656933</v>
      </c>
      <c r="J29" s="5">
        <f t="shared" si="2"/>
        <v>236687034.16109535</v>
      </c>
      <c r="K29" s="5">
        <f t="shared" si="3"/>
        <v>3727790491.0280352</v>
      </c>
    </row>
    <row r="30" spans="3:11">
      <c r="C30" s="52">
        <v>2046</v>
      </c>
      <c r="D30" s="53">
        <f>'#1-With Volatility'!$S$18*1.021^($C30-Start_Year)</f>
        <v>3322759167.5826664</v>
      </c>
      <c r="E30" s="5">
        <v>0</v>
      </c>
      <c r="F30" s="5">
        <v>0</v>
      </c>
      <c r="G30" s="5">
        <f>'#3-With Volatility'!AG26</f>
        <v>483208474.60612833</v>
      </c>
      <c r="H30" s="55">
        <f>'#3-With Volatility'!AE26</f>
        <v>-38514270.407062709</v>
      </c>
      <c r="I30" s="55">
        <f>'#3-With Volatility'!AD26</f>
        <v>-203036742.32058725</v>
      </c>
      <c r="J30" s="5">
        <f t="shared" si="2"/>
        <v>241657461.87847838</v>
      </c>
      <c r="K30" s="5">
        <f t="shared" si="3"/>
        <v>3806074091.3396235</v>
      </c>
    </row>
    <row r="31" spans="3:11">
      <c r="C31" s="52">
        <v>2047</v>
      </c>
      <c r="D31" s="53">
        <f>'#1-With Volatility'!$S$18*1.021^($C31-Start_Year)</f>
        <v>3392537110.101902</v>
      </c>
      <c r="E31" s="5">
        <v>0</v>
      </c>
      <c r="F31" s="5">
        <v>0</v>
      </c>
      <c r="G31" s="5">
        <f>'#3-With Volatility'!AG27</f>
        <v>493355852.57285702</v>
      </c>
      <c r="H31" s="55">
        <f>'#3-With Volatility'!AE27</f>
        <v>-39323070.085611016</v>
      </c>
      <c r="I31" s="55">
        <f>'#3-With Volatility'!AD27</f>
        <v>-207300513.90931955</v>
      </c>
      <c r="J31" s="5">
        <f t="shared" si="2"/>
        <v>246732268.57792649</v>
      </c>
      <c r="K31" s="5">
        <f t="shared" si="3"/>
        <v>3886001647.2577553</v>
      </c>
    </row>
    <row r="32" spans="3:11">
      <c r="C32" s="52">
        <v>2048</v>
      </c>
      <c r="D32" s="53">
        <f>'#1-With Volatility'!$S$18*1.021^($C32-Start_Year)</f>
        <v>3463780389.414041</v>
      </c>
      <c r="E32" s="5">
        <v>0</v>
      </c>
      <c r="F32" s="5">
        <v>0</v>
      </c>
      <c r="G32" s="5">
        <f>'#3-With Volatility'!AG28</f>
        <v>503716325.47688687</v>
      </c>
      <c r="H32" s="55">
        <f>'#3-With Volatility'!AE28</f>
        <v>-40148854.557408839</v>
      </c>
      <c r="I32" s="55">
        <f>'#3-With Volatility'!AD28</f>
        <v>-211653824.70141521</v>
      </c>
      <c r="J32" s="5">
        <f t="shared" si="2"/>
        <v>251913646.21806285</v>
      </c>
      <c r="K32" s="5">
        <f t="shared" si="3"/>
        <v>3967607681.8501668</v>
      </c>
    </row>
    <row r="33" spans="3:11">
      <c r="C33" s="52">
        <v>2049</v>
      </c>
      <c r="D33" s="53">
        <f>'#1-With Volatility'!$S$18*1.021^($C33-Start_Year)</f>
        <v>3536519777.5917358</v>
      </c>
      <c r="E33" s="5">
        <v>0</v>
      </c>
      <c r="F33" s="5">
        <v>0</v>
      </c>
      <c r="G33" s="5">
        <f>'#3-With Volatility'!AG29</f>
        <v>514294368.31190145</v>
      </c>
      <c r="H33" s="55">
        <f>'#3-With Volatility'!AE29</f>
        <v>-40991980.503114425</v>
      </c>
      <c r="I33" s="55">
        <f>'#3-With Volatility'!AD29</f>
        <v>-216098555.02014491</v>
      </c>
      <c r="J33" s="5">
        <f t="shared" si="2"/>
        <v>257203832.78864214</v>
      </c>
      <c r="K33" s="5">
        <f t="shared" si="3"/>
        <v>4050927443.1690202</v>
      </c>
    </row>
    <row r="34" spans="3:11">
      <c r="C34" s="52">
        <v>2050</v>
      </c>
      <c r="D34" s="53">
        <f>'#1-With Volatility'!$S$18*1.021^($C34-Start_Year)</f>
        <v>3610786692.9211621</v>
      </c>
      <c r="E34" s="5">
        <v>0</v>
      </c>
      <c r="F34" s="5">
        <v>0</v>
      </c>
      <c r="G34" s="5">
        <f>'#3-With Volatility'!AG30</f>
        <v>525094550.04645133</v>
      </c>
      <c r="H34" s="55">
        <f>'#3-With Volatility'!AE30</f>
        <v>-41852812.09367983</v>
      </c>
      <c r="I34" s="55">
        <f>'#3-With Volatility'!AD30</f>
        <v>-220636624.67556798</v>
      </c>
      <c r="J34" s="5">
        <f t="shared" si="2"/>
        <v>262605113.2772035</v>
      </c>
      <c r="K34" s="5">
        <f t="shared" si="3"/>
        <v>4135996919.4755688</v>
      </c>
    </row>
    <row r="35" spans="3:11">
      <c r="C35" s="52">
        <v>2051</v>
      </c>
      <c r="D35" s="53">
        <f>'#1-With Volatility'!$S$18*1.021^($C35-Start_Year)</f>
        <v>3686613213.4725056</v>
      </c>
      <c r="E35" s="5">
        <v>0</v>
      </c>
      <c r="F35" s="5">
        <v>0</v>
      </c>
      <c r="G35" s="5">
        <f>'#3-With Volatility'!AG31</f>
        <v>536121535.59742683</v>
      </c>
      <c r="H35" s="55">
        <f>'#3-With Volatility'!AE31</f>
        <v>-42731721.14764709</v>
      </c>
      <c r="I35" s="55">
        <f>'#3-With Volatility'!AD31</f>
        <v>-225269993.79375485</v>
      </c>
      <c r="J35" s="5">
        <f t="shared" si="2"/>
        <v>268119820.6560249</v>
      </c>
      <c r="K35" s="5">
        <f t="shared" si="3"/>
        <v>4222852854.7845554</v>
      </c>
    </row>
    <row r="36" spans="3:11">
      <c r="C36" s="52">
        <v>2052</v>
      </c>
      <c r="D36" s="53">
        <f>'#1-With Volatility'!$S$18*1.021^($C36-Start_Year)</f>
        <v>3764032090.9554276</v>
      </c>
      <c r="E36" s="5">
        <v>0</v>
      </c>
      <c r="F36" s="5">
        <v>0</v>
      </c>
      <c r="G36" s="5">
        <f>'#3-With Volatility'!AG32</f>
        <v>547380087.84497261</v>
      </c>
      <c r="H36" s="55">
        <f>'#3-With Volatility'!AE32</f>
        <v>-43629087.291747674</v>
      </c>
      <c r="I36" s="55">
        <f>'#3-With Volatility'!AD32</f>
        <v>-230000663.66342363</v>
      </c>
      <c r="J36" s="5">
        <f t="shared" si="2"/>
        <v>273750336.88980126</v>
      </c>
      <c r="K36" s="5">
        <f t="shared" si="3"/>
        <v>4311532764.7350302</v>
      </c>
    </row>
    <row r="37" spans="3:11">
      <c r="C37" s="52">
        <v>2053</v>
      </c>
      <c r="D37" s="53">
        <f>'#1-With Volatility'!$S$18*1.021^($C37-Start_Year)</f>
        <v>3843076764.8654919</v>
      </c>
      <c r="E37" s="5">
        <v>0</v>
      </c>
      <c r="F37" s="5">
        <v>0</v>
      </c>
      <c r="G37" s="5">
        <f>'#3-With Volatility'!AG33</f>
        <v>558875069.68971694</v>
      </c>
      <c r="H37" s="55">
        <f>'#3-With Volatility'!AE33</f>
        <v>-44545298.124874376</v>
      </c>
      <c r="I37" s="55">
        <f>'#3-With Volatility'!AD33</f>
        <v>-234830677.60035557</v>
      </c>
      <c r="J37" s="5">
        <f t="shared" si="2"/>
        <v>279499093.96448702</v>
      </c>
      <c r="K37" s="5">
        <f t="shared" si="3"/>
        <v>4402074952.794466</v>
      </c>
    </row>
    <row r="38" spans="3:11">
      <c r="C38" s="52">
        <v>2054</v>
      </c>
      <c r="D38" s="53">
        <f>'#1-With Volatility'!$S$18*1.021^($C38-Start_Year)</f>
        <v>3923781376.9276662</v>
      </c>
      <c r="E38" s="5">
        <v>0</v>
      </c>
      <c r="F38" s="5">
        <v>0</v>
      </c>
      <c r="G38" s="5">
        <f>'#3-With Volatility'!AG34</f>
        <v>570611446.15320098</v>
      </c>
      <c r="H38" s="55">
        <f>'#3-With Volatility'!AE34</f>
        <v>-45480749.385496728</v>
      </c>
      <c r="I38" s="55">
        <f>'#3-With Volatility'!AD34</f>
        <v>-239762121.82996297</v>
      </c>
      <c r="J38" s="5">
        <f t="shared" si="2"/>
        <v>285368574.93774128</v>
      </c>
      <c r="K38" s="5">
        <f t="shared" si="3"/>
        <v>4494518526.8031483</v>
      </c>
    </row>
    <row r="39" spans="3:11">
      <c r="C39" s="52">
        <v>2055</v>
      </c>
      <c r="D39" s="53">
        <f>'#1-With Volatility'!$S$18*1.021^($C39-Start_Year)</f>
        <v>4006180785.8431468</v>
      </c>
      <c r="E39" s="5">
        <v>0</v>
      </c>
      <c r="F39" s="5">
        <v>0</v>
      </c>
      <c r="G39" s="5">
        <f>'#3-With Volatility'!AG35</f>
        <v>582594286.52241814</v>
      </c>
      <c r="H39" s="55">
        <f>'#3-With Volatility'!AE35</f>
        <v>-46435845.122592159</v>
      </c>
      <c r="I39" s="55">
        <f>'#3-With Volatility'!AD35</f>
        <v>-244797126.38839218</v>
      </c>
      <c r="J39" s="5">
        <f t="shared" si="2"/>
        <v>291361315.01143384</v>
      </c>
      <c r="K39" s="5">
        <f t="shared" si="3"/>
        <v>4588903415.8660145</v>
      </c>
    </row>
    <row r="40" spans="3:11">
      <c r="C40" s="52">
        <v>2056</v>
      </c>
      <c r="D40" s="53">
        <f>'#1-With Volatility'!$S$18*1.021^($C40-Start_Year)</f>
        <v>4090310582.3458524</v>
      </c>
      <c r="E40" s="5">
        <v>0</v>
      </c>
      <c r="F40" s="5">
        <v>0</v>
      </c>
      <c r="G40" s="5">
        <f>'#3-With Volatility'!AG36</f>
        <v>594828766.5393889</v>
      </c>
      <c r="H40" s="55">
        <f>'#3-With Volatility'!AE36</f>
        <v>-47410997.870166585</v>
      </c>
      <c r="I40" s="55">
        <f>'#3-With Volatility'!AD36</f>
        <v>-249937866.04254839</v>
      </c>
      <c r="J40" s="5">
        <f t="shared" si="2"/>
        <v>297479902.62667394</v>
      </c>
      <c r="K40" s="5">
        <f t="shared" si="3"/>
        <v>4685270387.5992002</v>
      </c>
    </row>
    <row r="41" spans="3:11">
      <c r="C41" s="52">
        <v>2057</v>
      </c>
      <c r="D41" s="53">
        <f>'#1-With Volatility'!$S$18*1.021^($C41-Start_Year)</f>
        <v>4176207104.5751147</v>
      </c>
      <c r="E41" s="5">
        <v>0</v>
      </c>
      <c r="F41" s="5">
        <v>0</v>
      </c>
      <c r="G41" s="5">
        <f>'#3-With Volatility'!AG37</f>
        <v>607320170.63671589</v>
      </c>
      <c r="H41" s="55">
        <f>'#3-With Volatility'!AE37</f>
        <v>-48406628.825440072</v>
      </c>
      <c r="I41" s="55">
        <f>'#3-With Volatility'!AD37</f>
        <v>-255186561.22944185</v>
      </c>
      <c r="J41" s="5">
        <f t="shared" si="2"/>
        <v>303726980.58183396</v>
      </c>
      <c r="K41" s="5">
        <f t="shared" si="3"/>
        <v>4783661065.7387819</v>
      </c>
    </row>
    <row r="42" spans="3:11">
      <c r="C42" s="52">
        <v>2058</v>
      </c>
      <c r="D42" s="53">
        <f>'#1-With Volatility'!$S$18*1.021^($C42-Start_Year)</f>
        <v>4263907453.7711921</v>
      </c>
      <c r="E42" s="5">
        <v>0</v>
      </c>
      <c r="F42" s="5">
        <v>0</v>
      </c>
      <c r="G42" s="5">
        <f>'#3-With Volatility'!AG38</f>
        <v>620073894.22008681</v>
      </c>
      <c r="H42" s="55">
        <f>'#3-With Volatility'!AE38</f>
        <v>-49423168.030774318</v>
      </c>
      <c r="I42" s="55">
        <f>'#3-With Volatility'!AD38</f>
        <v>-260545479.01526013</v>
      </c>
      <c r="J42" s="5">
        <f t="shared" si="2"/>
        <v>310105247.17405236</v>
      </c>
      <c r="K42" s="5">
        <f t="shared" si="3"/>
        <v>4884117948.119297</v>
      </c>
    </row>
    <row r="43" spans="3:11">
      <c r="C43" s="52">
        <v>2059</v>
      </c>
      <c r="D43" s="53">
        <f>'#1-With Volatility'!$S$18*1.021^($C43-Start_Year)</f>
        <v>4353449510.3003864</v>
      </c>
      <c r="E43" s="5">
        <v>0</v>
      </c>
      <c r="F43" s="5">
        <v>0</v>
      </c>
      <c r="G43" s="5">
        <f>'#3-With Volatility'!AG39</f>
        <v>633095445.99870872</v>
      </c>
      <c r="H43" s="55">
        <f>'#3-With Volatility'!AE39</f>
        <v>-50461054.559420571</v>
      </c>
      <c r="I43" s="55">
        <f>'#3-With Volatility'!AD39</f>
        <v>-266016934.07458055</v>
      </c>
      <c r="J43" s="5">
        <f t="shared" si="2"/>
        <v>316617457.36470759</v>
      </c>
      <c r="K43" s="5">
        <f t="shared" si="3"/>
        <v>4986684425.0298023</v>
      </c>
    </row>
    <row r="44" spans="3:11">
      <c r="C44" s="52">
        <v>2060</v>
      </c>
      <c r="D44" s="53">
        <f>'#1-With Volatility'!$S$18*1.021^($C44-Start_Year)</f>
        <v>4444871950.0166931</v>
      </c>
      <c r="E44" s="5">
        <v>0</v>
      </c>
      <c r="F44" s="5">
        <v>0</v>
      </c>
      <c r="G44" s="5">
        <f>'#3-With Volatility'!AG40</f>
        <v>646390450.36468148</v>
      </c>
      <c r="H44" s="55">
        <f>'#3-With Volatility'!AE40</f>
        <v>-51520736.705168389</v>
      </c>
      <c r="I44" s="55">
        <f>'#3-With Volatility'!AD40</f>
        <v>-271603289.69014668</v>
      </c>
      <c r="J44" s="5">
        <f t="shared" si="2"/>
        <v>323266423.96936643</v>
      </c>
      <c r="K44" s="5">
        <f t="shared" si="3"/>
        <v>5091404797.9554253</v>
      </c>
    </row>
    <row r="45" spans="3:11">
      <c r="C45" s="52">
        <v>2061</v>
      </c>
      <c r="D45" s="53">
        <f>'#1-With Volatility'!$S$18*1.021^($C45-Start_Year)</f>
        <v>4538214260.9670439</v>
      </c>
      <c r="E45" s="5">
        <v>0</v>
      </c>
      <c r="F45" s="5">
        <v>0</v>
      </c>
      <c r="G45" s="5">
        <f>'#3-With Volatility'!AG41</f>
        <v>659964649.82233965</v>
      </c>
      <c r="H45" s="55">
        <f>'#3-With Volatility'!AE41</f>
        <v>-52602672.175976925</v>
      </c>
      <c r="I45" s="55">
        <f>'#3-With Volatility'!AD41</f>
        <v>-277306958.77363974</v>
      </c>
      <c r="J45" s="5">
        <f t="shared" si="2"/>
        <v>330055018.87272304</v>
      </c>
      <c r="K45" s="5">
        <f t="shared" si="3"/>
        <v>5198324298.7124901</v>
      </c>
    </row>
    <row r="46" spans="3:11">
      <c r="C46" s="52">
        <v>2062</v>
      </c>
      <c r="D46" s="53">
        <f>'#1-With Volatility'!$S$18*1.021^($C46-Start_Year)</f>
        <v>4633516760.4473505</v>
      </c>
      <c r="E46" s="5">
        <v>0</v>
      </c>
      <c r="F46" s="5">
        <v>0</v>
      </c>
      <c r="G46" s="5">
        <f>'#3-With Volatility'!AG42</f>
        <v>673823907.46860874</v>
      </c>
      <c r="H46" s="55">
        <f>'#3-With Volatility'!AE42</f>
        <v>-53707328.291672431</v>
      </c>
      <c r="I46" s="55">
        <f>'#3-With Volatility'!AD42</f>
        <v>-283130404.90788615</v>
      </c>
      <c r="J46" s="5">
        <f t="shared" si="2"/>
        <v>336986174.26905012</v>
      </c>
      <c r="K46" s="5">
        <f t="shared" si="3"/>
        <v>5307489108.9854507</v>
      </c>
    </row>
    <row r="47" spans="3:11">
      <c r="C47" s="52">
        <v>2063</v>
      </c>
      <c r="D47" s="53">
        <f>'#1-With Volatility'!$S$18*1.021^($C47-Start_Year)</f>
        <v>4730820612.4167452</v>
      </c>
      <c r="E47" s="5">
        <v>0</v>
      </c>
      <c r="F47" s="5">
        <v>0</v>
      </c>
      <c r="G47" s="5">
        <f>'#3-With Volatility'!AG43</f>
        <v>687974209.5254494</v>
      </c>
      <c r="H47" s="55">
        <f>'#3-With Volatility'!AE43</f>
        <v>-54835182.18579755</v>
      </c>
      <c r="I47" s="55">
        <f>'#3-With Volatility'!AD43</f>
        <v>-289076143.41095173</v>
      </c>
      <c r="J47" s="5">
        <f t="shared" si="2"/>
        <v>344062883.92870009</v>
      </c>
      <c r="K47" s="5">
        <f t="shared" si="3"/>
        <v>5418946380.2741461</v>
      </c>
    </row>
    <row r="49" spans="2:5">
      <c r="C49" s="15" t="s">
        <v>193</v>
      </c>
    </row>
    <row r="50" spans="2:5">
      <c r="C50" s="33" t="s">
        <v>52</v>
      </c>
      <c r="D50" s="33" t="s">
        <v>128</v>
      </c>
      <c r="E50" s="33" t="s">
        <v>198</v>
      </c>
    </row>
    <row r="51" spans="2:5">
      <c r="B51">
        <v>1</v>
      </c>
      <c r="C51" s="52">
        <v>2024</v>
      </c>
      <c r="D51" s="117">
        <f>NPV(After_Tax_Cost_of_Capital,J$8:J8)</f>
        <v>203842284.86126578</v>
      </c>
      <c r="E51" s="118"/>
    </row>
    <row r="52" spans="2:5">
      <c r="B52">
        <v>2</v>
      </c>
      <c r="C52" s="52">
        <v>2025</v>
      </c>
      <c r="D52" s="117">
        <f>NPV(After_Tax_Cost_of_Capital,J$8:J9)</f>
        <v>388361581.44695014</v>
      </c>
      <c r="E52" s="118"/>
    </row>
    <row r="53" spans="2:5">
      <c r="B53">
        <v>3</v>
      </c>
      <c r="C53" s="52">
        <v>2026</v>
      </c>
      <c r="D53" s="117">
        <f>NPV(After_Tax_Cost_of_Capital,J$8:J10)</f>
        <v>565581852.13199222</v>
      </c>
      <c r="E53" s="118"/>
    </row>
    <row r="54" spans="2:5">
      <c r="B54">
        <v>4</v>
      </c>
      <c r="C54" s="52">
        <v>2027</v>
      </c>
      <c r="D54" s="117">
        <f>NPV(After_Tax_Cost_of_Capital,J$8:J11)</f>
        <v>739158941.91356075</v>
      </c>
      <c r="E54" s="118"/>
    </row>
    <row r="55" spans="2:5">
      <c r="B55">
        <v>5</v>
      </c>
      <c r="C55" s="52">
        <v>2028</v>
      </c>
      <c r="D55" s="117">
        <f>NPV(After_Tax_Cost_of_Capital,J$8:J12)</f>
        <v>906737885.93689525</v>
      </c>
      <c r="E55" s="118"/>
    </row>
    <row r="56" spans="2:5">
      <c r="B56">
        <v>6</v>
      </c>
      <c r="C56" s="52">
        <v>2029</v>
      </c>
      <c r="D56" s="117">
        <f>NPV(After_Tax_Cost_of_Capital,J$8:J13)</f>
        <v>1074782763.8230987</v>
      </c>
      <c r="E56" s="118"/>
    </row>
    <row r="57" spans="2:5">
      <c r="B57">
        <v>7</v>
      </c>
      <c r="C57" s="52">
        <v>2030</v>
      </c>
      <c r="D57" s="117">
        <f>NPV(After_Tax_Cost_of_Capital,J$8:J14)</f>
        <v>1233720791.9453795</v>
      </c>
      <c r="E57" s="118"/>
    </row>
    <row r="58" spans="2:5">
      <c r="B58">
        <v>8</v>
      </c>
      <c r="C58" s="52">
        <v>2031</v>
      </c>
      <c r="D58" s="117">
        <f>NPV(After_Tax_Cost_of_Capital,J$8:J15)</f>
        <v>1383238455.128479</v>
      </c>
      <c r="E58" s="118"/>
    </row>
    <row r="59" spans="2:5">
      <c r="B59">
        <v>9</v>
      </c>
      <c r="C59" s="52">
        <v>2032</v>
      </c>
      <c r="D59" s="117">
        <f>NPV(After_Tax_Cost_of_Capital,J$8:J16)</f>
        <v>1532377512.648808</v>
      </c>
      <c r="E59" s="118"/>
    </row>
    <row r="60" spans="2:5">
      <c r="B60">
        <v>10</v>
      </c>
      <c r="C60" s="52">
        <v>2033</v>
      </c>
      <c r="D60" s="117">
        <f>NPV(After_Tax_Cost_of_Capital,J$8:J17)</f>
        <v>1673544293.9182861</v>
      </c>
      <c r="E60" s="118"/>
    </row>
    <row r="61" spans="2:5">
      <c r="B61">
        <v>11</v>
      </c>
      <c r="C61" s="52">
        <v>2034</v>
      </c>
      <c r="D61" s="117">
        <f>NPV(After_Tax_Cost_of_Capital,J$8:J18)</f>
        <v>1810088826.7004879</v>
      </c>
      <c r="E61" s="118"/>
    </row>
    <row r="62" spans="2:5">
      <c r="B62">
        <v>12</v>
      </c>
      <c r="C62" s="52">
        <v>2035</v>
      </c>
      <c r="D62" s="117">
        <f>NPV(After_Tax_Cost_of_Capital,J$8:J19)</f>
        <v>1942530597.3363454</v>
      </c>
      <c r="E62" s="118"/>
    </row>
    <row r="63" spans="2:5">
      <c r="B63">
        <v>13</v>
      </c>
      <c r="C63" s="52">
        <v>2036</v>
      </c>
      <c r="D63" s="117">
        <f>NPV(After_Tax_Cost_of_Capital,J$8:J20)</f>
        <v>2047674749.6417358</v>
      </c>
      <c r="E63" s="118"/>
    </row>
    <row r="64" spans="2:5">
      <c r="B64">
        <v>14</v>
      </c>
      <c r="C64" s="52">
        <v>2037</v>
      </c>
      <c r="D64" s="117">
        <f>NPV(After_Tax_Cost_of_Capital,J$8:J21)</f>
        <v>2149992877.2664061</v>
      </c>
      <c r="E64" s="118"/>
    </row>
    <row r="65" spans="2:5">
      <c r="B65">
        <v>15</v>
      </c>
      <c r="C65" s="52">
        <v>2038</v>
      </c>
      <c r="D65" s="117">
        <f>NPV(After_Tax_Cost_of_Capital,J$8:J22)</f>
        <v>2249560937.0307865</v>
      </c>
      <c r="E65" s="118"/>
    </row>
    <row r="66" spans="2:5">
      <c r="B66">
        <v>16</v>
      </c>
      <c r="C66" s="52">
        <v>2039</v>
      </c>
      <c r="D66" s="117">
        <f>NPV(After_Tax_Cost_of_Capital,J$8:J23)</f>
        <v>2346452844.2166734</v>
      </c>
      <c r="E66" s="118"/>
    </row>
    <row r="67" spans="2:5">
      <c r="B67">
        <v>17</v>
      </c>
      <c r="C67" s="52">
        <v>2040</v>
      </c>
      <c r="D67" s="117">
        <f>NPV(After_Tax_Cost_of_Capital,J$8:J24)</f>
        <v>2455500115.0427995</v>
      </c>
      <c r="E67" s="118"/>
    </row>
    <row r="68" spans="2:5">
      <c r="B68">
        <v>18</v>
      </c>
      <c r="C68" s="52">
        <v>2041</v>
      </c>
      <c r="D68" s="117">
        <f>NPV(After_Tax_Cost_of_Capital,J$8:J25)</f>
        <v>2547253569.6462336</v>
      </c>
      <c r="E68" s="118"/>
    </row>
    <row r="69" spans="2:5">
      <c r="B69">
        <v>19</v>
      </c>
      <c r="C69" s="52">
        <v>2042</v>
      </c>
      <c r="D69" s="117">
        <f>NPV(After_Tax_Cost_of_Capital,J$8:J26)</f>
        <v>2636540909.6673031</v>
      </c>
      <c r="E69" s="118"/>
    </row>
    <row r="70" spans="2:5">
      <c r="B70">
        <v>20</v>
      </c>
      <c r="C70" s="52">
        <v>2043</v>
      </c>
      <c r="D70" s="117">
        <f>NPV(After_Tax_Cost_of_Capital,J$8:J27)</f>
        <v>2723428418.3992052</v>
      </c>
      <c r="E70" s="118"/>
    </row>
    <row r="71" spans="2:5">
      <c r="B71">
        <v>21</v>
      </c>
      <c r="C71" s="52">
        <v>2044</v>
      </c>
      <c r="D71" s="117">
        <f>NPV(After_Tax_Cost_of_Capital,J$8:J28)</f>
        <v>2826809946.5233679</v>
      </c>
      <c r="E71" s="118"/>
    </row>
    <row r="72" spans="2:5">
      <c r="B72">
        <v>22</v>
      </c>
      <c r="C72" s="52">
        <v>2045</v>
      </c>
      <c r="D72" s="117">
        <f>NPV(After_Tax_Cost_of_Capital,J$8:J29)</f>
        <v>2909089564.2910657</v>
      </c>
      <c r="E72" s="118"/>
    </row>
    <row r="73" spans="2:5">
      <c r="B73">
        <v>23</v>
      </c>
      <c r="C73" s="52">
        <v>2046</v>
      </c>
      <c r="D73" s="117">
        <f>NPV(After_Tax_Cost_of_Capital,J$8:J30)</f>
        <v>2989157701.672709</v>
      </c>
      <c r="E73" s="118"/>
    </row>
    <row r="74" spans="2:5">
      <c r="B74">
        <v>24</v>
      </c>
      <c r="C74" s="52">
        <v>2047</v>
      </c>
      <c r="D74" s="117">
        <f>NPV(After_Tax_Cost_of_Capital,J$8:J31)</f>
        <v>3067073798.0000606</v>
      </c>
      <c r="E74" s="118"/>
    </row>
    <row r="75" spans="2:5">
      <c r="B75">
        <v>25</v>
      </c>
      <c r="C75" s="52">
        <v>2048</v>
      </c>
      <c r="D75" s="117">
        <f>NPV(After_Tax_Cost_of_Capital,J$8:J32)</f>
        <v>3142895695.0170512</v>
      </c>
      <c r="E75" s="118"/>
    </row>
    <row r="76" spans="2:5">
      <c r="B76">
        <v>26</v>
      </c>
      <c r="C76" s="52">
        <v>2049</v>
      </c>
      <c r="D76" s="117">
        <f>NPV(After_Tax_Cost_of_Capital,J$8:J33)</f>
        <v>3216679679.8191357</v>
      </c>
      <c r="E76" s="118"/>
    </row>
    <row r="77" spans="2:5">
      <c r="B77">
        <v>27</v>
      </c>
      <c r="C77" s="52">
        <v>2050</v>
      </c>
      <c r="D77" s="117">
        <f>NPV(After_Tax_Cost_of_Capital,J$8:J34)</f>
        <v>3288480526.6385489</v>
      </c>
      <c r="E77" s="118"/>
    </row>
    <row r="78" spans="2:5">
      <c r="B78">
        <v>28</v>
      </c>
      <c r="C78" s="52">
        <v>2051</v>
      </c>
      <c r="D78" s="117">
        <f>NPV(After_Tax_Cost_of_Capital,J$8:J35)</f>
        <v>3358351537.5064683</v>
      </c>
      <c r="E78" s="118"/>
    </row>
    <row r="79" spans="2:5">
      <c r="B79">
        <v>29</v>
      </c>
      <c r="C79" s="52">
        <v>2052</v>
      </c>
      <c r="D79" s="117">
        <f>NPV(After_Tax_Cost_of_Capital,J$8:J36)</f>
        <v>3426344581.8222761</v>
      </c>
      <c r="E79" s="118"/>
    </row>
    <row r="80" spans="2:5">
      <c r="B80">
        <v>30</v>
      </c>
      <c r="C80" s="52">
        <v>2053</v>
      </c>
      <c r="D80" s="117">
        <f>NPV(After_Tax_Cost_of_Capital,J$8:J37)</f>
        <v>3492510134.8592949</v>
      </c>
      <c r="E80" s="118"/>
    </row>
    <row r="81" spans="2:5">
      <c r="B81">
        <v>31</v>
      </c>
      <c r="C81" s="52">
        <v>2054</v>
      </c>
      <c r="D81" s="117">
        <f>NPV(After_Tax_Cost_of_Capital,J$8:J38)</f>
        <v>3556897315.2355776</v>
      </c>
      <c r="E81" s="118"/>
    </row>
    <row r="82" spans="2:5">
      <c r="B82">
        <v>32</v>
      </c>
      <c r="C82" s="52">
        <v>2055</v>
      </c>
      <c r="D82" s="117">
        <f>NPV(After_Tax_Cost_of_Capital,J$8:J39)</f>
        <v>3619553921.3775759</v>
      </c>
      <c r="E82" s="118"/>
    </row>
    <row r="83" spans="2:5">
      <c r="B83">
        <v>33</v>
      </c>
      <c r="C83" s="52">
        <v>2056</v>
      </c>
      <c r="D83" s="117">
        <f>NPV(After_Tax_Cost_of_Capital,J$8:J40)</f>
        <v>3680526467.0037484</v>
      </c>
      <c r="E83" s="118"/>
    </row>
    <row r="84" spans="2:5">
      <c r="B84">
        <v>34</v>
      </c>
      <c r="C84" s="52">
        <v>2057</v>
      </c>
      <c r="D84" s="117">
        <f>NPV(After_Tax_Cost_of_Capital,J$8:J41)</f>
        <v>3739860215.6544561</v>
      </c>
      <c r="E84" s="118"/>
    </row>
    <row r="85" spans="2:5">
      <c r="B85">
        <v>35</v>
      </c>
      <c r="C85" s="52">
        <v>2058</v>
      </c>
      <c r="D85" s="117">
        <f>NPV(After_Tax_Cost_of_Capital,J$8:J42)</f>
        <v>3797599214.2937741</v>
      </c>
      <c r="E85" s="118"/>
    </row>
    <row r="86" spans="2:5">
      <c r="B86">
        <v>36</v>
      </c>
      <c r="C86" s="52">
        <v>2059</v>
      </c>
      <c r="D86" s="117">
        <f>NPV(After_Tax_Cost_of_Capital,J$8:J43)</f>
        <v>3853786326.0081692</v>
      </c>
      <c r="E86" s="118"/>
    </row>
    <row r="87" spans="2:5">
      <c r="B87">
        <v>37</v>
      </c>
      <c r="C87" s="52">
        <v>2060</v>
      </c>
      <c r="D87" s="117">
        <f>NPV(After_Tax_Cost_of_Capital,J$8:J44)</f>
        <v>3908463261.826314</v>
      </c>
      <c r="E87" s="118"/>
    </row>
    <row r="88" spans="2:5">
      <c r="B88">
        <v>38</v>
      </c>
      <c r="C88" s="52">
        <v>2061</v>
      </c>
      <c r="D88" s="117">
        <f>NPV(After_Tax_Cost_of_Capital,J$8:J45)</f>
        <v>3961670611.6836586</v>
      </c>
      <c r="E88" s="118"/>
    </row>
    <row r="89" spans="2:5">
      <c r="B89">
        <v>39</v>
      </c>
      <c r="C89" s="52">
        <v>2062</v>
      </c>
      <c r="D89" s="117">
        <f>NPV(After_Tax_Cost_of_Capital,J$8:J46)</f>
        <v>4013447874.5547495</v>
      </c>
      <c r="E89" s="118"/>
    </row>
    <row r="90" spans="2:5">
      <c r="B90">
        <v>40</v>
      </c>
      <c r="C90" s="52">
        <v>2063</v>
      </c>
      <c r="D90" s="117">
        <f>NPV(After_Tax_Cost_of_Capital,J$8:J47)</f>
        <v>4063833487.7756648</v>
      </c>
      <c r="E90" s="118"/>
    </row>
  </sheetData>
  <mergeCells count="2">
    <mergeCell ref="C4:J4"/>
    <mergeCell ref="C7:J7"/>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CDB37-378B-46BC-AC46-09DFCD831FDF}">
  <sheetPr>
    <tabColor rgb="FF0070C0"/>
  </sheetPr>
  <dimension ref="C1:AI44"/>
  <sheetViews>
    <sheetView showGridLines="0" zoomScale="74" zoomScaleNormal="74" workbookViewId="0">
      <selection activeCell="C2" sqref="C2"/>
    </sheetView>
  </sheetViews>
  <sheetFormatPr defaultRowHeight="15"/>
  <cols>
    <col min="4" max="6" width="14.7109375" customWidth="1"/>
    <col min="7" max="7" width="15.7109375" bestFit="1" customWidth="1"/>
    <col min="8" max="8" width="14.7109375" customWidth="1"/>
    <col min="9" max="9" width="15.7109375" bestFit="1" customWidth="1"/>
    <col min="12" max="12" width="13.28515625" bestFit="1" customWidth="1"/>
    <col min="13" max="14" width="12" bestFit="1" customWidth="1"/>
    <col min="16" max="17" width="9.7109375" bestFit="1" customWidth="1"/>
    <col min="30" max="30" width="11" bestFit="1" customWidth="1"/>
    <col min="31" max="32" width="11.7109375" bestFit="1" customWidth="1"/>
    <col min="33" max="33" width="12.42578125" bestFit="1" customWidth="1"/>
    <col min="34" max="34" width="11.7109375" bestFit="1" customWidth="1"/>
    <col min="35" max="35" width="12.28515625" bestFit="1" customWidth="1"/>
  </cols>
  <sheetData>
    <row r="1" spans="3:35">
      <c r="AC1" t="s">
        <v>40</v>
      </c>
    </row>
    <row r="2" spans="3:35">
      <c r="C2" s="15" t="s">
        <v>205</v>
      </c>
      <c r="K2" s="15" t="s">
        <v>206</v>
      </c>
      <c r="AC2" s="2"/>
      <c r="AD2" s="2" t="s">
        <v>41</v>
      </c>
      <c r="AE2" s="2" t="s">
        <v>47</v>
      </c>
      <c r="AF2" s="2" t="s">
        <v>48</v>
      </c>
      <c r="AG2" s="2" t="s">
        <v>44</v>
      </c>
      <c r="AH2" s="2" t="s">
        <v>49</v>
      </c>
      <c r="AI2" s="2" t="s">
        <v>50</v>
      </c>
    </row>
    <row r="3" spans="3:35">
      <c r="C3" s="2"/>
      <c r="D3" s="2" t="s">
        <v>41</v>
      </c>
      <c r="E3" s="2" t="s">
        <v>42</v>
      </c>
      <c r="F3" s="2" t="s">
        <v>43</v>
      </c>
      <c r="G3" s="2" t="s">
        <v>44</v>
      </c>
      <c r="H3" s="2" t="s">
        <v>45</v>
      </c>
      <c r="I3" s="2" t="s">
        <v>46</v>
      </c>
      <c r="K3" s="2"/>
      <c r="L3" s="2" t="s">
        <v>41</v>
      </c>
      <c r="M3" s="2" t="s">
        <v>47</v>
      </c>
      <c r="N3" s="2" t="s">
        <v>48</v>
      </c>
      <c r="O3" s="2" t="s">
        <v>44</v>
      </c>
      <c r="P3" s="2" t="s">
        <v>49</v>
      </c>
      <c r="Q3" s="2" t="s">
        <v>50</v>
      </c>
      <c r="AC3" s="2">
        <v>2023</v>
      </c>
      <c r="AD3" s="2"/>
      <c r="AE3" s="2"/>
      <c r="AF3" s="2"/>
      <c r="AG3" s="2"/>
      <c r="AH3" s="2"/>
      <c r="AI3" s="2"/>
    </row>
    <row r="4" spans="3:35">
      <c r="C4" s="165">
        <v>2023</v>
      </c>
      <c r="D4" s="146">
        <f>206400000</f>
        <v>206400000</v>
      </c>
      <c r="E4" s="146">
        <v>0</v>
      </c>
      <c r="F4" s="146">
        <v>0</v>
      </c>
      <c r="G4" s="146">
        <v>0</v>
      </c>
      <c r="H4" s="146">
        <v>0</v>
      </c>
      <c r="I4" s="146">
        <v>0</v>
      </c>
      <c r="K4" s="2">
        <v>2023</v>
      </c>
      <c r="L4" s="117">
        <f>D4/10^6</f>
        <v>206.4</v>
      </c>
      <c r="M4" s="117">
        <f t="shared" ref="M4:N4" si="0">E4/10^6</f>
        <v>0</v>
      </c>
      <c r="N4" s="117">
        <f t="shared" si="0"/>
        <v>0</v>
      </c>
      <c r="O4" s="117">
        <f t="shared" ref="O4" si="1">G4/10^6</f>
        <v>0</v>
      </c>
      <c r="P4" s="117">
        <f t="shared" ref="P4" si="2">H4/10^6</f>
        <v>0</v>
      </c>
      <c r="Q4" s="117">
        <f t="shared" ref="Q4" si="3">I4/10^6</f>
        <v>0</v>
      </c>
      <c r="AC4" s="2">
        <v>2024</v>
      </c>
      <c r="AD4" s="166">
        <f>'Option 1 Dawn Corunna'!J8/10^6</f>
        <v>-7.4641836797137948</v>
      </c>
      <c r="AE4" s="166">
        <f>'Option 2 Market Storage'!J8/10^6</f>
        <v>0.87084351467953247</v>
      </c>
      <c r="AF4" s="166">
        <f>'Option 2 Market Storage'!T8/10^6</f>
        <v>-1.7400427838188075</v>
      </c>
      <c r="AG4" s="166">
        <f>'Option 3 Pipeline'!J8/10^6</f>
        <v>213.87132527644002</v>
      </c>
      <c r="AH4" s="166">
        <f>'Option 4 Delivered Service'!J8/10^6</f>
        <v>26.358411953439798</v>
      </c>
      <c r="AI4" s="166">
        <f>'Option 4 Delivered Service'!T8/10^6</f>
        <v>68.543469205510164</v>
      </c>
    </row>
    <row r="5" spans="3:35">
      <c r="C5" s="2">
        <v>2024</v>
      </c>
      <c r="D5" s="117">
        <f>'Option 1 Dawn Corunna'!D51</f>
        <v>-7114166.6791019784</v>
      </c>
      <c r="E5" s="117">
        <f>'Option 2 Market Storage'!D51</f>
        <v>830007.16229463648</v>
      </c>
      <c r="F5" s="117">
        <f>'Option 2 Market Storage'!N51</f>
        <v>-1658447.1824426302</v>
      </c>
      <c r="G5" s="117">
        <f>'Option 3 Pipeline'!D51</f>
        <v>203842284.86126578</v>
      </c>
      <c r="H5" s="117">
        <f>'Option 4 Delivered Service'!D51</f>
        <v>25122390.348303281</v>
      </c>
      <c r="I5" s="117">
        <f>'Option 4 Delivered Service'!N51</f>
        <v>65329269.162705086</v>
      </c>
      <c r="K5" s="2">
        <v>2024</v>
      </c>
      <c r="L5" s="117">
        <f>(D$4+D5)/10^6</f>
        <v>199.28583332089804</v>
      </c>
      <c r="M5" s="117">
        <f t="shared" ref="M5:N5" si="4">(E$4+E5)/10^6</f>
        <v>0.83000716229463645</v>
      </c>
      <c r="N5" s="117">
        <f t="shared" si="4"/>
        <v>-1.6584471824426301</v>
      </c>
      <c r="O5" s="117">
        <f t="shared" ref="O5:O44" si="5">(G$4+G5)/10^6</f>
        <v>203.84228486126577</v>
      </c>
      <c r="P5" s="117">
        <f t="shared" ref="P5:P44" si="6">(H$4+H5)/10^6</f>
        <v>25.122390348303281</v>
      </c>
      <c r="Q5" s="117">
        <f t="shared" ref="Q5:Q44" si="7">(I$4+I5)/10^6</f>
        <v>65.329269162705089</v>
      </c>
      <c r="AC5" s="2">
        <v>2025</v>
      </c>
      <c r="AD5" s="166">
        <f>'Option 1 Dawn Corunna'!J9/10^6</f>
        <v>-0.71187617995291019</v>
      </c>
      <c r="AE5" s="166">
        <f>'Option 2 Market Storage'!J9/10^6</f>
        <v>4.1502126544859816</v>
      </c>
      <c r="AF5" s="166">
        <f>'Option 2 Market Storage'!T9/10^6</f>
        <v>-3.7305105211388767</v>
      </c>
      <c r="AG5" s="166">
        <f>'Option 3 Pipeline'!J9/10^6</f>
        <v>203.12265015980279</v>
      </c>
      <c r="AH5" s="166">
        <f>'Option 4 Delivered Service'!J9/10^6</f>
        <v>26.911938604462026</v>
      </c>
      <c r="AI5" s="166">
        <f>'Option 4 Delivered Service'!T9/10^6</f>
        <v>69.982882058825865</v>
      </c>
    </row>
    <row r="6" spans="3:35">
      <c r="C6" s="2">
        <v>2025</v>
      </c>
      <c r="D6" s="117">
        <f>'Option 1 Dawn Corunna'!D52</f>
        <v>-7760844.3976019779</v>
      </c>
      <c r="E6" s="117">
        <f>'Option 2 Market Storage'!D52</f>
        <v>4600115.1196508706</v>
      </c>
      <c r="F6" s="117">
        <f>'Option 2 Market Storage'!N52</f>
        <v>-5047292.1818776671</v>
      </c>
      <c r="G6" s="117">
        <f>'Option 3 Pipeline'!D52</f>
        <v>388361581.44695014</v>
      </c>
      <c r="H6" s="117">
        <f>'Option 4 Delivered Service'!D52</f>
        <v>49569550.609090209</v>
      </c>
      <c r="I6" s="117">
        <f>'Option 4 Delivered Service'!N52</f>
        <v>128902642.98573393</v>
      </c>
      <c r="K6" s="2">
        <v>2025</v>
      </c>
      <c r="L6" s="117">
        <f t="shared" ref="L6:L44" si="8">(D$4+D6)/10^6</f>
        <v>198.63915560239801</v>
      </c>
      <c r="M6" s="117">
        <f t="shared" ref="M6:M44" si="9">(E$4+E6)/10^6</f>
        <v>4.6001151196508703</v>
      </c>
      <c r="N6" s="117">
        <f t="shared" ref="N6:N44" si="10">(F$4+F6)/10^6</f>
        <v>-5.0472921818776673</v>
      </c>
      <c r="O6" s="117">
        <f t="shared" si="5"/>
        <v>388.36158144695014</v>
      </c>
      <c r="P6" s="117">
        <f t="shared" si="6"/>
        <v>49.569550609090207</v>
      </c>
      <c r="Q6" s="117">
        <f t="shared" si="7"/>
        <v>128.90264298573393</v>
      </c>
      <c r="AC6" s="2">
        <v>2026</v>
      </c>
      <c r="AD6" s="166">
        <f>'Option 1 Dawn Corunna'!J10/10^6</f>
        <v>-2.820630725106541</v>
      </c>
      <c r="AE6" s="166">
        <f>'Option 2 Market Storage'!J10/10^6</f>
        <v>1.3504000575422459</v>
      </c>
      <c r="AF6" s="166">
        <f>'Option 2 Market Storage'!T10/10^6</f>
        <v>0.35974012554908169</v>
      </c>
      <c r="AG6" s="166">
        <f>'Option 3 Pipeline'!J10/10^6</f>
        <v>204.68604820086819</v>
      </c>
      <c r="AH6" s="166">
        <f>'Option 4 Delivered Service'!J10/10^6</f>
        <v>27.47708931515573</v>
      </c>
      <c r="AI6" s="166">
        <f>'Option 4 Delivered Service'!T10/10^6</f>
        <v>71.452522582061206</v>
      </c>
    </row>
    <row r="7" spans="3:35">
      <c r="C7" s="2">
        <v>2026</v>
      </c>
      <c r="D7" s="117">
        <f>'Option 1 Dawn Corunna'!D53</f>
        <v>-10202989.06256409</v>
      </c>
      <c r="E7" s="117">
        <f>'Option 2 Market Storage'!D53</f>
        <v>5769311.8765098387</v>
      </c>
      <c r="F7" s="117">
        <f>'Option 2 Market Storage'!N53</f>
        <v>-4735823.7501674853</v>
      </c>
      <c r="G7" s="117">
        <f>'Option 3 Pipeline'!D53</f>
        <v>565581852.13199222</v>
      </c>
      <c r="H7" s="117">
        <f>'Option 4 Delivered Service'!D53</f>
        <v>73359629.360770971</v>
      </c>
      <c r="I7" s="117">
        <f>'Option 4 Delivered Service'!N53</f>
        <v>190767315.75862038</v>
      </c>
      <c r="K7" s="2">
        <v>2026</v>
      </c>
      <c r="L7" s="117">
        <f t="shared" si="8"/>
        <v>196.19701093743592</v>
      </c>
      <c r="M7" s="117">
        <f t="shared" si="9"/>
        <v>5.769311876509839</v>
      </c>
      <c r="N7" s="117">
        <f t="shared" si="10"/>
        <v>-4.7358237501674854</v>
      </c>
      <c r="O7" s="117">
        <f t="shared" si="5"/>
        <v>565.58185213199226</v>
      </c>
      <c r="P7" s="117">
        <f t="shared" si="6"/>
        <v>73.359629360770967</v>
      </c>
      <c r="Q7" s="117">
        <f t="shared" si="7"/>
        <v>190.76731575862038</v>
      </c>
      <c r="AC7" s="2">
        <v>2027</v>
      </c>
      <c r="AD7" s="166">
        <f>'Option 1 Dawn Corunna'!J11/10^6</f>
        <v>-9.0044346772452784</v>
      </c>
      <c r="AE7" s="166">
        <f>'Option 2 Market Storage'!J11/10^6</f>
        <v>-3.1395405300211756</v>
      </c>
      <c r="AF7" s="166">
        <f>'Option 2 Market Storage'!T11/10^6</f>
        <v>9.6998914308317002E-2</v>
      </c>
      <c r="AG7" s="166">
        <f>'Option 3 Pipeline'!J11/10^6</f>
        <v>210.34177299769891</v>
      </c>
      <c r="AH7" s="166">
        <f>'Option 4 Delivered Service'!J11/10^6</f>
        <v>28.054108190773999</v>
      </c>
      <c r="AI7" s="166">
        <f>'Option 4 Delivered Service'!T11/10^6</f>
        <v>72.953025556284473</v>
      </c>
    </row>
    <row r="8" spans="3:35">
      <c r="C8" s="2">
        <v>2027</v>
      </c>
      <c r="D8" s="117">
        <f>'Option 1 Dawn Corunna'!D54</f>
        <v>-17633579.49702606</v>
      </c>
      <c r="E8" s="117">
        <f>'Option 2 Market Storage'!D54</f>
        <v>3178517.3772245236</v>
      </c>
      <c r="F8" s="117">
        <f>'Option 2 Market Storage'!N54</f>
        <v>-4655778.8355617989</v>
      </c>
      <c r="G8" s="117">
        <f>'Option 3 Pipeline'!D54</f>
        <v>739158941.91356075</v>
      </c>
      <c r="H8" s="117">
        <f>'Option 4 Delivered Service'!D54</f>
        <v>96510287.391142741</v>
      </c>
      <c r="I8" s="117">
        <f>'Option 4 Delivered Service'!N54</f>
        <v>250969213.30066866</v>
      </c>
      <c r="K8" s="2">
        <v>2027</v>
      </c>
      <c r="L8" s="117">
        <f t="shared" si="8"/>
        <v>188.76642050297394</v>
      </c>
      <c r="M8" s="117">
        <f t="shared" si="9"/>
        <v>3.1785173772245234</v>
      </c>
      <c r="N8" s="117">
        <f t="shared" si="10"/>
        <v>-4.6557788355617991</v>
      </c>
      <c r="O8" s="117">
        <f t="shared" si="5"/>
        <v>739.15894191356074</v>
      </c>
      <c r="P8" s="117">
        <f t="shared" si="6"/>
        <v>96.510287391142739</v>
      </c>
      <c r="Q8" s="117">
        <f t="shared" si="7"/>
        <v>250.96921330066866</v>
      </c>
      <c r="AC8" s="2">
        <v>2028</v>
      </c>
      <c r="AD8" s="166">
        <f>'Option 1 Dawn Corunna'!J12/10^6</f>
        <v>-23.993519706561127</v>
      </c>
      <c r="AE8" s="166">
        <f>'Option 2 Market Storage'!J12/10^6</f>
        <v>-3.9101301054540833</v>
      </c>
      <c r="AF8" s="166">
        <f>'Option 2 Market Storage'!T12/10^6</f>
        <v>-0.32120411232710255</v>
      </c>
      <c r="AG8" s="166">
        <f>'Option 3 Pipeline'!J12/10^6</f>
        <v>213.06438411817734</v>
      </c>
      <c r="AH8" s="166">
        <f>'Option 4 Delivered Service'!J12/10^6</f>
        <v>28.643244462780249</v>
      </c>
      <c r="AI8" s="166">
        <f>'Option 4 Delivered Service'!T12/10^6</f>
        <v>74.485039092966431</v>
      </c>
    </row>
    <row r="9" spans="3:35">
      <c r="C9" s="2">
        <v>2028</v>
      </c>
      <c r="D9" s="117">
        <f>'Option 1 Dawn Corunna'!D55</f>
        <v>-36504911.336318426</v>
      </c>
      <c r="E9" s="117">
        <f>'Option 2 Market Storage'!D55</f>
        <v>103130.20363476193</v>
      </c>
      <c r="F9" s="117">
        <f>'Option 2 Market Storage'!N55</f>
        <v>-4908411.607493653</v>
      </c>
      <c r="G9" s="117">
        <f>'Option 3 Pipeline'!D55</f>
        <v>906737885.93689525</v>
      </c>
      <c r="H9" s="117">
        <f>'Option 4 Delivered Service'!D55</f>
        <v>119038710.80804093</v>
      </c>
      <c r="I9" s="117">
        <f>'Option 4 Delivered Service'!N55</f>
        <v>309553027.05441558</v>
      </c>
      <c r="K9" s="2">
        <v>2028</v>
      </c>
      <c r="L9" s="117">
        <f t="shared" si="8"/>
        <v>169.89508866368158</v>
      </c>
      <c r="M9" s="117">
        <f>(E$4+E9)/10^6</f>
        <v>0.10313020363476193</v>
      </c>
      <c r="N9" s="117">
        <f t="shared" si="10"/>
        <v>-4.9084116074936528</v>
      </c>
      <c r="O9" s="117">
        <f t="shared" si="5"/>
        <v>906.73788593689528</v>
      </c>
      <c r="P9" s="117">
        <f t="shared" si="6"/>
        <v>119.03871080804093</v>
      </c>
      <c r="Q9" s="117">
        <f t="shared" si="7"/>
        <v>309.55302705441557</v>
      </c>
      <c r="AC9" s="2">
        <v>2029</v>
      </c>
      <c r="AD9" s="166">
        <f>'Option 1 Dawn Corunna'!J13/10^6</f>
        <v>-23.091085476769429</v>
      </c>
      <c r="AE9" s="166">
        <f>'Option 2 Market Storage'!J13/10^6</f>
        <v>-4.6791720531980321</v>
      </c>
      <c r="AF9" s="166">
        <f>'Option 2 Market Storage'!T13/10^6</f>
        <v>-0.43288444681921601</v>
      </c>
      <c r="AG9" s="166">
        <f>'Option 3 Pipeline'!J13/10^6</f>
        <v>224.16869880520599</v>
      </c>
      <c r="AH9" s="166">
        <f>'Option 4 Delivered Service'!J13/10^6</f>
        <v>29.244752596498632</v>
      </c>
      <c r="AI9" s="166">
        <f>'Option 4 Delivered Service'!T13/10^6</f>
        <v>76.049224913918721</v>
      </c>
    </row>
    <row r="10" spans="3:35">
      <c r="C10" s="2">
        <v>2029</v>
      </c>
      <c r="D10" s="117">
        <f>'Option 1 Dawn Corunna'!D56</f>
        <v>-53814815.260842122</v>
      </c>
      <c r="E10" s="117">
        <f>'Option 2 Market Storage'!D56</f>
        <v>-3404544.5987758688</v>
      </c>
      <c r="F10" s="117">
        <f>'Option 2 Market Storage'!N56</f>
        <v>-5232917.2784115346</v>
      </c>
      <c r="G10" s="117">
        <f>'Option 3 Pipeline'!D56</f>
        <v>1074782763.8230987</v>
      </c>
      <c r="H10" s="117">
        <f>'Option 4 Delivered Service'!D56</f>
        <v>140961623.7976073</v>
      </c>
      <c r="I10" s="117">
        <f>'Option 4 Delivered Service'!N56</f>
        <v>366562247.26274157</v>
      </c>
      <c r="K10" s="2">
        <v>2029</v>
      </c>
      <c r="L10" s="117">
        <f t="shared" si="8"/>
        <v>152.58518473915788</v>
      </c>
      <c r="M10" s="117">
        <f t="shared" si="9"/>
        <v>-3.4045445987758689</v>
      </c>
      <c r="N10" s="117">
        <f t="shared" si="10"/>
        <v>-5.2329172784115343</v>
      </c>
      <c r="O10" s="117">
        <f t="shared" si="5"/>
        <v>1074.7827638230985</v>
      </c>
      <c r="P10" s="117">
        <f t="shared" si="6"/>
        <v>140.9616237976073</v>
      </c>
      <c r="Q10" s="117">
        <f t="shared" si="7"/>
        <v>366.56224726274155</v>
      </c>
      <c r="AC10" s="2">
        <v>2030</v>
      </c>
      <c r="AD10" s="166">
        <f>'Option 1 Dawn Corunna'!J14/10^6</f>
        <v>-18.690914725564404</v>
      </c>
      <c r="AE10" s="166">
        <f>'Option 2 Market Storage'!J14/10^6</f>
        <v>-2.304725164688997</v>
      </c>
      <c r="AF10" s="166">
        <f>'Option 2 Market Storage'!T14/10^6</f>
        <v>2.5748884649668038</v>
      </c>
      <c r="AG10" s="166">
        <f>'Option 3 Pipeline'!J14/10^6</f>
        <v>222.45173329906035</v>
      </c>
      <c r="AH10" s="166">
        <f>'Option 4 Delivered Service'!J14/10^6</f>
        <v>29.858892401025095</v>
      </c>
      <c r="AI10" s="166">
        <f>'Option 4 Delivered Service'!T14/10^6</f>
        <v>77.646258637110989</v>
      </c>
    </row>
    <row r="11" spans="3:35">
      <c r="C11" s="2">
        <v>2030</v>
      </c>
      <c r="D11" s="117">
        <f>'Option 1 Dawn Corunna'!D57</f>
        <v>-67169159.981946871</v>
      </c>
      <c r="E11" s="117">
        <f>'Option 2 Market Storage'!D57</f>
        <v>-5051232.0289295781</v>
      </c>
      <c r="F11" s="117">
        <f>'Option 2 Market Storage'!N57</f>
        <v>-3393202.7066826434</v>
      </c>
      <c r="G11" s="117">
        <f>'Option 3 Pipeline'!D57</f>
        <v>1233720791.9453795</v>
      </c>
      <c r="H11" s="117">
        <f>'Option 4 Delivered Service'!D57</f>
        <v>162295301.03964624</v>
      </c>
      <c r="I11" s="117">
        <f>'Option 4 Delivered Service'!N57</f>
        <v>422039195.25425977</v>
      </c>
      <c r="K11" s="2">
        <v>2030</v>
      </c>
      <c r="L11" s="117">
        <f t="shared" si="8"/>
        <v>139.2308400180531</v>
      </c>
      <c r="M11" s="117">
        <f t="shared" si="9"/>
        <v>-5.0512320289295785</v>
      </c>
      <c r="N11" s="117">
        <f t="shared" si="10"/>
        <v>-3.3932027066826436</v>
      </c>
      <c r="O11" s="117">
        <f t="shared" si="5"/>
        <v>1233.7207919453795</v>
      </c>
      <c r="P11" s="117">
        <f t="shared" si="6"/>
        <v>162.29530103964623</v>
      </c>
      <c r="Q11" s="117">
        <f t="shared" si="7"/>
        <v>422.03919525425977</v>
      </c>
      <c r="AC11" s="2">
        <v>2031</v>
      </c>
      <c r="AD11" s="166">
        <f>'Option 1 Dawn Corunna'!J15/10^6</f>
        <v>-28.131438059948614</v>
      </c>
      <c r="AE11" s="166">
        <f>'Option 2 Market Storage'!J15/10^6</f>
        <v>-6.9845718372441157</v>
      </c>
      <c r="AF11" s="166">
        <f>'Option 2 Market Storage'!T15/10^6</f>
        <v>-1.3903558958878071</v>
      </c>
      <c r="AG11" s="166">
        <f>'Option 3 Pipeline'!J15/10^6</f>
        <v>219.56279779113322</v>
      </c>
      <c r="AH11" s="166">
        <f>'Option 4 Delivered Service'!J15/10^6</f>
        <v>30.485929141446618</v>
      </c>
      <c r="AI11" s="166">
        <f>'Option 4 Delivered Service'!T15/10^6</f>
        <v>79.276830068490327</v>
      </c>
    </row>
    <row r="12" spans="3:35">
      <c r="C12" s="2">
        <v>2031</v>
      </c>
      <c r="D12" s="117">
        <f>'Option 1 Dawn Corunna'!D58</f>
        <v>-86326079.656038806</v>
      </c>
      <c r="E12" s="117">
        <f>'Option 2 Market Storage'!D58</f>
        <v>-9807579.0510360859</v>
      </c>
      <c r="F12" s="117">
        <f>'Option 2 Market Storage'!N58</f>
        <v>-4340005.9294387391</v>
      </c>
      <c r="G12" s="117">
        <f>'Option 3 Pipeline'!D58</f>
        <v>1383238455.128479</v>
      </c>
      <c r="H12" s="117">
        <f>'Option 4 Delivered Service'!D58</f>
        <v>183055579.78928575</v>
      </c>
      <c r="I12" s="117">
        <f>'Option 4 Delivered Service'!N58</f>
        <v>476025054.86095059</v>
      </c>
      <c r="K12" s="2">
        <v>2031</v>
      </c>
      <c r="L12" s="117">
        <f t="shared" si="8"/>
        <v>120.07392034396119</v>
      </c>
      <c r="M12" s="117">
        <f t="shared" si="9"/>
        <v>-9.8075790510360861</v>
      </c>
      <c r="N12" s="117">
        <f t="shared" si="10"/>
        <v>-4.340005929438739</v>
      </c>
      <c r="O12" s="117">
        <f t="shared" si="5"/>
        <v>1383.238455128479</v>
      </c>
      <c r="P12" s="117">
        <f t="shared" si="6"/>
        <v>183.05557978928576</v>
      </c>
      <c r="Q12" s="117">
        <f t="shared" si="7"/>
        <v>476.0250548609506</v>
      </c>
      <c r="AC12" s="2">
        <v>2032</v>
      </c>
      <c r="AD12" s="166">
        <f>'Option 1 Dawn Corunna'!J16/10^6</f>
        <v>-27.092386634355012</v>
      </c>
      <c r="AE12" s="166">
        <f>'Option 2 Market Storage'!J16/10^6</f>
        <v>-4.1816151102983099</v>
      </c>
      <c r="AF12" s="166">
        <f>'Option 2 Market Storage'!T16/10^6</f>
        <v>0.10730327602843941</v>
      </c>
      <c r="AG12" s="166">
        <f>'Option 3 Pipeline'!J16/10^6</f>
        <v>229.78196102820772</v>
      </c>
      <c r="AH12" s="166">
        <f>'Option 4 Delivered Service'!J16/10^6</f>
        <v>31.126133653417</v>
      </c>
      <c r="AI12" s="166">
        <f>'Option 4 Delivered Service'!T16/10^6</f>
        <v>80.941643499928617</v>
      </c>
    </row>
    <row r="13" spans="3:35">
      <c r="C13" s="2">
        <v>2032</v>
      </c>
      <c r="D13" s="117">
        <f>'Option 1 Dawn Corunna'!D59</f>
        <v>-103910284.22346371</v>
      </c>
      <c r="E13" s="117">
        <f>'Option 2 Market Storage'!D59</f>
        <v>-12521639.518063344</v>
      </c>
      <c r="F13" s="117">
        <f>'Option 2 Market Storage'!N59</f>
        <v>-4270361.1697538802</v>
      </c>
      <c r="G13" s="117">
        <f>'Option 3 Pipeline'!D59</f>
        <v>1532377512.648808</v>
      </c>
      <c r="H13" s="117">
        <f>'Option 4 Delivered Service'!D59</f>
        <v>203257871.63391206</v>
      </c>
      <c r="I13" s="117">
        <f>'Option 4 Delivered Service'!N59</f>
        <v>528559902.99136555</v>
      </c>
      <c r="K13" s="2">
        <v>2032</v>
      </c>
      <c r="L13" s="117">
        <f t="shared" si="8"/>
        <v>102.48971577653629</v>
      </c>
      <c r="M13" s="117">
        <f t="shared" si="9"/>
        <v>-12.521639518063344</v>
      </c>
      <c r="N13" s="117">
        <f t="shared" si="10"/>
        <v>-4.2703611697538806</v>
      </c>
      <c r="O13" s="117">
        <f t="shared" si="5"/>
        <v>1532.3775126488081</v>
      </c>
      <c r="P13" s="117">
        <f t="shared" si="6"/>
        <v>203.25787163391206</v>
      </c>
      <c r="Q13" s="117">
        <f t="shared" si="7"/>
        <v>528.55990299136556</v>
      </c>
      <c r="AC13" s="2">
        <v>2033</v>
      </c>
      <c r="AD13" s="166">
        <f>'Option 1 Dawn Corunna'!J17/10^6</f>
        <v>-29.603448687733977</v>
      </c>
      <c r="AE13" s="166">
        <f>'Option 2 Market Storage'!J17/10^6</f>
        <v>-5.4223231562614478</v>
      </c>
      <c r="AF13" s="166">
        <f>'Option 2 Market Storage'!T17/10^6</f>
        <v>0.11726613310925663</v>
      </c>
      <c r="AG13" s="166">
        <f>'Option 3 Pipeline'!J17/10^6</f>
        <v>228.19983796158195</v>
      </c>
      <c r="AH13" s="166">
        <f>'Option 4 Delivered Service'!J17/10^6</f>
        <v>31.779782460138744</v>
      </c>
      <c r="AI13" s="166">
        <f>'Option 4 Delivered Service'!T17/10^6</f>
        <v>82.641418013427099</v>
      </c>
    </row>
    <row r="14" spans="3:35">
      <c r="C14" s="2">
        <v>2033</v>
      </c>
      <c r="D14" s="117">
        <f>'Option 1 Dawn Corunna'!D60</f>
        <v>-122223283.93044475</v>
      </c>
      <c r="E14" s="117">
        <f>'Option 2 Market Storage'!D60</f>
        <v>-15875944.734972626</v>
      </c>
      <c r="F14" s="117">
        <f>'Option 2 Market Storage'!N60</f>
        <v>-4197819.1262939777</v>
      </c>
      <c r="G14" s="117">
        <f>'Option 3 Pipeline'!D60</f>
        <v>1673544293.9182861</v>
      </c>
      <c r="H14" s="117">
        <f>'Option 4 Delivered Service'!D60</f>
        <v>222917173.93410596</v>
      </c>
      <c r="I14" s="117">
        <f>'Option 4 Delivered Service'!N60</f>
        <v>579682739.38209534</v>
      </c>
      <c r="K14" s="2">
        <v>2033</v>
      </c>
      <c r="L14" s="117">
        <f t="shared" si="8"/>
        <v>84.176716069555255</v>
      </c>
      <c r="M14" s="117">
        <f t="shared" si="9"/>
        <v>-15.875944734972625</v>
      </c>
      <c r="N14" s="117">
        <f t="shared" si="10"/>
        <v>-4.1978191262939779</v>
      </c>
      <c r="O14" s="117">
        <f t="shared" si="5"/>
        <v>1673.544293918286</v>
      </c>
      <c r="P14" s="117">
        <f t="shared" si="6"/>
        <v>222.91717393410596</v>
      </c>
      <c r="Q14" s="117">
        <f t="shared" si="7"/>
        <v>579.68273938209529</v>
      </c>
      <c r="AC14" s="2">
        <v>2034</v>
      </c>
      <c r="AD14" s="166">
        <f>'Option 1 Dawn Corunna'!J18/10^6</f>
        <v>-32.834051621264564</v>
      </c>
      <c r="AE14" s="166">
        <f>'Option 2 Market Storage'!J18/10^6</f>
        <v>-6.5027519287215103</v>
      </c>
      <c r="AF14" s="166">
        <f>'Option 2 Market Storage'!T18/10^6</f>
        <v>-1.5793609252516925</v>
      </c>
      <c r="AG14" s="166">
        <f>'Option 3 Pipeline'!J18/10^6</f>
        <v>231.58766121895241</v>
      </c>
      <c r="AH14" s="166">
        <f>'Option 4 Delivered Service'!J18/10^6</f>
        <v>32.447157891801652</v>
      </c>
      <c r="AI14" s="166">
        <f>'Option 4 Delivered Service'!T18/10^6</f>
        <v>84.376887791709052</v>
      </c>
    </row>
    <row r="15" spans="3:35">
      <c r="C15" s="2">
        <v>2034</v>
      </c>
      <c r="D15" s="117">
        <f>'Option 1 Dawn Corunna'!D61</f>
        <v>-141582304.24428418</v>
      </c>
      <c r="E15" s="117">
        <f>'Option 2 Market Storage'!D61</f>
        <v>-19709979.843891352</v>
      </c>
      <c r="F15" s="117">
        <f>'Option 2 Market Storage'!N61</f>
        <v>-5129013.3811945915</v>
      </c>
      <c r="G15" s="117">
        <f>'Option 3 Pipeline'!D61</f>
        <v>1810088826.7004879</v>
      </c>
      <c r="H15" s="117">
        <f>'Option 4 Delivered Service'!D61</f>
        <v>242048080.95707396</v>
      </c>
      <c r="I15" s="117">
        <f>'Option 4 Delivered Service'!N61</f>
        <v>629431515.54958963</v>
      </c>
      <c r="K15" s="2">
        <v>2034</v>
      </c>
      <c r="L15" s="117">
        <f t="shared" si="8"/>
        <v>64.817695755715818</v>
      </c>
      <c r="M15" s="117">
        <f t="shared" si="9"/>
        <v>-19.709979843891354</v>
      </c>
      <c r="N15" s="117">
        <f t="shared" si="10"/>
        <v>-5.1290133811945919</v>
      </c>
      <c r="O15" s="117">
        <f t="shared" si="5"/>
        <v>1810.0888267004877</v>
      </c>
      <c r="P15" s="117">
        <f t="shared" si="6"/>
        <v>242.04808095707395</v>
      </c>
      <c r="Q15" s="117">
        <f t="shared" si="7"/>
        <v>629.43151554958968</v>
      </c>
      <c r="AC15" s="2">
        <v>2035</v>
      </c>
      <c r="AD15" s="166">
        <f>'Option 1 Dawn Corunna'!J19/10^6</f>
        <v>-29.938451890771152</v>
      </c>
      <c r="AE15" s="166">
        <f>'Option 2 Market Storage'!J19/10^6</f>
        <v>-5.0218264318331851</v>
      </c>
      <c r="AF15" s="166">
        <f>'Option 2 Market Storage'!T19/10^6</f>
        <v>-2.1041783587162941</v>
      </c>
      <c r="AG15" s="166">
        <f>'Option 3 Pipeline'!J19/10^6</f>
        <v>235.68088553293788</v>
      </c>
      <c r="AH15" s="166">
        <f>'Option 4 Delivered Service'!J19/10^6</f>
        <v>33.128548207529491</v>
      </c>
      <c r="AI15" s="166">
        <f>'Option 4 Delivered Service'!T19/10^6</f>
        <v>86.148802435334957</v>
      </c>
    </row>
    <row r="16" spans="3:35">
      <c r="C16" s="2">
        <v>2035</v>
      </c>
      <c r="D16" s="117">
        <f>'Option 1 Dawn Corunna'!D62</f>
        <v>-158406331.23121613</v>
      </c>
      <c r="E16" s="117">
        <f>'Option 2 Market Storage'!D62</f>
        <v>-22532014.320526864</v>
      </c>
      <c r="F16" s="117">
        <f>'Option 2 Market Storage'!N62</f>
        <v>-6311464.4184599416</v>
      </c>
      <c r="G16" s="117">
        <f>'Option 3 Pipeline'!D62</f>
        <v>1942530597.3363454</v>
      </c>
      <c r="H16" s="117">
        <f>'Option 4 Delivered Service'!D62</f>
        <v>260664794.710839</v>
      </c>
      <c r="I16" s="117">
        <f>'Option 4 Delivered Service'!N62</f>
        <v>677843162.96382117</v>
      </c>
      <c r="K16" s="2">
        <v>2035</v>
      </c>
      <c r="L16" s="117">
        <f t="shared" si="8"/>
        <v>47.99366876878387</v>
      </c>
      <c r="M16" s="117">
        <f t="shared" si="9"/>
        <v>-22.532014320526866</v>
      </c>
      <c r="N16" s="117">
        <f t="shared" si="10"/>
        <v>-6.3114644184599413</v>
      </c>
      <c r="O16" s="117">
        <f t="shared" si="5"/>
        <v>1942.5305973363454</v>
      </c>
      <c r="P16" s="117">
        <f t="shared" si="6"/>
        <v>260.66479471083898</v>
      </c>
      <c r="Q16" s="117">
        <f t="shared" si="7"/>
        <v>677.84316296382121</v>
      </c>
      <c r="AC16" s="2">
        <v>2036</v>
      </c>
      <c r="AD16" s="166">
        <f>'Option 1 Dawn Corunna'!J20/10^6</f>
        <v>-36.332425086723006</v>
      </c>
      <c r="AE16" s="166">
        <f>'Option 2 Market Storage'!J20/10^6</f>
        <v>-5.1308020816153848</v>
      </c>
      <c r="AF16" s="166">
        <f>'Option 2 Market Storage'!T20/10^6</f>
        <v>-3.1936626040461884</v>
      </c>
      <c r="AG16" s="166">
        <f>'Option 3 Pipeline'!J20/10^6</f>
        <v>196.31016537892285</v>
      </c>
      <c r="AH16" s="166">
        <f>'Option 4 Delivered Service'!J20/10^6</f>
        <v>33.824247719887602</v>
      </c>
      <c r="AI16" s="166">
        <f>'Option 4 Delivered Service'!T20/10^6</f>
        <v>87.957927286476973</v>
      </c>
    </row>
    <row r="17" spans="3:35">
      <c r="C17" s="2">
        <v>2036</v>
      </c>
      <c r="D17" s="117">
        <f>'Option 1 Dawn Corunna'!D63</f>
        <v>-177866057.27020583</v>
      </c>
      <c r="E17" s="117">
        <f>'Option 2 Market Storage'!D63</f>
        <v>-25280083.094636835</v>
      </c>
      <c r="F17" s="117">
        <f>'Option 2 Market Storage'!N63</f>
        <v>-8021997.0676668873</v>
      </c>
      <c r="G17" s="117">
        <f>'Option 3 Pipeline'!D63</f>
        <v>2047674749.6417358</v>
      </c>
      <c r="H17" s="117">
        <f>'Option 4 Delivered Service'!D63</f>
        <v>278781135.48723447</v>
      </c>
      <c r="I17" s="117">
        <f>'Option 4 Delivered Service'!N63</f>
        <v>724953620.46470785</v>
      </c>
      <c r="K17" s="2">
        <v>2036</v>
      </c>
      <c r="L17" s="117">
        <f t="shared" si="8"/>
        <v>28.533942729794173</v>
      </c>
      <c r="M17" s="117">
        <f t="shared" si="9"/>
        <v>-25.280083094636836</v>
      </c>
      <c r="N17" s="117">
        <f t="shared" si="10"/>
        <v>-8.0219970676668879</v>
      </c>
      <c r="O17" s="117">
        <f t="shared" si="5"/>
        <v>2047.6747496417358</v>
      </c>
      <c r="P17" s="117">
        <f t="shared" si="6"/>
        <v>278.78113548723445</v>
      </c>
      <c r="Q17" s="117">
        <f t="shared" si="7"/>
        <v>724.9536204647078</v>
      </c>
      <c r="AC17" s="2">
        <v>2037</v>
      </c>
      <c r="AD17" s="166">
        <f>'Option 1 Dawn Corunna'!J21/10^6</f>
        <v>-37.630624108246849</v>
      </c>
      <c r="AE17" s="166">
        <f>'Option 2 Market Storage'!J21/10^6</f>
        <v>-5.2385489253293205</v>
      </c>
      <c r="AF17" s="166">
        <f>'Option 2 Market Storage'!T21/10^6</f>
        <v>-3.2607295187311696</v>
      </c>
      <c r="AG17" s="166">
        <f>'Option 3 Pipeline'!J21/10^6</f>
        <v>200.43267885188018</v>
      </c>
      <c r="AH17" s="166">
        <f>'Option 4 Delivered Service'!J21/10^6</f>
        <v>34.534556922005244</v>
      </c>
      <c r="AI17" s="166">
        <f>'Option 4 Delivered Service'!T21/10^6</f>
        <v>89.805043759492989</v>
      </c>
    </row>
    <row r="18" spans="3:35">
      <c r="C18" s="2">
        <v>2037</v>
      </c>
      <c r="D18" s="117">
        <f>'Option 1 Dawn Corunna'!D64</f>
        <v>-197075973.64790866</v>
      </c>
      <c r="E18" s="117">
        <f>'Option 2 Market Storage'!D64</f>
        <v>-27954290.317631774</v>
      </c>
      <c r="F18" s="117">
        <f>'Option 2 Market Storage'!N64</f>
        <v>-9686554.6685440298</v>
      </c>
      <c r="G18" s="117">
        <f>'Option 3 Pipeline'!D64</f>
        <v>2149992877.2664061</v>
      </c>
      <c r="H18" s="117">
        <f>'Option 4 Delivered Service'!D64</f>
        <v>296410552.12152708</v>
      </c>
      <c r="I18" s="117">
        <f>'Option 4 Delivered Service'!N64</f>
        <v>770797860.94164777</v>
      </c>
      <c r="K18" s="2">
        <v>2037</v>
      </c>
      <c r="L18" s="117">
        <f t="shared" si="8"/>
        <v>9.3240263520913427</v>
      </c>
      <c r="M18" s="117">
        <f t="shared" si="9"/>
        <v>-27.954290317631774</v>
      </c>
      <c r="N18" s="117">
        <f t="shared" si="10"/>
        <v>-9.68655466854403</v>
      </c>
      <c r="O18" s="117">
        <f t="shared" si="5"/>
        <v>2149.9928772664061</v>
      </c>
      <c r="P18" s="117">
        <f t="shared" si="6"/>
        <v>296.41055212152708</v>
      </c>
      <c r="Q18" s="117">
        <f t="shared" si="7"/>
        <v>770.79786094164774</v>
      </c>
      <c r="AC18" s="2">
        <v>2038</v>
      </c>
      <c r="AD18" s="166">
        <f>'Option 1 Dawn Corunna'!J22/10^6</f>
        <v>-38.95760632615098</v>
      </c>
      <c r="AE18" s="166">
        <f>'Option 2 Market Storage'!J22/10^6</f>
        <v>-5.3485584527612176</v>
      </c>
      <c r="AF18" s="166">
        <f>'Option 2 Market Storage'!T22/10^6</f>
        <v>-3.3292048386245146</v>
      </c>
      <c r="AG18" s="166">
        <f>'Option 3 Pipeline'!J22/10^6</f>
        <v>204.64176510776971</v>
      </c>
      <c r="AH18" s="166">
        <f>'Option 4 Delivered Service'!J22/10^6</f>
        <v>35.25978261736735</v>
      </c>
      <c r="AI18" s="166">
        <f>'Option 4 Delivered Service'!T22/10^6</f>
        <v>91.690949678442323</v>
      </c>
    </row>
    <row r="19" spans="3:35">
      <c r="C19" s="2">
        <v>2038</v>
      </c>
      <c r="D19" s="117">
        <f>'Option 1 Dawn Corunna'!D65</f>
        <v>-216030722.56202528</v>
      </c>
      <c r="E19" s="117">
        <f>'Option 2 Market Storage'!D65</f>
        <v>-30556621.212292299</v>
      </c>
      <c r="F19" s="117">
        <f>'Option 2 Market Storage'!N65</f>
        <v>-11306372.921017874</v>
      </c>
      <c r="G19" s="117">
        <f>'Option 3 Pipeline'!D65</f>
        <v>2249560937.0307865</v>
      </c>
      <c r="H19" s="117">
        <f>'Option 4 Delivered Service'!D65</f>
        <v>313566131.9762857</v>
      </c>
      <c r="I19" s="117">
        <f>'Option 4 Delivered Service'!N65</f>
        <v>815409917.2959708</v>
      </c>
      <c r="K19" s="2">
        <v>2038</v>
      </c>
      <c r="L19" s="117">
        <f t="shared" si="8"/>
        <v>-9.6307225620252783</v>
      </c>
      <c r="M19" s="117">
        <f t="shared" si="9"/>
        <v>-30.556621212292299</v>
      </c>
      <c r="N19" s="117">
        <f t="shared" si="10"/>
        <v>-11.306372921017873</v>
      </c>
      <c r="O19" s="117">
        <f t="shared" si="5"/>
        <v>2249.5609370307866</v>
      </c>
      <c r="P19" s="117">
        <f t="shared" si="6"/>
        <v>313.5661319762857</v>
      </c>
      <c r="Q19" s="117">
        <f t="shared" si="7"/>
        <v>815.40991729597079</v>
      </c>
      <c r="AC19" s="2">
        <v>2039</v>
      </c>
      <c r="AD19" s="166">
        <f>'Option 1 Dawn Corunna'!J23/10^6</f>
        <v>-40.313474636657837</v>
      </c>
      <c r="AE19" s="166">
        <f>'Option 2 Market Storage'!J23/10^6</f>
        <v>-5.4608781802692192</v>
      </c>
      <c r="AF19" s="166">
        <f>'Option 2 Market Storage'!T23/10^6</f>
        <v>-3.3991181402356325</v>
      </c>
      <c r="AG19" s="166">
        <f>'Option 3 Pipeline'!J23/10^6</f>
        <v>208.9392421750328</v>
      </c>
      <c r="AH19" s="166">
        <f>'Option 4 Delivered Service'!J23/10^6</f>
        <v>36.000238052332051</v>
      </c>
      <c r="AI19" s="166">
        <f>'Option 4 Delivered Service'!T23/10^6</f>
        <v>93.6164596216896</v>
      </c>
    </row>
    <row r="20" spans="3:35">
      <c r="C20" s="2">
        <v>2039</v>
      </c>
      <c r="D20" s="117">
        <f>'Option 1 Dawn Corunna'!D66</f>
        <v>-234725389.02187333</v>
      </c>
      <c r="E20" s="117">
        <f>'Option 2 Market Storage'!D66</f>
        <v>-33089007.643333472</v>
      </c>
      <c r="F20" s="117">
        <f>'Option 2 Market Storage'!N66</f>
        <v>-12882654.312340593</v>
      </c>
      <c r="G20" s="117">
        <f>'Option 3 Pipeline'!D66</f>
        <v>2346452844.2166734</v>
      </c>
      <c r="H20" s="117">
        <f>'Option 4 Delivered Service'!D66</f>
        <v>330260610.65690768</v>
      </c>
      <c r="I20" s="117">
        <f>'Option 4 Delivered Service'!N66</f>
        <v>858822907.70558167</v>
      </c>
      <c r="K20" s="2">
        <v>2039</v>
      </c>
      <c r="L20" s="117">
        <f t="shared" si="8"/>
        <v>-28.325389021873324</v>
      </c>
      <c r="M20" s="117">
        <f t="shared" si="9"/>
        <v>-33.089007643333474</v>
      </c>
      <c r="N20" s="117">
        <f t="shared" si="10"/>
        <v>-12.882654312340593</v>
      </c>
      <c r="O20" s="117">
        <f t="shared" si="5"/>
        <v>2346.4528442166734</v>
      </c>
      <c r="P20" s="117">
        <f t="shared" si="6"/>
        <v>330.26061065690766</v>
      </c>
      <c r="Q20" s="117">
        <f t="shared" si="7"/>
        <v>858.82290770558166</v>
      </c>
      <c r="AC20" s="2">
        <v>2040</v>
      </c>
      <c r="AD20" s="166">
        <f>'Option 1 Dawn Corunna'!J24/10^6</f>
        <v>-15.40191066461577</v>
      </c>
      <c r="AE20" s="166">
        <f>'Option 2 Market Storage'!J24/10^6</f>
        <v>2.2132307872667685</v>
      </c>
      <c r="AF20" s="166">
        <f>'Option 2 Market Storage'!T24/10^6</f>
        <v>4.3182877881410642</v>
      </c>
      <c r="AG20" s="166">
        <f>'Option 3 Pipeline'!J24/10^6</f>
        <v>246.72070274027575</v>
      </c>
      <c r="AH20" s="166">
        <f>'Option 4 Delivered Service'!J24/10^6</f>
        <v>36.756243051431021</v>
      </c>
      <c r="AI20" s="166">
        <f>'Option 4 Delivered Service'!T24/10^6</f>
        <v>95.582405273745081</v>
      </c>
    </row>
    <row r="21" spans="3:35">
      <c r="C21" s="2">
        <v>2040</v>
      </c>
      <c r="D21" s="117">
        <f>'Option 1 Dawn Corunna'!D67</f>
        <v>-241532828.79012099</v>
      </c>
      <c r="E21" s="117">
        <f>'Option 2 Market Storage'!D67</f>
        <v>-32110789.056975659</v>
      </c>
      <c r="F21" s="117">
        <f>'Option 2 Market Storage'!N67</f>
        <v>-10974028.515200704</v>
      </c>
      <c r="G21" s="117">
        <f>'Option 3 Pipeline'!D67</f>
        <v>2455500115.0427995</v>
      </c>
      <c r="H21" s="117">
        <f>'Option 4 Delivered Service'!D67</f>
        <v>346506381.46601456</v>
      </c>
      <c r="I21" s="117">
        <f>'Option 4 Delivered Service'!N67</f>
        <v>901069060.21054995</v>
      </c>
      <c r="K21" s="2">
        <v>2040</v>
      </c>
      <c r="L21" s="117">
        <f t="shared" si="8"/>
        <v>-35.132828790120989</v>
      </c>
      <c r="M21" s="117">
        <f t="shared" si="9"/>
        <v>-32.110789056975662</v>
      </c>
      <c r="N21" s="117">
        <f t="shared" si="10"/>
        <v>-10.974028515200704</v>
      </c>
      <c r="O21" s="117">
        <f t="shared" si="5"/>
        <v>2455.5001150427993</v>
      </c>
      <c r="P21" s="117">
        <f t="shared" si="6"/>
        <v>346.50638146601455</v>
      </c>
      <c r="Q21" s="117">
        <f t="shared" si="7"/>
        <v>901.06906021054999</v>
      </c>
      <c r="AC21" s="2">
        <v>2041</v>
      </c>
      <c r="AD21" s="166">
        <f>'Option 1 Dawn Corunna'!J25/10^6</f>
        <v>-43.111801236400154</v>
      </c>
      <c r="AE21" s="166">
        <f>'Option 2 Market Storage'!J25/10^6</f>
        <v>-5.6926433111180215</v>
      </c>
      <c r="AF21" s="166">
        <f>'Option 2 Market Storage'!T25/10^6</f>
        <v>-3.5433801132253708</v>
      </c>
      <c r="AG21" s="166">
        <f>'Option 3 Pipeline'!J25/10^6</f>
        <v>217.80683255218341</v>
      </c>
      <c r="AH21" s="166">
        <f>'Option 4 Delivered Service'!J25/10^6</f>
        <v>37.528124155511065</v>
      </c>
      <c r="AI21" s="166">
        <f>'Option 4 Delivered Service'!T25/10^6</f>
        <v>97.589635784493694</v>
      </c>
    </row>
    <row r="22" spans="3:35">
      <c r="C22" s="2">
        <v>2041</v>
      </c>
      <c r="D22" s="117">
        <f>'Option 1 Dawn Corunna'!D68</f>
        <v>-259694135.53732133</v>
      </c>
      <c r="E22" s="117">
        <f>'Option 2 Market Storage'!D68</f>
        <v>-34508875.854804039</v>
      </c>
      <c r="F22" s="117">
        <f>'Option 2 Market Storage'!N68</f>
        <v>-12466715.23467559</v>
      </c>
      <c r="G22" s="117">
        <f>'Option 3 Pipeline'!D68</f>
        <v>2547253569.6462336</v>
      </c>
      <c r="H22" s="117">
        <f>'Option 4 Delivered Service'!D68</f>
        <v>362315504.60373682</v>
      </c>
      <c r="I22" s="117">
        <f>'Option 4 Delivered Service'!N68</f>
        <v>942179736.63789713</v>
      </c>
      <c r="K22" s="2">
        <v>2041</v>
      </c>
      <c r="L22" s="117">
        <f t="shared" si="8"/>
        <v>-53.294135537321331</v>
      </c>
      <c r="M22" s="117">
        <f t="shared" si="9"/>
        <v>-34.508875854804039</v>
      </c>
      <c r="N22" s="117">
        <f t="shared" si="10"/>
        <v>-12.46671523467559</v>
      </c>
      <c r="O22" s="117">
        <f t="shared" si="5"/>
        <v>2547.2535696462337</v>
      </c>
      <c r="P22" s="117">
        <f t="shared" si="6"/>
        <v>362.31550460373683</v>
      </c>
      <c r="Q22" s="117">
        <f t="shared" si="7"/>
        <v>942.17973663789712</v>
      </c>
      <c r="AC22" s="2">
        <v>2042</v>
      </c>
      <c r="AD22" s="166">
        <f>'Option 1 Dawn Corunna'!J26/10^6</f>
        <v>-44.40830101630555</v>
      </c>
      <c r="AE22" s="166">
        <f>'Option 2 Market Storage'!J26/10^6</f>
        <v>-5.8121888206515013</v>
      </c>
      <c r="AF22" s="166">
        <f>'Option 2 Market Storage'!T26/10^6</f>
        <v>-3.617791095603101</v>
      </c>
      <c r="AG22" s="166">
        <f>'Option 3 Pipeline'!J26/10^6</f>
        <v>222.38077603577918</v>
      </c>
      <c r="AH22" s="166">
        <f>'Option 4 Delivered Service'!J26/10^6</f>
        <v>38.316214762776809</v>
      </c>
      <c r="AI22" s="166">
        <f>'Option 4 Delivered Service'!T26/10^6</f>
        <v>99.639018135968058</v>
      </c>
    </row>
    <row r="23" spans="3:35">
      <c r="C23" s="2">
        <v>2042</v>
      </c>
      <c r="D23" s="117">
        <f>'Option 1 Dawn Corunna'!D69</f>
        <v>-277524359.6388998</v>
      </c>
      <c r="E23" s="117">
        <f>'Option 2 Market Storage'!D69</f>
        <v>-36842507.784448326</v>
      </c>
      <c r="F23" s="117">
        <f>'Option 2 Market Storage'!N69</f>
        <v>-13919282.086166115</v>
      </c>
      <c r="G23" s="117">
        <f>'Option 3 Pipeline'!D69</f>
        <v>2636540909.6673031</v>
      </c>
      <c r="H23" s="117">
        <f>'Option 4 Delivered Service'!D69</f>
        <v>377699716.12071586</v>
      </c>
      <c r="I23" s="117">
        <f>'Option 4 Delivered Service'!N69</f>
        <v>982185455.88334262</v>
      </c>
      <c r="K23" s="2">
        <v>2042</v>
      </c>
      <c r="L23" s="117">
        <f t="shared" si="8"/>
        <v>-71.124359638899804</v>
      </c>
      <c r="M23" s="117">
        <f t="shared" si="9"/>
        <v>-36.842507784448323</v>
      </c>
      <c r="N23" s="117">
        <f t="shared" si="10"/>
        <v>-13.919282086166115</v>
      </c>
      <c r="O23" s="117">
        <f t="shared" si="5"/>
        <v>2636.5409096673029</v>
      </c>
      <c r="P23" s="117">
        <f t="shared" si="6"/>
        <v>377.69971612071583</v>
      </c>
      <c r="Q23" s="117">
        <f t="shared" si="7"/>
        <v>982.18545588334257</v>
      </c>
      <c r="AC23" s="2">
        <v>2043</v>
      </c>
      <c r="AD23" s="166">
        <f>'Option 1 Dawn Corunna'!J27/10^6</f>
        <v>-45.297367745554126</v>
      </c>
      <c r="AE23" s="166">
        <f>'Option 2 Market Storage'!J27/10^6</f>
        <v>-5.9342447858851628</v>
      </c>
      <c r="AF23" s="166">
        <f>'Option 2 Market Storage'!T27/10^6</f>
        <v>-3.6937647086107583</v>
      </c>
      <c r="AG23" s="166">
        <f>'Option 3 Pipeline'!J27/10^6</f>
        <v>227.05077233253053</v>
      </c>
      <c r="AH23" s="166">
        <f>'Option 4 Delivered Service'!J27/10^6</f>
        <v>39.120855272795112</v>
      </c>
      <c r="AI23" s="166">
        <f>'Option 4 Delivered Service'!T27/10^6</f>
        <v>101.73143751682338</v>
      </c>
    </row>
    <row r="24" spans="3:35">
      <c r="C24" s="2">
        <v>2043</v>
      </c>
      <c r="D24" s="117">
        <f>'Option 1 Dawn Corunna'!D70</f>
        <v>-294858700.30240488</v>
      </c>
      <c r="E24" s="117">
        <f>'Option 2 Market Storage'!D70</f>
        <v>-39113417.239430033</v>
      </c>
      <c r="F24" s="117">
        <f>'Option 2 Market Storage'!N70</f>
        <v>-15332807.396280318</v>
      </c>
      <c r="G24" s="117">
        <f>'Option 3 Pipeline'!D70</f>
        <v>2723428418.3992052</v>
      </c>
      <c r="H24" s="117">
        <f>'Option 4 Delivered Service'!D70</f>
        <v>392670436.63047147</v>
      </c>
      <c r="I24" s="117">
        <f>'Option 4 Delivered Service'!N70</f>
        <v>1021115916.5672922</v>
      </c>
      <c r="K24" s="2">
        <v>2043</v>
      </c>
      <c r="L24" s="117">
        <f t="shared" si="8"/>
        <v>-88.458700302404878</v>
      </c>
      <c r="M24" s="117">
        <f t="shared" si="9"/>
        <v>-39.113417239430035</v>
      </c>
      <c r="N24" s="117">
        <f t="shared" si="10"/>
        <v>-15.332807396280318</v>
      </c>
      <c r="O24" s="117">
        <f t="shared" si="5"/>
        <v>2723.4284183992054</v>
      </c>
      <c r="P24" s="117">
        <f t="shared" si="6"/>
        <v>392.67043663047144</v>
      </c>
      <c r="Q24" s="117">
        <f t="shared" si="7"/>
        <v>1021.1159165672922</v>
      </c>
      <c r="AC24" s="2">
        <v>2044</v>
      </c>
      <c r="AD24" s="166">
        <f>'Option 1 Dawn Corunna'!J28/10^6</f>
        <v>-42.046694322920338</v>
      </c>
      <c r="AE24" s="166">
        <f>'Option 2 Market Storage'!J28/10^6</f>
        <v>4.2926111419092043</v>
      </c>
      <c r="AF24" s="166">
        <f>'Option 2 Market Storage'!T28/10^6</f>
        <v>6.5801413008063658</v>
      </c>
      <c r="AG24" s="166">
        <f>'Option 3 Pipeline'!J28/10^6</f>
        <v>283.44373858306813</v>
      </c>
      <c r="AH24" s="166">
        <f>'Option 4 Delivered Service'!J28/10^6</f>
        <v>39.942393233523802</v>
      </c>
      <c r="AI24" s="166">
        <f>'Option 4 Delivered Service'!T28/10^6</f>
        <v>103.86779770467668</v>
      </c>
    </row>
    <row r="25" spans="3:35">
      <c r="C25" s="2">
        <v>2044</v>
      </c>
      <c r="D25" s="117">
        <f>'Option 1 Dawn Corunna'!D71</f>
        <v>-310194553.31296325</v>
      </c>
      <c r="E25" s="117">
        <f>'Option 2 Market Storage'!D71</f>
        <v>-37547756.619400762</v>
      </c>
      <c r="F25" s="117">
        <f>'Option 2 Market Storage'!N71</f>
        <v>-12932807.077518951</v>
      </c>
      <c r="G25" s="117">
        <f>'Option 3 Pipeline'!D71</f>
        <v>2826809946.5233679</v>
      </c>
      <c r="H25" s="117">
        <f>'Option 4 Delivered Service'!D71</f>
        <v>407238779.78760117</v>
      </c>
      <c r="I25" s="117">
        <f>'Option 4 Delivered Service'!N71</f>
        <v>1059000019.0818868</v>
      </c>
      <c r="K25" s="2">
        <v>2044</v>
      </c>
      <c r="L25" s="117">
        <f t="shared" si="8"/>
        <v>-103.79455331296325</v>
      </c>
      <c r="M25" s="117">
        <f t="shared" si="9"/>
        <v>-37.547756619400765</v>
      </c>
      <c r="N25" s="117">
        <f t="shared" si="10"/>
        <v>-12.932807077518952</v>
      </c>
      <c r="O25" s="117">
        <f t="shared" si="5"/>
        <v>2826.8099465233677</v>
      </c>
      <c r="P25" s="117">
        <f t="shared" si="6"/>
        <v>407.23877978760117</v>
      </c>
      <c r="Q25" s="117">
        <f t="shared" si="7"/>
        <v>1059.0000190818869</v>
      </c>
      <c r="AC25" s="2">
        <v>2045</v>
      </c>
      <c r="AD25" s="166">
        <f>'Option 1 Dawn Corunna'!J29/10^6</f>
        <v>-49.059230862073512</v>
      </c>
      <c r="AE25" s="166">
        <f>'Option 2 Market Storage'!J29/10^6</f>
        <v>-6.1861000688429328</v>
      </c>
      <c r="AF25" s="166">
        <f>'Option 2 Market Storage'!T29/10^6</f>
        <v>-3.8505317766089142</v>
      </c>
      <c r="AG25" s="166">
        <f>'Option 3 Pipeline'!J29/10^6</f>
        <v>236.68703416109534</v>
      </c>
      <c r="AH25" s="166">
        <f>'Option 4 Delivered Service'!J29/10^6</f>
        <v>40.781183491427797</v>
      </c>
      <c r="AI25" s="166">
        <f>'Option 4 Delivered Service'!T29/10^6</f>
        <v>106.04902145647486</v>
      </c>
    </row>
    <row r="26" spans="3:35">
      <c r="C26" s="2">
        <v>2045</v>
      </c>
      <c r="D26" s="117">
        <f>'Option 1 Dawn Corunna'!D72</f>
        <v>-327249035.31116712</v>
      </c>
      <c r="E26" s="117">
        <f>'Option 2 Market Storage'!D72</f>
        <v>-39698233.306648009</v>
      </c>
      <c r="F26" s="117">
        <f>'Option 2 Market Storage'!N72</f>
        <v>-14271369.132279083</v>
      </c>
      <c r="G26" s="117">
        <f>'Option 3 Pipeline'!D72</f>
        <v>2909089564.2910657</v>
      </c>
      <c r="H26" s="117">
        <f>'Option 4 Delivered Service'!D72</f>
        <v>421415560.53810579</v>
      </c>
      <c r="I26" s="117">
        <f>'Option 4 Delivered Service'!N72</f>
        <v>1095865887.0454788</v>
      </c>
      <c r="K26" s="2">
        <v>2045</v>
      </c>
      <c r="L26" s="117">
        <f t="shared" si="8"/>
        <v>-120.84903531116711</v>
      </c>
      <c r="M26" s="117">
        <f t="shared" si="9"/>
        <v>-39.698233306648007</v>
      </c>
      <c r="N26" s="117">
        <f t="shared" si="10"/>
        <v>-14.271369132279084</v>
      </c>
      <c r="O26" s="117">
        <f t="shared" si="5"/>
        <v>2909.0895642910655</v>
      </c>
      <c r="P26" s="117">
        <f t="shared" si="6"/>
        <v>421.41556053810581</v>
      </c>
      <c r="Q26" s="117">
        <f t="shared" si="7"/>
        <v>1095.8658870454788</v>
      </c>
      <c r="AC26" s="2">
        <v>2046</v>
      </c>
      <c r="AD26" s="166">
        <f>'Option 1 Dawn Corunna'!J30/10^6</f>
        <v>-50.621487331209657</v>
      </c>
      <c r="AE26" s="166">
        <f>'Option 2 Market Storage'!J30/10^6</f>
        <v>-6.3160081702886295</v>
      </c>
      <c r="AF26" s="166">
        <f>'Option 2 Market Storage'!T30/10^6</f>
        <v>-3.9313929439176993</v>
      </c>
      <c r="AG26" s="166">
        <f>'Option 3 Pipeline'!J30/10^6</f>
        <v>241.65746187847839</v>
      </c>
      <c r="AH26" s="166">
        <f>'Option 4 Delivered Service'!J30/10^6</f>
        <v>41.637588344747769</v>
      </c>
      <c r="AI26" s="166">
        <f>'Option 4 Delivered Service'!T30/10^6</f>
        <v>108.27605090706081</v>
      </c>
    </row>
    <row r="27" spans="3:35">
      <c r="C27" s="2">
        <v>2046</v>
      </c>
      <c r="D27" s="117">
        <f>'Option 1 Dawn Corunna'!D73</f>
        <v>-344021404.64167267</v>
      </c>
      <c r="E27" s="117">
        <f>'Option 2 Market Storage'!D73</f>
        <v>-41790910.296430163</v>
      </c>
      <c r="F27" s="117">
        <f>'Option 2 Market Storage'!N73</f>
        <v>-15573953.823386684</v>
      </c>
      <c r="G27" s="117">
        <f>'Option 3 Pipeline'!D73</f>
        <v>2989157701.672709</v>
      </c>
      <c r="H27" s="117">
        <f>'Option 4 Delivered Service'!D73</f>
        <v>435211303.14796585</v>
      </c>
      <c r="I27" s="117">
        <f>'Option 4 Delivered Service'!N73</f>
        <v>1131740888.1804652</v>
      </c>
      <c r="K27" s="2">
        <v>2046</v>
      </c>
      <c r="L27" s="117">
        <f t="shared" si="8"/>
        <v>-137.62140464167268</v>
      </c>
      <c r="M27" s="117">
        <f t="shared" si="9"/>
        <v>-41.790910296430162</v>
      </c>
      <c r="N27" s="117">
        <f t="shared" si="10"/>
        <v>-15.573953823386685</v>
      </c>
      <c r="O27" s="117">
        <f t="shared" si="5"/>
        <v>2989.1577016727092</v>
      </c>
      <c r="P27" s="117">
        <f t="shared" si="6"/>
        <v>435.21130314796585</v>
      </c>
      <c r="Q27" s="117">
        <f t="shared" si="7"/>
        <v>1131.7408881804652</v>
      </c>
      <c r="AC27" s="2">
        <v>2047</v>
      </c>
      <c r="AD27" s="166">
        <f>'Option 1 Dawn Corunna'!J31/10^6</f>
        <v>-52.214532941398637</v>
      </c>
      <c r="AE27" s="166">
        <f>'Option 2 Market Storage'!J31/10^6</f>
        <v>-6.4486443418646902</v>
      </c>
      <c r="AF27" s="166">
        <f>'Option 2 Market Storage'!T31/10^6</f>
        <v>-4.0139521957399698</v>
      </c>
      <c r="AG27" s="166">
        <f>'Option 3 Pipeline'!J31/10^6</f>
        <v>246.73226857792648</v>
      </c>
      <c r="AH27" s="166">
        <f>'Option 4 Delivered Service'!J31/10^6</f>
        <v>42.511977699987462</v>
      </c>
      <c r="AI27" s="166">
        <f>'Option 4 Delivered Service'!T31/10^6</f>
        <v>110.54984797610908</v>
      </c>
    </row>
    <row r="28" spans="3:35">
      <c r="C28" s="2">
        <v>2047</v>
      </c>
      <c r="D28" s="117">
        <f>'Option 1 Dawn Corunna'!D74</f>
        <v>-360510340.61181623</v>
      </c>
      <c r="E28" s="117">
        <f>'Option 2 Market Storage'!D74</f>
        <v>-43827341.107112184</v>
      </c>
      <c r="F28" s="117">
        <f>'Option 2 Market Storage'!N74</f>
        <v>-16841528.136788189</v>
      </c>
      <c r="G28" s="117">
        <f>'Option 3 Pipeline'!D74</f>
        <v>3067073798.0000606</v>
      </c>
      <c r="H28" s="117">
        <f>'Option 4 Delivered Service'!D74</f>
        <v>448636249.01592922</v>
      </c>
      <c r="I28" s="117">
        <f>'Option 4 Delivered Service'!N74</f>
        <v>1166651654.6299706</v>
      </c>
      <c r="K28" s="2">
        <v>2047</v>
      </c>
      <c r="L28" s="117">
        <f t="shared" si="8"/>
        <v>-154.11034061181624</v>
      </c>
      <c r="M28" s="117">
        <f t="shared" si="9"/>
        <v>-43.827341107112183</v>
      </c>
      <c r="N28" s="117">
        <f t="shared" si="10"/>
        <v>-16.841528136788188</v>
      </c>
      <c r="O28" s="117">
        <f t="shared" si="5"/>
        <v>3067.0737980000604</v>
      </c>
      <c r="P28" s="117">
        <f t="shared" si="6"/>
        <v>448.6362490159292</v>
      </c>
      <c r="Q28" s="117">
        <f t="shared" si="7"/>
        <v>1166.6516546299706</v>
      </c>
      <c r="AC28" s="2">
        <v>2048</v>
      </c>
      <c r="AD28" s="166">
        <f>'Option 1 Dawn Corunna'!J32/10^6</f>
        <v>-53.838727664240977</v>
      </c>
      <c r="AE28" s="166">
        <f>'Option 2 Market Storage'!J32/10^6</f>
        <v>-6.5840658730438424</v>
      </c>
      <c r="AF28" s="166">
        <f>'Option 2 Market Storage'!T32/10^6</f>
        <v>-4.0982451918505136</v>
      </c>
      <c r="AG28" s="166">
        <f>'Option 3 Pipeline'!J32/10^6</f>
        <v>251.91364621806284</v>
      </c>
      <c r="AH28" s="166">
        <f>'Option 4 Delivered Service'!J32/10^6</f>
        <v>43.40472923168722</v>
      </c>
      <c r="AI28" s="166">
        <f>'Option 4 Delivered Service'!T32/10^6</f>
        <v>112.87139478360736</v>
      </c>
    </row>
    <row r="29" spans="3:35">
      <c r="C29" s="2">
        <v>2048</v>
      </c>
      <c r="D29" s="117">
        <f>'Option 1 Dawn Corunna'!D75</f>
        <v>-376714919.14802718</v>
      </c>
      <c r="E29" s="117">
        <f>'Option 2 Market Storage'!D75</f>
        <v>-45809037.502181143</v>
      </c>
      <c r="F29" s="117">
        <f>'Option 2 Market Storage'!N75</f>
        <v>-18075033.068148218</v>
      </c>
      <c r="G29" s="117">
        <f>'Option 3 Pipeline'!D75</f>
        <v>3142895695.0170512</v>
      </c>
      <c r="H29" s="117">
        <f>'Option 4 Delivered Service'!D75</f>
        <v>461700364.27630907</v>
      </c>
      <c r="I29" s="117">
        <f>'Option 4 Delivered Service'!N75</f>
        <v>1200624102.7284694</v>
      </c>
      <c r="K29" s="2">
        <v>2048</v>
      </c>
      <c r="L29" s="117">
        <f t="shared" si="8"/>
        <v>-170.31491914802717</v>
      </c>
      <c r="M29" s="117">
        <f t="shared" si="9"/>
        <v>-45.809037502181141</v>
      </c>
      <c r="N29" s="117">
        <f t="shared" si="10"/>
        <v>-18.075033068148219</v>
      </c>
      <c r="O29" s="117">
        <f t="shared" si="5"/>
        <v>3142.8956950170514</v>
      </c>
      <c r="P29" s="117">
        <f t="shared" si="6"/>
        <v>461.70036427630907</v>
      </c>
      <c r="Q29" s="117">
        <f t="shared" si="7"/>
        <v>1200.6241027284693</v>
      </c>
      <c r="AC29" s="2">
        <v>2049</v>
      </c>
      <c r="AD29" s="166">
        <f>'Option 1 Dawn Corunna'!J33/10^6</f>
        <v>-55.494456353070291</v>
      </c>
      <c r="AE29" s="166">
        <f>'Option 2 Market Storage'!J33/10^6</f>
        <v>-6.722331256377764</v>
      </c>
      <c r="AF29" s="166">
        <f>'Option 2 Market Storage'!T33/10^6</f>
        <v>-4.1843083408793733</v>
      </c>
      <c r="AG29" s="166">
        <f>'Option 3 Pipeline'!J33/10^6</f>
        <v>257.20383278864216</v>
      </c>
      <c r="AH29" s="166">
        <f>'Option 4 Delivered Service'!J33/10^6</f>
        <v>44.316228545552626</v>
      </c>
      <c r="AI29" s="166">
        <f>'Option 4 Delivered Service'!T33/10^6</f>
        <v>115.24169407406309</v>
      </c>
    </row>
    <row r="30" spans="3:35">
      <c r="C30" s="2">
        <v>2049</v>
      </c>
      <c r="D30" s="117">
        <f>'Option 1 Dawn Corunna'!D76</f>
        <v>-392634596.85951614</v>
      </c>
      <c r="E30" s="117">
        <f>'Option 2 Market Storage'!D76</f>
        <v>-47737470.612517968</v>
      </c>
      <c r="F30" s="117">
        <f>'Option 2 Market Storage'!N76</f>
        <v>-19275384.321406499</v>
      </c>
      <c r="G30" s="117">
        <f>'Option 3 Pipeline'!D76</f>
        <v>3216679679.8191357</v>
      </c>
      <c r="H30" s="117">
        <f>'Option 4 Delivered Service'!D76</f>
        <v>474413347.19743747</v>
      </c>
      <c r="I30" s="117">
        <f>'Option 4 Delivered Service'!N76</f>
        <v>1233683452.2410192</v>
      </c>
      <c r="K30" s="2">
        <v>2049</v>
      </c>
      <c r="L30" s="117">
        <f t="shared" si="8"/>
        <v>-186.23459685951613</v>
      </c>
      <c r="M30" s="117">
        <f t="shared" si="9"/>
        <v>-47.737470612517967</v>
      </c>
      <c r="N30" s="117">
        <f t="shared" si="10"/>
        <v>-19.275384321406499</v>
      </c>
      <c r="O30" s="117">
        <f t="shared" si="5"/>
        <v>3216.6796798191358</v>
      </c>
      <c r="P30" s="117">
        <f t="shared" si="6"/>
        <v>474.41334719743747</v>
      </c>
      <c r="Q30" s="117">
        <f t="shared" si="7"/>
        <v>1233.6834522410193</v>
      </c>
      <c r="AC30" s="2">
        <v>2050</v>
      </c>
      <c r="AD30" s="166">
        <f>'Option 1 Dawn Corunna'!J34/10^6</f>
        <v>-57.182128229600117</v>
      </c>
      <c r="AE30" s="166">
        <f>'Option 2 Market Storage'!J34/10^6</f>
        <v>-6.8635002127617151</v>
      </c>
      <c r="AF30" s="166">
        <f>'Option 2 Market Storage'!T34/10^6</f>
        <v>-4.2721788160378411</v>
      </c>
      <c r="AG30" s="166">
        <f>'Option 3 Pipeline'!J34/10^6</f>
        <v>262.60511327720349</v>
      </c>
      <c r="AH30" s="166">
        <f>'Option 4 Delivered Service'!J34/10^6</f>
        <v>45.24686934500923</v>
      </c>
      <c r="AI30" s="166">
        <f>'Option 4 Delivered Service'!T34/10^6</f>
        <v>117.66176964961839</v>
      </c>
    </row>
    <row r="31" spans="3:35">
      <c r="C31" s="2">
        <v>2050</v>
      </c>
      <c r="D31" s="117">
        <f>'Option 1 Dawn Corunna'!D77</f>
        <v>-408269194.29207867</v>
      </c>
      <c r="E31" s="117">
        <f>'Option 2 Market Storage'!D77</f>
        <v>-49614072.028505296</v>
      </c>
      <c r="F31" s="117">
        <f>'Option 2 Market Storage'!N77</f>
        <v>-20443472.988559283</v>
      </c>
      <c r="G31" s="117">
        <f>'Option 3 Pipeline'!D77</f>
        <v>3288480526.6385489</v>
      </c>
      <c r="H31" s="117">
        <f>'Option 4 Delivered Service'!D77</f>
        <v>486784635.38126516</v>
      </c>
      <c r="I31" s="117">
        <f>'Option 4 Delivered Service'!N77</f>
        <v>1265854245.0853896</v>
      </c>
      <c r="K31" s="2">
        <v>2050</v>
      </c>
      <c r="L31" s="117">
        <f t="shared" si="8"/>
        <v>-201.86919429207867</v>
      </c>
      <c r="M31" s="117">
        <f t="shared" si="9"/>
        <v>-49.614072028505298</v>
      </c>
      <c r="N31" s="117">
        <f t="shared" si="10"/>
        <v>-20.443472988559282</v>
      </c>
      <c r="O31" s="117">
        <f t="shared" si="5"/>
        <v>3288.4805266385488</v>
      </c>
      <c r="P31" s="117">
        <f t="shared" si="6"/>
        <v>486.78463538126516</v>
      </c>
      <c r="Q31" s="117">
        <f t="shared" si="7"/>
        <v>1265.8542450853897</v>
      </c>
      <c r="AC31" s="2">
        <v>2051</v>
      </c>
      <c r="AD31" s="166">
        <f>'Option 1 Dawn Corunna'!J35/10^6</f>
        <v>-58.901535921953034</v>
      </c>
      <c r="AE31" s="166">
        <f>'Option 2 Market Storage'!J35/10^6</f>
        <v>-7.0076337172296865</v>
      </c>
      <c r="AF31" s="166">
        <f>'Option 2 Market Storage'!T35/10^6</f>
        <v>-4.3618945711746289</v>
      </c>
      <c r="AG31" s="166">
        <f>'Option 3 Pipeline'!J35/10^6</f>
        <v>268.1198206560249</v>
      </c>
      <c r="AH31" s="166">
        <f>'Option 4 Delivered Service'!J35/10^6</f>
        <v>46.197053601254417</v>
      </c>
      <c r="AI31" s="166">
        <f>'Option 4 Delivered Service'!T35/10^6</f>
        <v>120.13266681226037</v>
      </c>
    </row>
    <row r="32" spans="3:35">
      <c r="C32" s="2">
        <v>2051</v>
      </c>
      <c r="D32" s="117">
        <f>'Option 1 Dawn Corunna'!D78</f>
        <v>-423618711.70735317</v>
      </c>
      <c r="E32" s="117">
        <f>'Option 2 Market Storage'!D78</f>
        <v>-51440234.862781949</v>
      </c>
      <c r="F32" s="117">
        <f>'Option 2 Market Storage'!N78</f>
        <v>-21580166.211169835</v>
      </c>
      <c r="G32" s="117">
        <f>'Option 3 Pipeline'!D78</f>
        <v>3358351537.5064683</v>
      </c>
      <c r="H32" s="117">
        <f>'Option 4 Delivered Service'!D78</f>
        <v>498823412.76945436</v>
      </c>
      <c r="I32" s="117">
        <f>'Option 4 Delivered Service'!N78</f>
        <v>1297160363.5509846</v>
      </c>
      <c r="K32" s="2">
        <v>2051</v>
      </c>
      <c r="L32" s="117">
        <f t="shared" si="8"/>
        <v>-217.21871170735318</v>
      </c>
      <c r="M32" s="117">
        <f t="shared" si="9"/>
        <v>-51.440234862781949</v>
      </c>
      <c r="N32" s="117">
        <f t="shared" si="10"/>
        <v>-21.580166211169836</v>
      </c>
      <c r="O32" s="117">
        <f t="shared" si="5"/>
        <v>3358.3515375064685</v>
      </c>
      <c r="P32" s="117">
        <f t="shared" si="6"/>
        <v>498.82341276945436</v>
      </c>
      <c r="Q32" s="117">
        <f t="shared" si="7"/>
        <v>1297.1603635509846</v>
      </c>
      <c r="AC32" s="2">
        <v>2052</v>
      </c>
      <c r="AD32" s="166">
        <f>'Option 1 Dawn Corunna'!J36/10^6</f>
        <v>-60.47555158239475</v>
      </c>
      <c r="AE32" s="166">
        <f>'Option 2 Market Storage'!J36/10^6</f>
        <v>-7.1547940252915101</v>
      </c>
      <c r="AF32" s="166">
        <f>'Option 2 Market Storage'!T36/10^6</f>
        <v>-4.4534943571693004</v>
      </c>
      <c r="AG32" s="166">
        <f>'Option 3 Pipeline'!J36/10^6</f>
        <v>273.75033688980125</v>
      </c>
      <c r="AH32" s="166">
        <f>'Option 4 Delivered Service'!J36/10^6</f>
        <v>47.167191726880752</v>
      </c>
      <c r="AI32" s="166">
        <f>'Option 4 Delivered Service'!T36/10^6</f>
        <v>122.65545281531783</v>
      </c>
    </row>
    <row r="33" spans="3:35">
      <c r="C33" s="2">
        <v>2052</v>
      </c>
      <c r="D33" s="117">
        <f>'Option 1 Dawn Corunna'!D79</f>
        <v>-438639394.07612026</v>
      </c>
      <c r="E33" s="117">
        <f>'Option 2 Market Storage'!D79</f>
        <v>-53217314.784433164</v>
      </c>
      <c r="F33" s="117">
        <f>'Option 2 Market Storage'!N79</f>
        <v>-22686307.824099094</v>
      </c>
      <c r="G33" s="117">
        <f>'Option 3 Pipeline'!D79</f>
        <v>3426344581.8222761</v>
      </c>
      <c r="H33" s="117">
        <f>'Option 4 Delivered Service'!D79</f>
        <v>510538616.46116346</v>
      </c>
      <c r="I33" s="117">
        <f>'Option 4 Delivered Service'!N79</f>
        <v>1327625048.0280838</v>
      </c>
      <c r="K33" s="2">
        <v>2052</v>
      </c>
      <c r="L33" s="117">
        <f t="shared" si="8"/>
        <v>-232.23939407612025</v>
      </c>
      <c r="M33" s="117">
        <f t="shared" si="9"/>
        <v>-53.217314784433164</v>
      </c>
      <c r="N33" s="117">
        <f t="shared" si="10"/>
        <v>-22.686307824099092</v>
      </c>
      <c r="O33" s="117">
        <f t="shared" si="5"/>
        <v>3426.3445818222763</v>
      </c>
      <c r="P33" s="117">
        <f t="shared" si="6"/>
        <v>510.53861646116349</v>
      </c>
      <c r="Q33" s="117">
        <f t="shared" si="7"/>
        <v>1327.6250480280837</v>
      </c>
      <c r="AC33" s="2">
        <v>2053</v>
      </c>
      <c r="AD33" s="166">
        <f>'Option 1 Dawn Corunna'!J37/10^6</f>
        <v>-61.550126520352272</v>
      </c>
      <c r="AE33" s="166">
        <f>'Option 2 Market Storage'!J37/10^6</f>
        <v>-7.3050446998226342</v>
      </c>
      <c r="AF33" s="166">
        <f>'Option 2 Market Storage'!T37/10^6</f>
        <v>-4.54701773866985</v>
      </c>
      <c r="AG33" s="166">
        <f>'Option 3 Pipeline'!J37/10^6</f>
        <v>279.49909396448703</v>
      </c>
      <c r="AH33" s="166">
        <f>'Option 4 Delivered Service'!J37/10^6</f>
        <v>48.157702753145237</v>
      </c>
      <c r="AI33" s="166">
        <f>'Option 4 Delivered Service'!T37/10^6</f>
        <v>125.23121732443948</v>
      </c>
    </row>
    <row r="34" spans="3:35">
      <c r="C34" s="2">
        <v>2053</v>
      </c>
      <c r="D34" s="117">
        <f>'Option 1 Dawn Corunna'!D80</f>
        <v>-453210096.6245693</v>
      </c>
      <c r="E34" s="117">
        <f>'Option 2 Market Storage'!D80</f>
        <v>-54946631.025384262</v>
      </c>
      <c r="F34" s="117">
        <f>'Option 2 Market Storage'!N80</f>
        <v>-23762718.981934369</v>
      </c>
      <c r="G34" s="117">
        <f>'Option 3 Pipeline'!D80</f>
        <v>3492510134.8592949</v>
      </c>
      <c r="H34" s="117">
        <f>'Option 4 Delivered Service'!D80</f>
        <v>521938943.34758645</v>
      </c>
      <c r="I34" s="117">
        <f>'Option 4 Delivered Service'!N80</f>
        <v>1357270914.2605639</v>
      </c>
      <c r="K34" s="2">
        <v>2053</v>
      </c>
      <c r="L34" s="117">
        <f t="shared" si="8"/>
        <v>-246.8100966245693</v>
      </c>
      <c r="M34" s="117">
        <f t="shared" si="9"/>
        <v>-54.946631025384264</v>
      </c>
      <c r="N34" s="117">
        <f t="shared" si="10"/>
        <v>-23.76271898193437</v>
      </c>
      <c r="O34" s="117">
        <f t="shared" si="5"/>
        <v>3492.5101348592948</v>
      </c>
      <c r="P34" s="117">
        <f t="shared" si="6"/>
        <v>521.93894334758647</v>
      </c>
      <c r="Q34" s="117">
        <f t="shared" si="7"/>
        <v>1357.2709142605638</v>
      </c>
      <c r="AC34" s="2">
        <v>2054</v>
      </c>
      <c r="AD34" s="166">
        <f>'Option 1 Dawn Corunna'!J38/10^6</f>
        <v>-64.256776914811326</v>
      </c>
      <c r="AE34" s="166">
        <f>'Option 2 Market Storage'!J38/10^6</f>
        <v>-7.4584506385189</v>
      </c>
      <c r="AF34" s="166">
        <f>'Option 2 Market Storage'!T38/10^6</f>
        <v>-4.6425051111819222</v>
      </c>
      <c r="AG34" s="166">
        <f>'Option 3 Pipeline'!J38/10^6</f>
        <v>285.3685749377413</v>
      </c>
      <c r="AH34" s="166">
        <f>'Option 4 Delivered Service'!J38/10^6</f>
        <v>49.169014510961297</v>
      </c>
      <c r="AI34" s="166">
        <f>'Option 4 Delivered Service'!T38/10^6</f>
        <v>127.86107288825272</v>
      </c>
    </row>
    <row r="35" spans="3:35">
      <c r="C35" s="2">
        <v>2054</v>
      </c>
      <c r="D35" s="117">
        <f>'Option 1 Dawn Corunna'!D81</f>
        <v>-467708233.59187603</v>
      </c>
      <c r="E35" s="117">
        <f>'Option 2 Market Storage'!D81</f>
        <v>-56629467.359744795</v>
      </c>
      <c r="F35" s="117">
        <f>'Option 2 Market Storage'!N81</f>
        <v>-24810198.768581159</v>
      </c>
      <c r="G35" s="117">
        <f>'Option 3 Pipeline'!D81</f>
        <v>3556897315.2355776</v>
      </c>
      <c r="H35" s="117">
        <f>'Option 4 Delivered Service'!D81</f>
        <v>533032856.5681715</v>
      </c>
      <c r="I35" s="117">
        <f>'Option 4 Delivered Service'!N81</f>
        <v>1386119970.1349084</v>
      </c>
      <c r="K35" s="2">
        <v>2054</v>
      </c>
      <c r="L35" s="117">
        <f t="shared" si="8"/>
        <v>-261.30823359187605</v>
      </c>
      <c r="M35" s="117">
        <f t="shared" si="9"/>
        <v>-56.629467359744794</v>
      </c>
      <c r="N35" s="117">
        <f t="shared" si="10"/>
        <v>-24.810198768581159</v>
      </c>
      <c r="O35" s="117">
        <f t="shared" si="5"/>
        <v>3556.8973152355775</v>
      </c>
      <c r="P35" s="117">
        <f t="shared" si="6"/>
        <v>533.0328565681715</v>
      </c>
      <c r="Q35" s="117">
        <f t="shared" si="7"/>
        <v>1386.1199701349085</v>
      </c>
      <c r="AC35" s="2">
        <v>2055</v>
      </c>
      <c r="AD35" s="166">
        <f>'Option 1 Dawn Corunna'!J39/10^6</f>
        <v>-66.109845271837813</v>
      </c>
      <c r="AE35" s="166">
        <f>'Option 2 Market Storage'!J39/10^6</f>
        <v>-7.6150781019278098</v>
      </c>
      <c r="AF35" s="166">
        <f>'Option 2 Market Storage'!T39/10^6</f>
        <v>-4.7399977185167295</v>
      </c>
      <c r="AG35" s="166">
        <f>'Option 3 Pipeline'!J39/10^6</f>
        <v>291.36131501143382</v>
      </c>
      <c r="AH35" s="166">
        <f>'Option 4 Delivered Service'!J39/10^6</f>
        <v>50.201563815691472</v>
      </c>
      <c r="AI35" s="166">
        <f>'Option 4 Delivered Service'!T39/10^6</f>
        <v>130.54615541890598</v>
      </c>
    </row>
    <row r="36" spans="3:35">
      <c r="C36" s="2">
        <v>2055</v>
      </c>
      <c r="D36" s="117">
        <f>'Option 1 Dawn Corunna'!D82</f>
        <v>-481925009.54630721</v>
      </c>
      <c r="E36" s="117">
        <f>'Option 2 Market Storage'!D82</f>
        <v>-58267073.056830294</v>
      </c>
      <c r="F36" s="117">
        <f>'Option 2 Market Storage'!N82</f>
        <v>-25829524.790470578</v>
      </c>
      <c r="G36" s="117">
        <f>'Option 3 Pipeline'!D82</f>
        <v>3619553921.3775759</v>
      </c>
      <c r="H36" s="117">
        <f>'Option 4 Delivered Service'!D82</f>
        <v>543828591.79331195</v>
      </c>
      <c r="I36" s="117">
        <f>'Option 4 Delivered Service'!N82</f>
        <v>1414193632.0179675</v>
      </c>
      <c r="K36" s="2">
        <v>2055</v>
      </c>
      <c r="L36" s="117">
        <f t="shared" si="8"/>
        <v>-275.52500954630722</v>
      </c>
      <c r="M36" s="117">
        <f t="shared" si="9"/>
        <v>-58.267073056830291</v>
      </c>
      <c r="N36" s="117">
        <f t="shared" si="10"/>
        <v>-25.829524790470579</v>
      </c>
      <c r="O36" s="117">
        <f t="shared" si="5"/>
        <v>3619.553921377576</v>
      </c>
      <c r="P36" s="117">
        <f t="shared" si="6"/>
        <v>543.82859179331194</v>
      </c>
      <c r="Q36" s="117">
        <f t="shared" si="7"/>
        <v>1414.1936320179675</v>
      </c>
      <c r="AC36" s="2">
        <v>2056</v>
      </c>
      <c r="AD36" s="166">
        <f>'Option 1 Dawn Corunna'!J40/10^6</f>
        <v>-67.997801289353745</v>
      </c>
      <c r="AE36" s="166">
        <f>'Option 2 Market Storage'!J40/10^6</f>
        <v>-7.7749947420682908</v>
      </c>
      <c r="AF36" s="166">
        <f>'Option 2 Market Storage'!T40/10^6</f>
        <v>-4.8395376706055995</v>
      </c>
      <c r="AG36" s="166">
        <f>'Option 3 Pipeline'!J40/10^6</f>
        <v>297.47990262667395</v>
      </c>
      <c r="AH36" s="166">
        <f>'Option 4 Delivered Service'!J40/10^6</f>
        <v>51.255796655820987</v>
      </c>
      <c r="AI36" s="166">
        <f>'Option 4 Delivered Service'!T40/10^6</f>
        <v>133.28762468270301</v>
      </c>
    </row>
    <row r="37" spans="3:35">
      <c r="C37" s="2">
        <v>2056</v>
      </c>
      <c r="D37" s="117">
        <f>'Option 1 Dawn Corunna'!D83</f>
        <v>-495862082.28630203</v>
      </c>
      <c r="E37" s="117">
        <f>'Option 2 Market Storage'!D83</f>
        <v>-59860663.808569044</v>
      </c>
      <c r="F37" s="117">
        <f>'Option 2 Market Storage'!N83</f>
        <v>-26821453.753822748</v>
      </c>
      <c r="G37" s="117">
        <f>'Option 3 Pipeline'!D83</f>
        <v>3680526467.0037484</v>
      </c>
      <c r="H37" s="117">
        <f>'Option 4 Delivered Service'!D83</f>
        <v>554334163.33817315</v>
      </c>
      <c r="I37" s="117">
        <f>'Option 4 Delivered Service'!N83</f>
        <v>1441512740.6555996</v>
      </c>
      <c r="K37" s="2">
        <v>2056</v>
      </c>
      <c r="L37" s="117">
        <f t="shared" si="8"/>
        <v>-289.46208228630201</v>
      </c>
      <c r="M37" s="117">
        <f t="shared" si="9"/>
        <v>-59.860663808569043</v>
      </c>
      <c r="N37" s="117">
        <f t="shared" si="10"/>
        <v>-26.821453753822748</v>
      </c>
      <c r="O37" s="117">
        <f t="shared" si="5"/>
        <v>3680.5264670037486</v>
      </c>
      <c r="P37" s="117">
        <f t="shared" si="6"/>
        <v>554.3341633381732</v>
      </c>
      <c r="Q37" s="117">
        <f t="shared" si="7"/>
        <v>1441.5127406555996</v>
      </c>
      <c r="AC37" s="2">
        <v>2057</v>
      </c>
      <c r="AD37" s="166">
        <f>'Option 1 Dawn Corunna'!J41/10^6</f>
        <v>-71.907717893993492</v>
      </c>
      <c r="AE37" s="166">
        <f>'Option 2 Market Storage'!J41/10^6</f>
        <v>-7.938269631651707</v>
      </c>
      <c r="AF37" s="166">
        <f>'Option 2 Market Storage'!T41/10^6</f>
        <v>-4.9411679616882953</v>
      </c>
      <c r="AG37" s="166">
        <f>'Option 3 Pipeline'!J41/10^6</f>
        <v>303.72698058183397</v>
      </c>
      <c r="AH37" s="166">
        <f>'Option 4 Delivered Service'!J41/10^6</f>
        <v>52.332168385593221</v>
      </c>
      <c r="AI37" s="166">
        <f>'Option 4 Delivered Service'!T41/10^6</f>
        <v>136.08666480103975</v>
      </c>
    </row>
    <row r="38" spans="3:35">
      <c r="C38" s="2">
        <v>2057</v>
      </c>
      <c r="D38" s="117">
        <f>'Option 1 Dawn Corunna'!D84</f>
        <v>-509909416.67653292</v>
      </c>
      <c r="E38" s="117">
        <f>'Option 2 Market Storage'!D84</f>
        <v>-61411422.631982364</v>
      </c>
      <c r="F38" s="117">
        <f>'Option 2 Market Storage'!N84</f>
        <v>-27786722.026394766</v>
      </c>
      <c r="G38" s="117">
        <f>'Option 3 Pipeline'!D84</f>
        <v>3739860215.6544561</v>
      </c>
      <c r="H38" s="117">
        <f>'Option 4 Delivered Service'!D84</f>
        <v>564557370.11219454</v>
      </c>
      <c r="I38" s="117">
        <f>'Option 4 Delivered Service'!N84</f>
        <v>1468097576.6439929</v>
      </c>
      <c r="K38" s="2">
        <v>2057</v>
      </c>
      <c r="L38" s="117">
        <f t="shared" si="8"/>
        <v>-303.50941667653291</v>
      </c>
      <c r="M38" s="117">
        <f t="shared" si="9"/>
        <v>-61.411422631982362</v>
      </c>
      <c r="N38" s="117">
        <f t="shared" si="10"/>
        <v>-27.786722026394767</v>
      </c>
      <c r="O38" s="117">
        <f t="shared" si="5"/>
        <v>3739.8602156544562</v>
      </c>
      <c r="P38" s="117">
        <f t="shared" si="6"/>
        <v>564.55737011219458</v>
      </c>
      <c r="Q38" s="117">
        <f t="shared" si="7"/>
        <v>1468.0975766439929</v>
      </c>
      <c r="AC38" s="2">
        <v>2058</v>
      </c>
      <c r="AD38" s="166">
        <f>'Option 1 Dawn Corunna'!J42/10^6</f>
        <v>-74.892054387901467</v>
      </c>
      <c r="AE38" s="166">
        <f>'Option 2 Market Storage'!J42/10^6</f>
        <v>-8.1049732939164034</v>
      </c>
      <c r="AF38" s="166">
        <f>'Option 2 Market Storage'!T42/10^6</f>
        <v>-5.0449324888837488</v>
      </c>
      <c r="AG38" s="166">
        <f>'Option 3 Pipeline'!J42/10^6</f>
        <v>310.10524717405235</v>
      </c>
      <c r="AH38" s="166">
        <f>'Option 4 Delivered Service'!J42/10^6</f>
        <v>53.431143921690662</v>
      </c>
      <c r="AI38" s="166">
        <f>'Option 4 Delivered Service'!T42/10^6</f>
        <v>138.94448476186156</v>
      </c>
    </row>
    <row r="39" spans="3:35">
      <c r="C39" s="2">
        <v>2058</v>
      </c>
      <c r="D39" s="117">
        <f>'Option 1 Dawn Corunna'!D85</f>
        <v>-523853689.67998749</v>
      </c>
      <c r="E39" s="117">
        <f>'Option 2 Market Storage'!D85</f>
        <v>-62920500.747408405</v>
      </c>
      <c r="F39" s="117">
        <f>'Option 2 Market Storage'!N85</f>
        <v>-28726046.18413021</v>
      </c>
      <c r="G39" s="117">
        <f>'Option 3 Pipeline'!D85</f>
        <v>3797599214.2937741</v>
      </c>
      <c r="H39" s="117">
        <f>'Option 4 Delivered Service'!D85</f>
        <v>574505801.40868318</v>
      </c>
      <c r="I39" s="117">
        <f>'Option 4 Delivered Service'!N85</f>
        <v>1493967875.4851573</v>
      </c>
      <c r="K39" s="2">
        <v>2058</v>
      </c>
      <c r="L39" s="117">
        <f t="shared" si="8"/>
        <v>-317.45368967998746</v>
      </c>
      <c r="M39" s="117">
        <f t="shared" si="9"/>
        <v>-62.920500747408404</v>
      </c>
      <c r="N39" s="117">
        <f t="shared" si="10"/>
        <v>-28.726046184130212</v>
      </c>
      <c r="O39" s="117">
        <f t="shared" si="5"/>
        <v>3797.5992142937739</v>
      </c>
      <c r="P39" s="117">
        <f t="shared" si="6"/>
        <v>574.50580140868317</v>
      </c>
      <c r="Q39" s="117">
        <f t="shared" si="7"/>
        <v>1493.9678754851573</v>
      </c>
      <c r="AC39" s="2">
        <v>2059</v>
      </c>
      <c r="AD39" s="166">
        <f>'Option 1 Dawn Corunna'!J43/10^6</f>
        <v>-76.731970344923354</v>
      </c>
      <c r="AE39" s="166">
        <f>'Option 2 Market Storage'!J43/10^6</f>
        <v>-8.2751777330886505</v>
      </c>
      <c r="AF39" s="166">
        <f>'Option 2 Market Storage'!T43/10^6</f>
        <v>-5.1508760711503179</v>
      </c>
      <c r="AG39" s="166">
        <f>'Option 3 Pipeline'!J43/10^6</f>
        <v>316.6174573647076</v>
      </c>
      <c r="AH39" s="166">
        <f>'Option 4 Delivered Service'!J43/10^6</f>
        <v>54.553197944046168</v>
      </c>
      <c r="AI39" s="166">
        <f>'Option 4 Delivered Service'!T43/10^6</f>
        <v>141.86231894186065</v>
      </c>
    </row>
    <row r="40" spans="3:35">
      <c r="C40" s="2">
        <v>2059</v>
      </c>
      <c r="D40" s="117">
        <f>'Option 1 Dawn Corunna'!D86</f>
        <v>-537470588.21022141</v>
      </c>
      <c r="E40" s="117">
        <f>'Option 2 Market Storage'!D86</f>
        <v>-64389018.433121324</v>
      </c>
      <c r="F40" s="117">
        <f>'Option 2 Market Storage'!N86</f>
        <v>-29640123.543116003</v>
      </c>
      <c r="G40" s="117">
        <f>'Option 3 Pipeline'!D86</f>
        <v>3853786326.0081692</v>
      </c>
      <c r="H40" s="117">
        <f>'Option 4 Delivered Service'!D86</f>
        <v>584186842.53879666</v>
      </c>
      <c r="I40" s="117">
        <f>'Option 4 Delivered Service'!N86</f>
        <v>1519142842.2377579</v>
      </c>
      <c r="K40" s="2">
        <v>2059</v>
      </c>
      <c r="L40" s="117">
        <f t="shared" si="8"/>
        <v>-331.07058821022139</v>
      </c>
      <c r="M40" s="117">
        <f t="shared" si="9"/>
        <v>-64.389018433121322</v>
      </c>
      <c r="N40" s="117">
        <f t="shared" si="10"/>
        <v>-29.640123543116005</v>
      </c>
      <c r="O40" s="117">
        <f t="shared" si="5"/>
        <v>3853.786326008169</v>
      </c>
      <c r="P40" s="117">
        <f t="shared" si="6"/>
        <v>584.18684253879667</v>
      </c>
      <c r="Q40" s="117">
        <f t="shared" si="7"/>
        <v>1519.142842237758</v>
      </c>
      <c r="AC40" s="2">
        <v>2060</v>
      </c>
      <c r="AD40" s="166">
        <f>'Option 1 Dawn Corunna'!J44/10^6</f>
        <v>-78.609182632583284</v>
      </c>
      <c r="AE40" s="166">
        <f>'Option 2 Market Storage'!J44/10^6</f>
        <v>-8.4489564654835085</v>
      </c>
      <c r="AF40" s="166">
        <f>'Option 2 Market Storage'!T44/10^6</f>
        <v>-5.2590444686444702</v>
      </c>
      <c r="AG40" s="166">
        <f>'Option 3 Pipeline'!J44/10^6</f>
        <v>323.26642396936643</v>
      </c>
      <c r="AH40" s="166">
        <f>'Option 4 Delivered Service'!J44/10^6</f>
        <v>55.698815100871123</v>
      </c>
      <c r="AI40" s="166">
        <f>'Option 4 Delivered Service'!T44/10^6</f>
        <v>144.8414276396397</v>
      </c>
    </row>
    <row r="41" spans="3:35">
      <c r="C41" s="2">
        <v>2060</v>
      </c>
      <c r="D41" s="117">
        <f>'Option 1 Dawn Corunna'!D87</f>
        <v>-550766460.94807756</v>
      </c>
      <c r="E41" s="117">
        <f>'Option 2 Market Storage'!D87</f>
        <v>-65818065.856980354</v>
      </c>
      <c r="F41" s="117">
        <f>'Option 2 Market Storage'!N87</f>
        <v>-30529632.677241523</v>
      </c>
      <c r="G41" s="117">
        <f>'Option 3 Pipeline'!D87</f>
        <v>3908463261.826314</v>
      </c>
      <c r="H41" s="117">
        <f>'Option 4 Delivered Service'!D87</f>
        <v>593607680.31409752</v>
      </c>
      <c r="I41" s="117">
        <f>'Option 4 Delivered Service'!N87</f>
        <v>1543641165.7741718</v>
      </c>
      <c r="K41" s="2">
        <v>2060</v>
      </c>
      <c r="L41" s="117">
        <f t="shared" si="8"/>
        <v>-344.36646094807753</v>
      </c>
      <c r="M41" s="117">
        <f t="shared" si="9"/>
        <v>-65.818065856980354</v>
      </c>
      <c r="N41" s="117">
        <f t="shared" si="10"/>
        <v>-30.529632677241523</v>
      </c>
      <c r="O41" s="117">
        <f t="shared" si="5"/>
        <v>3908.463261826314</v>
      </c>
      <c r="P41" s="117">
        <f t="shared" si="6"/>
        <v>593.60768031409748</v>
      </c>
      <c r="Q41" s="117">
        <f t="shared" si="7"/>
        <v>1543.6411657741719</v>
      </c>
      <c r="AC41" s="2">
        <v>2061</v>
      </c>
      <c r="AD41" s="166">
        <f>'Option 1 Dawn Corunna'!J45/10^6</f>
        <v>-81.031014635485832</v>
      </c>
      <c r="AE41" s="166">
        <f>'Option 2 Market Storage'!J45/10^6</f>
        <v>-8.6263845512586617</v>
      </c>
      <c r="AF41" s="166">
        <f>'Option 2 Market Storage'!T45/10^6</f>
        <v>-5.3694844024860116</v>
      </c>
      <c r="AG41" s="166">
        <f>'Option 3 Pipeline'!J45/10^6</f>
        <v>330.05501887272305</v>
      </c>
      <c r="AH41" s="166">
        <f>'Option 4 Delivered Service'!J45/10^6</f>
        <v>56.868490217989425</v>
      </c>
      <c r="AI41" s="166">
        <f>'Option 4 Delivered Service'!T45/10^6</f>
        <v>147.88309762007214</v>
      </c>
    </row>
    <row r="42" spans="3:35">
      <c r="C42" s="2">
        <v>2061</v>
      </c>
      <c r="D42" s="117">
        <f>'Option 1 Dawn Corunna'!D88</f>
        <v>-563829269.56626284</v>
      </c>
      <c r="E42" s="117">
        <f>'Option 2 Market Storage'!D88</f>
        <v>-67208703.885726124</v>
      </c>
      <c r="F42" s="117">
        <f>'Option 2 Market Storage'!N88</f>
        <v>-31395233.921944298</v>
      </c>
      <c r="G42" s="117">
        <f>'Option 3 Pipeline'!D88</f>
        <v>3961670611.6836586</v>
      </c>
      <c r="H42" s="117">
        <f>'Option 4 Delivered Service'!D88</f>
        <v>602775308.38175118</v>
      </c>
      <c r="I42" s="117">
        <f>'Option 4 Delivered Service'!N88</f>
        <v>1567481032.6543458</v>
      </c>
      <c r="K42" s="2">
        <v>2061</v>
      </c>
      <c r="L42" s="117">
        <f t="shared" si="8"/>
        <v>-357.42926956626286</v>
      </c>
      <c r="M42" s="117">
        <f t="shared" si="9"/>
        <v>-67.208703885726123</v>
      </c>
      <c r="N42" s="117">
        <f t="shared" si="10"/>
        <v>-31.395233921944296</v>
      </c>
      <c r="O42" s="117">
        <f t="shared" si="5"/>
        <v>3961.6706116836585</v>
      </c>
      <c r="P42" s="117">
        <f t="shared" si="6"/>
        <v>602.77530838175119</v>
      </c>
      <c r="Q42" s="117">
        <f t="shared" si="7"/>
        <v>1567.4810326543457</v>
      </c>
      <c r="AC42" s="2">
        <v>2062</v>
      </c>
      <c r="AD42" s="166">
        <f>'Option 1 Dawn Corunna'!J46/10^6</f>
        <v>-83.504244553223046</v>
      </c>
      <c r="AE42" s="166">
        <f>'Option 2 Market Storage'!J46/10^6</f>
        <v>-8.8075386268351004</v>
      </c>
      <c r="AF42" s="166">
        <f>'Option 2 Market Storage'!T46/10^6</f>
        <v>-5.4822435749382077</v>
      </c>
      <c r="AG42" s="166">
        <f>'Option 3 Pipeline'!J46/10^6</f>
        <v>336.98617426905014</v>
      </c>
      <c r="AH42" s="166">
        <f>'Option 4 Delivered Service'!J46/10^6</f>
        <v>58.062728512567183</v>
      </c>
      <c r="AI42" s="166">
        <f>'Option 4 Delivered Service'!T46/10^6</f>
        <v>150.98864267009358</v>
      </c>
    </row>
    <row r="43" spans="3:35">
      <c r="C43" s="2">
        <v>2062</v>
      </c>
      <c r="D43" s="117">
        <f>'Option 1 Dawn Corunna'!D89</f>
        <v>-576659532.50052834</v>
      </c>
      <c r="E43" s="117">
        <f>'Option 2 Market Storage'!D89</f>
        <v>-68561964.872525051</v>
      </c>
      <c r="F43" s="117">
        <f>'Option 2 Market Storage'!N89</f>
        <v>-32237569.864416216</v>
      </c>
      <c r="G43" s="117">
        <f>'Option 3 Pipeline'!D89</f>
        <v>4013447874.5547495</v>
      </c>
      <c r="H43" s="117">
        <f>'Option 4 Delivered Service'!D89</f>
        <v>611696532.4163245</v>
      </c>
      <c r="I43" s="117">
        <f>'Option 4 Delivered Service'!N89</f>
        <v>1590680140.6267605</v>
      </c>
      <c r="K43" s="2">
        <v>2062</v>
      </c>
      <c r="L43" s="117">
        <f t="shared" si="8"/>
        <v>-370.25953250052834</v>
      </c>
      <c r="M43" s="117">
        <f t="shared" si="9"/>
        <v>-68.561964872525053</v>
      </c>
      <c r="N43" s="117">
        <f t="shared" si="10"/>
        <v>-32.237569864416216</v>
      </c>
      <c r="O43" s="117">
        <f t="shared" si="5"/>
        <v>4013.4478745547494</v>
      </c>
      <c r="P43" s="117">
        <f t="shared" si="6"/>
        <v>611.69653241632454</v>
      </c>
      <c r="Q43" s="117">
        <f t="shared" si="7"/>
        <v>1590.6801406267605</v>
      </c>
      <c r="AC43" s="2">
        <v>2063</v>
      </c>
      <c r="AD43" s="166">
        <f>'Option 1 Dawn Corunna'!J47/10^6</f>
        <v>-86.016938825736815</v>
      </c>
      <c r="AE43" s="166">
        <f>'Option 2 Market Storage'!J47/10^6</f>
        <v>-8.9924969379986379</v>
      </c>
      <c r="AF43" s="166">
        <f>'Option 2 Market Storage'!T47/10^6</f>
        <v>-5.5973706900119113</v>
      </c>
      <c r="AG43" s="166">
        <f>'Option 3 Pipeline'!J47/10^6</f>
        <v>344.0628839287001</v>
      </c>
      <c r="AH43" s="166">
        <f>'Option 4 Delivered Service'!J47/10^6</f>
        <v>59.282045811331095</v>
      </c>
      <c r="AI43" s="166">
        <f>'Option 4 Delivered Service'!T47/10^6</f>
        <v>154.15940416616556</v>
      </c>
    </row>
    <row r="44" spans="3:35">
      <c r="C44" s="2">
        <v>2063</v>
      </c>
      <c r="D44" s="117">
        <f>'Option 1 Dawn Corunna'!D90</f>
        <v>-589256114.15046537</v>
      </c>
      <c r="E44" s="117">
        <f>'Option 2 Market Storage'!D90</f>
        <v>-69878853.423346341</v>
      </c>
      <c r="F44" s="117">
        <f>'Option 2 Market Storage'!N90</f>
        <v>-33057265.820634119</v>
      </c>
      <c r="G44" s="117">
        <f>'Option 3 Pipeline'!D90</f>
        <v>4063833487.7756648</v>
      </c>
      <c r="H44" s="117">
        <f>'Option 4 Delivered Service'!D90</f>
        <v>620377975.17204261</v>
      </c>
      <c r="I44" s="117">
        <f>'Option 4 Delivered Service'!N90</f>
        <v>1613255711.76652</v>
      </c>
      <c r="K44" s="2">
        <v>2063</v>
      </c>
      <c r="L44" s="117">
        <f t="shared" si="8"/>
        <v>-382.85611415046537</v>
      </c>
      <c r="M44" s="117">
        <f t="shared" si="9"/>
        <v>-69.878853423346342</v>
      </c>
      <c r="N44" s="117">
        <f t="shared" si="10"/>
        <v>-33.057265820634122</v>
      </c>
      <c r="O44" s="117">
        <f t="shared" si="5"/>
        <v>4063.8334877756647</v>
      </c>
      <c r="P44" s="117">
        <f t="shared" si="6"/>
        <v>620.37797517204262</v>
      </c>
      <c r="Q44" s="117">
        <f t="shared" si="7"/>
        <v>1613.2557117665201</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0BF21-39EF-4062-B5FE-4103691ADAB7}">
  <dimension ref="B2:AM64"/>
  <sheetViews>
    <sheetView showGridLines="0" zoomScale="73" zoomScaleNormal="73" workbookViewId="0">
      <selection activeCell="AK19" sqref="AK19"/>
    </sheetView>
  </sheetViews>
  <sheetFormatPr defaultRowHeight="15"/>
  <cols>
    <col min="3" max="7" width="17.5703125" customWidth="1"/>
    <col min="10" max="15" width="17.5703125" customWidth="1"/>
    <col min="18" max="23" width="17.5703125" customWidth="1"/>
    <col min="24" max="26" width="4.42578125" customWidth="1"/>
    <col min="28" max="28" width="18.42578125" customWidth="1"/>
    <col min="29" max="29" width="20.7109375" customWidth="1"/>
    <col min="30" max="30" width="19.28515625" customWidth="1"/>
    <col min="31" max="32" width="14.7109375" customWidth="1"/>
    <col min="33" max="33" width="18" customWidth="1"/>
    <col min="36" max="36" width="18.28515625" customWidth="1"/>
    <col min="37" max="37" width="17.5703125" bestFit="1" customWidth="1"/>
    <col min="38" max="38" width="19.5703125" bestFit="1" customWidth="1"/>
    <col min="39" max="39" width="14.7109375" bestFit="1" customWidth="1"/>
  </cols>
  <sheetData>
    <row r="2" spans="2:39">
      <c r="C2" s="172" t="s">
        <v>191</v>
      </c>
      <c r="D2" s="172"/>
      <c r="E2" s="172"/>
      <c r="F2" s="172"/>
      <c r="AD2" s="28">
        <v>0.5</v>
      </c>
    </row>
    <row r="3" spans="2:39" ht="70.150000000000006" customHeight="1">
      <c r="B3" s="11" t="s">
        <v>60</v>
      </c>
      <c r="C3" s="11" t="s">
        <v>178</v>
      </c>
      <c r="D3" s="11" t="s">
        <v>62</v>
      </c>
      <c r="E3" s="11" t="s">
        <v>179</v>
      </c>
      <c r="F3" s="11" t="s">
        <v>64</v>
      </c>
      <c r="G3" s="11" t="s">
        <v>65</v>
      </c>
      <c r="I3" s="11" t="s">
        <v>66</v>
      </c>
      <c r="J3" s="11" t="s">
        <v>62</v>
      </c>
      <c r="K3" s="11" t="s">
        <v>178</v>
      </c>
      <c r="L3" s="11" t="s">
        <v>63</v>
      </c>
      <c r="M3" s="11" t="s">
        <v>64</v>
      </c>
      <c r="N3" s="11" t="s">
        <v>65</v>
      </c>
      <c r="O3" s="11" t="s">
        <v>67</v>
      </c>
      <c r="Q3" s="11" t="s">
        <v>68</v>
      </c>
      <c r="R3" s="11" t="s">
        <v>62</v>
      </c>
      <c r="S3" s="11" t="s">
        <v>178</v>
      </c>
      <c r="T3" s="11" t="s">
        <v>63</v>
      </c>
      <c r="U3" s="11" t="s">
        <v>64</v>
      </c>
      <c r="V3" s="11" t="s">
        <v>65</v>
      </c>
      <c r="W3" s="11" t="s">
        <v>67</v>
      </c>
      <c r="AA3" s="10" t="s">
        <v>52</v>
      </c>
      <c r="AB3" s="1" t="s">
        <v>69</v>
      </c>
      <c r="AC3" s="1" t="s">
        <v>70</v>
      </c>
      <c r="AD3" s="29" t="s">
        <v>180</v>
      </c>
      <c r="AE3" s="29" t="s">
        <v>181</v>
      </c>
      <c r="AF3" s="47"/>
      <c r="AG3" s="46" t="s">
        <v>182</v>
      </c>
      <c r="AJ3" s="29" t="s">
        <v>192</v>
      </c>
      <c r="AK3" s="29" t="s">
        <v>181</v>
      </c>
      <c r="AL3" s="29" t="s">
        <v>182</v>
      </c>
    </row>
    <row r="4" spans="2:39">
      <c r="B4" s="12">
        <v>2024</v>
      </c>
      <c r="C4" s="112">
        <v>1359712897.2364922</v>
      </c>
      <c r="D4" s="112">
        <v>1405355214.3556116</v>
      </c>
      <c r="E4" s="112">
        <v>-26915946.849898741</v>
      </c>
      <c r="F4" s="112">
        <v>-1773076.7458481428</v>
      </c>
      <c r="G4" s="13">
        <f>C4-D4</f>
        <v>-45642317.119119406</v>
      </c>
      <c r="I4" s="12">
        <v>2024</v>
      </c>
      <c r="J4" s="13">
        <f>C4*1.3</f>
        <v>1767626766.4074399</v>
      </c>
      <c r="K4" s="13">
        <f t="shared" ref="K4:M17" si="0">D4*1.3</f>
        <v>1826961778.6622951</v>
      </c>
      <c r="L4" s="13">
        <f t="shared" si="0"/>
        <v>-34990730.904868364</v>
      </c>
      <c r="M4" s="13">
        <f t="shared" si="0"/>
        <v>-2304999.7696025856</v>
      </c>
      <c r="N4" s="13">
        <f>J4-K4</f>
        <v>-59335012.254855156</v>
      </c>
      <c r="O4" s="13">
        <f t="shared" ref="O4:O17" si="1">L4-M4</f>
        <v>-32685731.135265779</v>
      </c>
      <c r="Q4" s="12">
        <v>2024</v>
      </c>
      <c r="R4" s="13">
        <f t="shared" ref="R4:R17" si="2">J4/1.021^($I4-Start_Year)</f>
        <v>1731270094.424525</v>
      </c>
      <c r="S4" s="13">
        <f t="shared" ref="S4:S17" si="3">K4/1.021^($I4-Start_Year)</f>
        <v>1789384699.9630709</v>
      </c>
      <c r="T4" s="13">
        <f t="shared" ref="T4:T17" si="4">L4/1.021^($I4-Start_Year)</f>
        <v>-34271039.084102221</v>
      </c>
      <c r="U4" s="13">
        <f t="shared" ref="U4:U17" si="5">M4/1.021^($I4-Start_Year)</f>
        <v>-2257590.3717948929</v>
      </c>
      <c r="V4" s="13">
        <f>R4-S4</f>
        <v>-58114605.538545847</v>
      </c>
      <c r="W4" s="13">
        <f t="shared" ref="W4:W17" si="6">T4-U4</f>
        <v>-32013448.712307326</v>
      </c>
      <c r="AA4" s="14">
        <v>2024</v>
      </c>
      <c r="AB4" s="5">
        <f t="shared" ref="AB4:AB15" si="7">N4</f>
        <v>-59335012.254855156</v>
      </c>
      <c r="AC4" s="26">
        <f>'#3-Without Volatility'!H20</f>
        <v>-67245878.931649923</v>
      </c>
      <c r="AD4" s="30">
        <f>AB4</f>
        <v>-59335012.254855156</v>
      </c>
      <c r="AE4" s="30">
        <f>O4</f>
        <v>-32685731.135265779</v>
      </c>
      <c r="AF4" s="25"/>
      <c r="AG4" s="26">
        <v>305892068.66656095</v>
      </c>
      <c r="AJ4" s="31">
        <f>NPV(After_Tax_Cost_of_Capital,AD4:AD43)</f>
        <v>-2490021071.8588767</v>
      </c>
      <c r="AK4" s="31">
        <f>NPV(After_Tax_Cost_of_Capital,AE4:AE43)</f>
        <v>-645695341.76927054</v>
      </c>
      <c r="AL4" s="31">
        <f>NPV(After_Tax_Cost_of_Capital,AG4:AG43)</f>
        <v>7199549901.4038115</v>
      </c>
      <c r="AM4" s="25"/>
    </row>
    <row r="5" spans="2:39">
      <c r="B5" s="12">
        <v>2025</v>
      </c>
      <c r="C5" s="112">
        <v>1318627359.4735219</v>
      </c>
      <c r="D5" s="112">
        <v>1373857179.6847155</v>
      </c>
      <c r="E5" s="112">
        <v>-30661353.053729914</v>
      </c>
      <c r="F5" s="112">
        <v>-1896440.9966497044</v>
      </c>
      <c r="G5" s="13">
        <f t="shared" ref="G5:G17" si="8">C5-D5</f>
        <v>-55229820.211193562</v>
      </c>
      <c r="I5" s="12">
        <v>2025</v>
      </c>
      <c r="J5" s="13">
        <f t="shared" ref="J5:J17" si="9">C5*1.3</f>
        <v>1714215567.3155787</v>
      </c>
      <c r="K5" s="13">
        <f t="shared" si="0"/>
        <v>1786014333.5901303</v>
      </c>
      <c r="L5" s="13">
        <f t="shared" si="0"/>
        <v>-39859758.969848886</v>
      </c>
      <c r="M5" s="13">
        <f t="shared" si="0"/>
        <v>-2465373.2956446158</v>
      </c>
      <c r="N5" s="13">
        <f t="shared" ref="N5:N17" si="10">J5-K5</f>
        <v>-71798766.27455163</v>
      </c>
      <c r="O5" s="13">
        <f t="shared" si="1"/>
        <v>-37394385.674204268</v>
      </c>
      <c r="Q5" s="12">
        <v>2025</v>
      </c>
      <c r="R5" s="13">
        <f t="shared" si="2"/>
        <v>1644424545.1930413</v>
      </c>
      <c r="S5" s="13">
        <f t="shared" si="3"/>
        <v>1713300161.4385185</v>
      </c>
      <c r="T5" s="13">
        <f t="shared" si="4"/>
        <v>-38236944.795771554</v>
      </c>
      <c r="U5" s="13">
        <f t="shared" si="5"/>
        <v>-2365000.3171830508</v>
      </c>
      <c r="V5" s="13">
        <f t="shared" ref="V5:V17" si="11">R5-S5</f>
        <v>-68875616.2454772</v>
      </c>
      <c r="W5" s="13">
        <f t="shared" si="6"/>
        <v>-35871944.478588507</v>
      </c>
      <c r="AA5" s="14">
        <v>2025</v>
      </c>
      <c r="AB5" s="5">
        <f t="shared" si="7"/>
        <v>-71798766.27455163</v>
      </c>
      <c r="AC5" s="26">
        <f>'#3-Without Volatility'!H21</f>
        <v>-79633180.254674196</v>
      </c>
      <c r="AD5" s="30">
        <f t="shared" ref="AD5:AD43" si="12">AB5</f>
        <v>-71798766.27455163</v>
      </c>
      <c r="AE5" s="30">
        <f t="shared" ref="AE5:AE15" si="13">O5</f>
        <v>-37394385.674204268</v>
      </c>
      <c r="AF5" s="25"/>
      <c r="AG5" s="26">
        <f t="shared" ref="AG5:AG43" si="14">$AG$4*1.021^(AA5-$AA$4)</f>
        <v>312315802.10855871</v>
      </c>
    </row>
    <row r="6" spans="2:39">
      <c r="B6" s="14">
        <v>2026</v>
      </c>
      <c r="C6" s="112">
        <v>1230253536.854677</v>
      </c>
      <c r="D6" s="112">
        <v>1290667756.3321362</v>
      </c>
      <c r="E6" s="112">
        <v>-28486261.950492114</v>
      </c>
      <c r="F6" s="112">
        <v>-1063261.6187433756</v>
      </c>
      <c r="G6" s="13">
        <f t="shared" si="8"/>
        <v>-60414219.477459192</v>
      </c>
      <c r="I6" s="14">
        <v>2026</v>
      </c>
      <c r="J6" s="13">
        <f t="shared" si="9"/>
        <v>1599329597.9110801</v>
      </c>
      <c r="K6" s="13">
        <f t="shared" si="0"/>
        <v>1677868083.231777</v>
      </c>
      <c r="L6" s="13">
        <f t="shared" si="0"/>
        <v>-37032140.535639748</v>
      </c>
      <c r="M6" s="13">
        <f t="shared" si="0"/>
        <v>-1382240.1043663884</v>
      </c>
      <c r="N6" s="13">
        <f t="shared" si="10"/>
        <v>-78538485.320696831</v>
      </c>
      <c r="O6" s="13">
        <f t="shared" si="1"/>
        <v>-35649900.431273356</v>
      </c>
      <c r="Q6" s="14">
        <v>2026</v>
      </c>
      <c r="R6" s="13">
        <f t="shared" si="2"/>
        <v>1502660077.6043568</v>
      </c>
      <c r="S6" s="13">
        <f t="shared" si="3"/>
        <v>1576451400.2942333</v>
      </c>
      <c r="T6" s="13">
        <f t="shared" si="4"/>
        <v>-34793778.120420761</v>
      </c>
      <c r="U6" s="13">
        <f t="shared" si="5"/>
        <v>-1298692.2928256413</v>
      </c>
      <c r="V6" s="13">
        <f t="shared" si="11"/>
        <v>-73791322.689876556</v>
      </c>
      <c r="W6" s="13">
        <f t="shared" si="6"/>
        <v>-33495085.827595118</v>
      </c>
      <c r="AA6" s="14">
        <v>2026</v>
      </c>
      <c r="AB6" s="5">
        <f>N6</f>
        <v>-78538485.320696831</v>
      </c>
      <c r="AC6" s="26">
        <f>'#3-Without Volatility'!H22</f>
        <v>-85791073.371539116</v>
      </c>
      <c r="AD6" s="30">
        <f t="shared" si="12"/>
        <v>-78538485.320696831</v>
      </c>
      <c r="AE6" s="30">
        <f>O6</f>
        <v>-35649900.431273356</v>
      </c>
      <c r="AF6" s="25"/>
      <c r="AG6" s="26">
        <f t="shared" si="14"/>
        <v>318874433.95283836</v>
      </c>
    </row>
    <row r="7" spans="2:39">
      <c r="B7" s="14">
        <v>2027</v>
      </c>
      <c r="C7" s="112">
        <v>1261079649.7561119</v>
      </c>
      <c r="D7" s="112">
        <v>1323703180.1432459</v>
      </c>
      <c r="E7" s="112">
        <v>-27357416.330584757</v>
      </c>
      <c r="F7" s="112">
        <v>-1343235.8960656116</v>
      </c>
      <c r="G7" s="13">
        <f t="shared" si="8"/>
        <v>-62623530.387134075</v>
      </c>
      <c r="I7" s="14">
        <v>2027</v>
      </c>
      <c r="J7" s="13">
        <f t="shared" si="9"/>
        <v>1639403544.6829455</v>
      </c>
      <c r="K7" s="13">
        <f t="shared" si="0"/>
        <v>1720814134.1862197</v>
      </c>
      <c r="L7" s="13">
        <f t="shared" si="0"/>
        <v>-35564641.229760185</v>
      </c>
      <c r="M7" s="13">
        <f t="shared" si="0"/>
        <v>-1746206.6648852951</v>
      </c>
      <c r="N7" s="13">
        <f t="shared" si="10"/>
        <v>-81410589.503274202</v>
      </c>
      <c r="O7" s="13">
        <f>L7-M7</f>
        <v>-33818434.564874887</v>
      </c>
      <c r="Q7" s="14">
        <v>2027</v>
      </c>
      <c r="R7" s="13">
        <f t="shared" si="2"/>
        <v>1508630561.9055614</v>
      </c>
      <c r="S7" s="13">
        <f t="shared" si="3"/>
        <v>1583547139.8193541</v>
      </c>
      <c r="T7" s="13">
        <f t="shared" si="4"/>
        <v>-32727698.3488524</v>
      </c>
      <c r="U7" s="13">
        <f t="shared" si="5"/>
        <v>-1606914.1430084065</v>
      </c>
      <c r="V7" s="13">
        <f t="shared" si="11"/>
        <v>-74916577.91379261</v>
      </c>
      <c r="W7" s="13">
        <f t="shared" si="6"/>
        <v>-31120784.205843993</v>
      </c>
      <c r="AA7" s="14">
        <v>2027</v>
      </c>
      <c r="AB7" s="5">
        <f t="shared" si="7"/>
        <v>-81410589.503274202</v>
      </c>
      <c r="AC7" s="26">
        <f>'#3-Without Volatility'!H23</f>
        <v>-90472030.290830612</v>
      </c>
      <c r="AD7" s="30">
        <f>AB7</f>
        <v>-81410589.503274202</v>
      </c>
      <c r="AE7" s="30">
        <f t="shared" si="13"/>
        <v>-33818434.564874887</v>
      </c>
      <c r="AF7" s="25"/>
      <c r="AG7" s="26">
        <f t="shared" si="14"/>
        <v>325570797.06584799</v>
      </c>
    </row>
    <row r="8" spans="2:39">
      <c r="B8" s="14">
        <v>2028</v>
      </c>
      <c r="C8" s="112">
        <v>1328156334.1722281</v>
      </c>
      <c r="D8" s="112">
        <v>1391276283.3385396</v>
      </c>
      <c r="E8" s="112">
        <v>-29861414.98323793</v>
      </c>
      <c r="F8" s="112">
        <v>-1178749.0064314795</v>
      </c>
      <c r="G8" s="13">
        <f t="shared" si="8"/>
        <v>-63119949.166311502</v>
      </c>
      <c r="I8" s="14">
        <v>2028</v>
      </c>
      <c r="J8" s="13">
        <f t="shared" si="9"/>
        <v>1726603234.4238966</v>
      </c>
      <c r="K8" s="13">
        <f t="shared" si="0"/>
        <v>1808659168.3401015</v>
      </c>
      <c r="L8" s="13">
        <f t="shared" si="0"/>
        <v>-38819839.478209309</v>
      </c>
      <c r="M8" s="13">
        <f t="shared" si="0"/>
        <v>-1532373.7083609235</v>
      </c>
      <c r="N8" s="13">
        <f t="shared" si="10"/>
        <v>-82055933.916204929</v>
      </c>
      <c r="O8" s="13">
        <f t="shared" si="1"/>
        <v>-37287465.769848384</v>
      </c>
      <c r="Q8" s="14">
        <v>2028</v>
      </c>
      <c r="R8" s="13">
        <f t="shared" si="2"/>
        <v>1556194369.6707993</v>
      </c>
      <c r="S8" s="13">
        <f t="shared" si="3"/>
        <v>1630151709.6158297</v>
      </c>
      <c r="T8" s="13">
        <f t="shared" si="4"/>
        <v>-34988475.883210383</v>
      </c>
      <c r="U8" s="13">
        <f t="shared" si="5"/>
        <v>-1381134.5245038352</v>
      </c>
      <c r="V8" s="13">
        <f t="shared" si="11"/>
        <v>-73957339.945030451</v>
      </c>
      <c r="W8" s="13">
        <f t="shared" si="6"/>
        <v>-33607341.358706549</v>
      </c>
      <c r="AA8" s="14">
        <v>2028</v>
      </c>
      <c r="AB8" s="5">
        <f t="shared" si="7"/>
        <v>-82055933.916204929</v>
      </c>
      <c r="AC8" s="26">
        <f>'#3-Without Volatility'!H24</f>
        <v>-84648039.603334665</v>
      </c>
      <c r="AD8" s="30">
        <f t="shared" si="12"/>
        <v>-82055933.916204929</v>
      </c>
      <c r="AE8" s="30">
        <f t="shared" si="13"/>
        <v>-37287465.769848384</v>
      </c>
      <c r="AF8" s="25"/>
      <c r="AG8" s="26">
        <f t="shared" si="14"/>
        <v>332407783.80423069</v>
      </c>
    </row>
    <row r="9" spans="2:39">
      <c r="B9" s="14">
        <v>2029</v>
      </c>
      <c r="C9" s="112">
        <v>1427954980.5124035</v>
      </c>
      <c r="D9" s="112">
        <v>1488616279.0566971</v>
      </c>
      <c r="E9" s="112">
        <v>-29822163.85769565</v>
      </c>
      <c r="F9" s="112">
        <v>-1852963.5874405501</v>
      </c>
      <c r="G9" s="13">
        <f t="shared" si="8"/>
        <v>-60661298.544293642</v>
      </c>
      <c r="I9" s="14">
        <v>2029</v>
      </c>
      <c r="J9" s="13">
        <f t="shared" si="9"/>
        <v>1856341474.6661246</v>
      </c>
      <c r="K9" s="13">
        <f t="shared" si="0"/>
        <v>1935201162.7737064</v>
      </c>
      <c r="L9" s="13">
        <f t="shared" si="0"/>
        <v>-38768813.015004344</v>
      </c>
      <c r="M9" s="13">
        <f t="shared" si="0"/>
        <v>-2408852.6636727154</v>
      </c>
      <c r="N9" s="13">
        <f t="shared" si="10"/>
        <v>-78859688.107581854</v>
      </c>
      <c r="O9" s="13">
        <f t="shared" si="1"/>
        <v>-36359960.351331629</v>
      </c>
      <c r="Q9" s="14">
        <v>2029</v>
      </c>
      <c r="R9" s="13">
        <f t="shared" si="2"/>
        <v>1638714948.2418778</v>
      </c>
      <c r="S9" s="13">
        <f t="shared" si="3"/>
        <v>1708329591.6031318</v>
      </c>
      <c r="T9" s="13">
        <f t="shared" si="4"/>
        <v>-34223786.022293322</v>
      </c>
      <c r="U9" s="13">
        <f t="shared" si="5"/>
        <v>-2126452.9839709117</v>
      </c>
      <c r="V9" s="13">
        <f t="shared" si="11"/>
        <v>-69614643.361253977</v>
      </c>
      <c r="W9" s="13">
        <f t="shared" si="6"/>
        <v>-32097333.038322411</v>
      </c>
      <c r="AA9" s="14">
        <v>2029</v>
      </c>
      <c r="AB9" s="5">
        <f t="shared" si="7"/>
        <v>-78859688.107581854</v>
      </c>
      <c r="AC9" s="26">
        <f>'#3-Without Volatility'!H25</f>
        <v>-83112183.176728725</v>
      </c>
      <c r="AD9" s="30">
        <f t="shared" si="12"/>
        <v>-78859688.107581854</v>
      </c>
      <c r="AE9" s="30">
        <f t="shared" si="13"/>
        <v>-36359960.351331629</v>
      </c>
      <c r="AF9" s="25"/>
      <c r="AG9" s="26">
        <f t="shared" si="14"/>
        <v>339388347.26411951</v>
      </c>
    </row>
    <row r="10" spans="2:39">
      <c r="B10" s="14">
        <v>2030</v>
      </c>
      <c r="C10" s="112">
        <v>1479682863.2721276</v>
      </c>
      <c r="D10" s="112">
        <v>1546370199.5608768</v>
      </c>
      <c r="E10" s="112">
        <v>-30337632.978044353</v>
      </c>
      <c r="F10" s="112">
        <v>-1591300.6070967666</v>
      </c>
      <c r="G10" s="13">
        <f t="shared" si="8"/>
        <v>-66687336.288749218</v>
      </c>
      <c r="I10" s="14">
        <v>2030</v>
      </c>
      <c r="J10" s="13">
        <f t="shared" si="9"/>
        <v>1923587722.2537661</v>
      </c>
      <c r="K10" s="13">
        <f t="shared" si="0"/>
        <v>2010281259.4291399</v>
      </c>
      <c r="L10" s="13">
        <f t="shared" si="0"/>
        <v>-39438922.871457659</v>
      </c>
      <c r="M10" s="13">
        <f t="shared" si="0"/>
        <v>-2068690.7892257967</v>
      </c>
      <c r="N10" s="13">
        <f t="shared" si="10"/>
        <v>-86693537.175373793</v>
      </c>
      <c r="O10" s="13">
        <f t="shared" si="1"/>
        <v>-37370232.082231864</v>
      </c>
      <c r="Q10" s="14">
        <v>2030</v>
      </c>
      <c r="R10" s="13">
        <f t="shared" si="2"/>
        <v>1663151461.6627412</v>
      </c>
      <c r="S10" s="13">
        <f t="shared" si="3"/>
        <v>1738107483.3725297</v>
      </c>
      <c r="T10" s="13">
        <f t="shared" si="4"/>
        <v>-34099251.862149119</v>
      </c>
      <c r="U10" s="13">
        <f t="shared" si="5"/>
        <v>-1788608.894736564</v>
      </c>
      <c r="V10" s="13">
        <f t="shared" si="11"/>
        <v>-74956021.709788561</v>
      </c>
      <c r="W10" s="13">
        <f t="shared" si="6"/>
        <v>-32310642.967412554</v>
      </c>
      <c r="AA10" s="14">
        <v>2030</v>
      </c>
      <c r="AB10" s="5">
        <f t="shared" si="7"/>
        <v>-86693537.175373793</v>
      </c>
      <c r="AC10" s="26">
        <f>'#3-Without Volatility'!H26</f>
        <v>-93735995.111963987</v>
      </c>
      <c r="AD10" s="30">
        <f t="shared" si="12"/>
        <v>-86693537.175373793</v>
      </c>
      <c r="AE10" s="30">
        <f t="shared" si="13"/>
        <v>-37370232.082231864</v>
      </c>
      <c r="AF10" s="25"/>
      <c r="AG10" s="26">
        <f t="shared" si="14"/>
        <v>346515502.55666602</v>
      </c>
    </row>
    <row r="11" spans="2:39">
      <c r="B11" s="14">
        <v>2031</v>
      </c>
      <c r="C11" s="112">
        <v>1565264334.7708218</v>
      </c>
      <c r="D11" s="112">
        <v>1642578572.7539909</v>
      </c>
      <c r="E11" s="112">
        <v>-27074545.52547013</v>
      </c>
      <c r="F11" s="112">
        <v>-1135298.6476987612</v>
      </c>
      <c r="G11" s="13">
        <f t="shared" si="8"/>
        <v>-77314237.983169079</v>
      </c>
      <c r="I11" s="14">
        <v>2031</v>
      </c>
      <c r="J11" s="13">
        <f t="shared" si="9"/>
        <v>2034843635.2020683</v>
      </c>
      <c r="K11" s="13">
        <f t="shared" si="0"/>
        <v>2135352144.5801883</v>
      </c>
      <c r="L11" s="13">
        <f t="shared" si="0"/>
        <v>-35196909.183111168</v>
      </c>
      <c r="M11" s="13">
        <f t="shared" si="0"/>
        <v>-1475888.2420083897</v>
      </c>
      <c r="N11" s="13">
        <f t="shared" si="10"/>
        <v>-100508509.37811995</v>
      </c>
      <c r="O11" s="13">
        <f t="shared" si="1"/>
        <v>-33721020.94110278</v>
      </c>
      <c r="Q11" s="14">
        <v>2031</v>
      </c>
      <c r="R11" s="13">
        <f t="shared" si="2"/>
        <v>1723158018.7474735</v>
      </c>
      <c r="S11" s="13">
        <f t="shared" si="3"/>
        <v>1808271214.125783</v>
      </c>
      <c r="T11" s="13">
        <f t="shared" si="4"/>
        <v>-29805649.556940932</v>
      </c>
      <c r="U11" s="13">
        <f t="shared" si="5"/>
        <v>-1249820.1901097524</v>
      </c>
      <c r="V11" s="13">
        <f t="shared" si="11"/>
        <v>-85113195.378309488</v>
      </c>
      <c r="W11" s="13">
        <f t="shared" si="6"/>
        <v>-28555829.36683118</v>
      </c>
      <c r="AA11" s="14">
        <v>2031</v>
      </c>
      <c r="AB11" s="5">
        <f t="shared" si="7"/>
        <v>-100508509.37811995</v>
      </c>
      <c r="AC11" s="26">
        <f>'#3-Without Volatility'!H27</f>
        <v>-98607611.05252409</v>
      </c>
      <c r="AD11" s="30">
        <f t="shared" si="12"/>
        <v>-100508509.37811995</v>
      </c>
      <c r="AE11" s="30">
        <f t="shared" si="13"/>
        <v>-33721020.94110278</v>
      </c>
      <c r="AF11" s="25"/>
      <c r="AG11" s="26">
        <f t="shared" si="14"/>
        <v>353792328.11035597</v>
      </c>
    </row>
    <row r="12" spans="2:39">
      <c r="B12" s="14">
        <v>2032</v>
      </c>
      <c r="C12" s="112">
        <v>1656778674.8220711</v>
      </c>
      <c r="D12" s="112">
        <v>1733084397.8406389</v>
      </c>
      <c r="E12" s="112">
        <v>-26312745.620557141</v>
      </c>
      <c r="F12" s="112">
        <v>-1510771.7372282578</v>
      </c>
      <c r="G12" s="13">
        <f t="shared" si="8"/>
        <v>-76305723.018567801</v>
      </c>
      <c r="I12" s="14">
        <v>2032</v>
      </c>
      <c r="J12" s="13">
        <f t="shared" si="9"/>
        <v>2153812277.2686925</v>
      </c>
      <c r="K12" s="13">
        <f t="shared" si="0"/>
        <v>2253009717.1928306</v>
      </c>
      <c r="L12" s="13">
        <f t="shared" si="0"/>
        <v>-34206569.306724288</v>
      </c>
      <c r="M12" s="13">
        <f>F12*1.3</f>
        <v>-1964003.2583967352</v>
      </c>
      <c r="N12" s="13">
        <f t="shared" si="10"/>
        <v>-99197439.924138069</v>
      </c>
      <c r="O12" s="13">
        <f t="shared" si="1"/>
        <v>-32242566.048327554</v>
      </c>
      <c r="Q12" s="14">
        <v>2032</v>
      </c>
      <c r="R12" s="13">
        <f t="shared" si="2"/>
        <v>1786389549.577069</v>
      </c>
      <c r="S12" s="13">
        <f t="shared" si="3"/>
        <v>1868664719.0036259</v>
      </c>
      <c r="T12" s="13">
        <f t="shared" si="4"/>
        <v>-28371208.847368304</v>
      </c>
      <c r="U12" s="13">
        <f t="shared" si="5"/>
        <v>-1628960.3941641708</v>
      </c>
      <c r="V12" s="13">
        <f t="shared" si="11"/>
        <v>-82275169.426556826</v>
      </c>
      <c r="W12" s="13">
        <f t="shared" si="6"/>
        <v>-26742248.453204133</v>
      </c>
      <c r="AA12" s="14">
        <v>2032</v>
      </c>
      <c r="AB12" s="5">
        <f t="shared" si="7"/>
        <v>-99197439.924138069</v>
      </c>
      <c r="AC12" s="26">
        <f>'#3-Without Volatility'!H28</f>
        <v>-105300687.27556229</v>
      </c>
      <c r="AD12" s="30">
        <f t="shared" si="12"/>
        <v>-99197439.924138069</v>
      </c>
      <c r="AE12" s="30">
        <f t="shared" si="13"/>
        <v>-32242566.048327554</v>
      </c>
      <c r="AF12" s="25"/>
      <c r="AG12" s="26">
        <f t="shared" si="14"/>
        <v>361221967.00067335</v>
      </c>
    </row>
    <row r="13" spans="2:39">
      <c r="B13" s="14">
        <v>2033</v>
      </c>
      <c r="C13" s="112">
        <v>1751500188.1702652</v>
      </c>
      <c r="D13" s="112">
        <v>1832910574.9361742</v>
      </c>
      <c r="E13" s="112">
        <v>-28256319.710511953</v>
      </c>
      <c r="F13" s="112">
        <v>-1506867.7486473722</v>
      </c>
      <c r="G13" s="13">
        <f t="shared" si="8"/>
        <v>-81410386.765908957</v>
      </c>
      <c r="I13" s="14">
        <v>2033</v>
      </c>
      <c r="J13" s="13">
        <f t="shared" si="9"/>
        <v>2276950244.621345</v>
      </c>
      <c r="K13" s="13">
        <f t="shared" si="0"/>
        <v>2382783747.4170265</v>
      </c>
      <c r="L13" s="13">
        <f t="shared" si="0"/>
        <v>-36733215.623665541</v>
      </c>
      <c r="M13" s="13">
        <f t="shared" si="0"/>
        <v>-1958928.073241584</v>
      </c>
      <c r="N13" s="13">
        <f t="shared" si="10"/>
        <v>-105833502.79568148</v>
      </c>
      <c r="O13" s="13">
        <f t="shared" si="1"/>
        <v>-34774287.550423957</v>
      </c>
      <c r="Q13" s="14">
        <v>2033</v>
      </c>
      <c r="R13" s="13">
        <f t="shared" si="2"/>
        <v>1849677951.6205094</v>
      </c>
      <c r="S13" s="13">
        <f t="shared" si="3"/>
        <v>1935651677.7159138</v>
      </c>
      <c r="T13" s="13">
        <f t="shared" si="4"/>
        <v>-29840186.096167993</v>
      </c>
      <c r="U13" s="13">
        <f t="shared" si="5"/>
        <v>-1591333.0009931643</v>
      </c>
      <c r="V13" s="13">
        <f t="shared" si="11"/>
        <v>-85973726.095404387</v>
      </c>
      <c r="W13" s="13">
        <f t="shared" si="6"/>
        <v>-28248853.095174827</v>
      </c>
      <c r="AA13" s="14">
        <v>2033</v>
      </c>
      <c r="AB13" s="5">
        <f t="shared" si="7"/>
        <v>-105833502.79568148</v>
      </c>
      <c r="AC13" s="26">
        <f>'#3-Without Volatility'!H29</f>
        <v>-107350626.77801514</v>
      </c>
      <c r="AD13" s="30">
        <f t="shared" si="12"/>
        <v>-105833502.79568148</v>
      </c>
      <c r="AE13" s="30">
        <f t="shared" si="13"/>
        <v>-34774287.550423957</v>
      </c>
      <c r="AF13" s="25"/>
      <c r="AG13" s="26">
        <f t="shared" si="14"/>
        <v>368807628.3076874</v>
      </c>
    </row>
    <row r="14" spans="2:39">
      <c r="B14" s="14">
        <v>2034</v>
      </c>
      <c r="C14" s="112">
        <v>1858970155.3285699</v>
      </c>
      <c r="D14" s="112">
        <v>1943446299.7313507</v>
      </c>
      <c r="E14" s="112">
        <v>-28358344.147345036</v>
      </c>
      <c r="F14" s="112">
        <v>-1323006.0245902464</v>
      </c>
      <c r="G14" s="13">
        <f t="shared" si="8"/>
        <v>-84476144.402780771</v>
      </c>
      <c r="I14" s="14">
        <v>2034</v>
      </c>
      <c r="J14" s="13">
        <f t="shared" si="9"/>
        <v>2416661201.9271407</v>
      </c>
      <c r="K14" s="13">
        <f t="shared" si="0"/>
        <v>2526480189.6507559</v>
      </c>
      <c r="L14" s="13">
        <f t="shared" si="0"/>
        <v>-36865847.391548552</v>
      </c>
      <c r="M14" s="13">
        <f t="shared" si="0"/>
        <v>-1719907.8319673203</v>
      </c>
      <c r="N14" s="13">
        <f t="shared" si="10"/>
        <v>-109818987.72361517</v>
      </c>
      <c r="O14" s="13">
        <f t="shared" si="1"/>
        <v>-35145939.559581235</v>
      </c>
      <c r="Q14" s="14">
        <v>2034</v>
      </c>
      <c r="R14" s="13">
        <f t="shared" si="2"/>
        <v>1922793329.5855348</v>
      </c>
      <c r="S14" s="13">
        <f t="shared" si="3"/>
        <v>2010169754.9150004</v>
      </c>
      <c r="T14" s="13">
        <f t="shared" si="4"/>
        <v>-29331958.239517</v>
      </c>
      <c r="U14" s="13">
        <f t="shared" si="5"/>
        <v>-1368428.1868602554</v>
      </c>
      <c r="V14" s="13">
        <f t="shared" si="11"/>
        <v>-87376425.329465628</v>
      </c>
      <c r="W14" s="13">
        <f t="shared" si="6"/>
        <v>-27963530.052656744</v>
      </c>
      <c r="AA14" s="14">
        <v>2034</v>
      </c>
      <c r="AB14" s="5">
        <f t="shared" si="7"/>
        <v>-109818987.72361517</v>
      </c>
      <c r="AC14" s="26">
        <f>'#3-Without Volatility'!H30</f>
        <v>-111056621.61886168</v>
      </c>
      <c r="AD14" s="30">
        <f t="shared" si="12"/>
        <v>-109818987.72361517</v>
      </c>
      <c r="AE14" s="30">
        <f t="shared" si="13"/>
        <v>-35145939.559581235</v>
      </c>
      <c r="AF14" s="25"/>
      <c r="AG14" s="26">
        <f t="shared" si="14"/>
        <v>376552588.50214881</v>
      </c>
    </row>
    <row r="15" spans="2:39">
      <c r="B15" s="14">
        <v>2035</v>
      </c>
      <c r="C15" s="112">
        <v>1896935044.1399322</v>
      </c>
      <c r="D15" s="112">
        <v>1984468703.004992</v>
      </c>
      <c r="E15" s="112">
        <v>-28434160.994572036</v>
      </c>
      <c r="F15" s="112">
        <v>-1522198.8382813009</v>
      </c>
      <c r="G15" s="13">
        <f t="shared" si="8"/>
        <v>-87533658.865059853</v>
      </c>
      <c r="I15" s="14">
        <v>2035</v>
      </c>
      <c r="J15" s="13">
        <f t="shared" si="9"/>
        <v>2466015557.3819118</v>
      </c>
      <c r="K15" s="13">
        <f t="shared" si="0"/>
        <v>2579809313.9064898</v>
      </c>
      <c r="L15" s="13">
        <f t="shared" si="0"/>
        <v>-36964409.292943649</v>
      </c>
      <c r="M15" s="13">
        <f t="shared" si="0"/>
        <v>-1978858.4897656911</v>
      </c>
      <c r="N15" s="13">
        <f t="shared" si="10"/>
        <v>-113793756.52457809</v>
      </c>
      <c r="O15" s="13">
        <f t="shared" si="1"/>
        <v>-34985550.80317796</v>
      </c>
      <c r="Q15" s="22">
        <v>2035</v>
      </c>
      <c r="R15" s="23">
        <f t="shared" si="2"/>
        <v>1921705827.2325084</v>
      </c>
      <c r="S15" s="23">
        <f t="shared" si="3"/>
        <v>2010382528.5458295</v>
      </c>
      <c r="T15" s="23">
        <f t="shared" si="4"/>
        <v>-28805463.341793571</v>
      </c>
      <c r="U15" s="23">
        <f t="shared" si="5"/>
        <v>-1542076.1964245439</v>
      </c>
      <c r="V15" s="23">
        <f t="shared" si="11"/>
        <v>-88676701.313321114</v>
      </c>
      <c r="W15" s="23">
        <f t="shared" si="6"/>
        <v>-27263387.145369027</v>
      </c>
      <c r="AA15" s="14">
        <v>2035</v>
      </c>
      <c r="AB15" s="5">
        <f t="shared" si="7"/>
        <v>-113793756.52457809</v>
      </c>
      <c r="AC15" s="26">
        <f>'#3-Without Volatility'!H31</f>
        <v>-120565059.08047485</v>
      </c>
      <c r="AD15" s="30">
        <f t="shared" si="12"/>
        <v>-113793756.52457809</v>
      </c>
      <c r="AE15" s="30">
        <f t="shared" si="13"/>
        <v>-34985550.80317796</v>
      </c>
      <c r="AF15" s="25"/>
      <c r="AG15" s="26">
        <f t="shared" si="14"/>
        <v>384460192.86069393</v>
      </c>
    </row>
    <row r="16" spans="2:39">
      <c r="B16" s="14">
        <v>2040</v>
      </c>
      <c r="C16" s="112">
        <v>2101291856.9789011</v>
      </c>
      <c r="D16" s="112">
        <v>2261016321.8469653</v>
      </c>
      <c r="E16" s="112">
        <v>-27007101.815835394</v>
      </c>
      <c r="F16" s="112">
        <v>-680865.46359063406</v>
      </c>
      <c r="G16" s="13">
        <f t="shared" si="8"/>
        <v>-159724464.86806417</v>
      </c>
      <c r="I16" s="14">
        <v>2040</v>
      </c>
      <c r="J16" s="13">
        <f t="shared" si="9"/>
        <v>2731679414.0725718</v>
      </c>
      <c r="K16" s="13">
        <f t="shared" si="0"/>
        <v>2939321218.4010549</v>
      </c>
      <c r="L16" s="13">
        <f>E16*1.3</f>
        <v>-35109232.36058601</v>
      </c>
      <c r="M16" s="13">
        <f t="shared" si="0"/>
        <v>-885125.10266782425</v>
      </c>
      <c r="N16" s="13">
        <f t="shared" si="10"/>
        <v>-207641804.3284831</v>
      </c>
      <c r="O16" s="13">
        <f t="shared" si="1"/>
        <v>-34224107.257918186</v>
      </c>
      <c r="Q16" s="22">
        <v>2040</v>
      </c>
      <c r="R16" s="23">
        <f t="shared" si="2"/>
        <v>1918633903.0026407</v>
      </c>
      <c r="S16" s="23">
        <f t="shared" si="3"/>
        <v>2064474078.6150944</v>
      </c>
      <c r="T16" s="23">
        <f t="shared" si="4"/>
        <v>-24659468.885109875</v>
      </c>
      <c r="U16" s="23">
        <f t="shared" si="5"/>
        <v>-621680.20948158903</v>
      </c>
      <c r="V16" s="23">
        <f t="shared" si="11"/>
        <v>-145840175.6124537</v>
      </c>
      <c r="W16" s="23">
        <f t="shared" si="6"/>
        <v>-24037788.675628286</v>
      </c>
      <c r="AA16" s="14">
        <v>2036</v>
      </c>
      <c r="AB16" s="5">
        <f>$V$18*1.021^(AA16-Start_Year)</f>
        <v>-164936667.60017368</v>
      </c>
      <c r="AC16" s="26">
        <f>'#3-Without Volatility'!H32</f>
        <v>-170129737.91578341</v>
      </c>
      <c r="AD16" s="30">
        <f t="shared" si="12"/>
        <v>-164936667.60017368</v>
      </c>
      <c r="AE16" s="30">
        <f t="shared" ref="AE16:AE43" si="15">$W$18*1.021^(AA16-Start_Year)</f>
        <v>-31287023.931671865</v>
      </c>
      <c r="AF16" s="25"/>
      <c r="AG16" s="26">
        <f t="shared" si="14"/>
        <v>392533856.91076839</v>
      </c>
    </row>
    <row r="17" spans="2:33">
      <c r="B17" s="14">
        <v>2044</v>
      </c>
      <c r="C17" s="112">
        <v>2335717941.010211</v>
      </c>
      <c r="D17" s="112">
        <v>2506080909.3215685</v>
      </c>
      <c r="E17" s="112">
        <v>-25161184.462839317</v>
      </c>
      <c r="F17" s="112">
        <v>-956107.67142594012</v>
      </c>
      <c r="G17" s="13">
        <f t="shared" si="8"/>
        <v>-170362968.3113575</v>
      </c>
      <c r="I17" s="14">
        <v>2044</v>
      </c>
      <c r="J17" s="13">
        <f t="shared" si="9"/>
        <v>3036433323.3132744</v>
      </c>
      <c r="K17" s="13">
        <f t="shared" si="0"/>
        <v>3257905182.1180391</v>
      </c>
      <c r="L17" s="13">
        <f t="shared" si="0"/>
        <v>-32709539.801691111</v>
      </c>
      <c r="M17" s="13">
        <f t="shared" si="0"/>
        <v>-1242939.9728537223</v>
      </c>
      <c r="N17" s="13">
        <f t="shared" si="10"/>
        <v>-221471858.80476475</v>
      </c>
      <c r="O17" s="13">
        <f t="shared" si="1"/>
        <v>-31466599.828837387</v>
      </c>
      <c r="Q17" s="22">
        <v>2044</v>
      </c>
      <c r="R17" s="23">
        <f t="shared" si="2"/>
        <v>1962561003.7008126</v>
      </c>
      <c r="S17" s="23">
        <f t="shared" si="3"/>
        <v>2105706591.7070341</v>
      </c>
      <c r="T17" s="23">
        <f t="shared" si="4"/>
        <v>-21141405.204231955</v>
      </c>
      <c r="U17" s="23">
        <f t="shared" si="5"/>
        <v>-803358.82956320408</v>
      </c>
      <c r="V17" s="23">
        <f t="shared" si="11"/>
        <v>-143145588.00622153</v>
      </c>
      <c r="W17" s="23">
        <f t="shared" si="6"/>
        <v>-20338046.374668751</v>
      </c>
      <c r="AA17" s="14">
        <v>2037</v>
      </c>
      <c r="AB17" s="5">
        <f>$V$18*1.021^(AA17-Start_Year)</f>
        <v>-168400337.61977732</v>
      </c>
      <c r="AC17" s="26">
        <f>'#3-Without Volatility'!H33</f>
        <v>-173702462.41201484</v>
      </c>
      <c r="AD17" s="30">
        <f t="shared" si="12"/>
        <v>-168400337.61977732</v>
      </c>
      <c r="AE17" s="30">
        <f t="shared" si="15"/>
        <v>-31944051.434236977</v>
      </c>
      <c r="AF17" s="25"/>
      <c r="AG17" s="26">
        <f t="shared" si="14"/>
        <v>400777067.90589452</v>
      </c>
    </row>
    <row r="18" spans="2:33">
      <c r="V18" s="21">
        <f>AVERAGE(V15:V17)</f>
        <v>-125887488.31066544</v>
      </c>
      <c r="W18" s="21">
        <f>AVERAGE(W15:W17)</f>
        <v>-23879740.731888685</v>
      </c>
      <c r="AA18" s="14">
        <v>2038</v>
      </c>
      <c r="AB18" s="5">
        <f>$V$18*1.021^(AA18-Start_Year)</f>
        <v>-171936744.70979261</v>
      </c>
      <c r="AC18" s="26">
        <f>'#3-Without Volatility'!H34</f>
        <v>-177350214.12266713</v>
      </c>
      <c r="AD18" s="30">
        <f t="shared" si="12"/>
        <v>-171936744.70979261</v>
      </c>
      <c r="AE18" s="30">
        <f t="shared" si="15"/>
        <v>-32614876.514355946</v>
      </c>
      <c r="AF18" s="25"/>
      <c r="AG18" s="26">
        <f t="shared" si="14"/>
        <v>409193386.3319183</v>
      </c>
    </row>
    <row r="19" spans="2:33">
      <c r="V19" s="21"/>
      <c r="AA19" s="14">
        <v>2039</v>
      </c>
      <c r="AB19" s="5">
        <f>$V$18*1.021^(AA19-Start_Year)</f>
        <v>-175547416.34869826</v>
      </c>
      <c r="AC19" s="26">
        <f>'#3-Without Volatility'!H35</f>
        <v>-181074568.61924314</v>
      </c>
      <c r="AD19" s="30">
        <f t="shared" si="12"/>
        <v>-175547416.34869826</v>
      </c>
      <c r="AE19" s="30">
        <f t="shared" si="15"/>
        <v>-33299788.92115742</v>
      </c>
      <c r="AF19" s="25"/>
      <c r="AG19" s="26">
        <f t="shared" si="14"/>
        <v>417786447.44488847</v>
      </c>
    </row>
    <row r="20" spans="2:33">
      <c r="AA20" s="14">
        <v>2040</v>
      </c>
      <c r="AB20" s="5">
        <f>V16</f>
        <v>-145840175.6124537</v>
      </c>
      <c r="AC20" s="26">
        <f>'#3-Without Volatility'!H36</f>
        <v>-152471795.48153138</v>
      </c>
      <c r="AD20" s="30">
        <f t="shared" si="12"/>
        <v>-145840175.6124537</v>
      </c>
      <c r="AE20" s="30">
        <f t="shared" si="15"/>
        <v>-33999084.488501728</v>
      </c>
      <c r="AF20" s="25"/>
      <c r="AG20" s="26">
        <f t="shared" si="14"/>
        <v>426559962.84123117</v>
      </c>
    </row>
    <row r="21" spans="2:33">
      <c r="AA21" s="14">
        <v>2041</v>
      </c>
      <c r="AB21" s="5">
        <f>$V$18*1.021^(AA21-Start_Year)</f>
        <v>-182997824.24595329</v>
      </c>
      <c r="AC21" s="26">
        <f>'#3-Without Volatility'!H37</f>
        <v>-188759554.38601238</v>
      </c>
      <c r="AD21" s="30">
        <f t="shared" si="12"/>
        <v>-182997824.24595329</v>
      </c>
      <c r="AE21" s="30">
        <f t="shared" si="15"/>
        <v>-34713065.262760252</v>
      </c>
      <c r="AF21" s="25"/>
      <c r="AG21" s="26">
        <f t="shared" si="14"/>
        <v>435517722.06089699</v>
      </c>
    </row>
    <row r="22" spans="2:33">
      <c r="AA22" s="14">
        <v>2042</v>
      </c>
      <c r="AB22" s="5">
        <f>$V$18*1.021^(AA22-Start_Year)</f>
        <v>-186840778.55511832</v>
      </c>
      <c r="AC22" s="26">
        <f>'#3-Without Volatility'!H38</f>
        <v>-192723505.02811864</v>
      </c>
      <c r="AD22" s="30">
        <f t="shared" si="12"/>
        <v>-186840778.55511832</v>
      </c>
      <c r="AE22" s="30">
        <f t="shared" si="15"/>
        <v>-35442039.633278213</v>
      </c>
      <c r="AF22" s="25"/>
      <c r="AG22" s="26">
        <f t="shared" si="14"/>
        <v>444663594.22417569</v>
      </c>
    </row>
    <row r="23" spans="2:33">
      <c r="AA23" s="14">
        <v>2043</v>
      </c>
      <c r="AB23" s="5">
        <f>$V$18*1.021^(AA23-Start_Year)</f>
        <v>-190764434.90477577</v>
      </c>
      <c r="AC23" s="26">
        <f>'#3-Without Volatility'!H39</f>
        <v>-196770698.63370907</v>
      </c>
      <c r="AD23" s="30">
        <f t="shared" si="12"/>
        <v>-190764434.90477577</v>
      </c>
      <c r="AE23" s="30">
        <f t="shared" si="15"/>
        <v>-36186322.465577051</v>
      </c>
      <c r="AF23" s="25"/>
      <c r="AG23" s="26">
        <f t="shared" si="14"/>
        <v>454001529.70288336</v>
      </c>
    </row>
    <row r="24" spans="2:33">
      <c r="AA24" s="14">
        <v>2044</v>
      </c>
      <c r="AB24" s="5">
        <f>V17</f>
        <v>-143145588.00622153</v>
      </c>
      <c r="AC24" s="26">
        <f>'#3-Without Volatility'!H40</f>
        <v>-143128049.84971356</v>
      </c>
      <c r="AD24" s="30">
        <f t="shared" si="12"/>
        <v>-143145588.00622153</v>
      </c>
      <c r="AE24" s="30">
        <f t="shared" si="15"/>
        <v>-36946235.237354167</v>
      </c>
      <c r="AF24" s="25"/>
      <c r="AG24" s="26">
        <f t="shared" si="14"/>
        <v>463535561.82664382</v>
      </c>
    </row>
    <row r="25" spans="2:33">
      <c r="AA25" s="14">
        <v>2045</v>
      </c>
      <c r="AB25" s="5">
        <f t="shared" ref="AB25:AB43" si="16">$V$18*1.021^(AA25-Start_Year)</f>
        <v>-198860668.28656933</v>
      </c>
      <c r="AC25" s="26">
        <f>'#3-Without Volatility'!H41</f>
        <v>-205121843.8544223</v>
      </c>
      <c r="AD25" s="30">
        <f t="shared" si="12"/>
        <v>-198860668.28656933</v>
      </c>
      <c r="AE25" s="30">
        <f t="shared" si="15"/>
        <v>-37722106.1773386</v>
      </c>
      <c r="AF25" s="25"/>
      <c r="AG25" s="26">
        <f t="shared" si="14"/>
        <v>473269808.62500328</v>
      </c>
    </row>
    <row r="26" spans="2:33">
      <c r="AA26" s="14">
        <v>2046</v>
      </c>
      <c r="AB26" s="5">
        <f t="shared" si="16"/>
        <v>-203036742.32058725</v>
      </c>
      <c r="AC26" s="26">
        <f>'#3-Without Volatility'!H42</f>
        <v>-209429402.57536516</v>
      </c>
      <c r="AD26" s="30">
        <f t="shared" si="12"/>
        <v>-203036742.32058725</v>
      </c>
      <c r="AE26" s="30">
        <f t="shared" si="15"/>
        <v>-38514270.407062709</v>
      </c>
      <c r="AF26" s="25"/>
      <c r="AG26" s="26">
        <f t="shared" si="14"/>
        <v>483208474.60612833</v>
      </c>
    </row>
    <row r="27" spans="2:33">
      <c r="AA27" s="14">
        <v>2047</v>
      </c>
      <c r="AB27" s="5">
        <f t="shared" si="16"/>
        <v>-207300513.90931955</v>
      </c>
      <c r="AC27" s="26">
        <f>'#3-Without Volatility'!H43</f>
        <v>-213827420.02944776</v>
      </c>
      <c r="AD27" s="30">
        <f t="shared" si="12"/>
        <v>-207300513.90931955</v>
      </c>
      <c r="AE27" s="30">
        <f t="shared" si="15"/>
        <v>-39323070.085611016</v>
      </c>
      <c r="AF27" s="25"/>
      <c r="AG27" s="26">
        <f t="shared" si="14"/>
        <v>493355852.57285702</v>
      </c>
    </row>
    <row r="28" spans="2:33">
      <c r="AA28" s="14">
        <v>2048</v>
      </c>
      <c r="AB28" s="5">
        <f t="shared" si="16"/>
        <v>-211653824.70141521</v>
      </c>
      <c r="AC28" s="26">
        <f>'#3-Without Volatility'!H44</f>
        <v>-218317795.85006613</v>
      </c>
      <c r="AD28" s="30">
        <f t="shared" si="12"/>
        <v>-211653824.70141521</v>
      </c>
      <c r="AE28" s="30">
        <f t="shared" si="15"/>
        <v>-40148854.557408839</v>
      </c>
      <c r="AF28" s="25"/>
      <c r="AG28" s="26">
        <f t="shared" si="14"/>
        <v>503716325.47688687</v>
      </c>
    </row>
    <row r="29" spans="2:33">
      <c r="AA29" s="14">
        <v>2049</v>
      </c>
      <c r="AB29" s="5">
        <f t="shared" si="16"/>
        <v>-216098555.02014491</v>
      </c>
      <c r="AC29" s="26">
        <f>'#3-Without Volatility'!H45</f>
        <v>-222902469.5629175</v>
      </c>
      <c r="AD29" s="30">
        <f t="shared" si="12"/>
        <v>-216098555.02014491</v>
      </c>
      <c r="AE29" s="30">
        <f t="shared" si="15"/>
        <v>-40991980.503114425</v>
      </c>
      <c r="AF29" s="25"/>
      <c r="AG29" s="26">
        <f t="shared" si="14"/>
        <v>514294368.31190145</v>
      </c>
    </row>
    <row r="30" spans="2:33">
      <c r="AA30" s="14">
        <v>2050</v>
      </c>
      <c r="AB30" s="5">
        <f t="shared" si="16"/>
        <v>-220636624.67556798</v>
      </c>
      <c r="AC30" s="26">
        <f>'#3-Without Volatility'!H46</f>
        <v>-227583421.42373878</v>
      </c>
      <c r="AD30" s="30">
        <f t="shared" si="12"/>
        <v>-220636624.67556798</v>
      </c>
      <c r="AE30" s="30">
        <f t="shared" si="15"/>
        <v>-41852812.09367983</v>
      </c>
      <c r="AF30" s="25"/>
      <c r="AG30" s="26">
        <f t="shared" si="14"/>
        <v>525094550.04645133</v>
      </c>
    </row>
    <row r="31" spans="2:33">
      <c r="AA31" s="14">
        <v>2051</v>
      </c>
      <c r="AB31" s="5">
        <f t="shared" si="16"/>
        <v>-225269993.79375485</v>
      </c>
      <c r="AC31" s="26">
        <f>'#3-Without Volatility'!H47</f>
        <v>-232362673.27363724</v>
      </c>
      <c r="AD31" s="30">
        <f t="shared" si="12"/>
        <v>-225269993.79375485</v>
      </c>
      <c r="AE31" s="30">
        <f t="shared" si="15"/>
        <v>-42731721.14764709</v>
      </c>
      <c r="AF31" s="25"/>
      <c r="AG31" s="26">
        <f t="shared" si="14"/>
        <v>536121535.59742683</v>
      </c>
    </row>
    <row r="32" spans="2:33">
      <c r="AA32" s="14">
        <v>2052</v>
      </c>
      <c r="AB32" s="5">
        <f t="shared" si="16"/>
        <v>-230000663.66342363</v>
      </c>
      <c r="AC32" s="26">
        <f>'#3-Without Volatility'!H48</f>
        <v>-237242289.41238356</v>
      </c>
      <c r="AD32" s="30">
        <f t="shared" si="12"/>
        <v>-230000663.66342363</v>
      </c>
      <c r="AE32" s="30">
        <f t="shared" si="15"/>
        <v>-43629087.291747674</v>
      </c>
      <c r="AF32" s="25"/>
      <c r="AG32" s="26">
        <f t="shared" si="14"/>
        <v>547380087.84497261</v>
      </c>
    </row>
    <row r="33" spans="27:33">
      <c r="AA33" s="14">
        <v>2053</v>
      </c>
      <c r="AB33" s="5">
        <f t="shared" si="16"/>
        <v>-234830677.60035557</v>
      </c>
      <c r="AC33" s="26">
        <f>'#3-Without Volatility'!H49</f>
        <v>-242224377.49004364</v>
      </c>
      <c r="AD33" s="30">
        <f t="shared" si="12"/>
        <v>-234830677.60035557</v>
      </c>
      <c r="AE33" s="30">
        <f t="shared" si="15"/>
        <v>-44545298.124874376</v>
      </c>
      <c r="AF33" s="25"/>
      <c r="AG33" s="26">
        <f t="shared" si="14"/>
        <v>558875069.68971694</v>
      </c>
    </row>
    <row r="34" spans="27:33">
      <c r="AA34" s="14">
        <v>2054</v>
      </c>
      <c r="AB34" s="5">
        <f t="shared" si="16"/>
        <v>-239762121.82996297</v>
      </c>
      <c r="AC34" s="26">
        <f>'#3-Without Volatility'!H50</f>
        <v>-247311089.4173345</v>
      </c>
      <c r="AD34" s="30">
        <f t="shared" si="12"/>
        <v>-239762121.82996297</v>
      </c>
      <c r="AE34" s="30">
        <f t="shared" si="15"/>
        <v>-45480749.385496728</v>
      </c>
      <c r="AF34" s="25"/>
      <c r="AG34" s="26">
        <f t="shared" si="14"/>
        <v>570611446.15320098</v>
      </c>
    </row>
    <row r="35" spans="27:33">
      <c r="AA35" s="14">
        <v>2055</v>
      </c>
      <c r="AB35" s="5">
        <f t="shared" si="16"/>
        <v>-244797126.38839218</v>
      </c>
      <c r="AC35" s="26">
        <f>'#3-Without Volatility'!H51</f>
        <v>-252504622.29509848</v>
      </c>
      <c r="AD35" s="30">
        <f t="shared" si="12"/>
        <v>-244797126.38839218</v>
      </c>
      <c r="AE35" s="30">
        <f t="shared" si="15"/>
        <v>-46435845.122592159</v>
      </c>
      <c r="AF35" s="25"/>
      <c r="AG35" s="26">
        <f t="shared" si="14"/>
        <v>582594286.52241814</v>
      </c>
    </row>
    <row r="36" spans="27:33">
      <c r="AA36" s="14">
        <v>2056</v>
      </c>
      <c r="AB36" s="5">
        <f t="shared" si="16"/>
        <v>-249937866.04254839</v>
      </c>
      <c r="AC36" s="26">
        <f>'#3-Without Volatility'!H52</f>
        <v>-257807219.36329553</v>
      </c>
      <c r="AD36" s="30">
        <f t="shared" si="12"/>
        <v>-249937866.04254839</v>
      </c>
      <c r="AE36" s="30">
        <f t="shared" si="15"/>
        <v>-47410997.870166585</v>
      </c>
      <c r="AF36" s="25"/>
      <c r="AG36" s="26">
        <f t="shared" si="14"/>
        <v>594828766.5393889</v>
      </c>
    </row>
    <row r="37" spans="27:33">
      <c r="AA37" s="14">
        <v>2057</v>
      </c>
      <c r="AB37" s="5">
        <f t="shared" si="16"/>
        <v>-255186561.22944185</v>
      </c>
      <c r="AC37" s="26">
        <f>'#3-Without Volatility'!H53</f>
        <v>-263221170.96992469</v>
      </c>
      <c r="AD37" s="30">
        <f t="shared" si="12"/>
        <v>-255186561.22944185</v>
      </c>
      <c r="AE37" s="30">
        <f t="shared" si="15"/>
        <v>-48406628.825440072</v>
      </c>
      <c r="AF37" s="25"/>
      <c r="AG37" s="26">
        <f t="shared" si="14"/>
        <v>607320170.63671589</v>
      </c>
    </row>
    <row r="38" spans="27:33">
      <c r="AA38" s="14">
        <v>2058</v>
      </c>
      <c r="AB38" s="5">
        <f t="shared" si="16"/>
        <v>-260545479.01526013</v>
      </c>
      <c r="AC38" s="26">
        <f>'#3-Without Volatility'!H54</f>
        <v>-268748815.56029308</v>
      </c>
      <c r="AD38" s="30">
        <f t="shared" si="12"/>
        <v>-260545479.01526013</v>
      </c>
      <c r="AE38" s="30">
        <f t="shared" si="15"/>
        <v>-49423168.030774318</v>
      </c>
      <c r="AF38" s="25"/>
      <c r="AG38" s="26">
        <f t="shared" si="14"/>
        <v>620073894.22008681</v>
      </c>
    </row>
    <row r="39" spans="27:33">
      <c r="AA39" s="14">
        <v>2059</v>
      </c>
      <c r="AB39" s="5">
        <f t="shared" si="16"/>
        <v>-266016934.07458055</v>
      </c>
      <c r="AC39" s="26">
        <f>'#3-Without Volatility'!H55</f>
        <v>-274392540.68705922</v>
      </c>
      <c r="AD39" s="30">
        <f t="shared" si="12"/>
        <v>-266016934.07458055</v>
      </c>
      <c r="AE39" s="30">
        <f t="shared" si="15"/>
        <v>-50461054.559420571</v>
      </c>
      <c r="AF39" s="25"/>
      <c r="AG39" s="26">
        <f t="shared" si="14"/>
        <v>633095445.99870872</v>
      </c>
    </row>
    <row r="40" spans="27:33">
      <c r="AA40" s="14">
        <v>2060</v>
      </c>
      <c r="AB40" s="5">
        <f t="shared" si="16"/>
        <v>-271603289.69014668</v>
      </c>
      <c r="AC40" s="26">
        <f>'#3-Without Volatility'!H56</f>
        <v>-280154784.0414874</v>
      </c>
      <c r="AD40" s="30">
        <f t="shared" si="12"/>
        <v>-271603289.69014668</v>
      </c>
      <c r="AE40" s="30">
        <f t="shared" si="15"/>
        <v>-51520736.705168389</v>
      </c>
      <c r="AF40" s="25"/>
      <c r="AG40" s="26">
        <f t="shared" si="14"/>
        <v>646390450.36468148</v>
      </c>
    </row>
    <row r="41" spans="27:33">
      <c r="AA41" s="14">
        <v>2061</v>
      </c>
      <c r="AB41" s="5">
        <f t="shared" si="16"/>
        <v>-277306958.77363974</v>
      </c>
      <c r="AC41" s="26">
        <f>'#3-Without Volatility'!H57</f>
        <v>-286038034.50635862</v>
      </c>
      <c r="AD41" s="30">
        <f t="shared" si="12"/>
        <v>-277306958.77363974</v>
      </c>
      <c r="AE41" s="30">
        <f t="shared" si="15"/>
        <v>-52602672.175976925</v>
      </c>
      <c r="AF41" s="25"/>
      <c r="AG41" s="26">
        <f t="shared" si="14"/>
        <v>659964649.82233965</v>
      </c>
    </row>
    <row r="42" spans="27:33">
      <c r="AA42" s="14">
        <v>2062</v>
      </c>
      <c r="AB42" s="5">
        <f t="shared" si="16"/>
        <v>-283130404.90788615</v>
      </c>
      <c r="AC42" s="26">
        <f>'#3-Without Volatility'!H58</f>
        <v>-292044833.23099208</v>
      </c>
      <c r="AD42" s="30">
        <f t="shared" si="12"/>
        <v>-283130404.90788615</v>
      </c>
      <c r="AE42" s="30">
        <f t="shared" si="15"/>
        <v>-53707328.291672431</v>
      </c>
      <c r="AF42" s="25"/>
      <c r="AG42" s="26">
        <f t="shared" si="14"/>
        <v>673823907.46860874</v>
      </c>
    </row>
    <row r="43" spans="27:33">
      <c r="AA43" s="14">
        <v>2063</v>
      </c>
      <c r="AB43" s="5">
        <f t="shared" si="16"/>
        <v>-289076143.41095173</v>
      </c>
      <c r="AC43" s="26">
        <f>'#3-Without Volatility'!H59</f>
        <v>-298177774.72884291</v>
      </c>
      <c r="AD43" s="30">
        <f t="shared" si="12"/>
        <v>-289076143.41095173</v>
      </c>
      <c r="AE43" s="30">
        <f t="shared" si="15"/>
        <v>-54835182.18579755</v>
      </c>
      <c r="AF43" s="25"/>
      <c r="AG43" s="26">
        <f t="shared" si="14"/>
        <v>687974209.5254494</v>
      </c>
    </row>
    <row r="61" spans="9:9">
      <c r="I61" s="17"/>
    </row>
    <row r="62" spans="9:9">
      <c r="I62" s="17"/>
    </row>
    <row r="63" spans="9:9">
      <c r="I63" s="17"/>
    </row>
    <row r="64" spans="9:9">
      <c r="I64" s="17"/>
    </row>
  </sheetData>
  <mergeCells count="1">
    <mergeCell ref="C2:F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D165F-8B0C-4437-A393-6A1DB623EEFA}">
  <dimension ref="B2:O59"/>
  <sheetViews>
    <sheetView showGridLines="0" zoomScale="68" zoomScaleNormal="68" workbookViewId="0">
      <selection activeCell="C12" sqref="C12"/>
    </sheetView>
  </sheetViews>
  <sheetFormatPr defaultRowHeight="15"/>
  <cols>
    <col min="3" max="5" width="17.5703125" customWidth="1"/>
    <col min="7" max="10" width="23.28515625" customWidth="1"/>
    <col min="11" max="11" width="8.7109375" customWidth="1"/>
    <col min="13" max="15" width="17.5703125" customWidth="1"/>
    <col min="17" max="17" width="8.7109375" customWidth="1"/>
  </cols>
  <sheetData>
    <row r="2" spans="2:15">
      <c r="C2" s="172" t="s">
        <v>191</v>
      </c>
      <c r="D2" s="172"/>
    </row>
    <row r="3" spans="2:15" ht="70.150000000000006" customHeight="1">
      <c r="B3" s="11" t="s">
        <v>60</v>
      </c>
      <c r="C3" s="11" t="s">
        <v>61</v>
      </c>
      <c r="D3" s="11" t="s">
        <v>62</v>
      </c>
      <c r="E3" s="11" t="s">
        <v>65</v>
      </c>
      <c r="G3" s="11" t="s">
        <v>66</v>
      </c>
      <c r="H3" s="11" t="s">
        <v>61</v>
      </c>
      <c r="I3" s="11" t="s">
        <v>62</v>
      </c>
      <c r="J3" s="11" t="s">
        <v>65</v>
      </c>
      <c r="L3" s="11" t="s">
        <v>68</v>
      </c>
      <c r="M3" s="11" t="s">
        <v>61</v>
      </c>
      <c r="N3" s="11" t="s">
        <v>62</v>
      </c>
      <c r="O3" s="11" t="s">
        <v>65</v>
      </c>
    </row>
    <row r="4" spans="2:15">
      <c r="B4" s="12">
        <v>2024</v>
      </c>
      <c r="C4" s="112">
        <v>1377960281.5829427</v>
      </c>
      <c r="D4" s="112">
        <v>1429687880.7611349</v>
      </c>
      <c r="E4" s="13">
        <f t="shared" ref="E4:E17" si="0">C4-D4</f>
        <v>-51727599.178192139</v>
      </c>
      <c r="G4" s="12">
        <v>2024</v>
      </c>
      <c r="H4" s="13">
        <f t="shared" ref="H4:H17" si="1">C4*1.3</f>
        <v>1791348366.0578256</v>
      </c>
      <c r="I4" s="13">
        <f t="shared" ref="I4:I17" si="2">D4*1.3</f>
        <v>1858594244.9894755</v>
      </c>
      <c r="J4" s="13">
        <f t="shared" ref="J4:J17" si="3">H4-I4</f>
        <v>-67245878.931649923</v>
      </c>
      <c r="L4" s="12">
        <v>2024</v>
      </c>
      <c r="M4" s="13">
        <f t="shared" ref="M4:M17" si="4">H4/1.021^($G4-Start_Year)</f>
        <v>1754503786.5404758</v>
      </c>
      <c r="N4" s="13">
        <f t="shared" ref="N4:N17" si="5">I4/1.021^($G4-Start_Year)</f>
        <v>1820366547.4921408</v>
      </c>
      <c r="O4" s="13">
        <f>M4-N4</f>
        <v>-65862760.951664925</v>
      </c>
    </row>
    <row r="5" spans="2:15">
      <c r="B5" s="12">
        <v>2025</v>
      </c>
      <c r="C5" s="112">
        <v>1337741934.761265</v>
      </c>
      <c r="D5" s="112">
        <v>1398998227.2648606</v>
      </c>
      <c r="E5" s="13">
        <f t="shared" si="0"/>
        <v>-61256292.503595591</v>
      </c>
      <c r="G5" s="12">
        <v>2025</v>
      </c>
      <c r="H5" s="13">
        <f t="shared" si="1"/>
        <v>1739064515.1896446</v>
      </c>
      <c r="I5" s="13">
        <f t="shared" si="2"/>
        <v>1818697695.4443188</v>
      </c>
      <c r="J5" s="13">
        <f t="shared" si="3"/>
        <v>-79633180.254674196</v>
      </c>
      <c r="L5" s="12">
        <v>2025</v>
      </c>
      <c r="M5" s="13">
        <f t="shared" si="4"/>
        <v>1668261815.4789047</v>
      </c>
      <c r="N5" s="13">
        <f t="shared" si="5"/>
        <v>1744652882.459841</v>
      </c>
      <c r="O5" s="13">
        <f t="shared" ref="O5:O17" si="6">M5-N5</f>
        <v>-76391066.980936289</v>
      </c>
    </row>
    <row r="6" spans="2:15">
      <c r="B6" s="14">
        <v>2026</v>
      </c>
      <c r="C6" s="112">
        <v>1245523266.9604952</v>
      </c>
      <c r="D6" s="112">
        <v>1311516400.3232176</v>
      </c>
      <c r="E6" s="13">
        <f t="shared" si="0"/>
        <v>-65993133.362722397</v>
      </c>
      <c r="G6" s="14">
        <v>2026</v>
      </c>
      <c r="H6" s="13">
        <f t="shared" si="1"/>
        <v>1619180247.0486438</v>
      </c>
      <c r="I6" s="13">
        <f t="shared" si="2"/>
        <v>1704971320.4201829</v>
      </c>
      <c r="J6" s="13">
        <f t="shared" si="3"/>
        <v>-85791073.371539116</v>
      </c>
      <c r="L6" s="14">
        <v>2026</v>
      </c>
      <c r="M6" s="13">
        <f t="shared" si="4"/>
        <v>1521310878.5477698</v>
      </c>
      <c r="N6" s="13">
        <f t="shared" si="5"/>
        <v>1601916415.4793797</v>
      </c>
      <c r="O6" s="13">
        <f t="shared" si="6"/>
        <v>-80605536.931609869</v>
      </c>
    </row>
    <row r="7" spans="2:15">
      <c r="B7" s="14">
        <v>2027</v>
      </c>
      <c r="C7" s="112">
        <v>1277178260.6859083</v>
      </c>
      <c r="D7" s="112">
        <v>1346772130.1403935</v>
      </c>
      <c r="E7" s="13">
        <f t="shared" si="0"/>
        <v>-69593869.454485178</v>
      </c>
      <c r="G7" s="14">
        <v>2027</v>
      </c>
      <c r="H7" s="13">
        <f t="shared" si="1"/>
        <v>1660331738.891681</v>
      </c>
      <c r="I7" s="13">
        <f t="shared" si="2"/>
        <v>1750803769.1825116</v>
      </c>
      <c r="J7" s="13">
        <f t="shared" si="3"/>
        <v>-90472030.290830612</v>
      </c>
      <c r="L7" s="14">
        <v>2027</v>
      </c>
      <c r="M7" s="13">
        <f t="shared" si="4"/>
        <v>1527889342.6317551</v>
      </c>
      <c r="N7" s="13">
        <f t="shared" si="5"/>
        <v>1611144542.5714314</v>
      </c>
      <c r="O7" s="13">
        <f t="shared" si="6"/>
        <v>-83255199.939676285</v>
      </c>
    </row>
    <row r="8" spans="2:15">
      <c r="B8" s="14">
        <v>2028</v>
      </c>
      <c r="C8" s="112">
        <v>1348165063.4090612</v>
      </c>
      <c r="D8" s="112">
        <v>1413278940.0270109</v>
      </c>
      <c r="E8" s="13">
        <f t="shared" si="0"/>
        <v>-65113876.617949724</v>
      </c>
      <c r="G8" s="14">
        <v>2028</v>
      </c>
      <c r="H8" s="13">
        <f t="shared" si="1"/>
        <v>1752614582.4317796</v>
      </c>
      <c r="I8" s="13">
        <f t="shared" si="2"/>
        <v>1837262622.0351143</v>
      </c>
      <c r="J8" s="13">
        <f t="shared" si="3"/>
        <v>-84648039.603334665</v>
      </c>
      <c r="L8" s="14">
        <v>2028</v>
      </c>
      <c r="M8" s="13">
        <f t="shared" si="4"/>
        <v>1579638501.1946938</v>
      </c>
      <c r="N8" s="13">
        <f t="shared" si="5"/>
        <v>1655932116.3160236</v>
      </c>
      <c r="O8" s="13">
        <f t="shared" si="6"/>
        <v>-76293615.121329784</v>
      </c>
    </row>
    <row r="9" spans="2:15">
      <c r="B9" s="14">
        <v>2029</v>
      </c>
      <c r="C9" s="112">
        <v>1457270484.747714</v>
      </c>
      <c r="D9" s="112">
        <v>1521202933.3451977</v>
      </c>
      <c r="E9" s="13">
        <f t="shared" si="0"/>
        <v>-63932448.597483635</v>
      </c>
      <c r="G9" s="14">
        <v>2029</v>
      </c>
      <c r="H9" s="13">
        <f t="shared" si="1"/>
        <v>1894451630.1720283</v>
      </c>
      <c r="I9" s="13">
        <f t="shared" si="2"/>
        <v>1977563813.348757</v>
      </c>
      <c r="J9" s="13">
        <f t="shared" si="3"/>
        <v>-83112183.176728725</v>
      </c>
      <c r="L9" s="14">
        <v>2029</v>
      </c>
      <c r="M9" s="13">
        <f t="shared" si="4"/>
        <v>1672357293.8769011</v>
      </c>
      <c r="N9" s="13">
        <f t="shared" si="5"/>
        <v>1745725894.8651533</v>
      </c>
      <c r="O9" s="13">
        <f t="shared" si="6"/>
        <v>-73368600.988252163</v>
      </c>
    </row>
    <row r="10" spans="2:15">
      <c r="B10" s="14">
        <v>2030</v>
      </c>
      <c r="C10" s="112">
        <v>1502559351.318737</v>
      </c>
      <c r="D10" s="112">
        <v>1574663962.9433246</v>
      </c>
      <c r="E10" s="13">
        <f t="shared" si="0"/>
        <v>-72104611.624587536</v>
      </c>
      <c r="G10" s="14">
        <v>2030</v>
      </c>
      <c r="H10" s="13">
        <f t="shared" si="1"/>
        <v>1953327156.7143581</v>
      </c>
      <c r="I10" s="13">
        <f t="shared" si="2"/>
        <v>2047063151.8263221</v>
      </c>
      <c r="J10" s="13">
        <f t="shared" si="3"/>
        <v>-93735995.111963987</v>
      </c>
      <c r="L10" s="14">
        <v>2030</v>
      </c>
      <c r="M10" s="13">
        <f t="shared" si="4"/>
        <v>1688864447.5172181</v>
      </c>
      <c r="N10" s="13">
        <f t="shared" si="5"/>
        <v>1769909442.4905787</v>
      </c>
      <c r="O10" s="13">
        <f t="shared" si="6"/>
        <v>-81044994.973360538</v>
      </c>
    </row>
    <row r="11" spans="2:15">
      <c r="B11" s="14">
        <v>2031</v>
      </c>
      <c r="C11" s="112">
        <v>1589291699.5164416</v>
      </c>
      <c r="D11" s="112">
        <v>1665143708.018383</v>
      </c>
      <c r="E11" s="13">
        <f t="shared" si="0"/>
        <v>-75852008.501941442</v>
      </c>
      <c r="G11" s="14">
        <v>2031</v>
      </c>
      <c r="H11" s="13">
        <f t="shared" si="1"/>
        <v>2066079209.3713741</v>
      </c>
      <c r="I11" s="13">
        <f t="shared" si="2"/>
        <v>2164686820.4238982</v>
      </c>
      <c r="J11" s="13">
        <f t="shared" si="3"/>
        <v>-98607611.05252409</v>
      </c>
      <c r="L11" s="14">
        <v>2031</v>
      </c>
      <c r="M11" s="13">
        <f t="shared" si="4"/>
        <v>1749609107.7495413</v>
      </c>
      <c r="N11" s="13">
        <f t="shared" si="5"/>
        <v>1833112573.4484255</v>
      </c>
      <c r="O11" s="13">
        <f t="shared" si="6"/>
        <v>-83503465.698884249</v>
      </c>
    </row>
    <row r="12" spans="2:15">
      <c r="B12" s="14">
        <v>2032</v>
      </c>
      <c r="C12" s="112">
        <v>1682551862.6806359</v>
      </c>
      <c r="D12" s="112">
        <v>1763552391.3541453</v>
      </c>
      <c r="E12" s="13">
        <f t="shared" si="0"/>
        <v>-81000528.673509359</v>
      </c>
      <c r="G12" s="14">
        <v>2032</v>
      </c>
      <c r="H12" s="13">
        <f t="shared" si="1"/>
        <v>2187317421.4848266</v>
      </c>
      <c r="I12" s="13">
        <f t="shared" si="2"/>
        <v>2292618108.7603889</v>
      </c>
      <c r="J12" s="13">
        <f t="shared" si="3"/>
        <v>-105300687.27556229</v>
      </c>
      <c r="L12" s="14">
        <v>2032</v>
      </c>
      <c r="M12" s="13">
        <f t="shared" si="4"/>
        <v>1814178990.7073221</v>
      </c>
      <c r="N12" s="13">
        <f t="shared" si="5"/>
        <v>1901516243.4928308</v>
      </c>
      <c r="O12" s="13">
        <f t="shared" si="6"/>
        <v>-87337252.785508633</v>
      </c>
    </row>
    <row r="13" spans="2:15">
      <c r="B13" s="14">
        <v>2033</v>
      </c>
      <c r="C13" s="112">
        <v>1775309990.5136709</v>
      </c>
      <c r="D13" s="112">
        <v>1857887395.7275288</v>
      </c>
      <c r="E13" s="13">
        <f t="shared" si="0"/>
        <v>-82577405.213857889</v>
      </c>
      <c r="G13" s="14">
        <v>2033</v>
      </c>
      <c r="H13" s="13">
        <f t="shared" si="1"/>
        <v>2307902987.6677723</v>
      </c>
      <c r="I13" s="13">
        <f t="shared" si="2"/>
        <v>2415253614.4457874</v>
      </c>
      <c r="J13" s="13">
        <f t="shared" si="3"/>
        <v>-107350626.77801514</v>
      </c>
      <c r="L13" s="14">
        <v>2033</v>
      </c>
      <c r="M13" s="13">
        <f t="shared" si="4"/>
        <v>1874822377.3673587</v>
      </c>
      <c r="N13" s="13">
        <f t="shared" si="5"/>
        <v>1962028537.4110348</v>
      </c>
      <c r="O13" s="13">
        <f t="shared" si="6"/>
        <v>-87206160.043676138</v>
      </c>
    </row>
    <row r="14" spans="2:15">
      <c r="B14" s="14">
        <v>2034</v>
      </c>
      <c r="C14" s="112">
        <v>1888867759.0160847</v>
      </c>
      <c r="D14" s="112">
        <v>1974295929.4921322</v>
      </c>
      <c r="E14" s="13">
        <f t="shared" si="0"/>
        <v>-85428170.476047516</v>
      </c>
      <c r="G14" s="14">
        <v>2034</v>
      </c>
      <c r="H14" s="13">
        <f t="shared" si="1"/>
        <v>2455528086.7209101</v>
      </c>
      <c r="I14" s="13">
        <f t="shared" si="2"/>
        <v>2566584708.3397717</v>
      </c>
      <c r="J14" s="13">
        <f t="shared" si="3"/>
        <v>-111056621.61886168</v>
      </c>
      <c r="L14" s="14">
        <v>2034</v>
      </c>
      <c r="M14" s="13">
        <f t="shared" si="4"/>
        <v>1953717394.0607846</v>
      </c>
      <c r="N14" s="13">
        <f t="shared" si="5"/>
        <v>2042078530.9403636</v>
      </c>
      <c r="O14" s="13">
        <f t="shared" si="6"/>
        <v>-88361136.879579067</v>
      </c>
    </row>
    <row r="15" spans="2:15">
      <c r="B15" s="14">
        <v>2035</v>
      </c>
      <c r="C15" s="112">
        <v>1929383004.0122271</v>
      </c>
      <c r="D15" s="112">
        <v>2022125357.1510537</v>
      </c>
      <c r="E15" s="13">
        <f t="shared" si="0"/>
        <v>-92742353.138826609</v>
      </c>
      <c r="G15" s="14">
        <v>2035</v>
      </c>
      <c r="H15" s="13">
        <f t="shared" si="1"/>
        <v>2508197905.2158952</v>
      </c>
      <c r="I15" s="13">
        <f t="shared" si="2"/>
        <v>2628762964.29637</v>
      </c>
      <c r="J15" s="13">
        <f t="shared" si="3"/>
        <v>-120565059.08047485</v>
      </c>
      <c r="L15" s="22">
        <v>2035</v>
      </c>
      <c r="M15" s="23">
        <f t="shared" si="4"/>
        <v>1954577502.918519</v>
      </c>
      <c r="N15" s="23">
        <f t="shared" si="5"/>
        <v>2048530915.2974572</v>
      </c>
      <c r="O15" s="23">
        <f t="shared" si="6"/>
        <v>-93953412.378938198</v>
      </c>
    </row>
    <row r="16" spans="2:15">
      <c r="B16" s="14">
        <v>2040</v>
      </c>
      <c r="C16" s="112">
        <v>2131187177.2112875</v>
      </c>
      <c r="D16" s="112">
        <v>2298174606.0078344</v>
      </c>
      <c r="E16" s="13">
        <f t="shared" si="0"/>
        <v>-166987428.79654694</v>
      </c>
      <c r="G16" s="14">
        <v>2040</v>
      </c>
      <c r="H16" s="13">
        <f t="shared" si="1"/>
        <v>2770543330.3746738</v>
      </c>
      <c r="I16" s="13">
        <f t="shared" si="2"/>
        <v>2987626987.810185</v>
      </c>
      <c r="J16" s="13">
        <f t="shared" si="3"/>
        <v>-217083657.43551111</v>
      </c>
      <c r="L16" s="22">
        <v>2040</v>
      </c>
      <c r="M16" s="23">
        <f t="shared" si="4"/>
        <v>1945930527.5759845</v>
      </c>
      <c r="N16" s="23">
        <f t="shared" si="5"/>
        <v>2098402323.0575159</v>
      </c>
      <c r="O16" s="23">
        <f t="shared" si="6"/>
        <v>-152471795.48153138</v>
      </c>
    </row>
    <row r="17" spans="2:15">
      <c r="B17" s="14">
        <v>2044</v>
      </c>
      <c r="C17" s="112">
        <v>2364032808.5304303</v>
      </c>
      <c r="D17" s="112">
        <v>2534374904.019628</v>
      </c>
      <c r="E17" s="13">
        <f t="shared" si="0"/>
        <v>-170342095.48919773</v>
      </c>
      <c r="G17" s="14">
        <v>2044</v>
      </c>
      <c r="H17" s="13">
        <f t="shared" si="1"/>
        <v>3073242651.0895596</v>
      </c>
      <c r="I17" s="13">
        <f t="shared" si="2"/>
        <v>3294687375.2255168</v>
      </c>
      <c r="J17" s="13">
        <f t="shared" si="3"/>
        <v>-221444724.13595724</v>
      </c>
      <c r="L17" s="22">
        <v>2044</v>
      </c>
      <c r="M17" s="23">
        <f t="shared" si="4"/>
        <v>1986352255.9939311</v>
      </c>
      <c r="N17" s="23">
        <f t="shared" si="5"/>
        <v>2129480305.8436446</v>
      </c>
      <c r="O17" s="23">
        <f t="shared" si="6"/>
        <v>-143128049.84971356</v>
      </c>
    </row>
    <row r="18" spans="2:15">
      <c r="O18" s="21">
        <f>AVERAGE(O15:O17)</f>
        <v>-129851085.90339439</v>
      </c>
    </row>
    <row r="19" spans="2:15" ht="50.1" customHeight="1">
      <c r="G19" s="19" t="s">
        <v>52</v>
      </c>
      <c r="H19" s="18" t="s">
        <v>74</v>
      </c>
    </row>
    <row r="20" spans="2:15">
      <c r="G20" s="17">
        <v>2024</v>
      </c>
      <c r="H20" s="20">
        <f>J4</f>
        <v>-67245878.931649923</v>
      </c>
    </row>
    <row r="21" spans="2:15">
      <c r="G21" s="17">
        <v>2025</v>
      </c>
      <c r="H21" s="20">
        <f t="shared" ref="H21:H31" si="7">J5</f>
        <v>-79633180.254674196</v>
      </c>
    </row>
    <row r="22" spans="2:15">
      <c r="G22" s="17">
        <v>2026</v>
      </c>
      <c r="H22" s="20">
        <f t="shared" si="7"/>
        <v>-85791073.371539116</v>
      </c>
    </row>
    <row r="23" spans="2:15">
      <c r="G23" s="17">
        <v>2027</v>
      </c>
      <c r="H23" s="20">
        <f t="shared" si="7"/>
        <v>-90472030.290830612</v>
      </c>
    </row>
    <row r="24" spans="2:15">
      <c r="G24" s="17">
        <v>2028</v>
      </c>
      <c r="H24" s="20">
        <f t="shared" si="7"/>
        <v>-84648039.603334665</v>
      </c>
    </row>
    <row r="25" spans="2:15">
      <c r="G25" s="17">
        <v>2029</v>
      </c>
      <c r="H25" s="20">
        <f t="shared" si="7"/>
        <v>-83112183.176728725</v>
      </c>
    </row>
    <row r="26" spans="2:15">
      <c r="G26" s="17">
        <v>2030</v>
      </c>
      <c r="H26" s="20">
        <f t="shared" si="7"/>
        <v>-93735995.111963987</v>
      </c>
    </row>
    <row r="27" spans="2:15">
      <c r="G27" s="17">
        <v>2031</v>
      </c>
      <c r="H27" s="20">
        <f t="shared" si="7"/>
        <v>-98607611.05252409</v>
      </c>
    </row>
    <row r="28" spans="2:15">
      <c r="G28" s="17">
        <v>2032</v>
      </c>
      <c r="H28" s="20">
        <f t="shared" si="7"/>
        <v>-105300687.27556229</v>
      </c>
    </row>
    <row r="29" spans="2:15">
      <c r="G29" s="17">
        <v>2033</v>
      </c>
      <c r="H29" s="20">
        <f t="shared" si="7"/>
        <v>-107350626.77801514</v>
      </c>
    </row>
    <row r="30" spans="2:15">
      <c r="G30" s="17">
        <v>2034</v>
      </c>
      <c r="H30" s="20">
        <f t="shared" si="7"/>
        <v>-111056621.61886168</v>
      </c>
    </row>
    <row r="31" spans="2:15">
      <c r="G31" s="17">
        <v>2035</v>
      </c>
      <c r="H31" s="20">
        <f t="shared" si="7"/>
        <v>-120565059.08047485</v>
      </c>
    </row>
    <row r="32" spans="2:15">
      <c r="G32" s="17">
        <v>2036</v>
      </c>
      <c r="H32" s="20">
        <f>$O$18*1.021^(G32-Start_Year)</f>
        <v>-170129737.91578341</v>
      </c>
    </row>
    <row r="33" spans="7:8">
      <c r="G33" s="17">
        <v>2037</v>
      </c>
      <c r="H33" s="20">
        <f>$O$18*1.021^(G33-Start_Year)</f>
        <v>-173702462.41201484</v>
      </c>
    </row>
    <row r="34" spans="7:8">
      <c r="G34" s="17">
        <v>2038</v>
      </c>
      <c r="H34" s="20">
        <f>$O$18*1.021^(G34-Start_Year)</f>
        <v>-177350214.12266713</v>
      </c>
    </row>
    <row r="35" spans="7:8">
      <c r="G35" s="17">
        <v>2039</v>
      </c>
      <c r="H35" s="20">
        <f>$O$18*1.021^(G35-Start_Year)</f>
        <v>-181074568.61924314</v>
      </c>
    </row>
    <row r="36" spans="7:8">
      <c r="G36" s="17">
        <v>2040</v>
      </c>
      <c r="H36" s="20">
        <f>O16</f>
        <v>-152471795.48153138</v>
      </c>
    </row>
    <row r="37" spans="7:8">
      <c r="G37" s="17">
        <v>2041</v>
      </c>
      <c r="H37" s="20">
        <f>$O$18*1.021^(G37-Start_Year)</f>
        <v>-188759554.38601238</v>
      </c>
    </row>
    <row r="38" spans="7:8">
      <c r="G38" s="17">
        <v>2042</v>
      </c>
      <c r="H38" s="20">
        <f>$O$18*1.021^(G38-Start_Year)</f>
        <v>-192723505.02811864</v>
      </c>
    </row>
    <row r="39" spans="7:8">
      <c r="G39" s="17">
        <v>2043</v>
      </c>
      <c r="H39" s="20">
        <f>$O$18*1.021^(G39-Start_Year)</f>
        <v>-196770698.63370907</v>
      </c>
    </row>
    <row r="40" spans="7:8">
      <c r="G40" s="17">
        <v>2044</v>
      </c>
      <c r="H40" s="20">
        <f>O17</f>
        <v>-143128049.84971356</v>
      </c>
    </row>
    <row r="41" spans="7:8">
      <c r="G41" s="17">
        <v>2045</v>
      </c>
      <c r="H41" s="20">
        <f t="shared" ref="H41:H59" si="8">$O$18*1.021^(G41-Start_Year)</f>
        <v>-205121843.8544223</v>
      </c>
    </row>
    <row r="42" spans="7:8">
      <c r="G42" s="17">
        <v>2046</v>
      </c>
      <c r="H42" s="20">
        <f t="shared" si="8"/>
        <v>-209429402.57536516</v>
      </c>
    </row>
    <row r="43" spans="7:8">
      <c r="G43" s="17">
        <v>2047</v>
      </c>
      <c r="H43" s="20">
        <f t="shared" si="8"/>
        <v>-213827420.02944776</v>
      </c>
    </row>
    <row r="44" spans="7:8">
      <c r="G44" s="17">
        <v>2048</v>
      </c>
      <c r="H44" s="20">
        <f t="shared" si="8"/>
        <v>-218317795.85006613</v>
      </c>
    </row>
    <row r="45" spans="7:8">
      <c r="G45" s="17">
        <v>2049</v>
      </c>
      <c r="H45" s="20">
        <f t="shared" si="8"/>
        <v>-222902469.5629175</v>
      </c>
    </row>
    <row r="46" spans="7:8">
      <c r="G46" s="17">
        <v>2050</v>
      </c>
      <c r="H46" s="20">
        <f t="shared" si="8"/>
        <v>-227583421.42373878</v>
      </c>
    </row>
    <row r="47" spans="7:8">
      <c r="G47" s="17">
        <v>2051</v>
      </c>
      <c r="H47" s="20">
        <f t="shared" si="8"/>
        <v>-232362673.27363724</v>
      </c>
    </row>
    <row r="48" spans="7:8">
      <c r="G48" s="17">
        <v>2052</v>
      </c>
      <c r="H48" s="20">
        <f t="shared" si="8"/>
        <v>-237242289.41238356</v>
      </c>
    </row>
    <row r="49" spans="7:8">
      <c r="G49" s="17">
        <v>2053</v>
      </c>
      <c r="H49" s="20">
        <f t="shared" si="8"/>
        <v>-242224377.49004364</v>
      </c>
    </row>
    <row r="50" spans="7:8">
      <c r="G50" s="17">
        <v>2054</v>
      </c>
      <c r="H50" s="20">
        <f t="shared" si="8"/>
        <v>-247311089.4173345</v>
      </c>
    </row>
    <row r="51" spans="7:8">
      <c r="G51" s="17">
        <v>2055</v>
      </c>
      <c r="H51" s="20">
        <f t="shared" si="8"/>
        <v>-252504622.29509848</v>
      </c>
    </row>
    <row r="52" spans="7:8">
      <c r="G52" s="17">
        <v>2056</v>
      </c>
      <c r="H52" s="20">
        <f t="shared" si="8"/>
        <v>-257807219.36329553</v>
      </c>
    </row>
    <row r="53" spans="7:8">
      <c r="G53" s="17">
        <v>2057</v>
      </c>
      <c r="H53" s="20">
        <f t="shared" si="8"/>
        <v>-263221170.96992469</v>
      </c>
    </row>
    <row r="54" spans="7:8">
      <c r="G54" s="17">
        <v>2058</v>
      </c>
      <c r="H54" s="20">
        <f t="shared" si="8"/>
        <v>-268748815.56029308</v>
      </c>
    </row>
    <row r="55" spans="7:8">
      <c r="G55" s="17">
        <v>2059</v>
      </c>
      <c r="H55" s="20">
        <f t="shared" si="8"/>
        <v>-274392540.68705922</v>
      </c>
    </row>
    <row r="56" spans="7:8">
      <c r="G56" s="17">
        <v>2060</v>
      </c>
      <c r="H56" s="20">
        <f t="shared" si="8"/>
        <v>-280154784.0414874</v>
      </c>
    </row>
    <row r="57" spans="7:8">
      <c r="G57" s="17">
        <v>2061</v>
      </c>
      <c r="H57" s="20">
        <f t="shared" si="8"/>
        <v>-286038034.50635862</v>
      </c>
    </row>
    <row r="58" spans="7:8">
      <c r="G58" s="17">
        <v>2062</v>
      </c>
      <c r="H58" s="20">
        <f t="shared" si="8"/>
        <v>-292044833.23099208</v>
      </c>
    </row>
    <row r="59" spans="7:8">
      <c r="G59" s="17">
        <v>2063</v>
      </c>
      <c r="H59" s="20">
        <f t="shared" si="8"/>
        <v>-298177774.72884291</v>
      </c>
    </row>
  </sheetData>
  <mergeCells count="1">
    <mergeCell ref="C2:D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0291-62C9-411C-B028-B69B1D24EF4A}">
  <sheetPr>
    <tabColor rgb="FFC00000"/>
  </sheetPr>
  <dimension ref="B2:U90"/>
  <sheetViews>
    <sheetView showGridLines="0" topLeftCell="A3" zoomScale="69" zoomScaleNormal="69" workbookViewId="0">
      <selection activeCell="M94" sqref="M94"/>
    </sheetView>
  </sheetViews>
  <sheetFormatPr defaultRowHeight="15"/>
  <cols>
    <col min="3" max="3" width="19.28515625" customWidth="1"/>
    <col min="4" max="4" width="23.5703125" bestFit="1" customWidth="1"/>
    <col min="5" max="5" width="20.28515625" bestFit="1" customWidth="1"/>
    <col min="6" max="6" width="19.28515625" bestFit="1" customWidth="1"/>
    <col min="7" max="7" width="18.42578125" bestFit="1" customWidth="1"/>
    <col min="8" max="8" width="22.42578125" bestFit="1" customWidth="1"/>
    <col min="9" max="9" width="15.28515625" bestFit="1" customWidth="1"/>
    <col min="10" max="10" width="18.42578125" customWidth="1"/>
    <col min="11" max="11" width="20.5703125" bestFit="1" customWidth="1"/>
    <col min="13" max="13" width="19.28515625" customWidth="1"/>
    <col min="14" max="14" width="23.5703125" bestFit="1" customWidth="1"/>
    <col min="15" max="15" width="20.28515625" bestFit="1" customWidth="1"/>
    <col min="16" max="16" width="19.28515625" bestFit="1" customWidth="1"/>
    <col min="17" max="17" width="18.7109375" bestFit="1" customWidth="1"/>
    <col min="18" max="18" width="22.42578125" bestFit="1" customWidth="1"/>
    <col min="19" max="19" width="15.28515625" bestFit="1" customWidth="1"/>
    <col min="20" max="20" width="18.7109375" bestFit="1" customWidth="1"/>
    <col min="21" max="21" width="20.5703125" bestFit="1" customWidth="1"/>
  </cols>
  <sheetData>
    <row r="2" spans="3:21">
      <c r="C2" s="15" t="s">
        <v>195</v>
      </c>
      <c r="M2" s="15" t="s">
        <v>183</v>
      </c>
    </row>
    <row r="3" spans="3:21" ht="45">
      <c r="C3" s="56" t="s">
        <v>52</v>
      </c>
      <c r="D3" s="57" t="s">
        <v>53</v>
      </c>
      <c r="E3" s="57" t="s">
        <v>7</v>
      </c>
      <c r="F3" s="57" t="s">
        <v>8</v>
      </c>
      <c r="G3" s="57" t="s">
        <v>184</v>
      </c>
      <c r="H3" s="57" t="s">
        <v>10</v>
      </c>
      <c r="I3" s="57" t="s">
        <v>11</v>
      </c>
      <c r="J3" s="57" t="s">
        <v>12</v>
      </c>
      <c r="K3" s="107" t="s">
        <v>55</v>
      </c>
      <c r="M3" s="56" t="s">
        <v>52</v>
      </c>
      <c r="N3" s="57" t="s">
        <v>53</v>
      </c>
      <c r="O3" s="57" t="s">
        <v>7</v>
      </c>
      <c r="P3" s="57" t="s">
        <v>8</v>
      </c>
      <c r="Q3" s="57" t="s">
        <v>184</v>
      </c>
      <c r="R3" s="57" t="s">
        <v>10</v>
      </c>
      <c r="S3" s="57" t="s">
        <v>11</v>
      </c>
      <c r="T3" s="57" t="s">
        <v>12</v>
      </c>
      <c r="U3" s="107" t="s">
        <v>55</v>
      </c>
    </row>
    <row r="4" spans="3:21">
      <c r="C4" s="169" t="s">
        <v>56</v>
      </c>
      <c r="D4" s="170"/>
      <c r="E4" s="170"/>
      <c r="F4" s="170"/>
      <c r="G4" s="170"/>
      <c r="H4" s="170"/>
      <c r="I4" s="170"/>
      <c r="J4" s="171"/>
      <c r="K4" s="108"/>
      <c r="M4" s="169" t="s">
        <v>56</v>
      </c>
      <c r="N4" s="170"/>
      <c r="O4" s="170"/>
      <c r="P4" s="170"/>
      <c r="Q4" s="170"/>
      <c r="R4" s="170"/>
      <c r="S4" s="170"/>
      <c r="T4" s="171"/>
      <c r="U4" s="108"/>
    </row>
    <row r="5" spans="3:21">
      <c r="C5" s="54" t="s">
        <v>57</v>
      </c>
      <c r="D5" s="55">
        <f t="shared" ref="D5:K5" si="0">NPV(After_Tax_Cost_of_Capital,D8:D47)</f>
        <v>46581647168.76693</v>
      </c>
      <c r="E5" s="55">
        <f t="shared" si="0"/>
        <v>0</v>
      </c>
      <c r="F5" s="55">
        <f t="shared" si="0"/>
        <v>0</v>
      </c>
      <c r="G5" s="55">
        <f t="shared" si="0"/>
        <v>620377975.17204261</v>
      </c>
      <c r="H5" s="55">
        <f t="shared" si="0"/>
        <v>0</v>
      </c>
      <c r="I5" s="55">
        <f t="shared" si="0"/>
        <v>0</v>
      </c>
      <c r="J5" s="55">
        <f t="shared" si="0"/>
        <v>620377975.17204261</v>
      </c>
      <c r="K5" s="55">
        <f t="shared" si="0"/>
        <v>47822403119.111046</v>
      </c>
      <c r="M5" s="54" t="s">
        <v>57</v>
      </c>
      <c r="N5" s="55">
        <f t="shared" ref="N5:U5" si="1">NPV(After_Tax_Cost_of_Capital,N8:N47)</f>
        <v>46581647168.76693</v>
      </c>
      <c r="O5" s="55">
        <f t="shared" si="1"/>
        <v>0</v>
      </c>
      <c r="P5" s="55">
        <f t="shared" si="1"/>
        <v>0</v>
      </c>
      <c r="Q5" s="55">
        <f>NPV(After_Tax_Cost_of_Capital,Q8:Q47)</f>
        <v>1613255711.76652</v>
      </c>
      <c r="R5" s="55">
        <f t="shared" si="1"/>
        <v>0</v>
      </c>
      <c r="S5" s="55">
        <f t="shared" si="1"/>
        <v>0</v>
      </c>
      <c r="T5" s="55">
        <f t="shared" si="1"/>
        <v>1613255711.76652</v>
      </c>
      <c r="U5" s="55">
        <f t="shared" si="1"/>
        <v>49808158592.299973</v>
      </c>
    </row>
    <row r="6" spans="3:21">
      <c r="C6" s="54" t="s">
        <v>58</v>
      </c>
      <c r="D6" s="55">
        <f t="shared" ref="D6:K6" si="2">NPV(After_Tax_Cost_of_Capital,D8:D27)</f>
        <v>28410150180.226055</v>
      </c>
      <c r="E6" s="55">
        <f t="shared" si="2"/>
        <v>0</v>
      </c>
      <c r="F6" s="55">
        <f t="shared" si="2"/>
        <v>0</v>
      </c>
      <c r="G6" s="55">
        <f t="shared" si="2"/>
        <v>392670436.63047147</v>
      </c>
      <c r="H6" s="55">
        <f t="shared" si="2"/>
        <v>0</v>
      </c>
      <c r="I6" s="55">
        <f t="shared" si="2"/>
        <v>0</v>
      </c>
      <c r="J6" s="55">
        <f t="shared" si="2"/>
        <v>392670436.63047147</v>
      </c>
      <c r="K6" s="55">
        <f t="shared" si="2"/>
        <v>29195491053.487007</v>
      </c>
      <c r="M6" s="54" t="s">
        <v>58</v>
      </c>
      <c r="N6" s="55">
        <f t="shared" ref="N6:U6" si="3">NPV(After_Tax_Cost_of_Capital,N8:N27)</f>
        <v>28410150180.226055</v>
      </c>
      <c r="O6" s="55">
        <f t="shared" si="3"/>
        <v>0</v>
      </c>
      <c r="P6" s="55">
        <f t="shared" si="3"/>
        <v>0</v>
      </c>
      <c r="Q6" s="55">
        <f t="shared" si="3"/>
        <v>1021115916.5672922</v>
      </c>
      <c r="R6" s="55">
        <f t="shared" si="3"/>
        <v>0</v>
      </c>
      <c r="S6" s="55">
        <f t="shared" si="3"/>
        <v>0</v>
      </c>
      <c r="T6" s="55">
        <f t="shared" si="3"/>
        <v>1021115916.5672922</v>
      </c>
      <c r="U6" s="55">
        <f t="shared" si="3"/>
        <v>30452382013.360645</v>
      </c>
    </row>
    <row r="7" spans="3:21">
      <c r="C7" s="169" t="s">
        <v>59</v>
      </c>
      <c r="D7" s="170"/>
      <c r="E7" s="170"/>
      <c r="F7" s="170"/>
      <c r="G7" s="170"/>
      <c r="H7" s="170"/>
      <c r="I7" s="170"/>
      <c r="J7" s="171"/>
      <c r="K7" s="108"/>
      <c r="M7" s="169" t="s">
        <v>59</v>
      </c>
      <c r="N7" s="170"/>
      <c r="O7" s="170"/>
      <c r="P7" s="170"/>
      <c r="Q7" s="170"/>
      <c r="R7" s="170"/>
      <c r="S7" s="170"/>
      <c r="T7" s="171"/>
      <c r="U7" s="108"/>
    </row>
    <row r="8" spans="3:21">
      <c r="C8" s="52">
        <v>2024</v>
      </c>
      <c r="D8" s="53">
        <f>'#1-With Volatility'!K4</f>
        <v>1826961778.6622951</v>
      </c>
      <c r="E8" s="5">
        <v>0</v>
      </c>
      <c r="F8" s="5">
        <v>0</v>
      </c>
      <c r="G8" s="5">
        <f>'#4 Delivered Service'!C10</f>
        <v>26358411.953439798</v>
      </c>
      <c r="H8" s="5">
        <v>0</v>
      </c>
      <c r="I8" s="5">
        <v>0</v>
      </c>
      <c r="J8" s="5">
        <f>SUM(E8:I8)</f>
        <v>26358411.953439798</v>
      </c>
      <c r="K8" s="5">
        <f>SUM(D8:J8)</f>
        <v>1879678602.5691745</v>
      </c>
      <c r="M8" s="52">
        <v>2024</v>
      </c>
      <c r="N8" s="53">
        <f t="shared" ref="N8:N47" si="4">D8</f>
        <v>1826961778.6622951</v>
      </c>
      <c r="O8" s="5">
        <f t="shared" ref="O8:O47" si="5">E8</f>
        <v>0</v>
      </c>
      <c r="P8" s="5">
        <v>0</v>
      </c>
      <c r="Q8" s="5">
        <f>'#4 Delivered Service'!G10</f>
        <v>68543469.205510169</v>
      </c>
      <c r="R8" s="5">
        <f t="shared" ref="R8:R47" si="6">H8</f>
        <v>0</v>
      </c>
      <c r="S8" s="5">
        <v>0</v>
      </c>
      <c r="T8" s="5">
        <f>SUM(O8:S8)</f>
        <v>68543469.205510169</v>
      </c>
      <c r="U8" s="5">
        <f>SUM(N8:T8)</f>
        <v>1964048717.0733154</v>
      </c>
    </row>
    <row r="9" spans="3:21">
      <c r="C9" s="52">
        <v>2025</v>
      </c>
      <c r="D9" s="53">
        <f>'#1-With Volatility'!K5</f>
        <v>1786014333.5901303</v>
      </c>
      <c r="E9" s="5">
        <v>0</v>
      </c>
      <c r="F9" s="5">
        <v>0</v>
      </c>
      <c r="G9" s="5">
        <f>'#4 Delivered Service'!C11</f>
        <v>26911938.604462028</v>
      </c>
      <c r="H9" s="5">
        <v>0</v>
      </c>
      <c r="I9" s="5">
        <v>0</v>
      </c>
      <c r="J9" s="5">
        <f t="shared" ref="J9:J47" si="7">SUM(E9:I9)</f>
        <v>26911938.604462028</v>
      </c>
      <c r="K9" s="5">
        <f t="shared" ref="K9:K47" si="8">SUM(D9:J9)</f>
        <v>1839838210.7990546</v>
      </c>
      <c r="M9" s="52">
        <v>2025</v>
      </c>
      <c r="N9" s="53">
        <f t="shared" si="4"/>
        <v>1786014333.5901303</v>
      </c>
      <c r="O9" s="5">
        <f t="shared" si="5"/>
        <v>0</v>
      </c>
      <c r="P9" s="5">
        <v>0</v>
      </c>
      <c r="Q9" s="5">
        <f>'#4 Delivered Service'!G11</f>
        <v>69982882.058825865</v>
      </c>
      <c r="R9" s="5">
        <f t="shared" si="6"/>
        <v>0</v>
      </c>
      <c r="S9" s="5">
        <v>0</v>
      </c>
      <c r="T9" s="5">
        <f t="shared" ref="T9:T47" si="9">SUM(O9:S9)</f>
        <v>69982882.058825865</v>
      </c>
      <c r="U9" s="5">
        <f t="shared" ref="U9:U47" si="10">SUM(N9:T9)</f>
        <v>1925980097.7077823</v>
      </c>
    </row>
    <row r="10" spans="3:21">
      <c r="C10" s="52">
        <v>2026</v>
      </c>
      <c r="D10" s="53">
        <f>'#1-With Volatility'!K6</f>
        <v>1677868083.231777</v>
      </c>
      <c r="E10" s="5">
        <v>0</v>
      </c>
      <c r="F10" s="5">
        <v>0</v>
      </c>
      <c r="G10" s="5">
        <f>'#4 Delivered Service'!C12</f>
        <v>27477089.31515573</v>
      </c>
      <c r="H10" s="5">
        <v>0</v>
      </c>
      <c r="I10" s="5">
        <v>0</v>
      </c>
      <c r="J10" s="5">
        <f t="shared" si="7"/>
        <v>27477089.31515573</v>
      </c>
      <c r="K10" s="5">
        <f t="shared" si="8"/>
        <v>1732822261.8620884</v>
      </c>
      <c r="M10" s="52">
        <v>2026</v>
      </c>
      <c r="N10" s="53">
        <f t="shared" si="4"/>
        <v>1677868083.231777</v>
      </c>
      <c r="O10" s="5">
        <f t="shared" si="5"/>
        <v>0</v>
      </c>
      <c r="P10" s="5">
        <v>0</v>
      </c>
      <c r="Q10" s="5">
        <f>'#4 Delivered Service'!G12</f>
        <v>71452522.582061201</v>
      </c>
      <c r="R10" s="5">
        <f t="shared" si="6"/>
        <v>0</v>
      </c>
      <c r="S10" s="5">
        <v>0</v>
      </c>
      <c r="T10" s="5">
        <f t="shared" si="9"/>
        <v>71452522.582061201</v>
      </c>
      <c r="U10" s="5">
        <f t="shared" si="10"/>
        <v>1820773128.3958995</v>
      </c>
    </row>
    <row r="11" spans="3:21">
      <c r="C11" s="52">
        <v>2027</v>
      </c>
      <c r="D11" s="53">
        <f>'#1-With Volatility'!K7</f>
        <v>1720814134.1862197</v>
      </c>
      <c r="E11" s="5">
        <v>0</v>
      </c>
      <c r="F11" s="5">
        <v>0</v>
      </c>
      <c r="G11" s="5">
        <f>'#4 Delivered Service'!C13</f>
        <v>28054108.190773997</v>
      </c>
      <c r="H11" s="5">
        <v>0</v>
      </c>
      <c r="I11" s="5">
        <v>0</v>
      </c>
      <c r="J11" s="5">
        <f t="shared" si="7"/>
        <v>28054108.190773997</v>
      </c>
      <c r="K11" s="5">
        <f t="shared" si="8"/>
        <v>1776922350.5677676</v>
      </c>
      <c r="M11" s="52">
        <v>2027</v>
      </c>
      <c r="N11" s="53">
        <f t="shared" si="4"/>
        <v>1720814134.1862197</v>
      </c>
      <c r="O11" s="5">
        <f t="shared" si="5"/>
        <v>0</v>
      </c>
      <c r="P11" s="5">
        <v>0</v>
      </c>
      <c r="Q11" s="5">
        <f>'#4 Delivered Service'!G13</f>
        <v>72953025.556284472</v>
      </c>
      <c r="R11" s="5">
        <f t="shared" si="6"/>
        <v>0</v>
      </c>
      <c r="S11" s="5">
        <v>0</v>
      </c>
      <c r="T11" s="5">
        <f t="shared" si="9"/>
        <v>72953025.556284472</v>
      </c>
      <c r="U11" s="5">
        <f t="shared" si="10"/>
        <v>1866720185.2987885</v>
      </c>
    </row>
    <row r="12" spans="3:21">
      <c r="C12" s="52">
        <v>2028</v>
      </c>
      <c r="D12" s="53">
        <f>'#1-With Volatility'!K8</f>
        <v>1808659168.3401015</v>
      </c>
      <c r="E12" s="5">
        <v>0</v>
      </c>
      <c r="F12" s="5">
        <v>0</v>
      </c>
      <c r="G12" s="5">
        <f>'#4 Delivered Service'!C14</f>
        <v>28643244.462780248</v>
      </c>
      <c r="H12" s="5">
        <v>0</v>
      </c>
      <c r="I12" s="5">
        <v>0</v>
      </c>
      <c r="J12" s="5">
        <f t="shared" si="7"/>
        <v>28643244.462780248</v>
      </c>
      <c r="K12" s="5">
        <f t="shared" si="8"/>
        <v>1865945657.265662</v>
      </c>
      <c r="M12" s="52">
        <v>2028</v>
      </c>
      <c r="N12" s="53">
        <f t="shared" si="4"/>
        <v>1808659168.3401015</v>
      </c>
      <c r="O12" s="5">
        <f t="shared" si="5"/>
        <v>0</v>
      </c>
      <c r="P12" s="5">
        <v>0</v>
      </c>
      <c r="Q12" s="5">
        <f>'#4 Delivered Service'!G14</f>
        <v>74485039.092966437</v>
      </c>
      <c r="R12" s="5">
        <f t="shared" si="6"/>
        <v>0</v>
      </c>
      <c r="S12" s="5">
        <v>0</v>
      </c>
      <c r="T12" s="5">
        <f t="shared" si="9"/>
        <v>74485039.092966437</v>
      </c>
      <c r="U12" s="5">
        <f t="shared" si="10"/>
        <v>1957629246.5260344</v>
      </c>
    </row>
    <row r="13" spans="3:21">
      <c r="C13" s="52">
        <v>2029</v>
      </c>
      <c r="D13" s="53">
        <f>'#1-With Volatility'!K9</f>
        <v>1935201162.7737064</v>
      </c>
      <c r="E13" s="5">
        <v>0</v>
      </c>
      <c r="F13" s="5">
        <v>0</v>
      </c>
      <c r="G13" s="5">
        <f>'#4 Delivered Service'!C15</f>
        <v>29244752.596498631</v>
      </c>
      <c r="H13" s="5">
        <v>0</v>
      </c>
      <c r="I13" s="5">
        <v>0</v>
      </c>
      <c r="J13" s="5">
        <f t="shared" si="7"/>
        <v>29244752.596498631</v>
      </c>
      <c r="K13" s="5">
        <f t="shared" si="8"/>
        <v>1993690667.9667039</v>
      </c>
      <c r="M13" s="52">
        <v>2029</v>
      </c>
      <c r="N13" s="53">
        <f t="shared" si="4"/>
        <v>1935201162.7737064</v>
      </c>
      <c r="O13" s="5">
        <f t="shared" si="5"/>
        <v>0</v>
      </c>
      <c r="P13" s="5">
        <v>0</v>
      </c>
      <c r="Q13" s="5">
        <f>'#4 Delivered Service'!G15</f>
        <v>76049224.913918719</v>
      </c>
      <c r="R13" s="5">
        <f t="shared" si="6"/>
        <v>0</v>
      </c>
      <c r="S13" s="5">
        <v>0</v>
      </c>
      <c r="T13" s="5">
        <f t="shared" si="9"/>
        <v>76049224.913918719</v>
      </c>
      <c r="U13" s="5">
        <f t="shared" si="10"/>
        <v>2087299612.6015439</v>
      </c>
    </row>
    <row r="14" spans="3:21">
      <c r="C14" s="52">
        <v>2030</v>
      </c>
      <c r="D14" s="53">
        <f>'#1-With Volatility'!K10</f>
        <v>2010281259.4291399</v>
      </c>
      <c r="E14" s="5">
        <v>0</v>
      </c>
      <c r="F14" s="5">
        <v>0</v>
      </c>
      <c r="G14" s="5">
        <f>'#4 Delivered Service'!C16</f>
        <v>29858892.401025094</v>
      </c>
      <c r="H14" s="5">
        <v>0</v>
      </c>
      <c r="I14" s="5">
        <v>0</v>
      </c>
      <c r="J14" s="5">
        <f t="shared" si="7"/>
        <v>29858892.401025094</v>
      </c>
      <c r="K14" s="5">
        <f t="shared" si="8"/>
        <v>2069999044.23119</v>
      </c>
      <c r="M14" s="52">
        <v>2030</v>
      </c>
      <c r="N14" s="53">
        <f t="shared" si="4"/>
        <v>2010281259.4291399</v>
      </c>
      <c r="O14" s="5">
        <f t="shared" si="5"/>
        <v>0</v>
      </c>
      <c r="P14" s="5">
        <v>0</v>
      </c>
      <c r="Q14" s="5">
        <f>'#4 Delivered Service'!G16</f>
        <v>77646258.637110993</v>
      </c>
      <c r="R14" s="5">
        <f t="shared" si="6"/>
        <v>0</v>
      </c>
      <c r="S14" s="5">
        <v>0</v>
      </c>
      <c r="T14" s="5">
        <f t="shared" si="9"/>
        <v>77646258.637110993</v>
      </c>
      <c r="U14" s="5">
        <f t="shared" si="10"/>
        <v>2165573776.703362</v>
      </c>
    </row>
    <row r="15" spans="3:21">
      <c r="C15" s="52">
        <v>2031</v>
      </c>
      <c r="D15" s="53">
        <f>'#1-With Volatility'!K11</f>
        <v>2135352144.5801883</v>
      </c>
      <c r="E15" s="5">
        <v>0</v>
      </c>
      <c r="F15" s="5">
        <v>0</v>
      </c>
      <c r="G15" s="5">
        <f>'#4 Delivered Service'!C17</f>
        <v>30485929.14144662</v>
      </c>
      <c r="H15" s="5">
        <v>0</v>
      </c>
      <c r="I15" s="5">
        <v>0</v>
      </c>
      <c r="J15" s="5">
        <f t="shared" si="7"/>
        <v>30485929.14144662</v>
      </c>
      <c r="K15" s="5">
        <f t="shared" si="8"/>
        <v>2196324002.8630815</v>
      </c>
      <c r="M15" s="52">
        <v>2031</v>
      </c>
      <c r="N15" s="53">
        <f t="shared" si="4"/>
        <v>2135352144.5801883</v>
      </c>
      <c r="O15" s="5">
        <f t="shared" si="5"/>
        <v>0</v>
      </c>
      <c r="P15" s="5">
        <v>0</v>
      </c>
      <c r="Q15" s="5">
        <f>'#4 Delivered Service'!G17</f>
        <v>79276830.068490326</v>
      </c>
      <c r="R15" s="5">
        <f t="shared" si="6"/>
        <v>0</v>
      </c>
      <c r="S15" s="5">
        <v>0</v>
      </c>
      <c r="T15" s="5">
        <f t="shared" si="9"/>
        <v>79276830.068490326</v>
      </c>
      <c r="U15" s="5">
        <f t="shared" si="10"/>
        <v>2293905804.7171693</v>
      </c>
    </row>
    <row r="16" spans="3:21">
      <c r="C16" s="52">
        <v>2032</v>
      </c>
      <c r="D16" s="53">
        <f>'#1-With Volatility'!K12</f>
        <v>2253009717.1928306</v>
      </c>
      <c r="E16" s="5">
        <v>0</v>
      </c>
      <c r="F16" s="5">
        <v>0</v>
      </c>
      <c r="G16" s="5">
        <f>'#4 Delivered Service'!C18</f>
        <v>31126133.653416999</v>
      </c>
      <c r="H16" s="5">
        <v>0</v>
      </c>
      <c r="I16" s="5">
        <v>0</v>
      </c>
      <c r="J16" s="5">
        <f t="shared" si="7"/>
        <v>31126133.653416999</v>
      </c>
      <c r="K16" s="5">
        <f t="shared" si="8"/>
        <v>2315261984.4996648</v>
      </c>
      <c r="M16" s="52">
        <v>2032</v>
      </c>
      <c r="N16" s="53">
        <f t="shared" si="4"/>
        <v>2253009717.1928306</v>
      </c>
      <c r="O16" s="5">
        <f t="shared" si="5"/>
        <v>0</v>
      </c>
      <c r="P16" s="5">
        <v>0</v>
      </c>
      <c r="Q16" s="5">
        <f>'#4 Delivered Service'!G18</f>
        <v>80941643.499928623</v>
      </c>
      <c r="R16" s="5">
        <f t="shared" si="6"/>
        <v>0</v>
      </c>
      <c r="S16" s="5">
        <v>0</v>
      </c>
      <c r="T16" s="5">
        <f t="shared" si="9"/>
        <v>80941643.499928623</v>
      </c>
      <c r="U16" s="5">
        <f t="shared" si="10"/>
        <v>2414893004.1926875</v>
      </c>
    </row>
    <row r="17" spans="3:21">
      <c r="C17" s="52">
        <v>2033</v>
      </c>
      <c r="D17" s="53">
        <f>'#1-With Volatility'!K13</f>
        <v>2382783747.4170265</v>
      </c>
      <c r="E17" s="5">
        <v>0</v>
      </c>
      <c r="F17" s="5">
        <v>0</v>
      </c>
      <c r="G17" s="5">
        <f>'#4 Delivered Service'!C19</f>
        <v>31779782.460138746</v>
      </c>
      <c r="H17" s="5">
        <v>0</v>
      </c>
      <c r="I17" s="5">
        <v>0</v>
      </c>
      <c r="J17" s="5">
        <f t="shared" si="7"/>
        <v>31779782.460138746</v>
      </c>
      <c r="K17" s="5">
        <f t="shared" si="8"/>
        <v>2446343312.3373041</v>
      </c>
      <c r="M17" s="52">
        <v>2033</v>
      </c>
      <c r="N17" s="53">
        <f t="shared" si="4"/>
        <v>2382783747.4170265</v>
      </c>
      <c r="O17" s="5">
        <f t="shared" si="5"/>
        <v>0</v>
      </c>
      <c r="P17" s="5">
        <v>0</v>
      </c>
      <c r="Q17" s="5">
        <f>'#4 Delivered Service'!G19</f>
        <v>82641418.013427094</v>
      </c>
      <c r="R17" s="5">
        <f t="shared" si="6"/>
        <v>0</v>
      </c>
      <c r="S17" s="5">
        <v>0</v>
      </c>
      <c r="T17" s="5">
        <f t="shared" si="9"/>
        <v>82641418.013427094</v>
      </c>
      <c r="U17" s="5">
        <f t="shared" si="10"/>
        <v>2548066583.443881</v>
      </c>
    </row>
    <row r="18" spans="3:21">
      <c r="C18" s="52">
        <v>2034</v>
      </c>
      <c r="D18" s="53">
        <f>'#1-With Volatility'!K14</f>
        <v>2526480189.6507559</v>
      </c>
      <c r="E18" s="5">
        <v>0</v>
      </c>
      <c r="F18" s="5">
        <v>0</v>
      </c>
      <c r="G18" s="5">
        <f>'#4 Delivered Service'!C20</f>
        <v>32447157.891801655</v>
      </c>
      <c r="H18" s="5">
        <v>0</v>
      </c>
      <c r="I18" s="5">
        <v>0</v>
      </c>
      <c r="J18" s="5">
        <f t="shared" si="7"/>
        <v>32447157.891801655</v>
      </c>
      <c r="K18" s="5">
        <f t="shared" si="8"/>
        <v>2591374505.4343596</v>
      </c>
      <c r="M18" s="52">
        <v>2034</v>
      </c>
      <c r="N18" s="53">
        <f t="shared" si="4"/>
        <v>2526480189.6507559</v>
      </c>
      <c r="O18" s="5">
        <f t="shared" si="5"/>
        <v>0</v>
      </c>
      <c r="P18" s="5">
        <v>0</v>
      </c>
      <c r="Q18" s="5">
        <f>'#4 Delivered Service'!G20</f>
        <v>84376887.791709051</v>
      </c>
      <c r="R18" s="5">
        <f t="shared" si="6"/>
        <v>0</v>
      </c>
      <c r="S18" s="5">
        <v>0</v>
      </c>
      <c r="T18" s="5">
        <f t="shared" si="9"/>
        <v>84376887.791709051</v>
      </c>
      <c r="U18" s="5">
        <f t="shared" si="10"/>
        <v>2695233965.2341738</v>
      </c>
    </row>
    <row r="19" spans="3:21">
      <c r="C19" s="52">
        <v>2035</v>
      </c>
      <c r="D19" s="53">
        <f>'#1-With Volatility'!K15</f>
        <v>2579809313.9064898</v>
      </c>
      <c r="E19" s="5">
        <v>0</v>
      </c>
      <c r="F19" s="5">
        <v>0</v>
      </c>
      <c r="G19" s="5">
        <f>'#4 Delivered Service'!C21</f>
        <v>33128548.207529489</v>
      </c>
      <c r="H19" s="5">
        <v>0</v>
      </c>
      <c r="I19" s="5">
        <v>0</v>
      </c>
      <c r="J19" s="5">
        <f t="shared" si="7"/>
        <v>33128548.207529489</v>
      </c>
      <c r="K19" s="5">
        <f t="shared" si="8"/>
        <v>2646066410.3215489</v>
      </c>
      <c r="M19" s="52">
        <v>2035</v>
      </c>
      <c r="N19" s="53">
        <f t="shared" si="4"/>
        <v>2579809313.9064898</v>
      </c>
      <c r="O19" s="5">
        <f t="shared" si="5"/>
        <v>0</v>
      </c>
      <c r="P19" s="5">
        <v>0</v>
      </c>
      <c r="Q19" s="5">
        <f>'#4 Delivered Service'!G21</f>
        <v>86148802.435334951</v>
      </c>
      <c r="R19" s="5">
        <f t="shared" si="6"/>
        <v>0</v>
      </c>
      <c r="S19" s="5">
        <v>0</v>
      </c>
      <c r="T19" s="5">
        <f t="shared" si="9"/>
        <v>86148802.435334951</v>
      </c>
      <c r="U19" s="5">
        <f t="shared" si="10"/>
        <v>2752106918.7771602</v>
      </c>
    </row>
    <row r="20" spans="3:21">
      <c r="C20" s="52">
        <v>2036</v>
      </c>
      <c r="D20" s="53">
        <f>'#1-With Volatility'!$S$18*1.021^($C20-Start_Year)</f>
        <v>2699239645.3725119</v>
      </c>
      <c r="E20" s="5">
        <v>0</v>
      </c>
      <c r="F20" s="5">
        <v>0</v>
      </c>
      <c r="G20" s="5">
        <f>'#4 Delivered Service'!C22</f>
        <v>33824247.719887599</v>
      </c>
      <c r="H20" s="5">
        <v>0</v>
      </c>
      <c r="I20" s="5">
        <v>0</v>
      </c>
      <c r="J20" s="5">
        <f t="shared" si="7"/>
        <v>33824247.719887599</v>
      </c>
      <c r="K20" s="5">
        <f t="shared" si="8"/>
        <v>2766888140.8122873</v>
      </c>
      <c r="M20" s="52">
        <v>2036</v>
      </c>
      <c r="N20" s="53">
        <f t="shared" si="4"/>
        <v>2699239645.3725119</v>
      </c>
      <c r="O20" s="5">
        <f t="shared" si="5"/>
        <v>0</v>
      </c>
      <c r="P20" s="5">
        <v>0</v>
      </c>
      <c r="Q20" s="5">
        <f>'#4 Delivered Service'!G22</f>
        <v>87957927.28647697</v>
      </c>
      <c r="R20" s="5">
        <f t="shared" si="6"/>
        <v>0</v>
      </c>
      <c r="S20" s="5">
        <v>0</v>
      </c>
      <c r="T20" s="5">
        <f t="shared" si="9"/>
        <v>87957927.28647697</v>
      </c>
      <c r="U20" s="5">
        <f t="shared" si="10"/>
        <v>2875155499.945466</v>
      </c>
    </row>
    <row r="21" spans="3:21">
      <c r="C21" s="52">
        <v>2037</v>
      </c>
      <c r="D21" s="53">
        <f>'#1-With Volatility'!$S$18*1.021^($C21-Start_Year)</f>
        <v>2755923677.9253349</v>
      </c>
      <c r="E21" s="5">
        <v>0</v>
      </c>
      <c r="F21" s="5">
        <v>0</v>
      </c>
      <c r="G21" s="5">
        <f>'#4 Delivered Service'!C23</f>
        <v>34534556.922005244</v>
      </c>
      <c r="H21" s="5">
        <v>0</v>
      </c>
      <c r="I21" s="5">
        <v>0</v>
      </c>
      <c r="J21" s="5">
        <f t="shared" si="7"/>
        <v>34534556.922005244</v>
      </c>
      <c r="K21" s="5">
        <f t="shared" si="8"/>
        <v>2824992791.7693453</v>
      </c>
      <c r="M21" s="52">
        <v>2037</v>
      </c>
      <c r="N21" s="53">
        <f t="shared" si="4"/>
        <v>2755923677.9253349</v>
      </c>
      <c r="O21" s="5">
        <f t="shared" si="5"/>
        <v>0</v>
      </c>
      <c r="P21" s="5">
        <v>0</v>
      </c>
      <c r="Q21" s="5">
        <f>'#4 Delivered Service'!G23</f>
        <v>89805043.759492993</v>
      </c>
      <c r="R21" s="5">
        <f t="shared" si="6"/>
        <v>0</v>
      </c>
      <c r="S21" s="5">
        <v>0</v>
      </c>
      <c r="T21" s="5">
        <f t="shared" si="9"/>
        <v>89805043.759492993</v>
      </c>
      <c r="U21" s="5">
        <f t="shared" si="10"/>
        <v>2935533765.4443207</v>
      </c>
    </row>
    <row r="22" spans="3:21">
      <c r="C22" s="52">
        <v>2038</v>
      </c>
      <c r="D22" s="53">
        <f>'#1-With Volatility'!$S$18*1.021^($C22-Start_Year)</f>
        <v>2813798075.1617661</v>
      </c>
      <c r="E22" s="5">
        <v>0</v>
      </c>
      <c r="F22" s="5">
        <v>0</v>
      </c>
      <c r="G22" s="5">
        <f>'#4 Delivered Service'!C24</f>
        <v>35259782.61736735</v>
      </c>
      <c r="H22" s="5">
        <v>0</v>
      </c>
      <c r="I22" s="5">
        <v>0</v>
      </c>
      <c r="J22" s="5">
        <f t="shared" si="7"/>
        <v>35259782.61736735</v>
      </c>
      <c r="K22" s="5">
        <f t="shared" si="8"/>
        <v>2884317640.3965006</v>
      </c>
      <c r="M22" s="52">
        <v>2038</v>
      </c>
      <c r="N22" s="53">
        <f t="shared" si="4"/>
        <v>2813798075.1617661</v>
      </c>
      <c r="O22" s="5">
        <f t="shared" si="5"/>
        <v>0</v>
      </c>
      <c r="P22" s="5">
        <v>0</v>
      </c>
      <c r="Q22" s="5">
        <f>'#4 Delivered Service'!G24</f>
        <v>91690949.678442329</v>
      </c>
      <c r="R22" s="5">
        <f t="shared" si="6"/>
        <v>0</v>
      </c>
      <c r="S22" s="5">
        <v>0</v>
      </c>
      <c r="T22" s="5">
        <f t="shared" si="9"/>
        <v>91690949.678442329</v>
      </c>
      <c r="U22" s="5">
        <f t="shared" si="10"/>
        <v>2997179974.518651</v>
      </c>
    </row>
    <row r="23" spans="3:21">
      <c r="C23" s="52">
        <v>2039</v>
      </c>
      <c r="D23" s="53">
        <f>'#1-With Volatility'!$S$18*1.021^($C23-Start_Year)</f>
        <v>2872887834.7401633</v>
      </c>
      <c r="E23" s="5">
        <v>0</v>
      </c>
      <c r="F23" s="5">
        <v>0</v>
      </c>
      <c r="G23" s="5">
        <f>'#4 Delivered Service'!C25</f>
        <v>36000238.052332051</v>
      </c>
      <c r="H23" s="5">
        <v>0</v>
      </c>
      <c r="I23" s="5">
        <v>0</v>
      </c>
      <c r="J23" s="5">
        <f t="shared" si="7"/>
        <v>36000238.052332051</v>
      </c>
      <c r="K23" s="5">
        <f t="shared" si="8"/>
        <v>2944888310.8448272</v>
      </c>
      <c r="M23" s="52">
        <v>2039</v>
      </c>
      <c r="N23" s="53">
        <f t="shared" si="4"/>
        <v>2872887834.7401633</v>
      </c>
      <c r="O23" s="5">
        <f t="shared" si="5"/>
        <v>0</v>
      </c>
      <c r="P23" s="5">
        <v>0</v>
      </c>
      <c r="Q23" s="5">
        <f>'#4 Delivered Service'!G25</f>
        <v>93616459.621689603</v>
      </c>
      <c r="R23" s="5">
        <f t="shared" si="6"/>
        <v>0</v>
      </c>
      <c r="S23" s="5">
        <v>0</v>
      </c>
      <c r="T23" s="5">
        <f t="shared" si="9"/>
        <v>93616459.621689603</v>
      </c>
      <c r="U23" s="5">
        <f t="shared" si="10"/>
        <v>3060120753.9835429</v>
      </c>
    </row>
    <row r="24" spans="3:21">
      <c r="C24" s="52">
        <v>2040</v>
      </c>
      <c r="D24" s="53">
        <f>'#1-With Volatility'!$S$18*1.021^($C24-Start_Year)</f>
        <v>2933218479.2697067</v>
      </c>
      <c r="E24" s="5">
        <v>0</v>
      </c>
      <c r="F24" s="5">
        <v>0</v>
      </c>
      <c r="G24" s="5">
        <f>'#4 Delivered Service'!C26</f>
        <v>36756243.051431023</v>
      </c>
      <c r="H24" s="5">
        <v>0</v>
      </c>
      <c r="I24" s="5">
        <v>0</v>
      </c>
      <c r="J24" s="5">
        <f t="shared" si="7"/>
        <v>36756243.051431023</v>
      </c>
      <c r="K24" s="5">
        <f t="shared" si="8"/>
        <v>3006730965.3725691</v>
      </c>
      <c r="M24" s="52">
        <v>2040</v>
      </c>
      <c r="N24" s="53">
        <f t="shared" si="4"/>
        <v>2933218479.2697067</v>
      </c>
      <c r="O24" s="5">
        <f t="shared" si="5"/>
        <v>0</v>
      </c>
      <c r="P24" s="5">
        <v>0</v>
      </c>
      <c r="Q24" s="5">
        <f>'#4 Delivered Service'!G26</f>
        <v>95582405.273745075</v>
      </c>
      <c r="R24" s="5">
        <f t="shared" si="6"/>
        <v>0</v>
      </c>
      <c r="S24" s="5">
        <v>0</v>
      </c>
      <c r="T24" s="5">
        <f t="shared" si="9"/>
        <v>95582405.273745075</v>
      </c>
      <c r="U24" s="5">
        <f t="shared" si="10"/>
        <v>3124383289.8171968</v>
      </c>
    </row>
    <row r="25" spans="3:21">
      <c r="C25" s="52">
        <v>2041</v>
      </c>
      <c r="D25" s="53">
        <f>'#1-With Volatility'!$S$18*1.021^($C25-Start_Year)</f>
        <v>2994816067.3343697</v>
      </c>
      <c r="E25" s="5">
        <v>0</v>
      </c>
      <c r="F25" s="5">
        <v>0</v>
      </c>
      <c r="G25" s="5">
        <f>'#4 Delivered Service'!C27</f>
        <v>37528124.155511066</v>
      </c>
      <c r="H25" s="5">
        <v>0</v>
      </c>
      <c r="I25" s="5">
        <v>0</v>
      </c>
      <c r="J25" s="5">
        <f t="shared" si="7"/>
        <v>37528124.155511066</v>
      </c>
      <c r="K25" s="5">
        <f t="shared" si="8"/>
        <v>3069872315.6453915</v>
      </c>
      <c r="M25" s="52">
        <v>2041</v>
      </c>
      <c r="N25" s="53">
        <f t="shared" si="4"/>
        <v>2994816067.3343697</v>
      </c>
      <c r="O25" s="5">
        <f t="shared" si="5"/>
        <v>0</v>
      </c>
      <c r="P25" s="5">
        <v>0</v>
      </c>
      <c r="Q25" s="5">
        <f>'#4 Delivered Service'!G27</f>
        <v>97589635.7844937</v>
      </c>
      <c r="R25" s="5">
        <f t="shared" si="6"/>
        <v>0</v>
      </c>
      <c r="S25" s="5">
        <v>0</v>
      </c>
      <c r="T25" s="5">
        <f t="shared" si="9"/>
        <v>97589635.7844937</v>
      </c>
      <c r="U25" s="5">
        <f t="shared" si="10"/>
        <v>3189995338.9033575</v>
      </c>
    </row>
    <row r="26" spans="3:21">
      <c r="C26" s="52">
        <v>2042</v>
      </c>
      <c r="D26" s="53">
        <f>'#1-With Volatility'!$S$18*1.021^($C26-Start_Year)</f>
        <v>3057707204.7483912</v>
      </c>
      <c r="E26" s="5">
        <v>0</v>
      </c>
      <c r="F26" s="5">
        <v>0</v>
      </c>
      <c r="G26" s="5">
        <f>'#4 Delivered Service'!C28</f>
        <v>38316214.762776807</v>
      </c>
      <c r="H26" s="5">
        <v>0</v>
      </c>
      <c r="I26" s="5">
        <v>0</v>
      </c>
      <c r="J26" s="5">
        <f t="shared" si="7"/>
        <v>38316214.762776807</v>
      </c>
      <c r="K26" s="5">
        <f t="shared" si="8"/>
        <v>3134339634.2739449</v>
      </c>
      <c r="M26" s="52">
        <v>2042</v>
      </c>
      <c r="N26" s="53">
        <f t="shared" si="4"/>
        <v>3057707204.7483912</v>
      </c>
      <c r="O26" s="5">
        <f t="shared" si="5"/>
        <v>0</v>
      </c>
      <c r="P26" s="5">
        <v>0</v>
      </c>
      <c r="Q26" s="5">
        <f>'#4 Delivered Service'!G28</f>
        <v>99639018.135968059</v>
      </c>
      <c r="R26" s="5">
        <f t="shared" si="6"/>
        <v>0</v>
      </c>
      <c r="S26" s="5">
        <v>0</v>
      </c>
      <c r="T26" s="5">
        <f t="shared" si="9"/>
        <v>99639018.135968059</v>
      </c>
      <c r="U26" s="5">
        <f t="shared" si="10"/>
        <v>3256985241.0203276</v>
      </c>
    </row>
    <row r="27" spans="3:21">
      <c r="C27" s="52">
        <v>2043</v>
      </c>
      <c r="D27" s="53">
        <f>'#1-With Volatility'!$S$18*1.021^($C27-Start_Year)</f>
        <v>3121919056.0481071</v>
      </c>
      <c r="E27" s="5">
        <v>0</v>
      </c>
      <c r="F27" s="5">
        <v>0</v>
      </c>
      <c r="G27" s="5">
        <f>'#4 Delivered Service'!C29</f>
        <v>39120855.272795111</v>
      </c>
      <c r="H27" s="5">
        <v>0</v>
      </c>
      <c r="I27" s="5">
        <v>0</v>
      </c>
      <c r="J27" s="5">
        <f t="shared" si="7"/>
        <v>39120855.272795111</v>
      </c>
      <c r="K27" s="5">
        <f t="shared" si="8"/>
        <v>3200160766.5936975</v>
      </c>
      <c r="M27" s="52">
        <v>2043</v>
      </c>
      <c r="N27" s="53">
        <f t="shared" si="4"/>
        <v>3121919056.0481071</v>
      </c>
      <c r="O27" s="5">
        <f t="shared" si="5"/>
        <v>0</v>
      </c>
      <c r="P27" s="5">
        <v>0</v>
      </c>
      <c r="Q27" s="5">
        <f>'#4 Delivered Service'!G29</f>
        <v>101731437.51682338</v>
      </c>
      <c r="R27" s="5">
        <f t="shared" si="6"/>
        <v>0</v>
      </c>
      <c r="S27" s="5">
        <v>0</v>
      </c>
      <c r="T27" s="5">
        <f t="shared" si="9"/>
        <v>101731437.51682338</v>
      </c>
      <c r="U27" s="5">
        <f t="shared" si="10"/>
        <v>3325381931.0817537</v>
      </c>
    </row>
    <row r="28" spans="3:21">
      <c r="C28" s="52">
        <v>2044</v>
      </c>
      <c r="D28" s="53">
        <f>'#1-With Volatility'!$S$18*1.021^($C28-Start_Year)</f>
        <v>3187479356.2251167</v>
      </c>
      <c r="E28" s="5">
        <v>0</v>
      </c>
      <c r="F28" s="5">
        <v>0</v>
      </c>
      <c r="G28" s="5">
        <f>'#4 Delivered Service'!C30</f>
        <v>39942393.233523801</v>
      </c>
      <c r="H28" s="5">
        <v>0</v>
      </c>
      <c r="I28" s="5">
        <v>0</v>
      </c>
      <c r="J28" s="5">
        <f t="shared" si="7"/>
        <v>39942393.233523801</v>
      </c>
      <c r="K28" s="5">
        <f t="shared" si="8"/>
        <v>3267364142.6921644</v>
      </c>
      <c r="M28" s="52">
        <v>2044</v>
      </c>
      <c r="N28" s="53">
        <f t="shared" si="4"/>
        <v>3187479356.2251167</v>
      </c>
      <c r="O28" s="5">
        <f t="shared" si="5"/>
        <v>0</v>
      </c>
      <c r="P28" s="5">
        <v>0</v>
      </c>
      <c r="Q28" s="5">
        <f>'#4 Delivered Service'!G30</f>
        <v>103867797.70467667</v>
      </c>
      <c r="R28" s="5">
        <f t="shared" si="6"/>
        <v>0</v>
      </c>
      <c r="S28" s="5">
        <v>0</v>
      </c>
      <c r="T28" s="5">
        <f t="shared" si="9"/>
        <v>103867797.70467667</v>
      </c>
      <c r="U28" s="5">
        <f t="shared" si="10"/>
        <v>3395214951.63447</v>
      </c>
    </row>
    <row r="29" spans="3:21">
      <c r="C29" s="52">
        <v>2045</v>
      </c>
      <c r="D29" s="53">
        <f>'#1-With Volatility'!$S$18*1.021^($C29-Start_Year)</f>
        <v>3254416422.7058444</v>
      </c>
      <c r="E29" s="5">
        <v>0</v>
      </c>
      <c r="F29" s="5">
        <v>0</v>
      </c>
      <c r="G29" s="5">
        <f>'#4 Delivered Service'!C31</f>
        <v>40781183.491427794</v>
      </c>
      <c r="H29" s="5">
        <v>0</v>
      </c>
      <c r="I29" s="5">
        <v>0</v>
      </c>
      <c r="J29" s="5">
        <f t="shared" si="7"/>
        <v>40781183.491427794</v>
      </c>
      <c r="K29" s="5">
        <f t="shared" si="8"/>
        <v>3335978789.6887002</v>
      </c>
      <c r="M29" s="52">
        <v>2045</v>
      </c>
      <c r="N29" s="53">
        <f t="shared" si="4"/>
        <v>3254416422.7058444</v>
      </c>
      <c r="O29" s="5">
        <f t="shared" si="5"/>
        <v>0</v>
      </c>
      <c r="P29" s="5">
        <v>0</v>
      </c>
      <c r="Q29" s="5">
        <f>'#4 Delivered Service'!G31</f>
        <v>106049021.45647486</v>
      </c>
      <c r="R29" s="5">
        <f t="shared" si="6"/>
        <v>0</v>
      </c>
      <c r="S29" s="5">
        <v>0</v>
      </c>
      <c r="T29" s="5">
        <f t="shared" si="9"/>
        <v>106049021.45647486</v>
      </c>
      <c r="U29" s="5">
        <f t="shared" si="10"/>
        <v>3466514465.618794</v>
      </c>
    </row>
    <row r="30" spans="3:21">
      <c r="C30" s="52">
        <v>2046</v>
      </c>
      <c r="D30" s="53">
        <f>'#1-With Volatility'!$S$18*1.021^($C30-Start_Year)</f>
        <v>3322759167.5826664</v>
      </c>
      <c r="E30" s="5">
        <v>0</v>
      </c>
      <c r="F30" s="5">
        <v>0</v>
      </c>
      <c r="G30" s="5">
        <f>'#4 Delivered Service'!C32</f>
        <v>41637588.344747767</v>
      </c>
      <c r="H30" s="5">
        <v>0</v>
      </c>
      <c r="I30" s="5">
        <v>0</v>
      </c>
      <c r="J30" s="5">
        <f t="shared" si="7"/>
        <v>41637588.344747767</v>
      </c>
      <c r="K30" s="5">
        <f t="shared" si="8"/>
        <v>3406034344.2721615</v>
      </c>
      <c r="M30" s="52">
        <v>2046</v>
      </c>
      <c r="N30" s="53">
        <f t="shared" si="4"/>
        <v>3322759167.5826664</v>
      </c>
      <c r="O30" s="5">
        <f t="shared" si="5"/>
        <v>0</v>
      </c>
      <c r="P30" s="5">
        <v>0</v>
      </c>
      <c r="Q30" s="5">
        <f>'#4 Delivered Service'!G32</f>
        <v>108276050.9070608</v>
      </c>
      <c r="R30" s="5">
        <f t="shared" si="6"/>
        <v>0</v>
      </c>
      <c r="S30" s="5">
        <v>0</v>
      </c>
      <c r="T30" s="5">
        <f t="shared" si="9"/>
        <v>108276050.9070608</v>
      </c>
      <c r="U30" s="5">
        <f t="shared" si="10"/>
        <v>3539311269.3967876</v>
      </c>
    </row>
    <row r="31" spans="3:21">
      <c r="C31" s="52">
        <v>2047</v>
      </c>
      <c r="D31" s="53">
        <f>'#1-With Volatility'!$S$18*1.021^($C31-Start_Year)</f>
        <v>3392537110.101902</v>
      </c>
      <c r="E31" s="5">
        <v>0</v>
      </c>
      <c r="F31" s="5">
        <v>0</v>
      </c>
      <c r="G31" s="5">
        <f>'#4 Delivered Service'!C33</f>
        <v>42511977.699987464</v>
      </c>
      <c r="H31" s="5">
        <v>0</v>
      </c>
      <c r="I31" s="5">
        <v>0</v>
      </c>
      <c r="J31" s="5">
        <f t="shared" si="7"/>
        <v>42511977.699987464</v>
      </c>
      <c r="K31" s="5">
        <f t="shared" si="8"/>
        <v>3477561065.5018768</v>
      </c>
      <c r="M31" s="52">
        <v>2047</v>
      </c>
      <c r="N31" s="53">
        <f t="shared" si="4"/>
        <v>3392537110.101902</v>
      </c>
      <c r="O31" s="5">
        <f t="shared" si="5"/>
        <v>0</v>
      </c>
      <c r="P31" s="5">
        <v>0</v>
      </c>
      <c r="Q31" s="5">
        <f>'#4 Delivered Service'!G33</f>
        <v>110549847.97610907</v>
      </c>
      <c r="R31" s="5">
        <f t="shared" si="6"/>
        <v>0</v>
      </c>
      <c r="S31" s="5">
        <v>0</v>
      </c>
      <c r="T31" s="5">
        <f t="shared" si="9"/>
        <v>110549847.97610907</v>
      </c>
      <c r="U31" s="5">
        <f t="shared" si="10"/>
        <v>3613636806.0541201</v>
      </c>
    </row>
    <row r="32" spans="3:21">
      <c r="C32" s="52">
        <v>2048</v>
      </c>
      <c r="D32" s="53">
        <f>'#1-With Volatility'!$S$18*1.021^($C32-Start_Year)</f>
        <v>3463780389.414041</v>
      </c>
      <c r="E32" s="5">
        <v>0</v>
      </c>
      <c r="F32" s="5">
        <v>0</v>
      </c>
      <c r="G32" s="5">
        <f>'#4 Delivered Service'!C34</f>
        <v>43404729.231687218</v>
      </c>
      <c r="H32" s="5">
        <v>0</v>
      </c>
      <c r="I32" s="5">
        <v>0</v>
      </c>
      <c r="J32" s="5">
        <f t="shared" si="7"/>
        <v>43404729.231687218</v>
      </c>
      <c r="K32" s="5">
        <f t="shared" si="8"/>
        <v>3550589847.8774152</v>
      </c>
      <c r="M32" s="52">
        <v>2048</v>
      </c>
      <c r="N32" s="53">
        <f t="shared" si="4"/>
        <v>3463780389.414041</v>
      </c>
      <c r="O32" s="5">
        <f t="shared" si="5"/>
        <v>0</v>
      </c>
      <c r="P32" s="5">
        <v>0</v>
      </c>
      <c r="Q32" s="5">
        <f>'#4 Delivered Service'!G34</f>
        <v>112871394.78360736</v>
      </c>
      <c r="R32" s="5">
        <f t="shared" si="6"/>
        <v>0</v>
      </c>
      <c r="S32" s="5">
        <v>0</v>
      </c>
      <c r="T32" s="5">
        <f t="shared" si="9"/>
        <v>112871394.78360736</v>
      </c>
      <c r="U32" s="5">
        <f t="shared" si="10"/>
        <v>3689523178.981256</v>
      </c>
    </row>
    <row r="33" spans="3:21">
      <c r="C33" s="52">
        <v>2049</v>
      </c>
      <c r="D33" s="53">
        <f>'#1-With Volatility'!$S$18*1.021^($C33-Start_Year)</f>
        <v>3536519777.5917358</v>
      </c>
      <c r="E33" s="5">
        <v>0</v>
      </c>
      <c r="F33" s="5">
        <v>0</v>
      </c>
      <c r="G33" s="5">
        <f>'#4 Delivered Service'!C35</f>
        <v>44316228.545552626</v>
      </c>
      <c r="H33" s="5">
        <v>0</v>
      </c>
      <c r="I33" s="5">
        <v>0</v>
      </c>
      <c r="J33" s="5">
        <f t="shared" si="7"/>
        <v>44316228.545552626</v>
      </c>
      <c r="K33" s="5">
        <f t="shared" si="8"/>
        <v>3625152234.6828413</v>
      </c>
      <c r="M33" s="52">
        <v>2049</v>
      </c>
      <c r="N33" s="53">
        <f t="shared" si="4"/>
        <v>3536519777.5917358</v>
      </c>
      <c r="O33" s="5">
        <f t="shared" si="5"/>
        <v>0</v>
      </c>
      <c r="P33" s="5">
        <v>0</v>
      </c>
      <c r="Q33" s="5">
        <f>'#4 Delivered Service'!G35</f>
        <v>115241694.07406309</v>
      </c>
      <c r="R33" s="5">
        <f t="shared" si="6"/>
        <v>0</v>
      </c>
      <c r="S33" s="5">
        <v>0</v>
      </c>
      <c r="T33" s="5">
        <f t="shared" si="9"/>
        <v>115241694.07406309</v>
      </c>
      <c r="U33" s="5">
        <f t="shared" si="10"/>
        <v>3767003165.7398624</v>
      </c>
    </row>
    <row r="34" spans="3:21">
      <c r="C34" s="52">
        <v>2050</v>
      </c>
      <c r="D34" s="53">
        <f>'#1-With Volatility'!$S$18*1.021^($C34-Start_Year)</f>
        <v>3610786692.9211621</v>
      </c>
      <c r="E34" s="5">
        <v>0</v>
      </c>
      <c r="F34" s="5">
        <v>0</v>
      </c>
      <c r="G34" s="5">
        <f>'#4 Delivered Service'!C36</f>
        <v>45246869.34500923</v>
      </c>
      <c r="H34" s="5">
        <v>0</v>
      </c>
      <c r="I34" s="5">
        <v>0</v>
      </c>
      <c r="J34" s="5">
        <f t="shared" si="7"/>
        <v>45246869.34500923</v>
      </c>
      <c r="K34" s="5">
        <f t="shared" si="8"/>
        <v>3701280431.6111808</v>
      </c>
      <c r="M34" s="52">
        <v>2050</v>
      </c>
      <c r="N34" s="53">
        <f t="shared" si="4"/>
        <v>3610786692.9211621</v>
      </c>
      <c r="O34" s="5">
        <f t="shared" si="5"/>
        <v>0</v>
      </c>
      <c r="P34" s="5">
        <v>0</v>
      </c>
      <c r="Q34" s="5">
        <f>'#4 Delivered Service'!G36</f>
        <v>117661769.64961839</v>
      </c>
      <c r="R34" s="5">
        <f t="shared" si="6"/>
        <v>0</v>
      </c>
      <c r="S34" s="5">
        <v>0</v>
      </c>
      <c r="T34" s="5">
        <f t="shared" si="9"/>
        <v>117661769.64961839</v>
      </c>
      <c r="U34" s="5">
        <f t="shared" si="10"/>
        <v>3846110232.2203989</v>
      </c>
    </row>
    <row r="35" spans="3:21">
      <c r="C35" s="52">
        <v>2051</v>
      </c>
      <c r="D35" s="53">
        <f>'#1-With Volatility'!$S$18*1.021^($C35-Start_Year)</f>
        <v>3686613213.4725056</v>
      </c>
      <c r="E35" s="5">
        <v>0</v>
      </c>
      <c r="F35" s="5">
        <v>0</v>
      </c>
      <c r="G35" s="5">
        <f>'#4 Delivered Service'!C37</f>
        <v>46197053.601254418</v>
      </c>
      <c r="H35" s="5">
        <v>0</v>
      </c>
      <c r="I35" s="5">
        <v>0</v>
      </c>
      <c r="J35" s="5">
        <f t="shared" si="7"/>
        <v>46197053.601254418</v>
      </c>
      <c r="K35" s="5">
        <f t="shared" si="8"/>
        <v>3779007320.6750145</v>
      </c>
      <c r="M35" s="52">
        <v>2051</v>
      </c>
      <c r="N35" s="53">
        <f t="shared" si="4"/>
        <v>3686613213.4725056</v>
      </c>
      <c r="O35" s="5">
        <f t="shared" si="5"/>
        <v>0</v>
      </c>
      <c r="P35" s="5">
        <v>0</v>
      </c>
      <c r="Q35" s="5">
        <f>'#4 Delivered Service'!G37</f>
        <v>120132666.81226037</v>
      </c>
      <c r="R35" s="5">
        <f t="shared" si="6"/>
        <v>0</v>
      </c>
      <c r="S35" s="5">
        <v>0</v>
      </c>
      <c r="T35" s="5">
        <f t="shared" si="9"/>
        <v>120132666.81226037</v>
      </c>
      <c r="U35" s="5">
        <f t="shared" si="10"/>
        <v>3926878547.0970259</v>
      </c>
    </row>
    <row r="36" spans="3:21">
      <c r="C36" s="52">
        <v>2052</v>
      </c>
      <c r="D36" s="53">
        <f>'#1-With Volatility'!$S$18*1.021^($C36-Start_Year)</f>
        <v>3764032090.9554276</v>
      </c>
      <c r="E36" s="5">
        <v>0</v>
      </c>
      <c r="F36" s="5">
        <v>0</v>
      </c>
      <c r="G36" s="5">
        <f>'#4 Delivered Service'!C38</f>
        <v>47167191.726880752</v>
      </c>
      <c r="H36" s="5">
        <v>0</v>
      </c>
      <c r="I36" s="5">
        <v>0</v>
      </c>
      <c r="J36" s="5">
        <f t="shared" si="7"/>
        <v>47167191.726880752</v>
      </c>
      <c r="K36" s="5">
        <f t="shared" si="8"/>
        <v>3858366474.4091887</v>
      </c>
      <c r="M36" s="52">
        <v>2052</v>
      </c>
      <c r="N36" s="53">
        <f t="shared" si="4"/>
        <v>3764032090.9554276</v>
      </c>
      <c r="O36" s="5">
        <f t="shared" si="5"/>
        <v>0</v>
      </c>
      <c r="P36" s="5">
        <v>0</v>
      </c>
      <c r="Q36" s="5">
        <f>'#4 Delivered Service'!G38</f>
        <v>122655452.81531782</v>
      </c>
      <c r="R36" s="5">
        <f t="shared" si="6"/>
        <v>0</v>
      </c>
      <c r="S36" s="5">
        <v>0</v>
      </c>
      <c r="T36" s="5">
        <f t="shared" si="9"/>
        <v>122655452.81531782</v>
      </c>
      <c r="U36" s="5">
        <f t="shared" si="10"/>
        <v>4009342996.5860629</v>
      </c>
    </row>
    <row r="37" spans="3:21">
      <c r="C37" s="52">
        <v>2053</v>
      </c>
      <c r="D37" s="53">
        <f>'#1-With Volatility'!$S$18*1.021^($C37-Start_Year)</f>
        <v>3843076764.8654919</v>
      </c>
      <c r="E37" s="5">
        <v>0</v>
      </c>
      <c r="F37" s="5">
        <v>0</v>
      </c>
      <c r="G37" s="5">
        <f>'#4 Delivered Service'!C39</f>
        <v>48157702.75314524</v>
      </c>
      <c r="H37" s="5">
        <v>0</v>
      </c>
      <c r="I37" s="5">
        <v>0</v>
      </c>
      <c r="J37" s="5">
        <f t="shared" si="7"/>
        <v>48157702.75314524</v>
      </c>
      <c r="K37" s="5">
        <f t="shared" si="8"/>
        <v>3939392170.3717823</v>
      </c>
      <c r="M37" s="52">
        <v>2053</v>
      </c>
      <c r="N37" s="53">
        <f t="shared" si="4"/>
        <v>3843076764.8654919</v>
      </c>
      <c r="O37" s="5">
        <f t="shared" si="5"/>
        <v>0</v>
      </c>
      <c r="P37" s="5">
        <v>0</v>
      </c>
      <c r="Q37" s="5">
        <f>'#4 Delivered Service'!G39</f>
        <v>125231217.32443948</v>
      </c>
      <c r="R37" s="5">
        <f t="shared" si="6"/>
        <v>0</v>
      </c>
      <c r="S37" s="5">
        <v>0</v>
      </c>
      <c r="T37" s="5">
        <f t="shared" si="9"/>
        <v>125231217.32443948</v>
      </c>
      <c r="U37" s="5">
        <f t="shared" si="10"/>
        <v>4093539199.5143709</v>
      </c>
    </row>
    <row r="38" spans="3:21">
      <c r="C38" s="52">
        <v>2054</v>
      </c>
      <c r="D38" s="53">
        <f>'#1-With Volatility'!$S$18*1.021^($C38-Start_Year)</f>
        <v>3923781376.9276662</v>
      </c>
      <c r="E38" s="5">
        <v>0</v>
      </c>
      <c r="F38" s="5">
        <v>0</v>
      </c>
      <c r="G38" s="5">
        <f>'#4 Delivered Service'!C40</f>
        <v>49169014.510961294</v>
      </c>
      <c r="H38" s="5">
        <v>0</v>
      </c>
      <c r="I38" s="5">
        <v>0</v>
      </c>
      <c r="J38" s="5">
        <f t="shared" si="7"/>
        <v>49169014.510961294</v>
      </c>
      <c r="K38" s="5">
        <f t="shared" si="8"/>
        <v>4022119405.9495888</v>
      </c>
      <c r="M38" s="52">
        <v>2054</v>
      </c>
      <c r="N38" s="53">
        <f t="shared" si="4"/>
        <v>3923781376.9276662</v>
      </c>
      <c r="O38" s="5">
        <f t="shared" si="5"/>
        <v>0</v>
      </c>
      <c r="P38" s="5">
        <v>0</v>
      </c>
      <c r="Q38" s="5">
        <f>'#4 Delivered Service'!G40</f>
        <v>127861072.88825272</v>
      </c>
      <c r="R38" s="5">
        <f t="shared" si="6"/>
        <v>0</v>
      </c>
      <c r="S38" s="5">
        <v>0</v>
      </c>
      <c r="T38" s="5">
        <f t="shared" si="9"/>
        <v>127861072.88825272</v>
      </c>
      <c r="U38" s="5">
        <f t="shared" si="10"/>
        <v>4179503522.7041717</v>
      </c>
    </row>
    <row r="39" spans="3:21">
      <c r="C39" s="52">
        <v>2055</v>
      </c>
      <c r="D39" s="53">
        <f>'#1-With Volatility'!$S$18*1.021^($C39-Start_Year)</f>
        <v>4006180785.8431468</v>
      </c>
      <c r="E39" s="5">
        <v>0</v>
      </c>
      <c r="F39" s="5">
        <v>0</v>
      </c>
      <c r="G39" s="5">
        <f>'#4 Delivered Service'!C41</f>
        <v>50201563.815691471</v>
      </c>
      <c r="H39" s="5">
        <v>0</v>
      </c>
      <c r="I39" s="5">
        <v>0</v>
      </c>
      <c r="J39" s="5">
        <f t="shared" si="7"/>
        <v>50201563.815691471</v>
      </c>
      <c r="K39" s="5">
        <f t="shared" si="8"/>
        <v>4106583913.4745297</v>
      </c>
      <c r="M39" s="52">
        <v>2055</v>
      </c>
      <c r="N39" s="53">
        <f t="shared" si="4"/>
        <v>4006180785.8431468</v>
      </c>
      <c r="O39" s="5">
        <f t="shared" si="5"/>
        <v>0</v>
      </c>
      <c r="P39" s="5">
        <v>0</v>
      </c>
      <c r="Q39" s="5">
        <f>'#4 Delivered Service'!G41</f>
        <v>130546155.41890599</v>
      </c>
      <c r="R39" s="5">
        <f t="shared" si="6"/>
        <v>0</v>
      </c>
      <c r="S39" s="5">
        <v>0</v>
      </c>
      <c r="T39" s="5">
        <f t="shared" si="9"/>
        <v>130546155.41890599</v>
      </c>
      <c r="U39" s="5">
        <f t="shared" si="10"/>
        <v>4267273096.6809592</v>
      </c>
    </row>
    <row r="40" spans="3:21">
      <c r="C40" s="52">
        <v>2056</v>
      </c>
      <c r="D40" s="53">
        <f>'#1-With Volatility'!$S$18*1.021^($C40-Start_Year)</f>
        <v>4090310582.3458524</v>
      </c>
      <c r="E40" s="5">
        <v>0</v>
      </c>
      <c r="F40" s="5">
        <v>0</v>
      </c>
      <c r="G40" s="5">
        <f>'#4 Delivered Service'!C42</f>
        <v>51255796.655820988</v>
      </c>
      <c r="H40" s="5">
        <v>0</v>
      </c>
      <c r="I40" s="5">
        <v>0</v>
      </c>
      <c r="J40" s="5">
        <f t="shared" si="7"/>
        <v>51255796.655820988</v>
      </c>
      <c r="K40" s="5">
        <f t="shared" si="8"/>
        <v>4192822175.6574941</v>
      </c>
      <c r="M40" s="52">
        <v>2056</v>
      </c>
      <c r="N40" s="53">
        <f t="shared" si="4"/>
        <v>4090310582.3458524</v>
      </c>
      <c r="O40" s="5">
        <f t="shared" si="5"/>
        <v>0</v>
      </c>
      <c r="P40" s="5">
        <v>0</v>
      </c>
      <c r="Q40" s="5">
        <f>'#4 Delivered Service'!G42</f>
        <v>133287624.682703</v>
      </c>
      <c r="R40" s="5">
        <f t="shared" si="6"/>
        <v>0</v>
      </c>
      <c r="S40" s="5">
        <v>0</v>
      </c>
      <c r="T40" s="5">
        <f t="shared" si="9"/>
        <v>133287624.682703</v>
      </c>
      <c r="U40" s="5">
        <f t="shared" si="10"/>
        <v>4356885831.7112579</v>
      </c>
    </row>
    <row r="41" spans="3:21">
      <c r="C41" s="52">
        <v>2057</v>
      </c>
      <c r="D41" s="53">
        <f>'#1-With Volatility'!$S$18*1.021^($C41-Start_Year)</f>
        <v>4176207104.5751147</v>
      </c>
      <c r="E41" s="5">
        <v>0</v>
      </c>
      <c r="F41" s="5">
        <v>0</v>
      </c>
      <c r="G41" s="5">
        <f>'#4 Delivered Service'!C43</f>
        <v>52332168.385593221</v>
      </c>
      <c r="H41" s="5">
        <v>0</v>
      </c>
      <c r="I41" s="5">
        <v>0</v>
      </c>
      <c r="J41" s="5">
        <f t="shared" si="7"/>
        <v>52332168.385593221</v>
      </c>
      <c r="K41" s="5">
        <f t="shared" si="8"/>
        <v>4280871441.3463016</v>
      </c>
      <c r="M41" s="52">
        <v>2057</v>
      </c>
      <c r="N41" s="53">
        <f t="shared" si="4"/>
        <v>4176207104.5751147</v>
      </c>
      <c r="O41" s="5">
        <f t="shared" si="5"/>
        <v>0</v>
      </c>
      <c r="P41" s="5">
        <v>0</v>
      </c>
      <c r="Q41" s="5">
        <f>'#4 Delivered Service'!G43</f>
        <v>136086664.80103976</v>
      </c>
      <c r="R41" s="5">
        <f t="shared" si="6"/>
        <v>0</v>
      </c>
      <c r="S41" s="5">
        <v>0</v>
      </c>
      <c r="T41" s="5">
        <f t="shared" si="9"/>
        <v>136086664.80103976</v>
      </c>
      <c r="U41" s="5">
        <f t="shared" si="10"/>
        <v>4448380434.1771946</v>
      </c>
    </row>
    <row r="42" spans="3:21">
      <c r="C42" s="52">
        <v>2058</v>
      </c>
      <c r="D42" s="53">
        <f>'#1-With Volatility'!$S$18*1.021^($C42-Start_Year)</f>
        <v>4263907453.7711921</v>
      </c>
      <c r="E42" s="5">
        <v>0</v>
      </c>
      <c r="F42" s="5">
        <v>0</v>
      </c>
      <c r="G42" s="5">
        <f>'#4 Delivered Service'!C44</f>
        <v>53431143.921690665</v>
      </c>
      <c r="H42" s="5">
        <v>0</v>
      </c>
      <c r="I42" s="5">
        <v>0</v>
      </c>
      <c r="J42" s="5">
        <f t="shared" si="7"/>
        <v>53431143.921690665</v>
      </c>
      <c r="K42" s="5">
        <f t="shared" si="8"/>
        <v>4370769741.6145735</v>
      </c>
      <c r="M42" s="52">
        <v>2058</v>
      </c>
      <c r="N42" s="53">
        <f t="shared" si="4"/>
        <v>4263907453.7711921</v>
      </c>
      <c r="O42" s="5">
        <f t="shared" si="5"/>
        <v>0</v>
      </c>
      <c r="P42" s="5">
        <v>0</v>
      </c>
      <c r="Q42" s="5">
        <f>'#4 Delivered Service'!G44</f>
        <v>138944484.76186156</v>
      </c>
      <c r="R42" s="5">
        <f t="shared" si="6"/>
        <v>0</v>
      </c>
      <c r="S42" s="5">
        <v>0</v>
      </c>
      <c r="T42" s="5">
        <f t="shared" si="9"/>
        <v>138944484.76186156</v>
      </c>
      <c r="U42" s="5">
        <f t="shared" si="10"/>
        <v>4541796423.2949152</v>
      </c>
    </row>
    <row r="43" spans="3:21">
      <c r="C43" s="52">
        <v>2059</v>
      </c>
      <c r="D43" s="53">
        <f>'#1-With Volatility'!$S$18*1.021^($C43-Start_Year)</f>
        <v>4353449510.3003864</v>
      </c>
      <c r="E43" s="5">
        <v>0</v>
      </c>
      <c r="F43" s="5">
        <v>0</v>
      </c>
      <c r="G43" s="5">
        <f>'#4 Delivered Service'!C45</f>
        <v>54553197.94404617</v>
      </c>
      <c r="H43" s="5">
        <v>0</v>
      </c>
      <c r="I43" s="5">
        <v>0</v>
      </c>
      <c r="J43" s="5">
        <f t="shared" si="7"/>
        <v>54553197.94404617</v>
      </c>
      <c r="K43" s="5">
        <f t="shared" si="8"/>
        <v>4462555906.1884785</v>
      </c>
      <c r="M43" s="52">
        <v>2059</v>
      </c>
      <c r="N43" s="53">
        <f t="shared" si="4"/>
        <v>4353449510.3003864</v>
      </c>
      <c r="O43" s="5">
        <f t="shared" si="5"/>
        <v>0</v>
      </c>
      <c r="P43" s="5">
        <v>0</v>
      </c>
      <c r="Q43" s="5">
        <f>'#4 Delivered Service'!G45</f>
        <v>141862318.94186065</v>
      </c>
      <c r="R43" s="5">
        <f t="shared" si="6"/>
        <v>0</v>
      </c>
      <c r="S43" s="5">
        <v>0</v>
      </c>
      <c r="T43" s="5">
        <f t="shared" si="9"/>
        <v>141862318.94186065</v>
      </c>
      <c r="U43" s="5">
        <f t="shared" si="10"/>
        <v>4637174148.1841068</v>
      </c>
    </row>
    <row r="44" spans="3:21">
      <c r="C44" s="52">
        <v>2060</v>
      </c>
      <c r="D44" s="53">
        <f>'#1-With Volatility'!$S$18*1.021^($C44-Start_Year)</f>
        <v>4444871950.0166931</v>
      </c>
      <c r="E44" s="5">
        <v>0</v>
      </c>
      <c r="F44" s="5">
        <v>0</v>
      </c>
      <c r="G44" s="5">
        <f>'#4 Delivered Service'!C46</f>
        <v>55698815.100871123</v>
      </c>
      <c r="H44" s="5">
        <v>0</v>
      </c>
      <c r="I44" s="5">
        <v>0</v>
      </c>
      <c r="J44" s="5">
        <f t="shared" si="7"/>
        <v>55698815.100871123</v>
      </c>
      <c r="K44" s="5">
        <f t="shared" si="8"/>
        <v>4556269580.2184353</v>
      </c>
      <c r="M44" s="52">
        <v>2060</v>
      </c>
      <c r="N44" s="53">
        <f t="shared" si="4"/>
        <v>4444871950.0166931</v>
      </c>
      <c r="O44" s="5">
        <f t="shared" si="5"/>
        <v>0</v>
      </c>
      <c r="P44" s="5">
        <v>0</v>
      </c>
      <c r="Q44" s="5">
        <f>'#4 Delivered Service'!G46</f>
        <v>144841427.63963971</v>
      </c>
      <c r="R44" s="5">
        <f t="shared" si="6"/>
        <v>0</v>
      </c>
      <c r="S44" s="5">
        <v>0</v>
      </c>
      <c r="T44" s="5">
        <f t="shared" si="9"/>
        <v>144841427.63963971</v>
      </c>
      <c r="U44" s="5">
        <f t="shared" si="10"/>
        <v>4734554805.2959728</v>
      </c>
    </row>
    <row r="45" spans="3:21">
      <c r="C45" s="52">
        <v>2061</v>
      </c>
      <c r="D45" s="53">
        <f>'#1-With Volatility'!$S$18*1.021^($C45-Start_Year)</f>
        <v>4538214260.9670439</v>
      </c>
      <c r="E45" s="5">
        <v>0</v>
      </c>
      <c r="F45" s="5">
        <v>0</v>
      </c>
      <c r="G45" s="5">
        <f>'#4 Delivered Service'!C47</f>
        <v>56868490.217989422</v>
      </c>
      <c r="H45" s="5">
        <v>0</v>
      </c>
      <c r="I45" s="5">
        <v>0</v>
      </c>
      <c r="J45" s="5">
        <f t="shared" si="7"/>
        <v>56868490.217989422</v>
      </c>
      <c r="K45" s="5">
        <f t="shared" si="8"/>
        <v>4651951241.4030218</v>
      </c>
      <c r="M45" s="52">
        <v>2061</v>
      </c>
      <c r="N45" s="53">
        <f t="shared" si="4"/>
        <v>4538214260.9670439</v>
      </c>
      <c r="O45" s="5">
        <f t="shared" si="5"/>
        <v>0</v>
      </c>
      <c r="P45" s="5">
        <v>0</v>
      </c>
      <c r="Q45" s="5">
        <f>'#4 Delivered Service'!G47</f>
        <v>147883097.62007213</v>
      </c>
      <c r="R45" s="5">
        <f t="shared" si="6"/>
        <v>0</v>
      </c>
      <c r="S45" s="5">
        <v>0</v>
      </c>
      <c r="T45" s="5">
        <f t="shared" si="9"/>
        <v>147883097.62007213</v>
      </c>
      <c r="U45" s="5">
        <f t="shared" si="10"/>
        <v>4833980456.2071886</v>
      </c>
    </row>
    <row r="46" spans="3:21">
      <c r="C46" s="52">
        <v>2062</v>
      </c>
      <c r="D46" s="53">
        <f>'#1-With Volatility'!$S$18*1.021^($C46-Start_Year)</f>
        <v>4633516760.4473505</v>
      </c>
      <c r="E46" s="5">
        <v>0</v>
      </c>
      <c r="F46" s="5">
        <v>0</v>
      </c>
      <c r="G46" s="5">
        <f>'#4 Delivered Service'!C48</f>
        <v>58062728.512567185</v>
      </c>
      <c r="H46" s="5">
        <v>0</v>
      </c>
      <c r="I46" s="5">
        <v>0</v>
      </c>
      <c r="J46" s="5">
        <f t="shared" si="7"/>
        <v>58062728.512567185</v>
      </c>
      <c r="K46" s="5">
        <f t="shared" si="8"/>
        <v>4749642217.4724855</v>
      </c>
      <c r="M46" s="52">
        <v>2062</v>
      </c>
      <c r="N46" s="53">
        <f t="shared" si="4"/>
        <v>4633516760.4473505</v>
      </c>
      <c r="O46" s="5">
        <f t="shared" si="5"/>
        <v>0</v>
      </c>
      <c r="P46" s="5">
        <v>0</v>
      </c>
      <c r="Q46" s="5">
        <f>'#4 Delivered Service'!G48</f>
        <v>150988642.6700936</v>
      </c>
      <c r="R46" s="5">
        <f t="shared" si="6"/>
        <v>0</v>
      </c>
      <c r="S46" s="5">
        <v>0</v>
      </c>
      <c r="T46" s="5">
        <f t="shared" si="9"/>
        <v>150988642.6700936</v>
      </c>
      <c r="U46" s="5">
        <f t="shared" si="10"/>
        <v>4935494045.7875376</v>
      </c>
    </row>
    <row r="47" spans="3:21">
      <c r="C47" s="52">
        <v>2063</v>
      </c>
      <c r="D47" s="53">
        <f>'#1-With Volatility'!$S$18*1.021^($C47-Start_Year)</f>
        <v>4730820612.4167452</v>
      </c>
      <c r="E47" s="5">
        <v>0</v>
      </c>
      <c r="F47" s="5">
        <v>0</v>
      </c>
      <c r="G47" s="5">
        <f>'#4 Delivered Service'!C49</f>
        <v>59282045.811331093</v>
      </c>
      <c r="H47" s="5">
        <v>0</v>
      </c>
      <c r="I47" s="5">
        <v>0</v>
      </c>
      <c r="J47" s="5">
        <f t="shared" si="7"/>
        <v>59282045.811331093</v>
      </c>
      <c r="K47" s="5">
        <f t="shared" si="8"/>
        <v>4849384704.0394068</v>
      </c>
      <c r="M47" s="52">
        <v>2063</v>
      </c>
      <c r="N47" s="53">
        <f t="shared" si="4"/>
        <v>4730820612.4167452</v>
      </c>
      <c r="O47" s="5">
        <f t="shared" si="5"/>
        <v>0</v>
      </c>
      <c r="P47" s="5">
        <v>0</v>
      </c>
      <c r="Q47" s="5">
        <f>'#4 Delivered Service'!G49</f>
        <v>154159404.16616556</v>
      </c>
      <c r="R47" s="5">
        <f t="shared" si="6"/>
        <v>0</v>
      </c>
      <c r="S47" s="5">
        <v>0</v>
      </c>
      <c r="T47" s="5">
        <f t="shared" si="9"/>
        <v>154159404.16616556</v>
      </c>
      <c r="U47" s="5">
        <f t="shared" si="10"/>
        <v>5039139420.7490759</v>
      </c>
    </row>
    <row r="49" spans="2:15">
      <c r="C49" s="15" t="s">
        <v>199</v>
      </c>
      <c r="M49" s="15" t="s">
        <v>193</v>
      </c>
    </row>
    <row r="50" spans="2:15">
      <c r="C50" s="33" t="s">
        <v>52</v>
      </c>
      <c r="D50" s="33" t="s">
        <v>128</v>
      </c>
      <c r="E50" s="33" t="s">
        <v>198</v>
      </c>
      <c r="M50" s="33" t="s">
        <v>52</v>
      </c>
      <c r="N50" s="33" t="s">
        <v>128</v>
      </c>
      <c r="O50" s="33" t="s">
        <v>198</v>
      </c>
    </row>
    <row r="51" spans="2:15">
      <c r="B51">
        <v>1</v>
      </c>
      <c r="C51" s="52">
        <v>2024</v>
      </c>
      <c r="D51" s="117">
        <f>NPV(After_Tax_Cost_of_Capital,J$8:J8)</f>
        <v>25122390.348303281</v>
      </c>
      <c r="E51" s="118"/>
      <c r="L51">
        <v>1</v>
      </c>
      <c r="M51" s="52">
        <v>2024</v>
      </c>
      <c r="N51" s="117">
        <f>NPV(After_Tax_Cost_of_Capital,T$8:T8)</f>
        <v>65329269.162705086</v>
      </c>
      <c r="O51" s="118"/>
    </row>
    <row r="52" spans="2:15">
      <c r="B52">
        <v>2</v>
      </c>
      <c r="C52" s="52">
        <v>2025</v>
      </c>
      <c r="D52" s="117">
        <f>NPV(After_Tax_Cost_of_Capital,J$8:J9)</f>
        <v>49569550.609090209</v>
      </c>
      <c r="E52" s="118"/>
      <c r="L52">
        <v>2</v>
      </c>
      <c r="M52" s="52">
        <v>2025</v>
      </c>
      <c r="N52" s="117">
        <f>NPV(After_Tax_Cost_of_Capital,T$8:T9)</f>
        <v>128902642.98573393</v>
      </c>
      <c r="O52" s="118"/>
    </row>
    <row r="53" spans="2:15">
      <c r="B53">
        <v>3</v>
      </c>
      <c r="C53" s="52">
        <v>2026</v>
      </c>
      <c r="D53" s="117">
        <f>NPV(After_Tax_Cost_of_Capital,J$8:J10)</f>
        <v>73359629.360770971</v>
      </c>
      <c r="E53" s="118"/>
      <c r="L53">
        <v>3</v>
      </c>
      <c r="M53" s="52">
        <v>2026</v>
      </c>
      <c r="N53" s="117">
        <f>NPV(After_Tax_Cost_of_Capital,T$8:T10)</f>
        <v>190767315.75862038</v>
      </c>
      <c r="O53" s="118"/>
    </row>
    <row r="54" spans="2:15">
      <c r="B54">
        <v>4</v>
      </c>
      <c r="C54" s="52">
        <v>2027</v>
      </c>
      <c r="D54" s="117">
        <f>NPV(After_Tax_Cost_of_Capital,J$8:J11)</f>
        <v>96510287.391142741</v>
      </c>
      <c r="E54" s="118"/>
      <c r="L54">
        <v>4</v>
      </c>
      <c r="M54" s="52">
        <v>2027</v>
      </c>
      <c r="N54" s="117">
        <f>NPV(After_Tax_Cost_of_Capital,T$8:T11)</f>
        <v>250969213.30066866</v>
      </c>
      <c r="O54" s="118"/>
    </row>
    <row r="55" spans="2:15">
      <c r="B55">
        <v>5</v>
      </c>
      <c r="C55" s="52">
        <v>2028</v>
      </c>
      <c r="D55" s="117">
        <f>NPV(After_Tax_Cost_of_Capital,J$8:J12)</f>
        <v>119038710.80804093</v>
      </c>
      <c r="E55" s="118"/>
      <c r="L55">
        <v>5</v>
      </c>
      <c r="M55" s="52">
        <v>2028</v>
      </c>
      <c r="N55" s="117">
        <f>NPV(After_Tax_Cost_of_Capital,T$8:T12)</f>
        <v>309553027.05441558</v>
      </c>
      <c r="O55" s="118"/>
    </row>
    <row r="56" spans="2:15">
      <c r="B56">
        <v>6</v>
      </c>
      <c r="C56" s="52">
        <v>2029</v>
      </c>
      <c r="D56" s="117">
        <f>NPV(After_Tax_Cost_of_Capital,J$8:J13)</f>
        <v>140961623.7976073</v>
      </c>
      <c r="E56" s="118"/>
      <c r="L56">
        <v>6</v>
      </c>
      <c r="M56" s="52">
        <v>2029</v>
      </c>
      <c r="N56" s="117">
        <f>NPV(After_Tax_Cost_of_Capital,T$8:T13)</f>
        <v>366562247.26274157</v>
      </c>
      <c r="O56" s="118"/>
    </row>
    <row r="57" spans="2:15">
      <c r="B57">
        <v>7</v>
      </c>
      <c r="C57" s="52">
        <v>2030</v>
      </c>
      <c r="D57" s="117">
        <f>NPV(After_Tax_Cost_of_Capital,J$8:J14)</f>
        <v>162295301.03964624</v>
      </c>
      <c r="E57" s="118"/>
      <c r="L57">
        <v>7</v>
      </c>
      <c r="M57" s="52">
        <v>2030</v>
      </c>
      <c r="N57" s="117">
        <f>NPV(After_Tax_Cost_of_Capital,T$8:T14)</f>
        <v>422039195.25425977</v>
      </c>
      <c r="O57" s="118"/>
    </row>
    <row r="58" spans="2:15">
      <c r="B58">
        <v>8</v>
      </c>
      <c r="C58" s="52">
        <v>2031</v>
      </c>
      <c r="D58" s="117">
        <f>NPV(After_Tax_Cost_of_Capital,J$8:J15)</f>
        <v>183055579.78928575</v>
      </c>
      <c r="E58" s="118"/>
      <c r="L58">
        <v>8</v>
      </c>
      <c r="M58" s="52">
        <v>2031</v>
      </c>
      <c r="N58" s="117">
        <f>NPV(After_Tax_Cost_of_Capital,T$8:T15)</f>
        <v>476025054.86095059</v>
      </c>
      <c r="O58" s="118"/>
    </row>
    <row r="59" spans="2:15">
      <c r="B59">
        <v>9</v>
      </c>
      <c r="C59" s="52">
        <v>2032</v>
      </c>
      <c r="D59" s="117">
        <f>NPV(After_Tax_Cost_of_Capital,J$8:J16)</f>
        <v>203257871.63391206</v>
      </c>
      <c r="E59" s="118"/>
      <c r="L59">
        <v>9</v>
      </c>
      <c r="M59" s="52">
        <v>2032</v>
      </c>
      <c r="N59" s="117">
        <f>NPV(After_Tax_Cost_of_Capital,T$8:T16)</f>
        <v>528559902.99136555</v>
      </c>
      <c r="O59" s="118"/>
    </row>
    <row r="60" spans="2:15">
      <c r="B60">
        <v>10</v>
      </c>
      <c r="C60" s="52">
        <v>2033</v>
      </c>
      <c r="D60" s="117">
        <f>NPV(After_Tax_Cost_of_Capital,J$8:J17)</f>
        <v>222917173.93410596</v>
      </c>
      <c r="E60" s="118"/>
      <c r="L60">
        <v>10</v>
      </c>
      <c r="M60" s="52">
        <v>2033</v>
      </c>
      <c r="N60" s="117">
        <f>NPV(After_Tax_Cost_of_Capital,T$8:T17)</f>
        <v>579682739.38209534</v>
      </c>
      <c r="O60" s="118"/>
    </row>
    <row r="61" spans="2:15">
      <c r="B61">
        <v>11</v>
      </c>
      <c r="C61" s="52">
        <v>2034</v>
      </c>
      <c r="D61" s="117">
        <f>NPV(After_Tax_Cost_of_Capital,J$8:J18)</f>
        <v>242048080.95707396</v>
      </c>
      <c r="E61" s="118"/>
      <c r="L61">
        <v>11</v>
      </c>
      <c r="M61" s="52">
        <v>2034</v>
      </c>
      <c r="N61" s="117">
        <f>NPV(After_Tax_Cost_of_Capital,T$8:T18)</f>
        <v>629431515.54958963</v>
      </c>
      <c r="O61" s="118"/>
    </row>
    <row r="62" spans="2:15">
      <c r="B62">
        <v>12</v>
      </c>
      <c r="C62" s="52">
        <v>2035</v>
      </c>
      <c r="D62" s="117">
        <f>NPV(After_Tax_Cost_of_Capital,J$8:J19)</f>
        <v>260664794.710839</v>
      </c>
      <c r="E62" s="118"/>
      <c r="L62">
        <v>12</v>
      </c>
      <c r="M62" s="52">
        <v>2035</v>
      </c>
      <c r="N62" s="117">
        <f>NPV(After_Tax_Cost_of_Capital,T$8:T19)</f>
        <v>677843162.96382117</v>
      </c>
      <c r="O62" s="118"/>
    </row>
    <row r="63" spans="2:15">
      <c r="B63">
        <v>13</v>
      </c>
      <c r="C63" s="52">
        <v>2036</v>
      </c>
      <c r="D63" s="117">
        <f>NPV(After_Tax_Cost_of_Capital,J$8:J20)</f>
        <v>278781135.48723447</v>
      </c>
      <c r="E63" s="118"/>
      <c r="L63">
        <v>13</v>
      </c>
      <c r="M63" s="52">
        <v>2036</v>
      </c>
      <c r="N63" s="117">
        <f>NPV(After_Tax_Cost_of_Capital,T$8:T20)</f>
        <v>724953620.46470785</v>
      </c>
      <c r="O63" s="118"/>
    </row>
    <row r="64" spans="2:15">
      <c r="B64">
        <v>14</v>
      </c>
      <c r="C64" s="52">
        <v>2037</v>
      </c>
      <c r="D64" s="117">
        <f>NPV(After_Tax_Cost_of_Capital,J$8:J21)</f>
        <v>296410552.12152708</v>
      </c>
      <c r="E64" s="118"/>
      <c r="L64">
        <v>14</v>
      </c>
      <c r="M64" s="52">
        <v>2037</v>
      </c>
      <c r="N64" s="117">
        <f>NPV(After_Tax_Cost_of_Capital,T$8:T21)</f>
        <v>770797860.94164777</v>
      </c>
      <c r="O64" s="118"/>
    </row>
    <row r="65" spans="2:15">
      <c r="B65">
        <v>15</v>
      </c>
      <c r="C65" s="52">
        <v>2038</v>
      </c>
      <c r="D65" s="117">
        <f>NPV(After_Tax_Cost_of_Capital,J$8:J22)</f>
        <v>313566131.9762857</v>
      </c>
      <c r="E65" s="118"/>
      <c r="L65">
        <v>15</v>
      </c>
      <c r="M65" s="52">
        <v>2038</v>
      </c>
      <c r="N65" s="117">
        <f>NPV(After_Tax_Cost_of_Capital,T$8:T22)</f>
        <v>815409917.2959708</v>
      </c>
      <c r="O65" s="118"/>
    </row>
    <row r="66" spans="2:15">
      <c r="B66">
        <v>16</v>
      </c>
      <c r="C66" s="52">
        <v>2039</v>
      </c>
      <c r="D66" s="117">
        <f>NPV(After_Tax_Cost_of_Capital,J$8:J23)</f>
        <v>330260610.65690768</v>
      </c>
      <c r="E66" s="118"/>
      <c r="L66">
        <v>16</v>
      </c>
      <c r="M66" s="52">
        <v>2039</v>
      </c>
      <c r="N66" s="117">
        <f>NPV(After_Tax_Cost_of_Capital,T$8:T23)</f>
        <v>858822907.70558167</v>
      </c>
      <c r="O66" s="118"/>
    </row>
    <row r="67" spans="2:15">
      <c r="B67">
        <v>17</v>
      </c>
      <c r="C67" s="52">
        <v>2040</v>
      </c>
      <c r="D67" s="117">
        <f>NPV(After_Tax_Cost_of_Capital,J$8:J24)</f>
        <v>346506381.46601456</v>
      </c>
      <c r="E67" s="118"/>
      <c r="L67">
        <v>17</v>
      </c>
      <c r="M67" s="52">
        <v>2040</v>
      </c>
      <c r="N67" s="117">
        <f>NPV(After_Tax_Cost_of_Capital,T$8:T24)</f>
        <v>901069060.21054995</v>
      </c>
      <c r="O67" s="118"/>
    </row>
    <row r="68" spans="2:15">
      <c r="B68">
        <v>18</v>
      </c>
      <c r="C68" s="52">
        <v>2041</v>
      </c>
      <c r="D68" s="117">
        <f>NPV(After_Tax_Cost_of_Capital,J$8:J25)</f>
        <v>362315504.60373682</v>
      </c>
      <c r="E68" s="118"/>
      <c r="L68">
        <v>18</v>
      </c>
      <c r="M68" s="52">
        <v>2041</v>
      </c>
      <c r="N68" s="117">
        <f>NPV(After_Tax_Cost_of_Capital,T$8:T25)</f>
        <v>942179736.63789713</v>
      </c>
      <c r="O68" s="118"/>
    </row>
    <row r="69" spans="2:15">
      <c r="B69">
        <v>19</v>
      </c>
      <c r="C69" s="52">
        <v>2042</v>
      </c>
      <c r="D69" s="117">
        <f>NPV(After_Tax_Cost_of_Capital,J$8:J26)</f>
        <v>377699716.12071586</v>
      </c>
      <c r="E69" s="118"/>
      <c r="L69">
        <v>19</v>
      </c>
      <c r="M69" s="52">
        <v>2042</v>
      </c>
      <c r="N69" s="117">
        <f>NPV(After_Tax_Cost_of_Capital,T$8:T26)</f>
        <v>982185455.88334262</v>
      </c>
      <c r="O69" s="118"/>
    </row>
    <row r="70" spans="2:15">
      <c r="B70">
        <v>20</v>
      </c>
      <c r="C70" s="52">
        <v>2043</v>
      </c>
      <c r="D70" s="117">
        <f>NPV(After_Tax_Cost_of_Capital,J$8:J27)</f>
        <v>392670436.63047147</v>
      </c>
      <c r="E70" s="118"/>
      <c r="L70">
        <v>20</v>
      </c>
      <c r="M70" s="52">
        <v>2043</v>
      </c>
      <c r="N70" s="117">
        <f>NPV(After_Tax_Cost_of_Capital,T$8:T27)</f>
        <v>1021115916.5672922</v>
      </c>
      <c r="O70" s="118"/>
    </row>
    <row r="71" spans="2:15">
      <c r="B71">
        <v>21</v>
      </c>
      <c r="C71" s="52">
        <v>2044</v>
      </c>
      <c r="D71" s="117">
        <f>NPV(After_Tax_Cost_of_Capital,J$8:J28)</f>
        <v>407238779.78760117</v>
      </c>
      <c r="E71" s="118"/>
      <c r="L71">
        <v>21</v>
      </c>
      <c r="M71" s="52">
        <v>2044</v>
      </c>
      <c r="N71" s="117">
        <f>NPV(After_Tax_Cost_of_Capital,T$8:T28)</f>
        <v>1059000019.0818868</v>
      </c>
      <c r="O71" s="118"/>
    </row>
    <row r="72" spans="2:15">
      <c r="B72">
        <v>22</v>
      </c>
      <c r="C72" s="52">
        <v>2045</v>
      </c>
      <c r="D72" s="117">
        <f>NPV(After_Tax_Cost_of_Capital,J$8:J29)</f>
        <v>421415560.53810579</v>
      </c>
      <c r="E72" s="118"/>
      <c r="L72">
        <v>22</v>
      </c>
      <c r="M72" s="52">
        <v>2045</v>
      </c>
      <c r="N72" s="117">
        <f>NPV(After_Tax_Cost_of_Capital,T$8:T29)</f>
        <v>1095865887.0454788</v>
      </c>
      <c r="O72" s="118"/>
    </row>
    <row r="73" spans="2:15">
      <c r="B73">
        <v>23</v>
      </c>
      <c r="C73" s="52">
        <v>2046</v>
      </c>
      <c r="D73" s="117">
        <f>NPV(After_Tax_Cost_of_Capital,J$8:J30)</f>
        <v>435211303.14796585</v>
      </c>
      <c r="E73" s="118"/>
      <c r="L73">
        <v>23</v>
      </c>
      <c r="M73" s="52">
        <v>2046</v>
      </c>
      <c r="N73" s="117">
        <f>NPV(After_Tax_Cost_of_Capital,T$8:T30)</f>
        <v>1131740888.1804652</v>
      </c>
      <c r="O73" s="118"/>
    </row>
    <row r="74" spans="2:15">
      <c r="B74">
        <v>24</v>
      </c>
      <c r="C74" s="52">
        <v>2047</v>
      </c>
      <c r="D74" s="117">
        <f>NPV(After_Tax_Cost_of_Capital,J$8:J31)</f>
        <v>448636249.01592922</v>
      </c>
      <c r="E74" s="118"/>
      <c r="L74">
        <v>24</v>
      </c>
      <c r="M74" s="52">
        <v>2047</v>
      </c>
      <c r="N74" s="117">
        <f>NPV(After_Tax_Cost_of_Capital,T$8:T31)</f>
        <v>1166651654.6299706</v>
      </c>
      <c r="O74" s="118"/>
    </row>
    <row r="75" spans="2:15">
      <c r="B75">
        <v>25</v>
      </c>
      <c r="C75" s="52">
        <v>2048</v>
      </c>
      <c r="D75" s="117">
        <f>NPV(After_Tax_Cost_of_Capital,J$8:J32)</f>
        <v>461700364.27630907</v>
      </c>
      <c r="E75" s="118"/>
      <c r="L75">
        <v>25</v>
      </c>
      <c r="M75" s="52">
        <v>2048</v>
      </c>
      <c r="N75" s="117">
        <f>NPV(After_Tax_Cost_of_Capital,T$8:T32)</f>
        <v>1200624102.7284694</v>
      </c>
      <c r="O75" s="118"/>
    </row>
    <row r="76" spans="2:15">
      <c r="B76">
        <v>26</v>
      </c>
      <c r="C76" s="52">
        <v>2049</v>
      </c>
      <c r="D76" s="117">
        <f>NPV(After_Tax_Cost_of_Capital,J$8:J33)</f>
        <v>474413347.19743747</v>
      </c>
      <c r="E76" s="118"/>
      <c r="L76">
        <v>26</v>
      </c>
      <c r="M76" s="52">
        <v>2049</v>
      </c>
      <c r="N76" s="117">
        <f>NPV(After_Tax_Cost_of_Capital,T$8:T33)</f>
        <v>1233683452.2410192</v>
      </c>
      <c r="O76" s="118"/>
    </row>
    <row r="77" spans="2:15">
      <c r="B77">
        <v>27</v>
      </c>
      <c r="C77" s="52">
        <v>2050</v>
      </c>
      <c r="D77" s="117">
        <f>NPV(After_Tax_Cost_of_Capital,J$8:J34)</f>
        <v>486784635.38126516</v>
      </c>
      <c r="E77" s="118"/>
      <c r="L77">
        <v>27</v>
      </c>
      <c r="M77" s="52">
        <v>2050</v>
      </c>
      <c r="N77" s="117">
        <f>NPV(After_Tax_Cost_of_Capital,T$8:T34)</f>
        <v>1265854245.0853896</v>
      </c>
      <c r="O77" s="118"/>
    </row>
    <row r="78" spans="2:15">
      <c r="B78">
        <v>28</v>
      </c>
      <c r="C78" s="52">
        <v>2051</v>
      </c>
      <c r="D78" s="117">
        <f>NPV(After_Tax_Cost_of_Capital,J$8:J35)</f>
        <v>498823412.76945436</v>
      </c>
      <c r="E78" s="118"/>
      <c r="L78">
        <v>28</v>
      </c>
      <c r="M78" s="52">
        <v>2051</v>
      </c>
      <c r="N78" s="117">
        <f>NPV(After_Tax_Cost_of_Capital,T$8:T35)</f>
        <v>1297160363.5509846</v>
      </c>
      <c r="O78" s="118"/>
    </row>
    <row r="79" spans="2:15">
      <c r="B79">
        <v>29</v>
      </c>
      <c r="C79" s="52">
        <v>2052</v>
      </c>
      <c r="D79" s="117">
        <f>NPV(After_Tax_Cost_of_Capital,J$8:J36)</f>
        <v>510538616.46116346</v>
      </c>
      <c r="E79" s="118"/>
      <c r="L79">
        <v>29</v>
      </c>
      <c r="M79" s="52">
        <v>2052</v>
      </c>
      <c r="N79" s="117">
        <f>NPV(After_Tax_Cost_of_Capital,T$8:T36)</f>
        <v>1327625048.0280838</v>
      </c>
      <c r="O79" s="118"/>
    </row>
    <row r="80" spans="2:15">
      <c r="B80">
        <v>30</v>
      </c>
      <c r="C80" s="52">
        <v>2053</v>
      </c>
      <c r="D80" s="117">
        <f>NPV(After_Tax_Cost_of_Capital,J$8:J37)</f>
        <v>521938943.34758645</v>
      </c>
      <c r="E80" s="118"/>
      <c r="L80">
        <v>30</v>
      </c>
      <c r="M80" s="52">
        <v>2053</v>
      </c>
      <c r="N80" s="117">
        <f>NPV(After_Tax_Cost_of_Capital,T$8:T37)</f>
        <v>1357270914.2605639</v>
      </c>
      <c r="O80" s="118"/>
    </row>
    <row r="81" spans="2:15">
      <c r="B81">
        <v>31</v>
      </c>
      <c r="C81" s="52">
        <v>2054</v>
      </c>
      <c r="D81" s="117">
        <f>NPV(After_Tax_Cost_of_Capital,J$8:J38)</f>
        <v>533032856.5681715</v>
      </c>
      <c r="E81" s="118"/>
      <c r="L81">
        <v>31</v>
      </c>
      <c r="M81" s="52">
        <v>2054</v>
      </c>
      <c r="N81" s="117">
        <f>NPV(After_Tax_Cost_of_Capital,T$8:T38)</f>
        <v>1386119970.1349084</v>
      </c>
      <c r="O81" s="118"/>
    </row>
    <row r="82" spans="2:15">
      <c r="B82">
        <v>32</v>
      </c>
      <c r="C82" s="52">
        <v>2055</v>
      </c>
      <c r="D82" s="117">
        <f>NPV(After_Tax_Cost_of_Capital,J$8:J39)</f>
        <v>543828591.79331195</v>
      </c>
      <c r="E82" s="118"/>
      <c r="L82">
        <v>32</v>
      </c>
      <c r="M82" s="52">
        <v>2055</v>
      </c>
      <c r="N82" s="117">
        <f>NPV(After_Tax_Cost_of_Capital,T$8:T39)</f>
        <v>1414193632.0179675</v>
      </c>
      <c r="O82" s="118"/>
    </row>
    <row r="83" spans="2:15">
      <c r="B83">
        <v>33</v>
      </c>
      <c r="C83" s="52">
        <v>2056</v>
      </c>
      <c r="D83" s="117">
        <f>NPV(After_Tax_Cost_of_Capital,J$8:J40)</f>
        <v>554334163.33817315</v>
      </c>
      <c r="E83" s="118"/>
      <c r="L83">
        <v>33</v>
      </c>
      <c r="M83" s="52">
        <v>2056</v>
      </c>
      <c r="N83" s="117">
        <f>NPV(After_Tax_Cost_of_Capital,T$8:T40)</f>
        <v>1441512740.6555996</v>
      </c>
      <c r="O83" s="118"/>
    </row>
    <row r="84" spans="2:15">
      <c r="B84">
        <v>34</v>
      </c>
      <c r="C84" s="52">
        <v>2057</v>
      </c>
      <c r="D84" s="117">
        <f>NPV(After_Tax_Cost_of_Capital,J$8:J41)</f>
        <v>564557370.11219454</v>
      </c>
      <c r="E84" s="118"/>
      <c r="L84">
        <v>34</v>
      </c>
      <c r="M84" s="52">
        <v>2057</v>
      </c>
      <c r="N84" s="117">
        <f>NPV(After_Tax_Cost_of_Capital,T$8:T41)</f>
        <v>1468097576.6439929</v>
      </c>
      <c r="O84" s="118"/>
    </row>
    <row r="85" spans="2:15">
      <c r="B85">
        <v>35</v>
      </c>
      <c r="C85" s="52">
        <v>2058</v>
      </c>
      <c r="D85" s="117">
        <f>NPV(After_Tax_Cost_of_Capital,J$8:J42)</f>
        <v>574505801.40868318</v>
      </c>
      <c r="E85" s="118"/>
      <c r="L85">
        <v>35</v>
      </c>
      <c r="M85" s="52">
        <v>2058</v>
      </c>
      <c r="N85" s="117">
        <f>NPV(After_Tax_Cost_of_Capital,T$8:T42)</f>
        <v>1493967875.4851573</v>
      </c>
      <c r="O85" s="118"/>
    </row>
    <row r="86" spans="2:15">
      <c r="B86">
        <v>36</v>
      </c>
      <c r="C86" s="52">
        <v>2059</v>
      </c>
      <c r="D86" s="117">
        <f>NPV(After_Tax_Cost_of_Capital,J$8:J43)</f>
        <v>584186842.53879666</v>
      </c>
      <c r="E86" s="118"/>
      <c r="L86">
        <v>36</v>
      </c>
      <c r="M86" s="52">
        <v>2059</v>
      </c>
      <c r="N86" s="117">
        <f>NPV(After_Tax_Cost_of_Capital,T$8:T43)</f>
        <v>1519142842.2377579</v>
      </c>
      <c r="O86" s="118"/>
    </row>
    <row r="87" spans="2:15">
      <c r="B87">
        <v>37</v>
      </c>
      <c r="C87" s="52">
        <v>2060</v>
      </c>
      <c r="D87" s="117">
        <f>NPV(After_Tax_Cost_of_Capital,J$8:J44)</f>
        <v>593607680.31409752</v>
      </c>
      <c r="E87" s="118"/>
      <c r="L87">
        <v>37</v>
      </c>
      <c r="M87" s="52">
        <v>2060</v>
      </c>
      <c r="N87" s="117">
        <f>NPV(After_Tax_Cost_of_Capital,T$8:T44)</f>
        <v>1543641165.7741718</v>
      </c>
      <c r="O87" s="118"/>
    </row>
    <row r="88" spans="2:15">
      <c r="B88">
        <v>38</v>
      </c>
      <c r="C88" s="52">
        <v>2061</v>
      </c>
      <c r="D88" s="117">
        <f>NPV(After_Tax_Cost_of_Capital,J$8:J45)</f>
        <v>602775308.38175118</v>
      </c>
      <c r="E88" s="118"/>
      <c r="L88">
        <v>38</v>
      </c>
      <c r="M88" s="52">
        <v>2061</v>
      </c>
      <c r="N88" s="117">
        <f>NPV(After_Tax_Cost_of_Capital,T$8:T45)</f>
        <v>1567481032.6543458</v>
      </c>
      <c r="O88" s="118"/>
    </row>
    <row r="89" spans="2:15">
      <c r="B89">
        <v>39</v>
      </c>
      <c r="C89" s="52">
        <v>2062</v>
      </c>
      <c r="D89" s="117">
        <f>NPV(After_Tax_Cost_of_Capital,J$8:J46)</f>
        <v>611696532.4163245</v>
      </c>
      <c r="E89" s="118"/>
      <c r="L89">
        <v>39</v>
      </c>
      <c r="M89" s="52">
        <v>2062</v>
      </c>
      <c r="N89" s="117">
        <f>NPV(After_Tax_Cost_of_Capital,T$8:T46)</f>
        <v>1590680140.6267605</v>
      </c>
      <c r="O89" s="118"/>
    </row>
    <row r="90" spans="2:15">
      <c r="B90">
        <v>40</v>
      </c>
      <c r="C90" s="52">
        <v>2063</v>
      </c>
      <c r="D90" s="117">
        <f>NPV(After_Tax_Cost_of_Capital,J$8:J47)</f>
        <v>620377975.17204261</v>
      </c>
      <c r="E90" s="118"/>
      <c r="L90">
        <v>40</v>
      </c>
      <c r="M90" s="52">
        <v>2063</v>
      </c>
      <c r="N90" s="117">
        <f>NPV(After_Tax_Cost_of_Capital,T$8:T47)</f>
        <v>1613255711.76652</v>
      </c>
      <c r="O90" s="118"/>
    </row>
  </sheetData>
  <mergeCells count="4">
    <mergeCell ref="C4:J4"/>
    <mergeCell ref="M4:T4"/>
    <mergeCell ref="C7:J7"/>
    <mergeCell ref="M7:T7"/>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31D5-C4E5-445F-A6BB-75B018DE8D1A}">
  <dimension ref="B2:G49"/>
  <sheetViews>
    <sheetView showGridLines="0" workbookViewId="0">
      <selection activeCell="M29" sqref="M29"/>
    </sheetView>
  </sheetViews>
  <sheetFormatPr defaultRowHeight="15"/>
  <cols>
    <col min="2" max="2" width="20.42578125" bestFit="1" customWidth="1"/>
    <col min="3" max="3" width="15.85546875" bestFit="1" customWidth="1"/>
    <col min="4" max="5" width="4.7109375" customWidth="1"/>
    <col min="6" max="6" width="20.42578125" bestFit="1" customWidth="1"/>
    <col min="7" max="7" width="15.85546875" bestFit="1" customWidth="1"/>
  </cols>
  <sheetData>
    <row r="2" spans="2:7">
      <c r="B2" s="33" t="s">
        <v>51</v>
      </c>
      <c r="C2" s="41">
        <f>0.3424*10+0.2945</f>
        <v>3.7184999999999997</v>
      </c>
      <c r="F2" s="33" t="s">
        <v>183</v>
      </c>
      <c r="G2" s="41">
        <f>C2</f>
        <v>3.7184999999999997</v>
      </c>
    </row>
    <row r="3" spans="2:7">
      <c r="B3" s="33" t="s">
        <v>185</v>
      </c>
      <c r="C3" s="41">
        <v>0</v>
      </c>
      <c r="F3" s="33" t="s">
        <v>185</v>
      </c>
      <c r="G3" s="109">
        <f>4.83*1.3*0.9478</f>
        <v>5.9512361999999994</v>
      </c>
    </row>
    <row r="4" spans="2:7">
      <c r="B4" s="33" t="s">
        <v>186</v>
      </c>
      <c r="C4" s="41">
        <f>SUM(C2:C3)</f>
        <v>3.7184999999999997</v>
      </c>
      <c r="F4" s="33" t="s">
        <v>186</v>
      </c>
      <c r="G4" s="41">
        <f>SUM(G2:G3)</f>
        <v>9.6697361999999991</v>
      </c>
    </row>
    <row r="5" spans="2:7">
      <c r="B5" s="33" t="s">
        <v>187</v>
      </c>
      <c r="C5" s="49">
        <v>10</v>
      </c>
      <c r="F5" s="33" t="s">
        <v>187</v>
      </c>
      <c r="G5" s="49">
        <v>10</v>
      </c>
    </row>
    <row r="6" spans="2:7">
      <c r="B6" s="33" t="s">
        <v>188</v>
      </c>
      <c r="C6" s="49">
        <v>666000</v>
      </c>
      <c r="F6" s="33" t="s">
        <v>188</v>
      </c>
      <c r="G6" s="49">
        <v>666000</v>
      </c>
    </row>
    <row r="7" spans="2:7">
      <c r="C7" s="20"/>
      <c r="G7" s="20"/>
    </row>
    <row r="8" spans="2:7">
      <c r="B8" s="34" t="s">
        <v>128</v>
      </c>
      <c r="C8" s="48">
        <f>NPV(After_Tax_Cost_of_Capital,C$10:C$49)</f>
        <v>620377975.17204261</v>
      </c>
      <c r="F8" s="34" t="s">
        <v>128</v>
      </c>
      <c r="G8" s="48">
        <f>NPV(After_Tax_Cost_of_Capital,G$10:G$49)</f>
        <v>1613255711.76652</v>
      </c>
    </row>
    <row r="9" spans="2:7">
      <c r="B9" s="148" t="s">
        <v>52</v>
      </c>
      <c r="C9" s="148" t="s">
        <v>200</v>
      </c>
      <c r="F9" s="148" t="s">
        <v>52</v>
      </c>
      <c r="G9" s="148" t="s">
        <v>200</v>
      </c>
    </row>
    <row r="10" spans="2:7">
      <c r="B10" s="8">
        <v>2024</v>
      </c>
      <c r="C10" s="5">
        <f>$C$4*1.021^($B10-2021)*$C$5*$C$6</f>
        <v>26358411.953439798</v>
      </c>
      <c r="F10" s="8">
        <v>2024</v>
      </c>
      <c r="G10" s="5">
        <f>$G$4*1.021^($B10-2021)*$G$5*$G$6</f>
        <v>68543469.205510169</v>
      </c>
    </row>
    <row r="11" spans="2:7">
      <c r="B11" s="8">
        <v>2025</v>
      </c>
      <c r="C11" s="5">
        <f t="shared" ref="C11:C49" si="0">$C$4*1.021^($B11-2021)*$C$5*$C$6</f>
        <v>26911938.604462028</v>
      </c>
      <c r="F11" s="8">
        <v>2025</v>
      </c>
      <c r="G11" s="5">
        <f t="shared" ref="G11:G49" si="1">$G$4*1.021^($B11-2021)*$G$5*$G$6</f>
        <v>69982882.058825865</v>
      </c>
    </row>
    <row r="12" spans="2:7">
      <c r="B12" s="8">
        <v>2026</v>
      </c>
      <c r="C12" s="5">
        <f t="shared" si="0"/>
        <v>27477089.31515573</v>
      </c>
      <c r="F12" s="8">
        <v>2026</v>
      </c>
      <c r="G12" s="5">
        <f t="shared" si="1"/>
        <v>71452522.582061201</v>
      </c>
    </row>
    <row r="13" spans="2:7">
      <c r="B13" s="8">
        <v>2027</v>
      </c>
      <c r="C13" s="5">
        <f t="shared" si="0"/>
        <v>28054108.190773997</v>
      </c>
      <c r="F13" s="8">
        <v>2027</v>
      </c>
      <c r="G13" s="5">
        <f t="shared" si="1"/>
        <v>72953025.556284472</v>
      </c>
    </row>
    <row r="14" spans="2:7">
      <c r="B14" s="8">
        <v>2028</v>
      </c>
      <c r="C14" s="5">
        <f t="shared" si="0"/>
        <v>28643244.462780248</v>
      </c>
      <c r="F14" s="8">
        <v>2028</v>
      </c>
      <c r="G14" s="5">
        <f t="shared" si="1"/>
        <v>74485039.092966437</v>
      </c>
    </row>
    <row r="15" spans="2:7">
      <c r="B15" s="8">
        <v>2029</v>
      </c>
      <c r="C15" s="5">
        <f t="shared" si="0"/>
        <v>29244752.596498631</v>
      </c>
      <c r="F15" s="8">
        <v>2029</v>
      </c>
      <c r="G15" s="5">
        <f t="shared" si="1"/>
        <v>76049224.913918719</v>
      </c>
    </row>
    <row r="16" spans="2:7">
      <c r="B16" s="8">
        <v>2030</v>
      </c>
      <c r="C16" s="5">
        <f t="shared" si="0"/>
        <v>29858892.401025094</v>
      </c>
      <c r="F16" s="8">
        <v>2030</v>
      </c>
      <c r="G16" s="5">
        <f t="shared" si="1"/>
        <v>77646258.637110993</v>
      </c>
    </row>
    <row r="17" spans="2:7">
      <c r="B17" s="8">
        <v>2031</v>
      </c>
      <c r="C17" s="5">
        <f t="shared" si="0"/>
        <v>30485929.14144662</v>
      </c>
      <c r="F17" s="8">
        <v>2031</v>
      </c>
      <c r="G17" s="5">
        <f t="shared" si="1"/>
        <v>79276830.068490326</v>
      </c>
    </row>
    <row r="18" spans="2:7">
      <c r="B18" s="8">
        <v>2032</v>
      </c>
      <c r="C18" s="5">
        <f t="shared" si="0"/>
        <v>31126133.653416999</v>
      </c>
      <c r="F18" s="8">
        <v>2032</v>
      </c>
      <c r="G18" s="5">
        <f t="shared" si="1"/>
        <v>80941643.499928623</v>
      </c>
    </row>
    <row r="19" spans="2:7">
      <c r="B19" s="8">
        <v>2033</v>
      </c>
      <c r="C19" s="5">
        <f t="shared" si="0"/>
        <v>31779782.460138746</v>
      </c>
      <c r="F19" s="8">
        <v>2033</v>
      </c>
      <c r="G19" s="5">
        <f t="shared" si="1"/>
        <v>82641418.013427094</v>
      </c>
    </row>
    <row r="20" spans="2:7">
      <c r="B20" s="8">
        <v>2034</v>
      </c>
      <c r="C20" s="5">
        <f t="shared" si="0"/>
        <v>32447157.891801655</v>
      </c>
      <c r="F20" s="8">
        <v>2034</v>
      </c>
      <c r="G20" s="5">
        <f t="shared" si="1"/>
        <v>84376887.791709051</v>
      </c>
    </row>
    <row r="21" spans="2:7">
      <c r="B21" s="8">
        <v>2035</v>
      </c>
      <c r="C21" s="5">
        <f t="shared" si="0"/>
        <v>33128548.207529489</v>
      </c>
      <c r="F21" s="8">
        <v>2035</v>
      </c>
      <c r="G21" s="5">
        <f t="shared" si="1"/>
        <v>86148802.435334951</v>
      </c>
    </row>
    <row r="22" spans="2:7">
      <c r="B22" s="8">
        <v>2036</v>
      </c>
      <c r="C22" s="5">
        <f t="shared" si="0"/>
        <v>33824247.719887599</v>
      </c>
      <c r="F22" s="8">
        <v>2036</v>
      </c>
      <c r="G22" s="5">
        <f t="shared" si="1"/>
        <v>87957927.28647697</v>
      </c>
    </row>
    <row r="23" spans="2:7">
      <c r="B23" s="8">
        <v>2037</v>
      </c>
      <c r="C23" s="5">
        <f t="shared" si="0"/>
        <v>34534556.922005244</v>
      </c>
      <c r="F23" s="8">
        <v>2037</v>
      </c>
      <c r="G23" s="5">
        <f t="shared" si="1"/>
        <v>89805043.759492993</v>
      </c>
    </row>
    <row r="24" spans="2:7">
      <c r="B24" s="8">
        <v>2038</v>
      </c>
      <c r="C24" s="5">
        <f t="shared" si="0"/>
        <v>35259782.61736735</v>
      </c>
      <c r="F24" s="8">
        <v>2038</v>
      </c>
      <c r="G24" s="5">
        <f t="shared" si="1"/>
        <v>91690949.678442329</v>
      </c>
    </row>
    <row r="25" spans="2:7">
      <c r="B25" s="8">
        <v>2039</v>
      </c>
      <c r="C25" s="5">
        <f t="shared" si="0"/>
        <v>36000238.052332051</v>
      </c>
      <c r="F25" s="8">
        <v>2039</v>
      </c>
      <c r="G25" s="5">
        <f t="shared" si="1"/>
        <v>93616459.621689603</v>
      </c>
    </row>
    <row r="26" spans="2:7">
      <c r="B26" s="8">
        <v>2040</v>
      </c>
      <c r="C26" s="5">
        <f t="shared" si="0"/>
        <v>36756243.051431023</v>
      </c>
      <c r="F26" s="8">
        <v>2040</v>
      </c>
      <c r="G26" s="5">
        <f t="shared" si="1"/>
        <v>95582405.273745075</v>
      </c>
    </row>
    <row r="27" spans="2:7">
      <c r="B27" s="8">
        <v>2041</v>
      </c>
      <c r="C27" s="5">
        <f t="shared" si="0"/>
        <v>37528124.155511066</v>
      </c>
      <c r="F27" s="8">
        <v>2041</v>
      </c>
      <c r="G27" s="5">
        <f t="shared" si="1"/>
        <v>97589635.7844937</v>
      </c>
    </row>
    <row r="28" spans="2:7">
      <c r="B28" s="8">
        <v>2042</v>
      </c>
      <c r="C28" s="5">
        <f t="shared" si="0"/>
        <v>38316214.762776807</v>
      </c>
      <c r="F28" s="8">
        <v>2042</v>
      </c>
      <c r="G28" s="5">
        <f t="shared" si="1"/>
        <v>99639018.135968059</v>
      </c>
    </row>
    <row r="29" spans="2:7">
      <c r="B29" s="8">
        <v>2043</v>
      </c>
      <c r="C29" s="5">
        <f t="shared" si="0"/>
        <v>39120855.272795111</v>
      </c>
      <c r="F29" s="8">
        <v>2043</v>
      </c>
      <c r="G29" s="5">
        <f t="shared" si="1"/>
        <v>101731437.51682338</v>
      </c>
    </row>
    <row r="30" spans="2:7">
      <c r="B30" s="8">
        <v>2044</v>
      </c>
      <c r="C30" s="5">
        <f t="shared" si="0"/>
        <v>39942393.233523801</v>
      </c>
      <c r="F30" s="8">
        <v>2044</v>
      </c>
      <c r="G30" s="5">
        <f t="shared" si="1"/>
        <v>103867797.70467667</v>
      </c>
    </row>
    <row r="31" spans="2:7">
      <c r="B31" s="8">
        <v>2045</v>
      </c>
      <c r="C31" s="5">
        <f t="shared" si="0"/>
        <v>40781183.491427794</v>
      </c>
      <c r="F31" s="8">
        <v>2045</v>
      </c>
      <c r="G31" s="5">
        <f t="shared" si="1"/>
        <v>106049021.45647486</v>
      </c>
    </row>
    <row r="32" spans="2:7">
      <c r="B32" s="8">
        <v>2046</v>
      </c>
      <c r="C32" s="5">
        <f t="shared" si="0"/>
        <v>41637588.344747767</v>
      </c>
      <c r="F32" s="8">
        <v>2046</v>
      </c>
      <c r="G32" s="5">
        <f t="shared" si="1"/>
        <v>108276050.9070608</v>
      </c>
    </row>
    <row r="33" spans="2:7">
      <c r="B33" s="8">
        <v>2047</v>
      </c>
      <c r="C33" s="5">
        <f t="shared" si="0"/>
        <v>42511977.699987464</v>
      </c>
      <c r="F33" s="8">
        <v>2047</v>
      </c>
      <c r="G33" s="5">
        <f t="shared" si="1"/>
        <v>110549847.97610907</v>
      </c>
    </row>
    <row r="34" spans="2:7">
      <c r="B34" s="8">
        <v>2048</v>
      </c>
      <c r="C34" s="5">
        <f t="shared" si="0"/>
        <v>43404729.231687218</v>
      </c>
      <c r="F34" s="8">
        <v>2048</v>
      </c>
      <c r="G34" s="5">
        <f t="shared" si="1"/>
        <v>112871394.78360736</v>
      </c>
    </row>
    <row r="35" spans="2:7">
      <c r="B35" s="8">
        <v>2049</v>
      </c>
      <c r="C35" s="5">
        <f t="shared" si="0"/>
        <v>44316228.545552626</v>
      </c>
      <c r="F35" s="8">
        <v>2049</v>
      </c>
      <c r="G35" s="5">
        <f t="shared" si="1"/>
        <v>115241694.07406309</v>
      </c>
    </row>
    <row r="36" spans="2:7">
      <c r="B36" s="8">
        <v>2050</v>
      </c>
      <c r="C36" s="5">
        <f t="shared" si="0"/>
        <v>45246869.34500923</v>
      </c>
      <c r="F36" s="8">
        <v>2050</v>
      </c>
      <c r="G36" s="5">
        <f t="shared" si="1"/>
        <v>117661769.64961839</v>
      </c>
    </row>
    <row r="37" spans="2:7">
      <c r="B37" s="8">
        <v>2051</v>
      </c>
      <c r="C37" s="5">
        <f t="shared" si="0"/>
        <v>46197053.601254418</v>
      </c>
      <c r="F37" s="8">
        <v>2051</v>
      </c>
      <c r="G37" s="5">
        <f t="shared" si="1"/>
        <v>120132666.81226037</v>
      </c>
    </row>
    <row r="38" spans="2:7">
      <c r="B38" s="8">
        <v>2052</v>
      </c>
      <c r="C38" s="5">
        <f t="shared" si="0"/>
        <v>47167191.726880752</v>
      </c>
      <c r="F38" s="8">
        <v>2052</v>
      </c>
      <c r="G38" s="5">
        <f t="shared" si="1"/>
        <v>122655452.81531782</v>
      </c>
    </row>
    <row r="39" spans="2:7">
      <c r="B39" s="8">
        <v>2053</v>
      </c>
      <c r="C39" s="5">
        <f t="shared" si="0"/>
        <v>48157702.75314524</v>
      </c>
      <c r="F39" s="8">
        <v>2053</v>
      </c>
      <c r="G39" s="5">
        <f t="shared" si="1"/>
        <v>125231217.32443948</v>
      </c>
    </row>
    <row r="40" spans="2:7">
      <c r="B40" s="8">
        <v>2054</v>
      </c>
      <c r="C40" s="5">
        <f t="shared" si="0"/>
        <v>49169014.510961294</v>
      </c>
      <c r="F40" s="8">
        <v>2054</v>
      </c>
      <c r="G40" s="5">
        <f t="shared" si="1"/>
        <v>127861072.88825272</v>
      </c>
    </row>
    <row r="41" spans="2:7">
      <c r="B41" s="8">
        <v>2055</v>
      </c>
      <c r="C41" s="5">
        <f t="shared" si="0"/>
        <v>50201563.815691471</v>
      </c>
      <c r="F41" s="8">
        <v>2055</v>
      </c>
      <c r="G41" s="5">
        <f t="shared" si="1"/>
        <v>130546155.41890599</v>
      </c>
    </row>
    <row r="42" spans="2:7">
      <c r="B42" s="8">
        <v>2056</v>
      </c>
      <c r="C42" s="5">
        <f t="shared" si="0"/>
        <v>51255796.655820988</v>
      </c>
      <c r="F42" s="8">
        <v>2056</v>
      </c>
      <c r="G42" s="5">
        <f t="shared" si="1"/>
        <v>133287624.682703</v>
      </c>
    </row>
    <row r="43" spans="2:7">
      <c r="B43" s="8">
        <v>2057</v>
      </c>
      <c r="C43" s="5">
        <f t="shared" si="0"/>
        <v>52332168.385593221</v>
      </c>
      <c r="F43" s="8">
        <v>2057</v>
      </c>
      <c r="G43" s="5">
        <f t="shared" si="1"/>
        <v>136086664.80103976</v>
      </c>
    </row>
    <row r="44" spans="2:7">
      <c r="B44" s="8">
        <v>2058</v>
      </c>
      <c r="C44" s="5">
        <f t="shared" si="0"/>
        <v>53431143.921690665</v>
      </c>
      <c r="F44" s="8">
        <v>2058</v>
      </c>
      <c r="G44" s="5">
        <f t="shared" si="1"/>
        <v>138944484.76186156</v>
      </c>
    </row>
    <row r="45" spans="2:7">
      <c r="B45" s="8">
        <v>2059</v>
      </c>
      <c r="C45" s="5">
        <f t="shared" si="0"/>
        <v>54553197.94404617</v>
      </c>
      <c r="F45" s="8">
        <v>2059</v>
      </c>
      <c r="G45" s="5">
        <f t="shared" si="1"/>
        <v>141862318.94186065</v>
      </c>
    </row>
    <row r="46" spans="2:7">
      <c r="B46" s="8">
        <v>2060</v>
      </c>
      <c r="C46" s="5">
        <f t="shared" si="0"/>
        <v>55698815.100871123</v>
      </c>
      <c r="F46" s="8">
        <v>2060</v>
      </c>
      <c r="G46" s="5">
        <f t="shared" si="1"/>
        <v>144841427.63963971</v>
      </c>
    </row>
    <row r="47" spans="2:7">
      <c r="B47" s="8">
        <v>2061</v>
      </c>
      <c r="C47" s="5">
        <f t="shared" si="0"/>
        <v>56868490.217989422</v>
      </c>
      <c r="F47" s="8">
        <v>2061</v>
      </c>
      <c r="G47" s="5">
        <f t="shared" si="1"/>
        <v>147883097.62007213</v>
      </c>
    </row>
    <row r="48" spans="2:7">
      <c r="B48" s="8">
        <v>2062</v>
      </c>
      <c r="C48" s="5">
        <f t="shared" si="0"/>
        <v>58062728.512567185</v>
      </c>
      <c r="F48" s="8">
        <v>2062</v>
      </c>
      <c r="G48" s="5">
        <f t="shared" si="1"/>
        <v>150988642.6700936</v>
      </c>
    </row>
    <row r="49" spans="2:7">
      <c r="B49" s="8">
        <v>2063</v>
      </c>
      <c r="C49" s="5">
        <f t="shared" si="0"/>
        <v>59282045.811331093</v>
      </c>
      <c r="F49" s="8">
        <v>2063</v>
      </c>
      <c r="G49" s="5">
        <f t="shared" si="1"/>
        <v>154159404.16616556</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870D9-3B82-40C6-805C-DF08B741B1FD}">
  <sheetPr>
    <tabColor rgb="FFC00000"/>
  </sheetPr>
  <dimension ref="B2:N90"/>
  <sheetViews>
    <sheetView showGridLines="0" zoomScale="91" zoomScaleNormal="91" workbookViewId="0">
      <selection activeCell="B1" sqref="A1:B1"/>
    </sheetView>
  </sheetViews>
  <sheetFormatPr defaultRowHeight="15"/>
  <cols>
    <col min="3" max="3" width="19.28515625" customWidth="1"/>
    <col min="4" max="4" width="20.5703125" bestFit="1" customWidth="1"/>
    <col min="5" max="5" width="19.5703125" customWidth="1"/>
    <col min="6" max="7" width="16" customWidth="1"/>
    <col min="8" max="8" width="21.7109375" bestFit="1" customWidth="1"/>
    <col min="9" max="9" width="18.42578125" bestFit="1" customWidth="1"/>
    <col min="10" max="10" width="18.42578125" customWidth="1"/>
    <col min="11" max="11" width="22.42578125" customWidth="1"/>
    <col min="12" max="12" width="11.7109375" customWidth="1"/>
    <col min="13" max="14" width="26.5703125" customWidth="1"/>
  </cols>
  <sheetData>
    <row r="2" spans="3:11">
      <c r="C2" s="15" t="s">
        <v>195</v>
      </c>
      <c r="E2" s="6"/>
    </row>
    <row r="3" spans="3:11" ht="45">
      <c r="C3" s="56" t="s">
        <v>52</v>
      </c>
      <c r="D3" s="57" t="s">
        <v>53</v>
      </c>
      <c r="E3" s="57" t="s">
        <v>7</v>
      </c>
      <c r="F3" s="57" t="s">
        <v>8</v>
      </c>
      <c r="G3" s="57" t="s">
        <v>54</v>
      </c>
      <c r="H3" s="57" t="s">
        <v>10</v>
      </c>
      <c r="I3" s="57" t="s">
        <v>11</v>
      </c>
      <c r="J3" s="57" t="s">
        <v>12</v>
      </c>
      <c r="K3" s="107" t="s">
        <v>55</v>
      </c>
    </row>
    <row r="4" spans="3:11">
      <c r="C4" s="169" t="s">
        <v>56</v>
      </c>
      <c r="D4" s="170"/>
      <c r="E4" s="170"/>
      <c r="F4" s="170"/>
      <c r="G4" s="170"/>
      <c r="H4" s="170"/>
      <c r="I4" s="170"/>
      <c r="J4" s="171"/>
      <c r="K4" s="108"/>
    </row>
    <row r="5" spans="3:11">
      <c r="C5" s="54" t="s">
        <v>57</v>
      </c>
      <c r="D5" s="55">
        <f>NPV(After_Tax_Cost_of_Capital,D8:D47)</f>
        <v>46581647168.76693</v>
      </c>
      <c r="E5" s="55">
        <f>NPV(After_Tax_Cost_of_Capital,E8:E47)+'#1 Cost of Service'!L33*1000</f>
        <v>275604504.21492529</v>
      </c>
      <c r="F5" s="55">
        <f t="shared" ref="F5:J5" si="0">NPV(After_Tax_Cost_of_Capital,F8:F47)</f>
        <v>0</v>
      </c>
      <c r="G5" s="55">
        <f t="shared" si="0"/>
        <v>0</v>
      </c>
      <c r="H5" s="55">
        <f t="shared" si="0"/>
        <v>-74444577.970155969</v>
      </c>
      <c r="I5" s="55">
        <f t="shared" si="0"/>
        <v>-794470249.78508949</v>
      </c>
      <c r="J5" s="55">
        <f t="shared" si="0"/>
        <v>-589256114.15046537</v>
      </c>
      <c r="K5" s="55">
        <f>NPV(After_Tax_Cost_of_Capital,K8:K47)</f>
        <v>45403134940.466026</v>
      </c>
    </row>
    <row r="6" spans="3:11">
      <c r="C6" s="54" t="s">
        <v>58</v>
      </c>
      <c r="D6" s="55">
        <f>NPV(After_Tax_Cost_of_Capital,D8:D27)</f>
        <v>28410150180.226055</v>
      </c>
      <c r="E6" s="55">
        <f>NPV(After_Tax_Cost_of_Capital,E8:E27)+'#1 Cost of Service'!L33*1000</f>
        <v>213680038.12720135</v>
      </c>
      <c r="F6" s="55">
        <f t="shared" ref="F6:K6" si="1">NPV(After_Tax_Cost_of_Capital,F8:F27)</f>
        <v>0</v>
      </c>
      <c r="G6" s="55">
        <f t="shared" si="1"/>
        <v>0</v>
      </c>
      <c r="H6" s="55">
        <f t="shared" si="1"/>
        <v>-53340480.135352075</v>
      </c>
      <c r="I6" s="55">
        <f t="shared" si="1"/>
        <v>-459252467.68410885</v>
      </c>
      <c r="J6" s="55">
        <f t="shared" si="1"/>
        <v>-294858700.30240488</v>
      </c>
      <c r="K6" s="55">
        <f t="shared" si="1"/>
        <v>27820432779.621262</v>
      </c>
    </row>
    <row r="7" spans="3:11">
      <c r="C7" s="169" t="s">
        <v>59</v>
      </c>
      <c r="D7" s="170"/>
      <c r="E7" s="170"/>
      <c r="F7" s="170"/>
      <c r="G7" s="170"/>
      <c r="H7" s="170"/>
      <c r="I7" s="170"/>
      <c r="J7" s="171"/>
      <c r="K7" s="108"/>
    </row>
    <row r="8" spans="3:11">
      <c r="C8" s="52">
        <v>2024</v>
      </c>
      <c r="D8" s="53">
        <f>'#1-With Volatility'!K4</f>
        <v>1826961778.6622951</v>
      </c>
      <c r="E8" s="5">
        <f t="array" ref="E8:E47">TRANSPOSE('#1 Cost of Service'!M33:AZ33)*1000</f>
        <v>17852578.363824867</v>
      </c>
      <c r="F8" s="5">
        <v>0</v>
      </c>
      <c r="G8" s="5">
        <v>0</v>
      </c>
      <c r="H8" s="139">
        <f>'#1-With Volatility'!AE4</f>
        <v>-5425521.8808585126</v>
      </c>
      <c r="I8" s="139">
        <f>'#1-With Volatility'!AD4</f>
        <v>-19891240.162680149</v>
      </c>
      <c r="J8" s="139">
        <f>SUM(E8:I8)</f>
        <v>-7464183.679713795</v>
      </c>
      <c r="K8" s="5">
        <f>SUM(D8:J8)</f>
        <v>1812033411.3028677</v>
      </c>
    </row>
    <row r="9" spans="3:11">
      <c r="C9" s="52">
        <v>2025</v>
      </c>
      <c r="D9" s="53">
        <f>'#1-With Volatility'!K5</f>
        <v>1786014333.5901303</v>
      </c>
      <c r="E9" s="5">
        <v>17913749.893299073</v>
      </c>
      <c r="F9" s="5">
        <v>0</v>
      </c>
      <c r="G9" s="5">
        <v>0</v>
      </c>
      <c r="H9" s="139">
        <f>'#1-With Volatility'!AE5</f>
        <v>-4455767.3265687432</v>
      </c>
      <c r="I9" s="139">
        <f>'#1-With Volatility'!AD5</f>
        <v>-14169858.74668324</v>
      </c>
      <c r="J9" s="139">
        <f t="shared" ref="J9:J47" si="2">SUM(E9:I9)</f>
        <v>-711876.17995291017</v>
      </c>
      <c r="K9" s="5">
        <f t="shared" ref="K9:K47" si="3">SUM(D9:J9)</f>
        <v>1784590581.2302244</v>
      </c>
    </row>
    <row r="10" spans="3:11">
      <c r="C10" s="52">
        <v>2026</v>
      </c>
      <c r="D10" s="53">
        <f>'#1-With Volatility'!K6</f>
        <v>1677868083.231777</v>
      </c>
      <c r="E10" s="5">
        <v>17913252.014777597</v>
      </c>
      <c r="F10" s="5">
        <v>0</v>
      </c>
      <c r="G10" s="5">
        <v>0</v>
      </c>
      <c r="H10" s="139">
        <f>'#1-With Volatility'!AE6</f>
        <v>-3300156.6661934853</v>
      </c>
      <c r="I10" s="139">
        <f>'#1-With Volatility'!AD6</f>
        <v>-17433726.073690653</v>
      </c>
      <c r="J10" s="139">
        <f t="shared" si="2"/>
        <v>-2820630.7251065411</v>
      </c>
      <c r="K10" s="5">
        <f t="shared" si="3"/>
        <v>1672226821.781564</v>
      </c>
    </row>
    <row r="11" spans="3:11">
      <c r="C11" s="52">
        <v>2027</v>
      </c>
      <c r="D11" s="53">
        <f>'#1-With Volatility'!K7</f>
        <v>1720814134.1862197</v>
      </c>
      <c r="E11" s="5">
        <v>17901219.066498604</v>
      </c>
      <c r="F11" s="5">
        <v>0</v>
      </c>
      <c r="G11" s="5">
        <v>0</v>
      </c>
      <c r="H11" s="139">
        <f>'#1-With Volatility'!AE7</f>
        <v>-4250028.7572692484</v>
      </c>
      <c r="I11" s="139">
        <f>'#1-With Volatility'!AD7</f>
        <v>-22655624.986474633</v>
      </c>
      <c r="J11" s="139">
        <f t="shared" si="2"/>
        <v>-9004434.6772452779</v>
      </c>
      <c r="K11" s="5">
        <f t="shared" si="3"/>
        <v>1702805264.8317292</v>
      </c>
    </row>
    <row r="12" spans="3:11">
      <c r="C12" s="52">
        <v>2028</v>
      </c>
      <c r="D12" s="53">
        <f>'#1-With Volatility'!K8</f>
        <v>1808659168.3401015</v>
      </c>
      <c r="E12" s="5">
        <v>17878400.658466078</v>
      </c>
      <c r="F12" s="5">
        <v>0</v>
      </c>
      <c r="G12" s="5">
        <v>0</v>
      </c>
      <c r="H12" s="139">
        <f>'#1-With Volatility'!AE8</f>
        <v>-5535260.5563554903</v>
      </c>
      <c r="I12" s="139">
        <f>'#1-With Volatility'!AD8</f>
        <v>-36336659.808671713</v>
      </c>
      <c r="J12" s="139">
        <f t="shared" si="2"/>
        <v>-23993519.706561126</v>
      </c>
      <c r="K12" s="5">
        <f t="shared" si="3"/>
        <v>1760672128.9269793</v>
      </c>
    </row>
    <row r="13" spans="3:11">
      <c r="C13" s="52">
        <v>2029</v>
      </c>
      <c r="D13" s="53">
        <f>'#1-With Volatility'!K9</f>
        <v>1935201162.7737064</v>
      </c>
      <c r="E13" s="5">
        <v>17806526.800635487</v>
      </c>
      <c r="F13" s="5">
        <v>0</v>
      </c>
      <c r="G13" s="5">
        <v>0</v>
      </c>
      <c r="H13" s="139">
        <f>'#1-With Volatility'!AE9</f>
        <v>-5082293.003161204</v>
      </c>
      <c r="I13" s="139">
        <f>'#1-With Volatility'!AD9</f>
        <v>-35815319.274243712</v>
      </c>
      <c r="J13" s="139">
        <f t="shared" si="2"/>
        <v>-23091085.476769429</v>
      </c>
      <c r="K13" s="5">
        <f t="shared" si="3"/>
        <v>1889018991.8201675</v>
      </c>
    </row>
    <row r="14" spans="3:11">
      <c r="C14" s="52">
        <v>2030</v>
      </c>
      <c r="D14" s="53">
        <f>'#1-With Volatility'!K10</f>
        <v>2010281259.4291399</v>
      </c>
      <c r="E14" s="5">
        <v>17765430.535816737</v>
      </c>
      <c r="F14" s="5">
        <v>0</v>
      </c>
      <c r="G14" s="5">
        <v>0</v>
      </c>
      <c r="H14" s="139">
        <f>'#1-With Volatility'!AE10</f>
        <v>-2976895.7992643039</v>
      </c>
      <c r="I14" s="139">
        <f>'#1-With Volatility'!AD10</f>
        <v>-33479449.462116838</v>
      </c>
      <c r="J14" s="139">
        <f t="shared" si="2"/>
        <v>-18690914.725564405</v>
      </c>
      <c r="K14" s="5">
        <f t="shared" si="3"/>
        <v>1972899429.9780111</v>
      </c>
    </row>
    <row r="15" spans="3:11">
      <c r="C15" s="52">
        <v>2031</v>
      </c>
      <c r="D15" s="53">
        <f>'#1-With Volatility'!K11</f>
        <v>2135352144.5801883</v>
      </c>
      <c r="E15" s="5">
        <v>17700696.495478172</v>
      </c>
      <c r="F15" s="5">
        <v>0</v>
      </c>
      <c r="G15" s="5">
        <v>0</v>
      </c>
      <c r="H15" s="139">
        <f>'#1-With Volatility'!AE11</f>
        <v>-4998402.0939567788</v>
      </c>
      <c r="I15" s="139">
        <f>'#1-With Volatility'!AD11</f>
        <v>-40833732.461470008</v>
      </c>
      <c r="J15" s="139">
        <f t="shared" si="2"/>
        <v>-28131438.059948616</v>
      </c>
      <c r="K15" s="5">
        <f t="shared" si="3"/>
        <v>2079089268.4602907</v>
      </c>
    </row>
    <row r="16" spans="3:11">
      <c r="C16" s="52">
        <v>2032</v>
      </c>
      <c r="D16" s="53">
        <f>'#1-With Volatility'!K12</f>
        <v>2253009717.1928306</v>
      </c>
      <c r="E16" s="5">
        <v>17673028.928995486</v>
      </c>
      <c r="F16" s="5">
        <v>0</v>
      </c>
      <c r="G16" s="5">
        <v>0</v>
      </c>
      <c r="H16" s="139">
        <f>'#1-With Volatility'!AE12</f>
        <v>-4312203.934670032</v>
      </c>
      <c r="I16" s="139">
        <f>'#1-With Volatility'!AD12</f>
        <v>-40453211.628680468</v>
      </c>
      <c r="J16" s="139">
        <f t="shared" si="2"/>
        <v>-27092386.634355012</v>
      </c>
      <c r="K16" s="5">
        <f t="shared" si="3"/>
        <v>2198824943.9241204</v>
      </c>
    </row>
    <row r="17" spans="3:11">
      <c r="C17" s="52">
        <v>2033</v>
      </c>
      <c r="D17" s="53">
        <f>'#1-With Volatility'!K13</f>
        <v>2382783747.4170265</v>
      </c>
      <c r="E17" s="5">
        <v>17996245.054793734</v>
      </c>
      <c r="F17" s="5">
        <v>0</v>
      </c>
      <c r="G17" s="5">
        <v>0</v>
      </c>
      <c r="H17" s="139">
        <f>'#1-With Volatility'!AE13</f>
        <v>-4996625.6937932838</v>
      </c>
      <c r="I17" s="139">
        <f>'#1-With Volatility'!AD13</f>
        <v>-42603068.048734426</v>
      </c>
      <c r="J17" s="139">
        <f t="shared" si="2"/>
        <v>-29603448.687733978</v>
      </c>
      <c r="K17" s="5">
        <f t="shared" si="3"/>
        <v>2323576850.0415587</v>
      </c>
    </row>
    <row r="18" spans="3:11">
      <c r="C18" s="52">
        <v>2034</v>
      </c>
      <c r="D18" s="53">
        <f>'#1-With Volatility'!K14</f>
        <v>2526480189.6507559</v>
      </c>
      <c r="E18" s="5">
        <v>17236757.177882075</v>
      </c>
      <c r="F18" s="5">
        <v>0</v>
      </c>
      <c r="G18" s="5">
        <v>0</v>
      </c>
      <c r="H18" s="139">
        <f>'#1-With Volatility'!AE14</f>
        <v>-5494672.5977625707</v>
      </c>
      <c r="I18" s="139">
        <f>'#1-With Volatility'!AD14</f>
        <v>-44576136.201384068</v>
      </c>
      <c r="J18" s="139">
        <f t="shared" si="2"/>
        <v>-32834051.621264562</v>
      </c>
      <c r="K18" s="5">
        <f t="shared" si="3"/>
        <v>2460812086.408227</v>
      </c>
    </row>
    <row r="19" spans="3:11">
      <c r="C19" s="52">
        <v>2035</v>
      </c>
      <c r="D19" s="53">
        <f>'#1-With Volatility'!K15</f>
        <v>2579809313.9064898</v>
      </c>
      <c r="E19" s="5">
        <v>17068188.161102492</v>
      </c>
      <c r="F19" s="5">
        <v>0</v>
      </c>
      <c r="G19" s="5">
        <v>0</v>
      </c>
      <c r="H19" s="139">
        <f>'#1-With Volatility'!AE15</f>
        <v>-4803168.0007283278</v>
      </c>
      <c r="I19" s="139">
        <f>'#1-With Volatility'!AD15</f>
        <v>-42203472.051145315</v>
      </c>
      <c r="J19" s="139">
        <f t="shared" si="2"/>
        <v>-29938451.890771151</v>
      </c>
      <c r="K19" s="5">
        <f t="shared" si="3"/>
        <v>2519932410.1249475</v>
      </c>
    </row>
    <row r="20" spans="3:11">
      <c r="C20" s="52">
        <v>2036</v>
      </c>
      <c r="D20" s="53">
        <f>'#1-With Volatility'!$S$18*1.021^($C20-Start_Year)</f>
        <v>2699239645.3725119</v>
      </c>
      <c r="E20" s="5">
        <v>16893456.696808245</v>
      </c>
      <c r="F20" s="5">
        <v>0</v>
      </c>
      <c r="G20" s="5">
        <v>0</v>
      </c>
      <c r="H20" s="139">
        <f>'#1-With Volatility'!AE16</f>
        <v>-3134855.5152855916</v>
      </c>
      <c r="I20" s="139">
        <f>'#1-With Volatility'!AD16</f>
        <v>-50091026.26824566</v>
      </c>
      <c r="J20" s="139">
        <f t="shared" si="2"/>
        <v>-36332425.086723007</v>
      </c>
      <c r="K20" s="5">
        <f t="shared" si="3"/>
        <v>2626574795.1990662</v>
      </c>
    </row>
    <row r="21" spans="3:11">
      <c r="C21" s="52">
        <v>2037</v>
      </c>
      <c r="D21" s="53">
        <f>'#1-With Volatility'!$S$18*1.021^($C21-Start_Year)</f>
        <v>2755923677.9253349</v>
      </c>
      <c r="E21" s="5">
        <v>16713001.192738561</v>
      </c>
      <c r="F21" s="5">
        <v>0</v>
      </c>
      <c r="G21" s="5">
        <v>0</v>
      </c>
      <c r="H21" s="139">
        <f>'#1-With Volatility'!AE17</f>
        <v>-3200687.4811065886</v>
      </c>
      <c r="I21" s="139">
        <f>'#1-With Volatility'!AD17</f>
        <v>-51142937.819878817</v>
      </c>
      <c r="J21" s="139">
        <f t="shared" si="2"/>
        <v>-37630624.108246848</v>
      </c>
      <c r="K21" s="5">
        <f t="shared" si="3"/>
        <v>2680662429.7088413</v>
      </c>
    </row>
    <row r="22" spans="3:11">
      <c r="C22" s="52">
        <v>2038</v>
      </c>
      <c r="D22" s="53">
        <f>'#1-With Volatility'!$S$18*1.021^($C22-Start_Year)</f>
        <v>2813798075.1617661</v>
      </c>
      <c r="E22" s="5">
        <v>16527235.106155101</v>
      </c>
      <c r="F22" s="5">
        <v>0</v>
      </c>
      <c r="G22" s="5">
        <v>0</v>
      </c>
      <c r="H22" s="139">
        <f>'#1-With Volatility'!AE18</f>
        <v>-3267901.9182098266</v>
      </c>
      <c r="I22" s="139">
        <f>'#1-With Volatility'!AD18</f>
        <v>-52216939.51409626</v>
      </c>
      <c r="J22" s="139">
        <f t="shared" si="2"/>
        <v>-38957606.326150984</v>
      </c>
      <c r="K22" s="5">
        <f t="shared" si="3"/>
        <v>2735882862.5094638</v>
      </c>
    </row>
    <row r="23" spans="3:11">
      <c r="C23" s="52">
        <v>2039</v>
      </c>
      <c r="D23" s="53">
        <f>'#1-With Volatility'!$S$18*1.021^($C23-Start_Year)</f>
        <v>2872887834.7401633</v>
      </c>
      <c r="E23" s="5">
        <v>16336548.465726679</v>
      </c>
      <c r="F23" s="5">
        <v>0</v>
      </c>
      <c r="G23" s="5">
        <v>0</v>
      </c>
      <c r="H23" s="139">
        <f>'#1-With Volatility'!AE19</f>
        <v>-3336527.8584922329</v>
      </c>
      <c r="I23" s="139">
        <f>'#1-With Volatility'!AD19</f>
        <v>-53313495.243892282</v>
      </c>
      <c r="J23" s="139">
        <f t="shared" si="2"/>
        <v>-40313474.636657834</v>
      </c>
      <c r="K23" s="5">
        <f t="shared" si="3"/>
        <v>2792260885.4668479</v>
      </c>
    </row>
    <row r="24" spans="3:11">
      <c r="C24" s="52">
        <v>2040</v>
      </c>
      <c r="D24" s="53">
        <f>'#1-With Volatility'!$S$18*1.021^($C24-Start_Year)</f>
        <v>2933218479.2697067</v>
      </c>
      <c r="E24" s="5">
        <v>16141309.302651888</v>
      </c>
      <c r="F24" s="5">
        <v>0</v>
      </c>
      <c r="G24" s="5">
        <v>0</v>
      </c>
      <c r="H24" s="139">
        <f>'#1-With Volatility'!AE20</f>
        <v>-3406594.9435205697</v>
      </c>
      <c r="I24" s="139">
        <f>'#1-With Volatility'!AD20</f>
        <v>-28136625.023747087</v>
      </c>
      <c r="J24" s="139">
        <f t="shared" si="2"/>
        <v>-15401910.664615769</v>
      </c>
      <c r="K24" s="5">
        <f t="shared" si="3"/>
        <v>2902414657.9404755</v>
      </c>
    </row>
    <row r="25" spans="3:11">
      <c r="C25" s="52">
        <v>2041</v>
      </c>
      <c r="D25" s="53">
        <f>'#1-With Volatility'!$S$18*1.021^($C25-Start_Year)</f>
        <v>2994816067.3343697</v>
      </c>
      <c r="E25" s="5">
        <v>15942505.496472644</v>
      </c>
      <c r="F25" s="5">
        <v>0</v>
      </c>
      <c r="G25" s="5">
        <v>0</v>
      </c>
      <c r="H25" s="139">
        <f>'#1-With Volatility'!AE21</f>
        <v>-3478133.4373345007</v>
      </c>
      <c r="I25" s="139">
        <f>'#1-With Volatility'!AD21</f>
        <v>-55576173.295538299</v>
      </c>
      <c r="J25" s="139">
        <f t="shared" si="2"/>
        <v>-43111801.236400157</v>
      </c>
      <c r="K25" s="5">
        <f t="shared" si="3"/>
        <v>2908592464.8615694</v>
      </c>
    </row>
    <row r="26" spans="3:11">
      <c r="C26" s="52">
        <v>2042</v>
      </c>
      <c r="D26" s="53">
        <f>'#1-With Volatility'!$S$18*1.021^($C26-Start_Year)</f>
        <v>3057707204.7483912</v>
      </c>
      <c r="E26" s="5">
        <v>15886146.157957567</v>
      </c>
      <c r="F26" s="5">
        <v>0</v>
      </c>
      <c r="G26" s="5">
        <v>0</v>
      </c>
      <c r="H26" s="139">
        <f>'#1-With Volatility'!AE22</f>
        <v>-3551174.2395185251</v>
      </c>
      <c r="I26" s="139">
        <f>'#1-With Volatility'!AD22</f>
        <v>-56743272.934744596</v>
      </c>
      <c r="J26" s="139">
        <f t="shared" si="2"/>
        <v>-44408301.016305551</v>
      </c>
      <c r="K26" s="5">
        <f t="shared" si="3"/>
        <v>2968890602.7157798</v>
      </c>
    </row>
    <row r="27" spans="3:11">
      <c r="C27" s="52">
        <v>2043</v>
      </c>
      <c r="D27" s="53">
        <f>'#1-With Volatility'!$S$18*1.021^($C27-Start_Year)</f>
        <v>3121919056.0481071</v>
      </c>
      <c r="E27" s="5">
        <v>16263262.819368515</v>
      </c>
      <c r="F27" s="5">
        <v>0</v>
      </c>
      <c r="G27" s="5">
        <v>0</v>
      </c>
      <c r="H27" s="139">
        <f>'#1-With Volatility'!AE23</f>
        <v>-3625748.8985484135</v>
      </c>
      <c r="I27" s="139">
        <f>'#1-With Volatility'!AD23</f>
        <v>-57934881.666374229</v>
      </c>
      <c r="J27" s="139">
        <f t="shared" si="2"/>
        <v>-45297367.745554127</v>
      </c>
      <c r="K27" s="5">
        <f t="shared" si="3"/>
        <v>3031324320.5569987</v>
      </c>
    </row>
    <row r="28" spans="3:11">
      <c r="C28" s="52">
        <v>2044</v>
      </c>
      <c r="D28" s="53">
        <f>'#1-With Volatility'!$S$18*1.021^($C28-Start_Year)</f>
        <v>3187479356.2251167</v>
      </c>
      <c r="E28" s="5">
        <v>15325974.795101486</v>
      </c>
      <c r="F28" s="5">
        <v>0</v>
      </c>
      <c r="G28" s="5">
        <v>0</v>
      </c>
      <c r="H28" s="139">
        <f>'#1-With Volatility'!AE24</f>
        <v>-3701889.6254179296</v>
      </c>
      <c r="I28" s="139">
        <f>'#1-With Volatility'!AD24</f>
        <v>-53670779.492603898</v>
      </c>
      <c r="J28" s="139">
        <f t="shared" si="2"/>
        <v>-42046694.322920337</v>
      </c>
      <c r="K28" s="5">
        <f t="shared" si="3"/>
        <v>3103385967.5792766</v>
      </c>
    </row>
    <row r="29" spans="3:11">
      <c r="C29" s="52">
        <v>2045</v>
      </c>
      <c r="D29" s="53">
        <f>'#1-With Volatility'!$S$18*1.021^($C29-Start_Year)</f>
        <v>3254416422.7058444</v>
      </c>
      <c r="E29" s="5">
        <v>15114094.424655002</v>
      </c>
      <c r="F29" s="5">
        <v>0</v>
      </c>
      <c r="G29" s="5">
        <v>0</v>
      </c>
      <c r="H29" s="139">
        <f>'#1-With Volatility'!AE25</f>
        <v>-3779629.3075517062</v>
      </c>
      <c r="I29" s="139">
        <f>'#1-With Volatility'!AD25</f>
        <v>-60393695.979176804</v>
      </c>
      <c r="J29" s="139">
        <f t="shared" si="2"/>
        <v>-49059230.862073511</v>
      </c>
      <c r="K29" s="5">
        <f t="shared" si="3"/>
        <v>3156297960.9816971</v>
      </c>
    </row>
    <row r="30" spans="3:11">
      <c r="C30" s="52">
        <v>2046</v>
      </c>
      <c r="D30" s="53">
        <f>'#1-With Volatility'!$S$18*1.021^($C30-Start_Year)</f>
        <v>3322759167.5826664</v>
      </c>
      <c r="E30" s="5">
        <v>14899477.786540141</v>
      </c>
      <c r="F30" s="5">
        <v>0</v>
      </c>
      <c r="G30" s="5">
        <v>0</v>
      </c>
      <c r="H30" s="139">
        <f>'#1-With Volatility'!AE26</f>
        <v>-3859001.5230102916</v>
      </c>
      <c r="I30" s="139">
        <f>'#1-With Volatility'!AD26</f>
        <v>-61661963.594739512</v>
      </c>
      <c r="J30" s="139">
        <f t="shared" si="2"/>
        <v>-50621487.33120966</v>
      </c>
      <c r="K30" s="5">
        <f t="shared" si="3"/>
        <v>3221516192.9202471</v>
      </c>
    </row>
    <row r="31" spans="3:11">
      <c r="C31" s="52">
        <v>2047</v>
      </c>
      <c r="D31" s="53">
        <f>'#1-With Volatility'!$S$18*1.021^($C31-Start_Year)</f>
        <v>3392537110.101902</v>
      </c>
      <c r="E31" s="5">
        <v>14682372.443823896</v>
      </c>
      <c r="F31" s="5">
        <v>0</v>
      </c>
      <c r="G31" s="5">
        <v>0</v>
      </c>
      <c r="H31" s="139">
        <f>'#1-With Volatility'!AE27</f>
        <v>-3940040.5549935065</v>
      </c>
      <c r="I31" s="139">
        <f>'#1-With Volatility'!AD27</f>
        <v>-62956864.830229029</v>
      </c>
      <c r="J31" s="139">
        <f t="shared" si="2"/>
        <v>-52214532.941398636</v>
      </c>
      <c r="K31" s="5">
        <f t="shared" si="3"/>
        <v>3288108044.2191048</v>
      </c>
    </row>
    <row r="32" spans="3:11">
      <c r="C32" s="52">
        <v>2048</v>
      </c>
      <c r="D32" s="53">
        <f>'#1-With Volatility'!$S$18*1.021^($C32-Start_Year)</f>
        <v>3463780389.414041</v>
      </c>
      <c r="E32" s="5">
        <v>14463012.734071221</v>
      </c>
      <c r="F32" s="5">
        <v>0</v>
      </c>
      <c r="G32" s="5">
        <v>0</v>
      </c>
      <c r="H32" s="139">
        <f>'#1-With Volatility'!AE28</f>
        <v>-4022781.40664837</v>
      </c>
      <c r="I32" s="139">
        <f>'#1-With Volatility'!AD28</f>
        <v>-64278958.991663828</v>
      </c>
      <c r="J32" s="139">
        <f t="shared" si="2"/>
        <v>-53838727.664240979</v>
      </c>
      <c r="K32" s="5">
        <f t="shared" si="3"/>
        <v>3356102934.0855594</v>
      </c>
    </row>
    <row r="33" spans="3:11">
      <c r="C33" s="52">
        <v>2049</v>
      </c>
      <c r="D33" s="53">
        <f>'#1-With Volatility'!$S$18*1.021^($C33-Start_Year)</f>
        <v>3536519777.5917358</v>
      </c>
      <c r="E33" s="5">
        <v>14241620.593606461</v>
      </c>
      <c r="F33" s="5">
        <v>0</v>
      </c>
      <c r="G33" s="5">
        <v>0</v>
      </c>
      <c r="H33" s="139">
        <f>'#1-With Volatility'!AE29</f>
        <v>-4107259.8161879852</v>
      </c>
      <c r="I33" s="139">
        <f>'#1-With Volatility'!AD29</f>
        <v>-65628817.130488761</v>
      </c>
      <c r="J33" s="139">
        <f t="shared" si="2"/>
        <v>-55494456.353070289</v>
      </c>
      <c r="K33" s="5">
        <f t="shared" si="3"/>
        <v>3425530864.8855953</v>
      </c>
    </row>
    <row r="34" spans="3:11">
      <c r="C34" s="52">
        <v>2050</v>
      </c>
      <c r="D34" s="53">
        <f>'#1-With Volatility'!$S$18*1.021^($C34-Start_Year)</f>
        <v>3610786692.9211621</v>
      </c>
      <c r="E34" s="5">
        <v>14018406.332956849</v>
      </c>
      <c r="F34" s="5">
        <v>0</v>
      </c>
      <c r="G34" s="5">
        <v>0</v>
      </c>
      <c r="H34" s="139">
        <f>'#1-With Volatility'!AE30</f>
        <v>-4193512.272327933</v>
      </c>
      <c r="I34" s="139">
        <f>'#1-With Volatility'!AD30</f>
        <v>-67007022.29022903</v>
      </c>
      <c r="J34" s="139">
        <f t="shared" si="2"/>
        <v>-57182128.229600117</v>
      </c>
      <c r="K34" s="5">
        <f t="shared" si="3"/>
        <v>3496422436.4619622</v>
      </c>
    </row>
    <row r="35" spans="3:11">
      <c r="C35" s="52">
        <v>2051</v>
      </c>
      <c r="D35" s="53">
        <f>'#1-With Volatility'!$S$18*1.021^($C35-Start_Year)</f>
        <v>3686613213.4725056</v>
      </c>
      <c r="E35" s="5">
        <v>13794209.866417594</v>
      </c>
      <c r="F35" s="5">
        <v>0</v>
      </c>
      <c r="G35" s="5">
        <v>0</v>
      </c>
      <c r="H35" s="139">
        <f>'#1-With Volatility'!AE31</f>
        <v>-4281576.0300468178</v>
      </c>
      <c r="I35" s="139">
        <f>'#1-With Volatility'!AD31</f>
        <v>-68414169.758323818</v>
      </c>
      <c r="J35" s="139">
        <f t="shared" si="2"/>
        <v>-58901535.921953037</v>
      </c>
      <c r="K35" s="5">
        <f t="shared" si="3"/>
        <v>3568810141.6285992</v>
      </c>
    </row>
    <row r="36" spans="3:11">
      <c r="C36" s="52">
        <v>2052</v>
      </c>
      <c r="D36" s="53">
        <f>'#1-With Volatility'!$S$18*1.021^($C36-Start_Year)</f>
        <v>3764032090.9554276</v>
      </c>
      <c r="E36" s="5">
        <v>13746804.867531665</v>
      </c>
      <c r="F36" s="5">
        <v>0</v>
      </c>
      <c r="G36" s="5">
        <v>0</v>
      </c>
      <c r="H36" s="139">
        <f>'#1-With Volatility'!AE32</f>
        <v>-4371489.1266778009</v>
      </c>
      <c r="I36" s="139">
        <f>'#1-With Volatility'!AD32</f>
        <v>-69850867.32324861</v>
      </c>
      <c r="J36" s="139">
        <f t="shared" si="2"/>
        <v>-60475551.582394749</v>
      </c>
      <c r="K36" s="5">
        <f t="shared" si="3"/>
        <v>3643080987.7906384</v>
      </c>
    </row>
    <row r="37" spans="3:11">
      <c r="C37" s="52">
        <v>2053</v>
      </c>
      <c r="D37" s="53">
        <f>'#1-With Volatility'!$S$18*1.021^($C37-Start_Year)</f>
        <v>3843076764.8654919</v>
      </c>
      <c r="E37" s="5">
        <v>14230899.415022599</v>
      </c>
      <c r="F37" s="5">
        <v>0</v>
      </c>
      <c r="G37" s="5">
        <v>0</v>
      </c>
      <c r="H37" s="139">
        <f>'#1-With Volatility'!AE33</f>
        <v>-4463290.3983380347</v>
      </c>
      <c r="I37" s="139">
        <f>'#1-With Volatility'!AD33</f>
        <v>-71317735.537036836</v>
      </c>
      <c r="J37" s="139">
        <f t="shared" si="2"/>
        <v>-61550126.520352274</v>
      </c>
      <c r="K37" s="5">
        <f t="shared" si="3"/>
        <v>3719976511.8247871</v>
      </c>
    </row>
    <row r="38" spans="3:11">
      <c r="C38" s="52">
        <v>2054</v>
      </c>
      <c r="D38" s="53">
        <f>'#1-With Volatility'!$S$18*1.021^($C38-Start_Year)</f>
        <v>3923781376.9276662</v>
      </c>
      <c r="E38" s="5">
        <v>13115650.565206394</v>
      </c>
      <c r="F38" s="5">
        <v>0</v>
      </c>
      <c r="G38" s="5">
        <v>0</v>
      </c>
      <c r="H38" s="139">
        <f>'#1-With Volatility'!AE34</f>
        <v>-4557019.4967031321</v>
      </c>
      <c r="I38" s="139">
        <f>'#1-With Volatility'!AD34</f>
        <v>-72815407.983314589</v>
      </c>
      <c r="J38" s="139">
        <f t="shared" si="2"/>
        <v>-64256776.914811328</v>
      </c>
      <c r="K38" s="5">
        <f t="shared" si="3"/>
        <v>3795267823.0980439</v>
      </c>
    </row>
    <row r="39" spans="3:11">
      <c r="C39" s="52">
        <v>2055</v>
      </c>
      <c r="D39" s="53">
        <f>'#1-With Volatility'!$S$18*1.021^($C39-Start_Year)</f>
        <v>4006180785.8431468</v>
      </c>
      <c r="E39" s="5">
        <v>12887403.185260272</v>
      </c>
      <c r="F39" s="5">
        <v>0</v>
      </c>
      <c r="G39" s="5">
        <v>0</v>
      </c>
      <c r="H39" s="139">
        <f>'#1-With Volatility'!AE35</f>
        <v>-4652716.9061338976</v>
      </c>
      <c r="I39" s="139">
        <f>'#1-With Volatility'!AD35</f>
        <v>-74344531.550964192</v>
      </c>
      <c r="J39" s="139">
        <f t="shared" si="2"/>
        <v>-66109845.271837816</v>
      </c>
      <c r="K39" s="5">
        <f t="shared" si="3"/>
        <v>3873961095.2994709</v>
      </c>
    </row>
    <row r="40" spans="3:11">
      <c r="C40" s="52">
        <v>2056</v>
      </c>
      <c r="D40" s="53">
        <f>'#1-With Volatility'!$S$18*1.021^($C40-Start_Year)</f>
        <v>4090310582.3458524</v>
      </c>
      <c r="E40" s="5">
        <v>12658389.385343403</v>
      </c>
      <c r="F40" s="5">
        <v>0</v>
      </c>
      <c r="G40" s="5">
        <v>0</v>
      </c>
      <c r="H40" s="139">
        <f>'#1-With Volatility'!AE36</f>
        <v>-4750423.9611627096</v>
      </c>
      <c r="I40" s="139">
        <f>'#1-With Volatility'!AD36</f>
        <v>-75905766.71353443</v>
      </c>
      <c r="J40" s="139">
        <f t="shared" si="2"/>
        <v>-67997801.289353743</v>
      </c>
      <c r="K40" s="5">
        <f t="shared" si="3"/>
        <v>3954314979.7671452</v>
      </c>
    </row>
    <row r="41" spans="3:11">
      <c r="C41" s="52">
        <v>2057</v>
      </c>
      <c r="D41" s="53">
        <f>'#1-With Volatility'!$S$18*1.021^($C41-Start_Year)</f>
        <v>4176207104.5751147</v>
      </c>
      <c r="E41" s="5">
        <v>10442252.784872262</v>
      </c>
      <c r="F41" s="5">
        <v>0</v>
      </c>
      <c r="G41" s="5">
        <v>0</v>
      </c>
      <c r="H41" s="139">
        <f>'#1-With Volatility'!AE37</f>
        <v>-4850182.8643471254</v>
      </c>
      <c r="I41" s="139">
        <f>'#1-With Volatility'!AD37</f>
        <v>-77499787.814518631</v>
      </c>
      <c r="J41" s="139">
        <f t="shared" si="2"/>
        <v>-71907717.893993497</v>
      </c>
      <c r="K41" s="5">
        <f t="shared" si="3"/>
        <v>4032391668.787128</v>
      </c>
    </row>
    <row r="42" spans="3:11">
      <c r="C42" s="52">
        <v>2058</v>
      </c>
      <c r="D42" s="53">
        <f>'#1-With Volatility'!$S$18*1.021^($C42-Start_Year)</f>
        <v>4263907453.7711921</v>
      </c>
      <c r="E42" s="5">
        <v>9187265.6752204765</v>
      </c>
      <c r="F42" s="5">
        <v>0</v>
      </c>
      <c r="G42" s="5">
        <v>0</v>
      </c>
      <c r="H42" s="139">
        <f>'#1-With Volatility'!AE38</f>
        <v>-4952036.7044984149</v>
      </c>
      <c r="I42" s="139">
        <f>'#1-With Volatility'!AD38</f>
        <v>-79127283.358623534</v>
      </c>
      <c r="J42" s="139">
        <f t="shared" si="2"/>
        <v>-74892054.38790147</v>
      </c>
      <c r="K42" s="5">
        <f t="shared" si="3"/>
        <v>4114123344.9953895</v>
      </c>
    </row>
    <row r="43" spans="3:11">
      <c r="C43" s="52">
        <v>2059</v>
      </c>
      <c r="D43" s="53">
        <f>'#1-With Volatility'!$S$18*1.021^($C43-Start_Year)</f>
        <v>4353449510.3003864</v>
      </c>
      <c r="E43" s="5">
        <v>9113015.4395241421</v>
      </c>
      <c r="F43" s="5">
        <v>0</v>
      </c>
      <c r="G43" s="5">
        <v>0</v>
      </c>
      <c r="H43" s="139">
        <f>'#1-With Volatility'!AE39</f>
        <v>-5056029.475292881</v>
      </c>
      <c r="I43" s="139">
        <f>'#1-With Volatility'!AD39</f>
        <v>-80788956.309154615</v>
      </c>
      <c r="J43" s="139">
        <f t="shared" si="2"/>
        <v>-76731970.344923347</v>
      </c>
      <c r="K43" s="5">
        <f t="shared" si="3"/>
        <v>4199985569.610539</v>
      </c>
    </row>
    <row r="44" spans="3:11">
      <c r="C44" s="52">
        <v>2060</v>
      </c>
      <c r="D44" s="53">
        <f>'#1-With Volatility'!$S$18*1.021^($C44-Start_Year)</f>
        <v>4444871950.0166931</v>
      </c>
      <c r="E44" s="5">
        <v>9038547.8533375822</v>
      </c>
      <c r="F44" s="5">
        <v>0</v>
      </c>
      <c r="G44" s="5">
        <v>0</v>
      </c>
      <c r="H44" s="139">
        <f>'#1-With Volatility'!AE40</f>
        <v>-5162206.0942740301</v>
      </c>
      <c r="I44" s="139">
        <f>'#1-With Volatility'!AD40</f>
        <v>-82485524.391646847</v>
      </c>
      <c r="J44" s="139">
        <f t="shared" si="2"/>
        <v>-78609182.63258329</v>
      </c>
      <c r="K44" s="5">
        <f t="shared" si="3"/>
        <v>4287653584.7515273</v>
      </c>
    </row>
    <row r="45" spans="3:11">
      <c r="C45" s="52">
        <v>2061</v>
      </c>
      <c r="D45" s="53">
        <f>'#1-With Volatility'!$S$18*1.021^($C45-Start_Year)</f>
        <v>4538214260.9670439</v>
      </c>
      <c r="E45" s="5">
        <v>8457318.1906393729</v>
      </c>
      <c r="F45" s="5">
        <v>0</v>
      </c>
      <c r="G45" s="5">
        <v>0</v>
      </c>
      <c r="H45" s="139">
        <f>'#1-With Volatility'!AE41</f>
        <v>-5270612.4222537847</v>
      </c>
      <c r="I45" s="139">
        <f>'#1-With Volatility'!AD41</f>
        <v>-84217720.403871417</v>
      </c>
      <c r="J45" s="139">
        <f t="shared" si="2"/>
        <v>-81031014.635485828</v>
      </c>
      <c r="K45" s="5">
        <f t="shared" si="3"/>
        <v>4376152231.6960726</v>
      </c>
    </row>
    <row r="46" spans="3:11">
      <c r="C46" s="52">
        <v>2062</v>
      </c>
      <c r="D46" s="53">
        <f>'#1-With Volatility'!$S$18*1.021^($C46-Start_Year)</f>
        <v>4633516760.4473505</v>
      </c>
      <c r="E46" s="5">
        <v>7863343.262250768</v>
      </c>
      <c r="F46" s="5">
        <v>0</v>
      </c>
      <c r="G46" s="5">
        <v>0</v>
      </c>
      <c r="H46" s="139">
        <f>'#1-With Volatility'!AE42</f>
        <v>-5381295.2831211127</v>
      </c>
      <c r="I46" s="139">
        <f>'#1-With Volatility'!AD42</f>
        <v>-85986292.532352701</v>
      </c>
      <c r="J46" s="139">
        <f t="shared" si="2"/>
        <v>-83504244.553223044</v>
      </c>
      <c r="K46" s="5">
        <f t="shared" si="3"/>
        <v>4466508271.3409052</v>
      </c>
    </row>
    <row r="47" spans="3:11">
      <c r="C47" s="52">
        <v>2063</v>
      </c>
      <c r="D47" s="53">
        <f>'#1-With Volatility'!$S$18*1.021^($C47-Start_Year)</f>
        <v>4730820612.4167452</v>
      </c>
      <c r="E47" s="5">
        <v>7269368.3338619303</v>
      </c>
      <c r="F47" s="5">
        <v>0</v>
      </c>
      <c r="G47" s="5">
        <v>0</v>
      </c>
      <c r="H47" s="139">
        <f>'#1-With Volatility'!AE43</f>
        <v>-5494302.4840666559</v>
      </c>
      <c r="I47" s="139">
        <f>'#1-With Volatility'!AD43</f>
        <v>-87792004.675532103</v>
      </c>
      <c r="J47" s="139">
        <f t="shared" si="2"/>
        <v>-86016938.825736821</v>
      </c>
      <c r="K47" s="5">
        <f t="shared" si="3"/>
        <v>4558786734.7652712</v>
      </c>
    </row>
    <row r="49" spans="2:14">
      <c r="C49" s="15" t="s">
        <v>193</v>
      </c>
      <c r="L49" s="15" t="s">
        <v>194</v>
      </c>
    </row>
    <row r="50" spans="2:14">
      <c r="C50" s="33" t="s">
        <v>52</v>
      </c>
      <c r="D50" s="147" t="s">
        <v>128</v>
      </c>
      <c r="E50" s="33" t="s">
        <v>198</v>
      </c>
      <c r="L50" s="33" t="s">
        <v>52</v>
      </c>
      <c r="M50" s="147" t="s">
        <v>128</v>
      </c>
      <c r="N50" s="33" t="s">
        <v>198</v>
      </c>
    </row>
    <row r="51" spans="2:14">
      <c r="B51">
        <v>1</v>
      </c>
      <c r="C51" s="52">
        <v>2024</v>
      </c>
      <c r="D51" s="117">
        <f>NPV(After_Tax_Cost_of_Capital,J$8:J8)</f>
        <v>-7114166.6791019784</v>
      </c>
      <c r="E51" s="118">
        <f>'#1 Cost of Service'!M12*1000</f>
        <v>206387444.4063471</v>
      </c>
      <c r="L51" s="52">
        <v>2024</v>
      </c>
      <c r="M51" s="117">
        <f>-D51</f>
        <v>7114166.6791019784</v>
      </c>
      <c r="N51" s="118">
        <f>E51</f>
        <v>206387444.4063471</v>
      </c>
    </row>
    <row r="52" spans="2:14">
      <c r="B52">
        <v>2</v>
      </c>
      <c r="C52" s="52">
        <v>2025</v>
      </c>
      <c r="D52" s="117">
        <f>NPV(After_Tax_Cost_of_Capital,J$8:J9)</f>
        <v>-7760844.3976019779</v>
      </c>
      <c r="E52" s="118">
        <f>E51</f>
        <v>206387444.4063471</v>
      </c>
      <c r="L52" s="52">
        <v>2025</v>
      </c>
      <c r="M52" s="117">
        <f t="shared" ref="M52:M90" si="4">-D52</f>
        <v>7760844.3976019779</v>
      </c>
      <c r="N52" s="118">
        <f>N51</f>
        <v>206387444.4063471</v>
      </c>
    </row>
    <row r="53" spans="2:14">
      <c r="B53">
        <v>3</v>
      </c>
      <c r="C53" s="52">
        <v>2026</v>
      </c>
      <c r="D53" s="117">
        <f>NPV(After_Tax_Cost_of_Capital,J$8:J10)</f>
        <v>-10202989.06256409</v>
      </c>
      <c r="E53" s="118">
        <f t="shared" ref="E53:E90" si="5">E52</f>
        <v>206387444.4063471</v>
      </c>
      <c r="L53" s="52">
        <v>2026</v>
      </c>
      <c r="M53" s="117">
        <f t="shared" si="4"/>
        <v>10202989.06256409</v>
      </c>
      <c r="N53" s="118">
        <f t="shared" ref="N53:N90" si="6">N52</f>
        <v>206387444.4063471</v>
      </c>
    </row>
    <row r="54" spans="2:14">
      <c r="B54">
        <v>4</v>
      </c>
      <c r="C54" s="52">
        <v>2027</v>
      </c>
      <c r="D54" s="117">
        <f>NPV(After_Tax_Cost_of_Capital,J$8:J11)</f>
        <v>-17633579.49702606</v>
      </c>
      <c r="E54" s="118">
        <f t="shared" si="5"/>
        <v>206387444.4063471</v>
      </c>
      <c r="L54" s="52">
        <v>2027</v>
      </c>
      <c r="M54" s="117">
        <f t="shared" si="4"/>
        <v>17633579.49702606</v>
      </c>
      <c r="N54" s="118">
        <f t="shared" si="6"/>
        <v>206387444.4063471</v>
      </c>
    </row>
    <row r="55" spans="2:14">
      <c r="B55">
        <v>5</v>
      </c>
      <c r="C55" s="52">
        <v>2028</v>
      </c>
      <c r="D55" s="117">
        <f>NPV(After_Tax_Cost_of_Capital,J$8:J12)</f>
        <v>-36504911.336318426</v>
      </c>
      <c r="E55" s="118">
        <f t="shared" si="5"/>
        <v>206387444.4063471</v>
      </c>
      <c r="L55" s="52">
        <v>2028</v>
      </c>
      <c r="M55" s="117">
        <f t="shared" si="4"/>
        <v>36504911.336318426</v>
      </c>
      <c r="N55" s="118">
        <f t="shared" si="6"/>
        <v>206387444.4063471</v>
      </c>
    </row>
    <row r="56" spans="2:14">
      <c r="B56">
        <v>6</v>
      </c>
      <c r="C56" s="52">
        <v>2029</v>
      </c>
      <c r="D56" s="117">
        <f>NPV(After_Tax_Cost_of_Capital,J$8:J13)</f>
        <v>-53814815.260842122</v>
      </c>
      <c r="E56" s="118">
        <f t="shared" si="5"/>
        <v>206387444.4063471</v>
      </c>
      <c r="L56" s="52">
        <v>2029</v>
      </c>
      <c r="M56" s="117">
        <f t="shared" si="4"/>
        <v>53814815.260842122</v>
      </c>
      <c r="N56" s="118">
        <f t="shared" si="6"/>
        <v>206387444.4063471</v>
      </c>
    </row>
    <row r="57" spans="2:14">
      <c r="B57">
        <v>7</v>
      </c>
      <c r="C57" s="52">
        <v>2030</v>
      </c>
      <c r="D57" s="117">
        <f>NPV(After_Tax_Cost_of_Capital,J$8:J14)</f>
        <v>-67169159.981946871</v>
      </c>
      <c r="E57" s="118">
        <f t="shared" si="5"/>
        <v>206387444.4063471</v>
      </c>
      <c r="L57" s="52">
        <v>2030</v>
      </c>
      <c r="M57" s="117">
        <f t="shared" si="4"/>
        <v>67169159.981946871</v>
      </c>
      <c r="N57" s="118">
        <f t="shared" si="6"/>
        <v>206387444.4063471</v>
      </c>
    </row>
    <row r="58" spans="2:14">
      <c r="B58">
        <v>8</v>
      </c>
      <c r="C58" s="52">
        <v>2031</v>
      </c>
      <c r="D58" s="117">
        <f>NPV(After_Tax_Cost_of_Capital,J$8:J15)</f>
        <v>-86326079.656038806</v>
      </c>
      <c r="E58" s="118">
        <f t="shared" si="5"/>
        <v>206387444.4063471</v>
      </c>
      <c r="L58" s="52">
        <v>2031</v>
      </c>
      <c r="M58" s="117">
        <f t="shared" si="4"/>
        <v>86326079.656038806</v>
      </c>
      <c r="N58" s="118">
        <f t="shared" si="6"/>
        <v>206387444.4063471</v>
      </c>
    </row>
    <row r="59" spans="2:14">
      <c r="B59">
        <v>9</v>
      </c>
      <c r="C59" s="52">
        <v>2032</v>
      </c>
      <c r="D59" s="117">
        <f>NPV(After_Tax_Cost_of_Capital,J$8:J16)</f>
        <v>-103910284.22346371</v>
      </c>
      <c r="E59" s="118">
        <f t="shared" si="5"/>
        <v>206387444.4063471</v>
      </c>
      <c r="L59" s="52">
        <v>2032</v>
      </c>
      <c r="M59" s="117">
        <f t="shared" si="4"/>
        <v>103910284.22346371</v>
      </c>
      <c r="N59" s="118">
        <f t="shared" si="6"/>
        <v>206387444.4063471</v>
      </c>
    </row>
    <row r="60" spans="2:14">
      <c r="B60">
        <v>10</v>
      </c>
      <c r="C60" s="52">
        <v>2033</v>
      </c>
      <c r="D60" s="117">
        <f>NPV(After_Tax_Cost_of_Capital,J$8:J17)</f>
        <v>-122223283.93044475</v>
      </c>
      <c r="E60" s="118">
        <f t="shared" si="5"/>
        <v>206387444.4063471</v>
      </c>
      <c r="L60" s="52">
        <v>2033</v>
      </c>
      <c r="M60" s="117">
        <f t="shared" si="4"/>
        <v>122223283.93044475</v>
      </c>
      <c r="N60" s="118">
        <f t="shared" si="6"/>
        <v>206387444.4063471</v>
      </c>
    </row>
    <row r="61" spans="2:14">
      <c r="B61">
        <v>11</v>
      </c>
      <c r="C61" s="52">
        <v>2034</v>
      </c>
      <c r="D61" s="117">
        <f>NPV(After_Tax_Cost_of_Capital,J$8:J18)</f>
        <v>-141582304.24428418</v>
      </c>
      <c r="E61" s="118">
        <f t="shared" si="5"/>
        <v>206387444.4063471</v>
      </c>
      <c r="L61" s="52">
        <v>2034</v>
      </c>
      <c r="M61" s="117">
        <f t="shared" si="4"/>
        <v>141582304.24428418</v>
      </c>
      <c r="N61" s="118">
        <f t="shared" si="6"/>
        <v>206387444.4063471</v>
      </c>
    </row>
    <row r="62" spans="2:14">
      <c r="B62">
        <v>12</v>
      </c>
      <c r="C62" s="52">
        <v>2035</v>
      </c>
      <c r="D62" s="117">
        <f>NPV(After_Tax_Cost_of_Capital,J$8:J19)</f>
        <v>-158406331.23121613</v>
      </c>
      <c r="E62" s="118">
        <f t="shared" si="5"/>
        <v>206387444.4063471</v>
      </c>
      <c r="L62" s="52">
        <v>2035</v>
      </c>
      <c r="M62" s="117">
        <f t="shared" si="4"/>
        <v>158406331.23121613</v>
      </c>
      <c r="N62" s="118">
        <f t="shared" si="6"/>
        <v>206387444.4063471</v>
      </c>
    </row>
    <row r="63" spans="2:14">
      <c r="B63">
        <v>13</v>
      </c>
      <c r="C63" s="52">
        <v>2036</v>
      </c>
      <c r="D63" s="117">
        <f>NPV(After_Tax_Cost_of_Capital,J$8:J20)</f>
        <v>-177866057.27020583</v>
      </c>
      <c r="E63" s="118">
        <f t="shared" si="5"/>
        <v>206387444.4063471</v>
      </c>
      <c r="L63" s="52">
        <v>2036</v>
      </c>
      <c r="M63" s="117">
        <f t="shared" si="4"/>
        <v>177866057.27020583</v>
      </c>
      <c r="N63" s="118">
        <f t="shared" si="6"/>
        <v>206387444.4063471</v>
      </c>
    </row>
    <row r="64" spans="2:14">
      <c r="B64">
        <v>14</v>
      </c>
      <c r="C64" s="52">
        <v>2037</v>
      </c>
      <c r="D64" s="117">
        <f>NPV(After_Tax_Cost_of_Capital,J$8:J21)</f>
        <v>-197075973.64790866</v>
      </c>
      <c r="E64" s="118">
        <f t="shared" si="5"/>
        <v>206387444.4063471</v>
      </c>
      <c r="L64" s="52">
        <v>2037</v>
      </c>
      <c r="M64" s="117">
        <f t="shared" si="4"/>
        <v>197075973.64790866</v>
      </c>
      <c r="N64" s="118">
        <f t="shared" si="6"/>
        <v>206387444.4063471</v>
      </c>
    </row>
    <row r="65" spans="2:14">
      <c r="B65">
        <v>15</v>
      </c>
      <c r="C65" s="52">
        <v>2038</v>
      </c>
      <c r="D65" s="117">
        <f>NPV(After_Tax_Cost_of_Capital,J$8:J22)</f>
        <v>-216030722.56202528</v>
      </c>
      <c r="E65" s="118">
        <f t="shared" si="5"/>
        <v>206387444.4063471</v>
      </c>
      <c r="L65" s="52">
        <v>2038</v>
      </c>
      <c r="M65" s="146">
        <f t="shared" si="4"/>
        <v>216030722.56202528</v>
      </c>
      <c r="N65" s="118">
        <f t="shared" si="6"/>
        <v>206387444.4063471</v>
      </c>
    </row>
    <row r="66" spans="2:14">
      <c r="B66">
        <v>16</v>
      </c>
      <c r="C66" s="52">
        <v>2039</v>
      </c>
      <c r="D66" s="117">
        <f>NPV(After_Tax_Cost_of_Capital,J$8:J23)</f>
        <v>-234725389.02187333</v>
      </c>
      <c r="E66" s="118">
        <f t="shared" si="5"/>
        <v>206387444.4063471</v>
      </c>
      <c r="L66" s="52">
        <v>2039</v>
      </c>
      <c r="M66" s="117">
        <f t="shared" si="4"/>
        <v>234725389.02187333</v>
      </c>
      <c r="N66" s="118">
        <f t="shared" si="6"/>
        <v>206387444.4063471</v>
      </c>
    </row>
    <row r="67" spans="2:14">
      <c r="B67">
        <v>17</v>
      </c>
      <c r="C67" s="52">
        <v>2040</v>
      </c>
      <c r="D67" s="117">
        <f>NPV(After_Tax_Cost_of_Capital,J$8:J24)</f>
        <v>-241532828.79012099</v>
      </c>
      <c r="E67" s="118">
        <f t="shared" si="5"/>
        <v>206387444.4063471</v>
      </c>
      <c r="L67" s="52">
        <v>2040</v>
      </c>
      <c r="M67" s="117">
        <f t="shared" si="4"/>
        <v>241532828.79012099</v>
      </c>
      <c r="N67" s="118">
        <f t="shared" si="6"/>
        <v>206387444.4063471</v>
      </c>
    </row>
    <row r="68" spans="2:14">
      <c r="B68">
        <v>18</v>
      </c>
      <c r="C68" s="52">
        <v>2041</v>
      </c>
      <c r="D68" s="117">
        <f>NPV(After_Tax_Cost_of_Capital,J$8:J25)</f>
        <v>-259694135.53732133</v>
      </c>
      <c r="E68" s="118">
        <f t="shared" si="5"/>
        <v>206387444.4063471</v>
      </c>
      <c r="L68" s="52">
        <v>2041</v>
      </c>
      <c r="M68" s="117">
        <f t="shared" si="4"/>
        <v>259694135.53732133</v>
      </c>
      <c r="N68" s="118">
        <f t="shared" si="6"/>
        <v>206387444.4063471</v>
      </c>
    </row>
    <row r="69" spans="2:14">
      <c r="B69">
        <v>19</v>
      </c>
      <c r="C69" s="52">
        <v>2042</v>
      </c>
      <c r="D69" s="117">
        <f>NPV(After_Tax_Cost_of_Capital,J$8:J26)</f>
        <v>-277524359.6388998</v>
      </c>
      <c r="E69" s="118">
        <f t="shared" si="5"/>
        <v>206387444.4063471</v>
      </c>
      <c r="L69" s="52">
        <v>2042</v>
      </c>
      <c r="M69" s="117">
        <f t="shared" si="4"/>
        <v>277524359.6388998</v>
      </c>
      <c r="N69" s="118">
        <f t="shared" si="6"/>
        <v>206387444.4063471</v>
      </c>
    </row>
    <row r="70" spans="2:14">
      <c r="B70">
        <v>20</v>
      </c>
      <c r="C70" s="52">
        <v>2043</v>
      </c>
      <c r="D70" s="117">
        <f>NPV(After_Tax_Cost_of_Capital,J$8:J27)</f>
        <v>-294858700.30240488</v>
      </c>
      <c r="E70" s="118">
        <f t="shared" si="5"/>
        <v>206387444.4063471</v>
      </c>
      <c r="L70" s="52">
        <v>2043</v>
      </c>
      <c r="M70" s="117">
        <f t="shared" si="4"/>
        <v>294858700.30240488</v>
      </c>
      <c r="N70" s="118">
        <f t="shared" si="6"/>
        <v>206387444.4063471</v>
      </c>
    </row>
    <row r="71" spans="2:14">
      <c r="B71">
        <v>21</v>
      </c>
      <c r="C71" s="52">
        <v>2044</v>
      </c>
      <c r="D71" s="117">
        <f>NPV(After_Tax_Cost_of_Capital,J$8:J28)</f>
        <v>-310194553.31296325</v>
      </c>
      <c r="E71" s="118">
        <f t="shared" si="5"/>
        <v>206387444.4063471</v>
      </c>
      <c r="L71" s="52">
        <v>2044</v>
      </c>
      <c r="M71" s="117">
        <f t="shared" si="4"/>
        <v>310194553.31296325</v>
      </c>
      <c r="N71" s="118">
        <f t="shared" si="6"/>
        <v>206387444.4063471</v>
      </c>
    </row>
    <row r="72" spans="2:14">
      <c r="B72">
        <v>22</v>
      </c>
      <c r="C72" s="52">
        <v>2045</v>
      </c>
      <c r="D72" s="117">
        <f>NPV(After_Tax_Cost_of_Capital,J$8:J29)</f>
        <v>-327249035.31116712</v>
      </c>
      <c r="E72" s="118">
        <f t="shared" si="5"/>
        <v>206387444.4063471</v>
      </c>
      <c r="L72" s="52">
        <v>2045</v>
      </c>
      <c r="M72" s="117">
        <f t="shared" si="4"/>
        <v>327249035.31116712</v>
      </c>
      <c r="N72" s="118">
        <f t="shared" si="6"/>
        <v>206387444.4063471</v>
      </c>
    </row>
    <row r="73" spans="2:14">
      <c r="B73">
        <v>23</v>
      </c>
      <c r="C73" s="52">
        <v>2046</v>
      </c>
      <c r="D73" s="117">
        <f>NPV(After_Tax_Cost_of_Capital,J$8:J30)</f>
        <v>-344021404.64167267</v>
      </c>
      <c r="E73" s="118">
        <f t="shared" si="5"/>
        <v>206387444.4063471</v>
      </c>
      <c r="L73" s="52">
        <v>2046</v>
      </c>
      <c r="M73" s="117">
        <f t="shared" si="4"/>
        <v>344021404.64167267</v>
      </c>
      <c r="N73" s="118">
        <f t="shared" si="6"/>
        <v>206387444.4063471</v>
      </c>
    </row>
    <row r="74" spans="2:14">
      <c r="B74">
        <v>24</v>
      </c>
      <c r="C74" s="52">
        <v>2047</v>
      </c>
      <c r="D74" s="117">
        <f>NPV(After_Tax_Cost_of_Capital,J$8:J31)</f>
        <v>-360510340.61181623</v>
      </c>
      <c r="E74" s="118">
        <f t="shared" si="5"/>
        <v>206387444.4063471</v>
      </c>
      <c r="L74" s="52">
        <v>2047</v>
      </c>
      <c r="M74" s="117">
        <f t="shared" si="4"/>
        <v>360510340.61181623</v>
      </c>
      <c r="N74" s="118">
        <f t="shared" si="6"/>
        <v>206387444.4063471</v>
      </c>
    </row>
    <row r="75" spans="2:14">
      <c r="B75">
        <v>25</v>
      </c>
      <c r="C75" s="52">
        <v>2048</v>
      </c>
      <c r="D75" s="117">
        <f>NPV(After_Tax_Cost_of_Capital,J$8:J32)</f>
        <v>-376714919.14802718</v>
      </c>
      <c r="E75" s="118">
        <f t="shared" si="5"/>
        <v>206387444.4063471</v>
      </c>
      <c r="L75" s="52">
        <v>2048</v>
      </c>
      <c r="M75" s="117">
        <f t="shared" si="4"/>
        <v>376714919.14802718</v>
      </c>
      <c r="N75" s="118">
        <f t="shared" si="6"/>
        <v>206387444.4063471</v>
      </c>
    </row>
    <row r="76" spans="2:14">
      <c r="B76">
        <v>26</v>
      </c>
      <c r="C76" s="52">
        <v>2049</v>
      </c>
      <c r="D76" s="117">
        <f>NPV(After_Tax_Cost_of_Capital,J$8:J33)</f>
        <v>-392634596.85951614</v>
      </c>
      <c r="E76" s="118">
        <f t="shared" si="5"/>
        <v>206387444.4063471</v>
      </c>
      <c r="L76" s="52">
        <v>2049</v>
      </c>
      <c r="M76" s="117">
        <f t="shared" si="4"/>
        <v>392634596.85951614</v>
      </c>
      <c r="N76" s="118">
        <f t="shared" si="6"/>
        <v>206387444.4063471</v>
      </c>
    </row>
    <row r="77" spans="2:14">
      <c r="B77">
        <v>27</v>
      </c>
      <c r="C77" s="52">
        <v>2050</v>
      </c>
      <c r="D77" s="117">
        <f>NPV(After_Tax_Cost_of_Capital,J$8:J34)</f>
        <v>-408269194.29207867</v>
      </c>
      <c r="E77" s="118">
        <f t="shared" si="5"/>
        <v>206387444.4063471</v>
      </c>
      <c r="L77" s="52">
        <v>2050</v>
      </c>
      <c r="M77" s="117">
        <f t="shared" si="4"/>
        <v>408269194.29207867</v>
      </c>
      <c r="N77" s="118">
        <f t="shared" si="6"/>
        <v>206387444.4063471</v>
      </c>
    </row>
    <row r="78" spans="2:14">
      <c r="B78">
        <v>28</v>
      </c>
      <c r="C78" s="52">
        <v>2051</v>
      </c>
      <c r="D78" s="117">
        <f>NPV(After_Tax_Cost_of_Capital,J$8:J35)</f>
        <v>-423618711.70735317</v>
      </c>
      <c r="E78" s="118">
        <f t="shared" si="5"/>
        <v>206387444.4063471</v>
      </c>
      <c r="L78" s="52">
        <v>2051</v>
      </c>
      <c r="M78" s="117">
        <f t="shared" si="4"/>
        <v>423618711.70735317</v>
      </c>
      <c r="N78" s="118">
        <f t="shared" si="6"/>
        <v>206387444.4063471</v>
      </c>
    </row>
    <row r="79" spans="2:14">
      <c r="B79">
        <v>29</v>
      </c>
      <c r="C79" s="52">
        <v>2052</v>
      </c>
      <c r="D79" s="117">
        <f>NPV(After_Tax_Cost_of_Capital,J$8:J36)</f>
        <v>-438639394.07612026</v>
      </c>
      <c r="E79" s="118">
        <f t="shared" si="5"/>
        <v>206387444.4063471</v>
      </c>
      <c r="L79" s="52">
        <v>2052</v>
      </c>
      <c r="M79" s="117">
        <f t="shared" si="4"/>
        <v>438639394.07612026</v>
      </c>
      <c r="N79" s="118">
        <f t="shared" si="6"/>
        <v>206387444.4063471</v>
      </c>
    </row>
    <row r="80" spans="2:14">
      <c r="B80">
        <v>30</v>
      </c>
      <c r="C80" s="52">
        <v>2053</v>
      </c>
      <c r="D80" s="117">
        <f>NPV(After_Tax_Cost_of_Capital,J$8:J37)</f>
        <v>-453210096.6245693</v>
      </c>
      <c r="E80" s="118">
        <f t="shared" si="5"/>
        <v>206387444.4063471</v>
      </c>
      <c r="L80" s="52">
        <v>2053</v>
      </c>
      <c r="M80" s="117">
        <f t="shared" si="4"/>
        <v>453210096.6245693</v>
      </c>
      <c r="N80" s="118">
        <f t="shared" si="6"/>
        <v>206387444.4063471</v>
      </c>
    </row>
    <row r="81" spans="2:14">
      <c r="B81">
        <v>31</v>
      </c>
      <c r="C81" s="52">
        <v>2054</v>
      </c>
      <c r="D81" s="117">
        <f>NPV(After_Tax_Cost_of_Capital,J$8:J38)</f>
        <v>-467708233.59187603</v>
      </c>
      <c r="E81" s="118">
        <f t="shared" si="5"/>
        <v>206387444.4063471</v>
      </c>
      <c r="L81" s="52">
        <v>2054</v>
      </c>
      <c r="M81" s="117">
        <f t="shared" si="4"/>
        <v>467708233.59187603</v>
      </c>
      <c r="N81" s="118">
        <f t="shared" si="6"/>
        <v>206387444.4063471</v>
      </c>
    </row>
    <row r="82" spans="2:14">
      <c r="B82">
        <v>32</v>
      </c>
      <c r="C82" s="52">
        <v>2055</v>
      </c>
      <c r="D82" s="117">
        <f>NPV(After_Tax_Cost_of_Capital,J$8:J39)</f>
        <v>-481925009.54630721</v>
      </c>
      <c r="E82" s="118">
        <f t="shared" si="5"/>
        <v>206387444.4063471</v>
      </c>
      <c r="L82" s="52">
        <v>2055</v>
      </c>
      <c r="M82" s="117">
        <f t="shared" si="4"/>
        <v>481925009.54630721</v>
      </c>
      <c r="N82" s="118">
        <f t="shared" si="6"/>
        <v>206387444.4063471</v>
      </c>
    </row>
    <row r="83" spans="2:14">
      <c r="B83">
        <v>33</v>
      </c>
      <c r="C83" s="52">
        <v>2056</v>
      </c>
      <c r="D83" s="117">
        <f>NPV(After_Tax_Cost_of_Capital,J$8:J40)</f>
        <v>-495862082.28630203</v>
      </c>
      <c r="E83" s="118">
        <f t="shared" si="5"/>
        <v>206387444.4063471</v>
      </c>
      <c r="L83" s="52">
        <v>2056</v>
      </c>
      <c r="M83" s="117">
        <f t="shared" si="4"/>
        <v>495862082.28630203</v>
      </c>
      <c r="N83" s="118">
        <f t="shared" si="6"/>
        <v>206387444.4063471</v>
      </c>
    </row>
    <row r="84" spans="2:14">
      <c r="B84">
        <v>34</v>
      </c>
      <c r="C84" s="52">
        <v>2057</v>
      </c>
      <c r="D84" s="117">
        <f>NPV(After_Tax_Cost_of_Capital,J$8:J41)</f>
        <v>-509909416.67653292</v>
      </c>
      <c r="E84" s="118">
        <f t="shared" si="5"/>
        <v>206387444.4063471</v>
      </c>
      <c r="L84" s="52">
        <v>2057</v>
      </c>
      <c r="M84" s="117">
        <f t="shared" si="4"/>
        <v>509909416.67653292</v>
      </c>
      <c r="N84" s="118">
        <f t="shared" si="6"/>
        <v>206387444.4063471</v>
      </c>
    </row>
    <row r="85" spans="2:14">
      <c r="B85">
        <v>35</v>
      </c>
      <c r="C85" s="52">
        <v>2058</v>
      </c>
      <c r="D85" s="117">
        <f>NPV(After_Tax_Cost_of_Capital,J$8:J42)</f>
        <v>-523853689.67998749</v>
      </c>
      <c r="E85" s="118">
        <f t="shared" si="5"/>
        <v>206387444.4063471</v>
      </c>
      <c r="L85" s="52">
        <v>2058</v>
      </c>
      <c r="M85" s="117">
        <f t="shared" si="4"/>
        <v>523853689.67998749</v>
      </c>
      <c r="N85" s="118">
        <f t="shared" si="6"/>
        <v>206387444.4063471</v>
      </c>
    </row>
    <row r="86" spans="2:14">
      <c r="B86">
        <v>36</v>
      </c>
      <c r="C86" s="52">
        <v>2059</v>
      </c>
      <c r="D86" s="117">
        <f>NPV(After_Tax_Cost_of_Capital,J$8:J43)</f>
        <v>-537470588.21022141</v>
      </c>
      <c r="E86" s="118">
        <f t="shared" si="5"/>
        <v>206387444.4063471</v>
      </c>
      <c r="L86" s="52">
        <v>2059</v>
      </c>
      <c r="M86" s="117">
        <f t="shared" si="4"/>
        <v>537470588.21022141</v>
      </c>
      <c r="N86" s="118">
        <f t="shared" si="6"/>
        <v>206387444.4063471</v>
      </c>
    </row>
    <row r="87" spans="2:14">
      <c r="B87">
        <v>37</v>
      </c>
      <c r="C87" s="52">
        <v>2060</v>
      </c>
      <c r="D87" s="117">
        <f>NPV(After_Tax_Cost_of_Capital,J$8:J44)</f>
        <v>-550766460.94807756</v>
      </c>
      <c r="E87" s="118">
        <f t="shared" si="5"/>
        <v>206387444.4063471</v>
      </c>
      <c r="L87" s="52">
        <v>2060</v>
      </c>
      <c r="M87" s="117">
        <f t="shared" si="4"/>
        <v>550766460.94807756</v>
      </c>
      <c r="N87" s="118">
        <f t="shared" si="6"/>
        <v>206387444.4063471</v>
      </c>
    </row>
    <row r="88" spans="2:14">
      <c r="B88">
        <v>38</v>
      </c>
      <c r="C88" s="52">
        <v>2061</v>
      </c>
      <c r="D88" s="117">
        <f>NPV(After_Tax_Cost_of_Capital,J$8:J45)</f>
        <v>-563829269.56626284</v>
      </c>
      <c r="E88" s="118">
        <f t="shared" si="5"/>
        <v>206387444.4063471</v>
      </c>
      <c r="L88" s="52">
        <v>2061</v>
      </c>
      <c r="M88" s="117">
        <f t="shared" si="4"/>
        <v>563829269.56626284</v>
      </c>
      <c r="N88" s="118">
        <f t="shared" si="6"/>
        <v>206387444.4063471</v>
      </c>
    </row>
    <row r="89" spans="2:14">
      <c r="B89">
        <v>39</v>
      </c>
      <c r="C89" s="52">
        <v>2062</v>
      </c>
      <c r="D89" s="117">
        <f>NPV(After_Tax_Cost_of_Capital,J$8:J46)</f>
        <v>-576659532.50052834</v>
      </c>
      <c r="E89" s="118">
        <f t="shared" si="5"/>
        <v>206387444.4063471</v>
      </c>
      <c r="L89" s="52">
        <v>2062</v>
      </c>
      <c r="M89" s="117">
        <f t="shared" si="4"/>
        <v>576659532.50052834</v>
      </c>
      <c r="N89" s="118">
        <f t="shared" si="6"/>
        <v>206387444.4063471</v>
      </c>
    </row>
    <row r="90" spans="2:14">
      <c r="B90">
        <v>40</v>
      </c>
      <c r="C90" s="52">
        <v>2063</v>
      </c>
      <c r="D90" s="117">
        <f>NPV(After_Tax_Cost_of_Capital,J$8:J47)</f>
        <v>-589256114.15046537</v>
      </c>
      <c r="E90" s="118">
        <f t="shared" si="5"/>
        <v>206387444.4063471</v>
      </c>
      <c r="L90" s="52">
        <v>2063</v>
      </c>
      <c r="M90" s="117">
        <f t="shared" si="4"/>
        <v>589256114.15046537</v>
      </c>
      <c r="N90" s="118">
        <f t="shared" si="6"/>
        <v>206387444.4063471</v>
      </c>
    </row>
  </sheetData>
  <mergeCells count="2">
    <mergeCell ref="C4:J4"/>
    <mergeCell ref="C7:J7"/>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D839-C3F6-42C1-81FE-F979B30AAA72}">
  <dimension ref="B2:AH64"/>
  <sheetViews>
    <sheetView showGridLines="0" zoomScale="75" zoomScaleNormal="75" workbookViewId="0">
      <selection activeCell="J33" sqref="J33"/>
    </sheetView>
  </sheetViews>
  <sheetFormatPr defaultRowHeight="15"/>
  <cols>
    <col min="3" max="7" width="17.5703125" customWidth="1"/>
    <col min="10" max="15" width="17.5703125" customWidth="1"/>
    <col min="18" max="23" width="17.5703125" customWidth="1"/>
    <col min="24" max="26" width="4.42578125" customWidth="1"/>
    <col min="28" max="28" width="18.42578125" customWidth="1"/>
    <col min="29" max="29" width="18" customWidth="1"/>
    <col min="30" max="30" width="13.5703125" bestFit="1" customWidth="1"/>
    <col min="31" max="31" width="14.7109375" customWidth="1"/>
    <col min="33" max="33" width="18.28515625" customWidth="1"/>
    <col min="34" max="34" width="12.5703125" bestFit="1" customWidth="1"/>
  </cols>
  <sheetData>
    <row r="2" spans="2:34">
      <c r="C2" s="172" t="s">
        <v>191</v>
      </c>
      <c r="D2" s="172"/>
      <c r="E2" s="172"/>
      <c r="F2" s="172"/>
      <c r="AD2" s="28">
        <v>0.5</v>
      </c>
    </row>
    <row r="3" spans="2:34" ht="70.150000000000006" customHeight="1">
      <c r="B3" s="11" t="s">
        <v>60</v>
      </c>
      <c r="C3" s="11" t="s">
        <v>61</v>
      </c>
      <c r="D3" s="11" t="s">
        <v>62</v>
      </c>
      <c r="E3" s="11" t="s">
        <v>63</v>
      </c>
      <c r="F3" s="11" t="s">
        <v>64</v>
      </c>
      <c r="G3" s="11" t="s">
        <v>65</v>
      </c>
      <c r="I3" s="11" t="s">
        <v>66</v>
      </c>
      <c r="J3" s="11" t="s">
        <v>61</v>
      </c>
      <c r="K3" s="11" t="s">
        <v>62</v>
      </c>
      <c r="L3" s="11" t="s">
        <v>63</v>
      </c>
      <c r="M3" s="11" t="s">
        <v>64</v>
      </c>
      <c r="N3" s="11" t="s">
        <v>65</v>
      </c>
      <c r="O3" s="11" t="s">
        <v>67</v>
      </c>
      <c r="Q3" s="11" t="s">
        <v>68</v>
      </c>
      <c r="R3" s="11" t="s">
        <v>61</v>
      </c>
      <c r="S3" s="11" t="s">
        <v>62</v>
      </c>
      <c r="T3" s="11" t="s">
        <v>63</v>
      </c>
      <c r="U3" s="11" t="s">
        <v>64</v>
      </c>
      <c r="V3" s="11" t="s">
        <v>65</v>
      </c>
      <c r="W3" s="11" t="s">
        <v>67</v>
      </c>
      <c r="AA3" s="10" t="s">
        <v>52</v>
      </c>
      <c r="AB3" s="1" t="s">
        <v>69</v>
      </c>
      <c r="AC3" s="1" t="s">
        <v>70</v>
      </c>
      <c r="AD3" s="29" t="s">
        <v>71</v>
      </c>
      <c r="AE3" s="29" t="s">
        <v>72</v>
      </c>
      <c r="AG3" s="29" t="s">
        <v>73</v>
      </c>
      <c r="AH3" s="29" t="s">
        <v>72</v>
      </c>
    </row>
    <row r="4" spans="2:34">
      <c r="B4" s="12">
        <v>2024</v>
      </c>
      <c r="C4" s="112">
        <v>1385451050.6339812</v>
      </c>
      <c r="D4" s="112">
        <v>1405355214.3556116</v>
      </c>
      <c r="E4" s="112">
        <v>-5946555.1157393064</v>
      </c>
      <c r="F4" s="112">
        <v>-1773076.7458481428</v>
      </c>
      <c r="G4" s="13">
        <f>C4-D4</f>
        <v>-19904163.721630335</v>
      </c>
      <c r="I4" s="12">
        <v>2024</v>
      </c>
      <c r="J4" s="13">
        <f>C4*1.3</f>
        <v>1801086365.8241756</v>
      </c>
      <c r="K4" s="13">
        <f t="shared" ref="K4:K17" si="0">D4*1.3</f>
        <v>1826961778.6622951</v>
      </c>
      <c r="L4" s="13">
        <f t="shared" ref="L4:L17" si="1">E4*1.3</f>
        <v>-7730521.6504610982</v>
      </c>
      <c r="M4" s="13">
        <f t="shared" ref="M4:M17" si="2">F4*1.3</f>
        <v>-2304999.7696025856</v>
      </c>
      <c r="N4" s="13">
        <f>J4-K4</f>
        <v>-25875412.838119507</v>
      </c>
      <c r="O4" s="13">
        <f t="shared" ref="O4:O17" si="3">L4-M4</f>
        <v>-5425521.8808585126</v>
      </c>
      <c r="Q4" s="12">
        <v>2024</v>
      </c>
      <c r="R4" s="13">
        <f t="shared" ref="R4:R17" si="4">J4/1.021^($I4-Start_Year)</f>
        <v>1764041494.4409165</v>
      </c>
      <c r="S4" s="13">
        <f t="shared" ref="S4:S17" si="5">K4/1.021^($I4-Start_Year)</f>
        <v>1789384699.9630709</v>
      </c>
      <c r="T4" s="13">
        <f t="shared" ref="T4:T17" si="6">L4/1.021^($I4-Start_Year)</f>
        <v>-7571519.7360049943</v>
      </c>
      <c r="U4" s="13">
        <f t="shared" ref="U4:U17" si="7">M4/1.021^($I4-Start_Year)</f>
        <v>-2257590.3717948929</v>
      </c>
      <c r="V4" s="13">
        <f>R4-S4</f>
        <v>-25343205.522154331</v>
      </c>
      <c r="W4" s="13">
        <f t="shared" ref="W4:W17" si="8">T4-U4</f>
        <v>-5313929.3642101008</v>
      </c>
      <c r="AA4" s="14">
        <v>2024</v>
      </c>
      <c r="AB4" s="5">
        <f t="shared" ref="AB4:AB15" si="9">N4</f>
        <v>-25875412.838119507</v>
      </c>
      <c r="AC4" s="26">
        <f>'#1-Without Volatility'!H20</f>
        <v>-13907067.487240791</v>
      </c>
      <c r="AD4" s="30">
        <f>AC4+(AB4-AC4)*$AD$2</f>
        <v>-19891240.162680149</v>
      </c>
      <c r="AE4" s="30">
        <f>O4</f>
        <v>-5425521.8808585126</v>
      </c>
      <c r="AG4" s="31">
        <f>NPV(After_Tax_Cost_of_Capital,AD4:AD43)</f>
        <v>-794470249.78508949</v>
      </c>
      <c r="AH4" s="31">
        <f>NPV(After_Tax_Cost_of_Capital,AE4:AE43)</f>
        <v>-74444577.970155969</v>
      </c>
    </row>
    <row r="5" spans="2:34">
      <c r="B5" s="12">
        <v>2025</v>
      </c>
      <c r="C5" s="112">
        <v>1358181794.1667385</v>
      </c>
      <c r="D5" s="112">
        <v>1373857179.6847155</v>
      </c>
      <c r="E5" s="112">
        <v>-5323954.3247795068</v>
      </c>
      <c r="F5" s="112">
        <v>-1896440.9966497044</v>
      </c>
      <c r="G5" s="13">
        <f t="shared" ref="G5:G17" si="10">C5-D5</f>
        <v>-15675385.517976999</v>
      </c>
      <c r="I5" s="12">
        <v>2025</v>
      </c>
      <c r="J5" s="13">
        <f t="shared" ref="J5:J17" si="11">C5*1.3</f>
        <v>1765636332.4167602</v>
      </c>
      <c r="K5" s="13">
        <f t="shared" si="0"/>
        <v>1786014333.5901303</v>
      </c>
      <c r="L5" s="13">
        <f t="shared" si="1"/>
        <v>-6921140.622213359</v>
      </c>
      <c r="M5" s="13">
        <f t="shared" si="2"/>
        <v>-2465373.2956446158</v>
      </c>
      <c r="N5" s="13">
        <f t="shared" ref="N5:N17" si="12">J5-K5</f>
        <v>-20378001.173370123</v>
      </c>
      <c r="O5" s="13">
        <f t="shared" si="3"/>
        <v>-4455767.3265687432</v>
      </c>
      <c r="Q5" s="12">
        <v>2025</v>
      </c>
      <c r="R5" s="13">
        <f t="shared" si="4"/>
        <v>1693751811.7732904</v>
      </c>
      <c r="S5" s="13">
        <f t="shared" si="5"/>
        <v>1713300161.4385185</v>
      </c>
      <c r="T5" s="13">
        <f t="shared" si="6"/>
        <v>-6639359.5630000746</v>
      </c>
      <c r="U5" s="13">
        <f t="shared" si="7"/>
        <v>-2365000.3171830508</v>
      </c>
      <c r="V5" s="13">
        <f t="shared" ref="V5:V17" si="13">R5-S5</f>
        <v>-19548349.665228128</v>
      </c>
      <c r="W5" s="13">
        <f t="shared" si="8"/>
        <v>-4274359.2458170243</v>
      </c>
      <c r="AA5" s="14">
        <v>2025</v>
      </c>
      <c r="AB5" s="5">
        <f t="shared" si="9"/>
        <v>-20378001.173370123</v>
      </c>
      <c r="AC5" s="26">
        <f>'#1-Without Volatility'!H21</f>
        <v>-7961716.319996357</v>
      </c>
      <c r="AD5" s="30">
        <f t="shared" ref="AD5:AD43" si="14">AC5+(AB5-AC5)*$AD$2</f>
        <v>-14169858.74668324</v>
      </c>
      <c r="AE5" s="30">
        <f t="shared" ref="AE5:AE15" si="15">O5</f>
        <v>-4455767.3265687432</v>
      </c>
    </row>
    <row r="6" spans="2:34">
      <c r="B6" s="14">
        <v>2026</v>
      </c>
      <c r="C6" s="112">
        <v>1273398323.866123</v>
      </c>
      <c r="D6" s="112">
        <v>1290667756.3321362</v>
      </c>
      <c r="E6" s="112">
        <v>-3601843.6696614409</v>
      </c>
      <c r="F6" s="112">
        <v>-1063261.6187433756</v>
      </c>
      <c r="G6" s="13">
        <f t="shared" si="10"/>
        <v>-17269432.466013193</v>
      </c>
      <c r="I6" s="14">
        <v>2026</v>
      </c>
      <c r="J6" s="13">
        <f t="shared" si="11"/>
        <v>1655417821.02596</v>
      </c>
      <c r="K6" s="13">
        <f t="shared" si="0"/>
        <v>1677868083.231777</v>
      </c>
      <c r="L6" s="13">
        <f t="shared" si="1"/>
        <v>-4682396.7705598734</v>
      </c>
      <c r="M6" s="13">
        <f t="shared" si="2"/>
        <v>-1382240.1043663884</v>
      </c>
      <c r="N6" s="13">
        <f t="shared" si="12"/>
        <v>-22450262.205816984</v>
      </c>
      <c r="O6" s="13">
        <f t="shared" si="3"/>
        <v>-3300156.6661934853</v>
      </c>
      <c r="Q6" s="14">
        <v>2026</v>
      </c>
      <c r="R6" s="13">
        <f t="shared" si="4"/>
        <v>1555358116.7131045</v>
      </c>
      <c r="S6" s="13">
        <f t="shared" si="5"/>
        <v>1576451400.2942333</v>
      </c>
      <c r="T6" s="13">
        <f t="shared" si="6"/>
        <v>-4399375.0280203847</v>
      </c>
      <c r="U6" s="13">
        <f t="shared" si="7"/>
        <v>-1298692.2928256413</v>
      </c>
      <c r="V6" s="13">
        <f t="shared" si="13"/>
        <v>-21093283.581128836</v>
      </c>
      <c r="W6" s="13">
        <f t="shared" si="8"/>
        <v>-3100682.7351947436</v>
      </c>
      <c r="AA6" s="14">
        <v>2026</v>
      </c>
      <c r="AB6" s="5">
        <f t="shared" si="9"/>
        <v>-22450262.205816984</v>
      </c>
      <c r="AC6" s="26">
        <f>'#1-Without Volatility'!H22</f>
        <v>-12417189.941564322</v>
      </c>
      <c r="AD6" s="30">
        <f t="shared" si="14"/>
        <v>-17433726.073690653</v>
      </c>
      <c r="AE6" s="30">
        <f t="shared" si="15"/>
        <v>-3300156.6661934853</v>
      </c>
    </row>
    <row r="7" spans="2:34">
      <c r="B7" s="14">
        <v>2027</v>
      </c>
      <c r="C7" s="112">
        <v>1302077521.7895093</v>
      </c>
      <c r="D7" s="112">
        <v>1323703180.1432459</v>
      </c>
      <c r="E7" s="112">
        <v>-4612488.7862727251</v>
      </c>
      <c r="F7" s="112">
        <v>-1343235.8960656116</v>
      </c>
      <c r="G7" s="13">
        <f t="shared" si="10"/>
        <v>-21625658.353736639</v>
      </c>
      <c r="I7" s="14">
        <v>2027</v>
      </c>
      <c r="J7" s="13">
        <f t="shared" si="11"/>
        <v>1692700778.3263621</v>
      </c>
      <c r="K7" s="13">
        <f t="shared" si="0"/>
        <v>1720814134.1862197</v>
      </c>
      <c r="L7" s="13">
        <f t="shared" si="1"/>
        <v>-5996235.422154543</v>
      </c>
      <c r="M7" s="13">
        <f t="shared" si="2"/>
        <v>-1746206.6648852951</v>
      </c>
      <c r="N7" s="13">
        <f t="shared" si="12"/>
        <v>-28113355.859857559</v>
      </c>
      <c r="O7" s="13">
        <f t="shared" si="3"/>
        <v>-4250028.7572692484</v>
      </c>
      <c r="Q7" s="14">
        <v>2027</v>
      </c>
      <c r="R7" s="13">
        <f t="shared" si="4"/>
        <v>1557676347.978343</v>
      </c>
      <c r="S7" s="13">
        <f t="shared" si="5"/>
        <v>1583547139.8193541</v>
      </c>
      <c r="T7" s="13">
        <f t="shared" si="6"/>
        <v>-5517923.9081080081</v>
      </c>
      <c r="U7" s="13">
        <f t="shared" si="7"/>
        <v>-1606914.1430084065</v>
      </c>
      <c r="V7" s="13">
        <f t="shared" si="13"/>
        <v>-25870791.841011047</v>
      </c>
      <c r="W7" s="13">
        <f t="shared" si="8"/>
        <v>-3911009.7650996018</v>
      </c>
      <c r="AA7" s="14">
        <v>2027</v>
      </c>
      <c r="AB7" s="5">
        <f t="shared" si="9"/>
        <v>-28113355.859857559</v>
      </c>
      <c r="AC7" s="26">
        <f>'#1-Without Volatility'!H23</f>
        <v>-17197894.113091707</v>
      </c>
      <c r="AD7" s="30">
        <f t="shared" si="14"/>
        <v>-22655624.986474633</v>
      </c>
      <c r="AE7" s="30">
        <f t="shared" si="15"/>
        <v>-4250028.7572692484</v>
      </c>
    </row>
    <row r="8" spans="2:34">
      <c r="B8" s="14">
        <v>2028</v>
      </c>
      <c r="C8" s="112">
        <v>1358348110.4282522</v>
      </c>
      <c r="D8" s="112">
        <v>1391276283.3385396</v>
      </c>
      <c r="E8" s="112">
        <v>-5436641.7420895491</v>
      </c>
      <c r="F8" s="112">
        <v>-1178749.0064314795</v>
      </c>
      <c r="G8" s="13">
        <f t="shared" si="10"/>
        <v>-32928172.91028738</v>
      </c>
      <c r="I8" s="14">
        <v>2028</v>
      </c>
      <c r="J8" s="13">
        <f t="shared" si="11"/>
        <v>1765852543.5567279</v>
      </c>
      <c r="K8" s="13">
        <f t="shared" si="0"/>
        <v>1808659168.3401015</v>
      </c>
      <c r="L8" s="13">
        <f t="shared" si="1"/>
        <v>-7067634.2647164138</v>
      </c>
      <c r="M8" s="13">
        <f t="shared" si="2"/>
        <v>-1532373.7083609235</v>
      </c>
      <c r="N8" s="13">
        <f t="shared" si="12"/>
        <v>-42806624.783373594</v>
      </c>
      <c r="O8" s="13">
        <f t="shared" si="3"/>
        <v>-5535260.5563554903</v>
      </c>
      <c r="Q8" s="14">
        <v>2028</v>
      </c>
      <c r="R8" s="13">
        <f t="shared" si="4"/>
        <v>1591569928.2636573</v>
      </c>
      <c r="S8" s="13">
        <f t="shared" si="5"/>
        <v>1630151709.6158297</v>
      </c>
      <c r="T8" s="13">
        <f t="shared" si="6"/>
        <v>-6370086.9026310677</v>
      </c>
      <c r="U8" s="13">
        <f t="shared" si="7"/>
        <v>-1381134.5245038352</v>
      </c>
      <c r="V8" s="13">
        <f t="shared" si="13"/>
        <v>-38581781.352172375</v>
      </c>
      <c r="W8" s="13">
        <f t="shared" si="8"/>
        <v>-4988952.3781272322</v>
      </c>
      <c r="AA8" s="14">
        <v>2028</v>
      </c>
      <c r="AB8" s="5">
        <f t="shared" si="9"/>
        <v>-42806624.783373594</v>
      </c>
      <c r="AC8" s="26">
        <f>'#1-Without Volatility'!H24</f>
        <v>-29866694.833969831</v>
      </c>
      <c r="AD8" s="30">
        <f t="shared" si="14"/>
        <v>-36336659.808671713</v>
      </c>
      <c r="AE8" s="30">
        <f t="shared" si="15"/>
        <v>-5535260.5563554903</v>
      </c>
    </row>
    <row r="9" spans="2:34">
      <c r="B9" s="14">
        <v>2029</v>
      </c>
      <c r="C9" s="112">
        <v>1455878945.6182277</v>
      </c>
      <c r="D9" s="112">
        <v>1488616279.0566971</v>
      </c>
      <c r="E9" s="112">
        <v>-5762419.7437183997</v>
      </c>
      <c r="F9" s="112">
        <v>-1852963.5874405501</v>
      </c>
      <c r="G9" s="13">
        <f t="shared" si="10"/>
        <v>-32737333.43846941</v>
      </c>
      <c r="I9" s="14">
        <v>2029</v>
      </c>
      <c r="J9" s="13">
        <f t="shared" si="11"/>
        <v>1892642629.3036962</v>
      </c>
      <c r="K9" s="13">
        <f t="shared" si="0"/>
        <v>1935201162.7737064</v>
      </c>
      <c r="L9" s="13">
        <f t="shared" si="1"/>
        <v>-7491145.6668339195</v>
      </c>
      <c r="M9" s="13">
        <f t="shared" si="2"/>
        <v>-2408852.6636727154</v>
      </c>
      <c r="N9" s="13">
        <f t="shared" si="12"/>
        <v>-42558533.470010281</v>
      </c>
      <c r="O9" s="13">
        <f t="shared" si="3"/>
        <v>-5082293.003161204</v>
      </c>
      <c r="Q9" s="14">
        <v>2029</v>
      </c>
      <c r="R9" s="13">
        <f t="shared" si="4"/>
        <v>1670760369.6015055</v>
      </c>
      <c r="S9" s="13">
        <f t="shared" si="5"/>
        <v>1708329591.6031318</v>
      </c>
      <c r="T9" s="13">
        <f t="shared" si="6"/>
        <v>-6612927.9290632708</v>
      </c>
      <c r="U9" s="13">
        <f t="shared" si="7"/>
        <v>-2126452.9839709117</v>
      </c>
      <c r="V9" s="13">
        <f t="shared" si="13"/>
        <v>-37569222.001626253</v>
      </c>
      <c r="W9" s="13">
        <f t="shared" si="8"/>
        <v>-4486474.9450923596</v>
      </c>
      <c r="AA9" s="14">
        <v>2029</v>
      </c>
      <c r="AB9" s="5">
        <f t="shared" si="9"/>
        <v>-42558533.470010281</v>
      </c>
      <c r="AC9" s="26">
        <f>'#1-Without Volatility'!H25</f>
        <v>-29072105.078477144</v>
      </c>
      <c r="AD9" s="30">
        <f t="shared" si="14"/>
        <v>-35815319.274243712</v>
      </c>
      <c r="AE9" s="30">
        <f t="shared" si="15"/>
        <v>-5082293.003161204</v>
      </c>
    </row>
    <row r="10" spans="2:34">
      <c r="B10" s="14">
        <v>2030</v>
      </c>
      <c r="C10" s="112">
        <v>1515229224.1945434</v>
      </c>
      <c r="D10" s="112">
        <v>1546370199.5608768</v>
      </c>
      <c r="E10" s="112">
        <v>-3881220.4526846926</v>
      </c>
      <c r="F10" s="112">
        <v>-1591300.6070967666</v>
      </c>
      <c r="G10" s="13">
        <f t="shared" si="10"/>
        <v>-31140975.366333485</v>
      </c>
      <c r="I10" s="14">
        <v>2030</v>
      </c>
      <c r="J10" s="13">
        <f t="shared" si="11"/>
        <v>1969797991.4529064</v>
      </c>
      <c r="K10" s="13">
        <f t="shared" si="0"/>
        <v>2010281259.4291399</v>
      </c>
      <c r="L10" s="13">
        <f t="shared" si="1"/>
        <v>-5045586.5884901006</v>
      </c>
      <c r="M10" s="13">
        <f t="shared" si="2"/>
        <v>-2068690.7892257967</v>
      </c>
      <c r="N10" s="13">
        <f t="shared" si="12"/>
        <v>-40483267.976233482</v>
      </c>
      <c r="O10" s="13">
        <f t="shared" si="3"/>
        <v>-2976895.7992643039</v>
      </c>
      <c r="Q10" s="14">
        <v>2030</v>
      </c>
      <c r="R10" s="13">
        <f t="shared" si="4"/>
        <v>1703105281.222544</v>
      </c>
      <c r="S10" s="13">
        <f t="shared" si="5"/>
        <v>1738107483.3725297</v>
      </c>
      <c r="T10" s="13">
        <f t="shared" si="6"/>
        <v>-4362460.1116507798</v>
      </c>
      <c r="U10" s="13">
        <f t="shared" si="7"/>
        <v>-1788608.894736564</v>
      </c>
      <c r="V10" s="13">
        <f t="shared" si="13"/>
        <v>-35002202.14998579</v>
      </c>
      <c r="W10" s="13">
        <f t="shared" si="8"/>
        <v>-2573851.2169142161</v>
      </c>
      <c r="AA10" s="14">
        <v>2030</v>
      </c>
      <c r="AB10" s="5">
        <f t="shared" si="9"/>
        <v>-40483267.976233482</v>
      </c>
      <c r="AC10" s="26">
        <f>'#1-Without Volatility'!H26</f>
        <v>-26475630.948000193</v>
      </c>
      <c r="AD10" s="30">
        <f t="shared" si="14"/>
        <v>-33479449.462116838</v>
      </c>
      <c r="AE10" s="30">
        <f t="shared" si="15"/>
        <v>-2976895.7992643039</v>
      </c>
    </row>
    <row r="11" spans="2:34">
      <c r="B11" s="14">
        <v>2031</v>
      </c>
      <c r="C11" s="112">
        <v>1604674955.8309257</v>
      </c>
      <c r="D11" s="112">
        <v>1642578572.7539909</v>
      </c>
      <c r="E11" s="112">
        <v>-4980223.3353578215</v>
      </c>
      <c r="F11" s="112">
        <v>-1135298.6476987612</v>
      </c>
      <c r="G11" s="13">
        <f t="shared" si="10"/>
        <v>-37903616.923065186</v>
      </c>
      <c r="I11" s="14">
        <v>2031</v>
      </c>
      <c r="J11" s="13">
        <f t="shared" si="11"/>
        <v>2086077442.5802035</v>
      </c>
      <c r="K11" s="13">
        <f t="shared" si="0"/>
        <v>2135352144.5801883</v>
      </c>
      <c r="L11" s="13">
        <f t="shared" si="1"/>
        <v>-6474290.3359651687</v>
      </c>
      <c r="M11" s="13">
        <f t="shared" si="2"/>
        <v>-1475888.2420083897</v>
      </c>
      <c r="N11" s="13">
        <f t="shared" si="12"/>
        <v>-49274701.999984741</v>
      </c>
      <c r="O11" s="13">
        <f t="shared" si="3"/>
        <v>-4998402.0939567788</v>
      </c>
      <c r="Q11" s="14">
        <v>2031</v>
      </c>
      <c r="R11" s="13">
        <f t="shared" si="4"/>
        <v>1766544126.8922551</v>
      </c>
      <c r="S11" s="13">
        <f t="shared" si="5"/>
        <v>1808271214.125783</v>
      </c>
      <c r="T11" s="13">
        <f t="shared" si="6"/>
        <v>-5482595.8688515127</v>
      </c>
      <c r="U11" s="13">
        <f t="shared" si="7"/>
        <v>-1249820.1901097524</v>
      </c>
      <c r="V11" s="13">
        <f t="shared" si="13"/>
        <v>-41727087.233527899</v>
      </c>
      <c r="W11" s="13">
        <f t="shared" si="8"/>
        <v>-4232775.6787417606</v>
      </c>
      <c r="AA11" s="14">
        <v>2031</v>
      </c>
      <c r="AB11" s="5">
        <f t="shared" si="9"/>
        <v>-49274701.999984741</v>
      </c>
      <c r="AC11" s="26">
        <f>'#1-Without Volatility'!H27</f>
        <v>-32392762.922955275</v>
      </c>
      <c r="AD11" s="30">
        <f t="shared" si="14"/>
        <v>-40833732.461470008</v>
      </c>
      <c r="AE11" s="30">
        <f t="shared" si="15"/>
        <v>-4998402.0939567788</v>
      </c>
    </row>
    <row r="12" spans="2:34">
      <c r="B12" s="14">
        <v>2032</v>
      </c>
      <c r="C12" s="112">
        <v>1695447932.9347107</v>
      </c>
      <c r="D12" s="112">
        <v>1733084397.8406389</v>
      </c>
      <c r="E12" s="112">
        <v>-4827851.686974436</v>
      </c>
      <c r="F12" s="112">
        <v>-1510771.7372282578</v>
      </c>
      <c r="G12" s="13">
        <f t="shared" si="10"/>
        <v>-37636464.905928135</v>
      </c>
      <c r="I12" s="14">
        <v>2032</v>
      </c>
      <c r="J12" s="13">
        <f t="shared" si="11"/>
        <v>2204082312.815124</v>
      </c>
      <c r="K12" s="13">
        <f t="shared" si="0"/>
        <v>2253009717.1928306</v>
      </c>
      <c r="L12" s="13">
        <f t="shared" si="1"/>
        <v>-6276207.1930667674</v>
      </c>
      <c r="M12" s="13">
        <f t="shared" si="2"/>
        <v>-1964003.2583967352</v>
      </c>
      <c r="N12" s="13">
        <f t="shared" si="12"/>
        <v>-48927404.377706528</v>
      </c>
      <c r="O12" s="13">
        <f t="shared" si="3"/>
        <v>-4312203.934670032</v>
      </c>
      <c r="Q12" s="14">
        <v>2032</v>
      </c>
      <c r="R12" s="13">
        <f t="shared" si="4"/>
        <v>1828083928.9363015</v>
      </c>
      <c r="S12" s="13">
        <f t="shared" si="5"/>
        <v>1868664719.0036259</v>
      </c>
      <c r="T12" s="13">
        <f t="shared" si="6"/>
        <v>-5205537.6687205201</v>
      </c>
      <c r="U12" s="13">
        <f t="shared" si="7"/>
        <v>-1628960.3941641708</v>
      </c>
      <c r="V12" s="13">
        <f t="shared" si="13"/>
        <v>-40580790.0673244</v>
      </c>
      <c r="W12" s="13">
        <f t="shared" si="8"/>
        <v>-3576577.274556349</v>
      </c>
      <c r="AA12" s="14">
        <v>2032</v>
      </c>
      <c r="AB12" s="5">
        <f t="shared" si="9"/>
        <v>-48927404.377706528</v>
      </c>
      <c r="AC12" s="26">
        <f>'#1-Without Volatility'!H28</f>
        <v>-31979018.879654408</v>
      </c>
      <c r="AD12" s="30">
        <f t="shared" si="14"/>
        <v>-40453211.628680468</v>
      </c>
      <c r="AE12" s="30">
        <f t="shared" si="15"/>
        <v>-4312203.934670032</v>
      </c>
    </row>
    <row r="13" spans="2:34">
      <c r="B13" s="14">
        <v>2033</v>
      </c>
      <c r="C13" s="112">
        <v>1792646817.6908653</v>
      </c>
      <c r="D13" s="112">
        <v>1832910574.9361742</v>
      </c>
      <c r="E13" s="112">
        <v>-5350425.974642206</v>
      </c>
      <c r="F13" s="112">
        <v>-1506867.7486473722</v>
      </c>
      <c r="G13" s="13">
        <f t="shared" si="10"/>
        <v>-40263757.245308876</v>
      </c>
      <c r="I13" s="14">
        <v>2033</v>
      </c>
      <c r="J13" s="13">
        <f t="shared" si="11"/>
        <v>2330440862.9981251</v>
      </c>
      <c r="K13" s="13">
        <f t="shared" si="0"/>
        <v>2382783747.4170265</v>
      </c>
      <c r="L13" s="13">
        <f t="shared" si="1"/>
        <v>-6955553.7670348678</v>
      </c>
      <c r="M13" s="13">
        <f t="shared" si="2"/>
        <v>-1958928.073241584</v>
      </c>
      <c r="N13" s="13">
        <f t="shared" si="12"/>
        <v>-52342884.418901443</v>
      </c>
      <c r="O13" s="13">
        <f t="shared" si="3"/>
        <v>-4996625.6937932838</v>
      </c>
      <c r="Q13" s="14">
        <v>2033</v>
      </c>
      <c r="R13" s="13">
        <f t="shared" si="4"/>
        <v>1893130994.8584087</v>
      </c>
      <c r="S13" s="13">
        <f t="shared" si="5"/>
        <v>1935651677.7159138</v>
      </c>
      <c r="T13" s="13">
        <f t="shared" si="6"/>
        <v>-5650336.2225795584</v>
      </c>
      <c r="U13" s="13">
        <f t="shared" si="7"/>
        <v>-1591333.0009931643</v>
      </c>
      <c r="V13" s="13">
        <f t="shared" si="13"/>
        <v>-42520682.857505083</v>
      </c>
      <c r="W13" s="13">
        <f t="shared" si="8"/>
        <v>-4059003.2215863941</v>
      </c>
      <c r="AA13" s="14">
        <v>2033</v>
      </c>
      <c r="AB13" s="5">
        <f t="shared" si="9"/>
        <v>-52342884.418901443</v>
      </c>
      <c r="AC13" s="26">
        <f>'#1-Without Volatility'!H29</f>
        <v>-32863251.67856741</v>
      </c>
      <c r="AD13" s="30">
        <f t="shared" si="14"/>
        <v>-42603068.048734426</v>
      </c>
      <c r="AE13" s="30">
        <f t="shared" si="15"/>
        <v>-4996625.6937932838</v>
      </c>
    </row>
    <row r="14" spans="2:34">
      <c r="B14" s="14">
        <v>2034</v>
      </c>
      <c r="C14" s="112">
        <v>1900328466.0053062</v>
      </c>
      <c r="D14" s="112">
        <v>1943446299.7313507</v>
      </c>
      <c r="E14" s="112">
        <v>-5549677.2536383774</v>
      </c>
      <c r="F14" s="112">
        <v>-1323006.0245902464</v>
      </c>
      <c r="G14" s="13">
        <f t="shared" si="10"/>
        <v>-43117833.726044416</v>
      </c>
      <c r="I14" s="14">
        <v>2034</v>
      </c>
      <c r="J14" s="13">
        <f t="shared" si="11"/>
        <v>2470427005.8068981</v>
      </c>
      <c r="K14" s="13">
        <f t="shared" si="0"/>
        <v>2526480189.6507559</v>
      </c>
      <c r="L14" s="13">
        <f t="shared" si="1"/>
        <v>-7214580.429729891</v>
      </c>
      <c r="M14" s="13">
        <f t="shared" si="2"/>
        <v>-1719907.8319673203</v>
      </c>
      <c r="N14" s="13">
        <f t="shared" si="12"/>
        <v>-56053183.843857765</v>
      </c>
      <c r="O14" s="13">
        <f t="shared" si="3"/>
        <v>-5494672.5977625707</v>
      </c>
      <c r="Q14" s="14">
        <v>2034</v>
      </c>
      <c r="R14" s="13">
        <f t="shared" si="4"/>
        <v>1965571576.2745461</v>
      </c>
      <c r="S14" s="13">
        <f t="shared" si="5"/>
        <v>2010169754.9150004</v>
      </c>
      <c r="T14" s="13">
        <f t="shared" si="6"/>
        <v>-5740211.7909538914</v>
      </c>
      <c r="U14" s="13">
        <f t="shared" si="7"/>
        <v>-1368428.1868602554</v>
      </c>
      <c r="V14" s="13">
        <f t="shared" si="13"/>
        <v>-44598178.640454292</v>
      </c>
      <c r="W14" s="13">
        <f t="shared" si="8"/>
        <v>-4371783.6040936355</v>
      </c>
      <c r="AA14" s="14">
        <v>2034</v>
      </c>
      <c r="AB14" s="5">
        <f t="shared" si="9"/>
        <v>-56053183.843857765</v>
      </c>
      <c r="AC14" s="26">
        <f>'#1-Without Volatility'!H30</f>
        <v>-33099088.55891037</v>
      </c>
      <c r="AD14" s="30">
        <f t="shared" si="14"/>
        <v>-44576136.201384068</v>
      </c>
      <c r="AE14" s="30">
        <f t="shared" si="15"/>
        <v>-5494672.5977625707</v>
      </c>
    </row>
    <row r="15" spans="2:34">
      <c r="B15" s="14">
        <v>2035</v>
      </c>
      <c r="C15" s="112">
        <v>1943418617.4822094</v>
      </c>
      <c r="D15" s="112">
        <v>1984468703.004992</v>
      </c>
      <c r="E15" s="112">
        <v>-5216943.4542261688</v>
      </c>
      <c r="F15" s="112">
        <v>-1522198.8382813009</v>
      </c>
      <c r="G15" s="13">
        <f t="shared" si="10"/>
        <v>-41050085.522782564</v>
      </c>
      <c r="I15" s="14">
        <v>2035</v>
      </c>
      <c r="J15" s="13">
        <f t="shared" si="11"/>
        <v>2526444202.7268724</v>
      </c>
      <c r="K15" s="13">
        <f t="shared" si="0"/>
        <v>2579809313.9064898</v>
      </c>
      <c r="L15" s="13">
        <f t="shared" si="1"/>
        <v>-6782026.4904940194</v>
      </c>
      <c r="M15" s="13">
        <f t="shared" si="2"/>
        <v>-1978858.4897656911</v>
      </c>
      <c r="N15" s="13">
        <f t="shared" si="12"/>
        <v>-53365111.179617405</v>
      </c>
      <c r="O15" s="13">
        <f t="shared" si="3"/>
        <v>-4803168.0007283278</v>
      </c>
      <c r="Q15" s="22">
        <v>2035</v>
      </c>
      <c r="R15" s="23">
        <f t="shared" si="4"/>
        <v>1968796397.9077661</v>
      </c>
      <c r="S15" s="23">
        <f t="shared" si="5"/>
        <v>2010382528.5458295</v>
      </c>
      <c r="T15" s="23">
        <f t="shared" si="6"/>
        <v>-5285067.9665072225</v>
      </c>
      <c r="U15" s="23">
        <f t="shared" si="7"/>
        <v>-1542076.1964245439</v>
      </c>
      <c r="V15" s="23">
        <f t="shared" si="13"/>
        <v>-41586130.638063431</v>
      </c>
      <c r="W15" s="23">
        <f t="shared" si="8"/>
        <v>-3742991.7700826786</v>
      </c>
      <c r="AA15" s="14">
        <v>2035</v>
      </c>
      <c r="AB15" s="5">
        <f t="shared" si="9"/>
        <v>-53365111.179617405</v>
      </c>
      <c r="AC15" s="26">
        <f>'#1-Without Volatility'!H31</f>
        <v>-31041832.922673225</v>
      </c>
      <c r="AD15" s="30">
        <f t="shared" si="14"/>
        <v>-42203472.051145315</v>
      </c>
      <c r="AE15" s="30">
        <f t="shared" si="15"/>
        <v>-4803168.0007283278</v>
      </c>
    </row>
    <row r="16" spans="2:34">
      <c r="B16" s="14">
        <v>2040</v>
      </c>
      <c r="C16" s="112">
        <v>2220353526.9785113</v>
      </c>
      <c r="D16" s="112">
        <v>2261016321.8469653</v>
      </c>
      <c r="E16" s="112">
        <v>-3238127.5008534756</v>
      </c>
      <c r="F16" s="112">
        <v>-680865.46359063406</v>
      </c>
      <c r="G16" s="13">
        <f t="shared" si="10"/>
        <v>-40662794.868453979</v>
      </c>
      <c r="I16" s="14">
        <v>2040</v>
      </c>
      <c r="J16" s="13">
        <f t="shared" si="11"/>
        <v>2886459585.0720649</v>
      </c>
      <c r="K16" s="13">
        <f t="shared" si="0"/>
        <v>2939321218.4010549</v>
      </c>
      <c r="L16" s="13">
        <f>E16*1.3</f>
        <v>-4209565.7511095181</v>
      </c>
      <c r="M16" s="13">
        <f t="shared" si="2"/>
        <v>-885125.10266782425</v>
      </c>
      <c r="N16" s="13">
        <f t="shared" si="12"/>
        <v>-52861633.328989983</v>
      </c>
      <c r="O16" s="13">
        <f t="shared" si="3"/>
        <v>-3324440.6484416937</v>
      </c>
      <c r="Q16" s="22">
        <v>2040</v>
      </c>
      <c r="R16" s="23">
        <f t="shared" si="4"/>
        <v>2027345958.3274038</v>
      </c>
      <c r="S16" s="23">
        <f t="shared" si="5"/>
        <v>2064474078.6150944</v>
      </c>
      <c r="T16" s="23">
        <f t="shared" si="6"/>
        <v>-2956648.3992923368</v>
      </c>
      <c r="U16" s="23">
        <f t="shared" si="7"/>
        <v>-621680.20948158903</v>
      </c>
      <c r="V16" s="23">
        <f t="shared" si="13"/>
        <v>-37128120.287690639</v>
      </c>
      <c r="W16" s="23">
        <f t="shared" si="8"/>
        <v>-2334968.1898107477</v>
      </c>
      <c r="AA16" s="14">
        <v>2036</v>
      </c>
      <c r="AB16" s="5">
        <f>$V$18*1.021^(AA16-Start_Year)</f>
        <v>-61413359.421449468</v>
      </c>
      <c r="AC16" s="26">
        <f>'#1-Without Volatility'!H32</f>
        <v>-38768693.115041852</v>
      </c>
      <c r="AD16" s="30">
        <f t="shared" si="14"/>
        <v>-50091026.26824566</v>
      </c>
      <c r="AE16" s="30">
        <f t="shared" ref="AE16:AE43" si="16">$W$18*1.021^(AA16-Start_Year)</f>
        <v>-3134855.5152855916</v>
      </c>
    </row>
    <row r="17" spans="2:31">
      <c r="B17" s="14">
        <v>2044</v>
      </c>
      <c r="C17" s="112">
        <v>2432403627.489573</v>
      </c>
      <c r="D17" s="112">
        <v>2506080909.3215685</v>
      </c>
      <c r="E17" s="112">
        <v>-2265320.2808161136</v>
      </c>
      <c r="F17" s="112">
        <v>-956107.67142594012</v>
      </c>
      <c r="G17" s="13">
        <f t="shared" si="10"/>
        <v>-73677281.831995487</v>
      </c>
      <c r="I17" s="14">
        <v>2044</v>
      </c>
      <c r="J17" s="13">
        <f t="shared" si="11"/>
        <v>3162124715.736445</v>
      </c>
      <c r="K17" s="13">
        <f t="shared" si="0"/>
        <v>3257905182.1180391</v>
      </c>
      <c r="L17" s="13">
        <f t="shared" si="1"/>
        <v>-2944916.3650609478</v>
      </c>
      <c r="M17" s="13">
        <f t="shared" si="2"/>
        <v>-1242939.9728537223</v>
      </c>
      <c r="N17" s="13">
        <f t="shared" si="12"/>
        <v>-95780466.381594181</v>
      </c>
      <c r="O17" s="13">
        <f t="shared" si="3"/>
        <v>-1701976.3922072256</v>
      </c>
      <c r="Q17" s="22">
        <v>2044</v>
      </c>
      <c r="R17" s="23">
        <f t="shared" si="4"/>
        <v>2043800075.6661417</v>
      </c>
      <c r="S17" s="23">
        <f t="shared" si="5"/>
        <v>2105706591.7070341</v>
      </c>
      <c r="T17" s="23">
        <f t="shared" si="6"/>
        <v>-1903410.1532394073</v>
      </c>
      <c r="U17" s="23">
        <f t="shared" si="7"/>
        <v>-803358.82956320408</v>
      </c>
      <c r="V17" s="23">
        <f t="shared" si="13"/>
        <v>-61906516.040892363</v>
      </c>
      <c r="W17" s="23">
        <f t="shared" si="8"/>
        <v>-1100051.3236762034</v>
      </c>
      <c r="AA17" s="14">
        <v>2037</v>
      </c>
      <c r="AB17" s="5">
        <f>$V$18*1.021^(AA17-Start_Year)</f>
        <v>-62703039.969299912</v>
      </c>
      <c r="AC17" s="26">
        <f>'#1-Without Volatility'!H33</f>
        <v>-39582835.670457728</v>
      </c>
      <c r="AD17" s="30">
        <f t="shared" si="14"/>
        <v>-51142937.819878817</v>
      </c>
      <c r="AE17" s="30">
        <f t="shared" si="16"/>
        <v>-3200687.4811065886</v>
      </c>
    </row>
    <row r="18" spans="2:31">
      <c r="R18" s="21">
        <f t="shared" ref="R18:U18" si="17">AVERAGE(R15:R17)</f>
        <v>2013314143.967104</v>
      </c>
      <c r="S18" s="21">
        <f>AVERAGE(S15:S17)</f>
        <v>2060187732.955986</v>
      </c>
      <c r="T18" s="21">
        <f t="shared" si="17"/>
        <v>-3381708.8396796552</v>
      </c>
      <c r="U18" s="21">
        <f t="shared" si="17"/>
        <v>-989038.4118231124</v>
      </c>
      <c r="V18" s="21">
        <f>AVERAGE(V15:V17)</f>
        <v>-46873588.988882147</v>
      </c>
      <c r="W18" s="21">
        <f>AVERAGE(W15:W17)</f>
        <v>-2392670.4278565431</v>
      </c>
      <c r="AA18" s="14">
        <v>2038</v>
      </c>
      <c r="AB18" s="5">
        <f>$V$18*1.021^(AA18-Start_Year)</f>
        <v>-64019803.808655195</v>
      </c>
      <c r="AC18" s="26">
        <f>'#1-Without Volatility'!H34</f>
        <v>-40414075.219537333</v>
      </c>
      <c r="AD18" s="30">
        <f t="shared" si="14"/>
        <v>-52216939.51409626</v>
      </c>
      <c r="AE18" s="30">
        <f t="shared" si="16"/>
        <v>-3267901.9182098266</v>
      </c>
    </row>
    <row r="19" spans="2:31">
      <c r="V19" s="21"/>
      <c r="AA19" s="14">
        <v>2039</v>
      </c>
      <c r="AB19" s="5">
        <f>$V$18*1.021^(AA19-Start_Year)</f>
        <v>-65364219.688636951</v>
      </c>
      <c r="AC19" s="26">
        <f>'#1-Without Volatility'!H35</f>
        <v>-41262770.799147613</v>
      </c>
      <c r="AD19" s="30">
        <f t="shared" si="14"/>
        <v>-53313495.243892282</v>
      </c>
      <c r="AE19" s="30">
        <f t="shared" si="16"/>
        <v>-3336527.8584922329</v>
      </c>
    </row>
    <row r="20" spans="2:31">
      <c r="AA20" s="14">
        <v>2040</v>
      </c>
      <c r="AB20" s="5">
        <f>V16</f>
        <v>-37128120.287690639</v>
      </c>
      <c r="AC20" s="26">
        <f>'#1-Without Volatility'!H36</f>
        <v>-19145129.759803534</v>
      </c>
      <c r="AD20" s="30">
        <f t="shared" si="14"/>
        <v>-28136625.023747087</v>
      </c>
      <c r="AE20" s="30">
        <f t="shared" si="16"/>
        <v>-3406594.9435205697</v>
      </c>
    </row>
    <row r="21" spans="2:31">
      <c r="AA21" s="14">
        <v>2041</v>
      </c>
      <c r="AB21" s="5">
        <f>$V$18*1.021^(AA21-Start_Year)</f>
        <v>-68138342.536442369</v>
      </c>
      <c r="AC21" s="26">
        <f>'#1-Without Volatility'!H37</f>
        <v>-43014004.054634228</v>
      </c>
      <c r="AD21" s="30">
        <f t="shared" si="14"/>
        <v>-55576173.295538299</v>
      </c>
      <c r="AE21" s="30">
        <f t="shared" si="16"/>
        <v>-3478133.4373345007</v>
      </c>
    </row>
    <row r="22" spans="2:31">
      <c r="AA22" s="14">
        <v>2042</v>
      </c>
      <c r="AB22" s="5">
        <f>$V$18*1.021^(AA22-Start_Year)</f>
        <v>-69569247.729707658</v>
      </c>
      <c r="AC22" s="26">
        <f>'#1-Without Volatility'!H38</f>
        <v>-43917298.139781542</v>
      </c>
      <c r="AD22" s="30">
        <f t="shared" si="14"/>
        <v>-56743272.934744596</v>
      </c>
      <c r="AE22" s="30">
        <f t="shared" si="16"/>
        <v>-3551174.2395185251</v>
      </c>
    </row>
    <row r="23" spans="2:31">
      <c r="AA23" s="14">
        <v>2043</v>
      </c>
      <c r="AB23" s="5">
        <f>$V$18*1.021^(AA23-Start_Year)</f>
        <v>-71030201.932031512</v>
      </c>
      <c r="AC23" s="26">
        <f>'#1-Without Volatility'!H39</f>
        <v>-44839561.400716946</v>
      </c>
      <c r="AD23" s="30">
        <f t="shared" si="14"/>
        <v>-57934881.666374229</v>
      </c>
      <c r="AE23" s="30">
        <f t="shared" si="16"/>
        <v>-3625748.8985484135</v>
      </c>
    </row>
    <row r="24" spans="2:31">
      <c r="AA24" s="14">
        <v>2044</v>
      </c>
      <c r="AB24" s="5">
        <f>V17</f>
        <v>-61906516.040892363</v>
      </c>
      <c r="AC24" s="26">
        <f>'#1-Without Volatility'!H40</f>
        <v>-45435042.944315434</v>
      </c>
      <c r="AD24" s="30">
        <f t="shared" si="14"/>
        <v>-53670779.492603898</v>
      </c>
      <c r="AE24" s="30">
        <f t="shared" si="16"/>
        <v>-3701889.6254179296</v>
      </c>
    </row>
    <row r="25" spans="2:31">
      <c r="AA25" s="14">
        <v>2045</v>
      </c>
      <c r="AB25" s="5">
        <f t="shared" ref="AB25:AB43" si="18">$V$18*1.021^(AA25-Start_Year)</f>
        <v>-74044794.732228845</v>
      </c>
      <c r="AC25" s="26">
        <f>'#1-Without Volatility'!H41</f>
        <v>-46742597.226124771</v>
      </c>
      <c r="AD25" s="30">
        <f t="shared" si="14"/>
        <v>-60393695.979176804</v>
      </c>
      <c r="AE25" s="30">
        <f t="shared" si="16"/>
        <v>-3779629.3075517062</v>
      </c>
    </row>
    <row r="26" spans="2:31">
      <c r="AA26" s="14">
        <v>2046</v>
      </c>
      <c r="AB26" s="5">
        <f t="shared" si="18"/>
        <v>-75599735.421605647</v>
      </c>
      <c r="AC26" s="26">
        <f>'#1-Without Volatility'!H42</f>
        <v>-47724191.767873384</v>
      </c>
      <c r="AD26" s="30">
        <f t="shared" si="14"/>
        <v>-61661963.594739512</v>
      </c>
      <c r="AE26" s="30">
        <f t="shared" si="16"/>
        <v>-3859001.5230102916</v>
      </c>
    </row>
    <row r="27" spans="2:31">
      <c r="AA27" s="14">
        <v>2047</v>
      </c>
      <c r="AB27" s="5">
        <f t="shared" si="18"/>
        <v>-77187329.865459353</v>
      </c>
      <c r="AC27" s="26">
        <f>'#1-Without Volatility'!H43</f>
        <v>-48726399.794998713</v>
      </c>
      <c r="AD27" s="30">
        <f t="shared" si="14"/>
        <v>-62956864.830229029</v>
      </c>
      <c r="AE27" s="30">
        <f t="shared" si="16"/>
        <v>-3940040.5549935065</v>
      </c>
    </row>
    <row r="28" spans="2:31">
      <c r="AA28" s="14">
        <v>2048</v>
      </c>
      <c r="AB28" s="5">
        <f t="shared" si="18"/>
        <v>-78808263.792633981</v>
      </c>
      <c r="AC28" s="26">
        <f>'#1-Without Volatility'!H44</f>
        <v>-49749654.190693676</v>
      </c>
      <c r="AD28" s="30">
        <f t="shared" si="14"/>
        <v>-64278958.991663828</v>
      </c>
      <c r="AE28" s="30">
        <f t="shared" si="16"/>
        <v>-4022781.40664837</v>
      </c>
    </row>
    <row r="29" spans="2:31">
      <c r="AA29" s="14">
        <v>2049</v>
      </c>
      <c r="AB29" s="5">
        <f t="shared" si="18"/>
        <v>-80463237.33227928</v>
      </c>
      <c r="AC29" s="26">
        <f>'#1-Without Volatility'!H45</f>
        <v>-50794396.928698242</v>
      </c>
      <c r="AD29" s="30">
        <f t="shared" si="14"/>
        <v>-65628817.130488761</v>
      </c>
      <c r="AE29" s="30">
        <f t="shared" si="16"/>
        <v>-4107259.8161879852</v>
      </c>
    </row>
    <row r="30" spans="2:31">
      <c r="AA30" s="14">
        <v>2050</v>
      </c>
      <c r="AB30" s="5">
        <f t="shared" si="18"/>
        <v>-82152965.316257149</v>
      </c>
      <c r="AC30" s="26">
        <f>'#1-Without Volatility'!H46</f>
        <v>-51861079.264200911</v>
      </c>
      <c r="AD30" s="30">
        <f t="shared" si="14"/>
        <v>-67007022.29022903</v>
      </c>
      <c r="AE30" s="30">
        <f t="shared" si="16"/>
        <v>-4193512.272327933</v>
      </c>
    </row>
    <row r="31" spans="2:31">
      <c r="AA31" s="14">
        <v>2051</v>
      </c>
      <c r="AB31" s="5">
        <f t="shared" si="18"/>
        <v>-83878177.587898523</v>
      </c>
      <c r="AC31" s="26">
        <f>'#1-Without Volatility'!H47</f>
        <v>-52950161.928749107</v>
      </c>
      <c r="AD31" s="30">
        <f t="shared" si="14"/>
        <v>-68414169.758323818</v>
      </c>
      <c r="AE31" s="30">
        <f t="shared" si="16"/>
        <v>-4281576.0300468178</v>
      </c>
    </row>
    <row r="32" spans="2:31">
      <c r="AA32" s="14">
        <v>2052</v>
      </c>
      <c r="AB32" s="5">
        <f t="shared" si="18"/>
        <v>-85639619.317244381</v>
      </c>
      <c r="AC32" s="26">
        <f>'#1-Without Volatility'!H48</f>
        <v>-54062115.329252832</v>
      </c>
      <c r="AD32" s="30">
        <f t="shared" si="14"/>
        <v>-69850867.32324861</v>
      </c>
      <c r="AE32" s="30">
        <f t="shared" si="16"/>
        <v>-4371489.1266778009</v>
      </c>
    </row>
    <row r="33" spans="27:31">
      <c r="AA33" s="14">
        <v>2053</v>
      </c>
      <c r="AB33" s="5">
        <f t="shared" si="18"/>
        <v>-87438051.322906524</v>
      </c>
      <c r="AC33" s="26">
        <f>'#1-Without Volatility'!H49</f>
        <v>-55197419.751167141</v>
      </c>
      <c r="AD33" s="30">
        <f t="shared" si="14"/>
        <v>-71317735.537036836</v>
      </c>
      <c r="AE33" s="30">
        <f t="shared" si="16"/>
        <v>-4463290.3983380347</v>
      </c>
    </row>
    <row r="34" spans="27:31">
      <c r="AA34" s="14">
        <v>2054</v>
      </c>
      <c r="AB34" s="5">
        <f t="shared" si="18"/>
        <v>-89274250.400687531</v>
      </c>
      <c r="AC34" s="26">
        <f>'#1-Without Volatility'!H50</f>
        <v>-56356565.565941639</v>
      </c>
      <c r="AD34" s="30">
        <f t="shared" si="14"/>
        <v>-72815407.983314589</v>
      </c>
      <c r="AE34" s="30">
        <f t="shared" si="16"/>
        <v>-4557019.4967031321</v>
      </c>
    </row>
    <row r="35" spans="27:31">
      <c r="AA35" s="14">
        <v>2055</v>
      </c>
      <c r="AB35" s="5">
        <f t="shared" si="18"/>
        <v>-91149009.659101963</v>
      </c>
      <c r="AC35" s="26">
        <f>'#1-Without Volatility'!H51</f>
        <v>-57540053.442826413</v>
      </c>
      <c r="AD35" s="30">
        <f t="shared" si="14"/>
        <v>-74344531.550964192</v>
      </c>
      <c r="AE35" s="30">
        <f t="shared" si="16"/>
        <v>-4652716.9061338976</v>
      </c>
    </row>
    <row r="36" spans="27:31">
      <c r="AA36" s="14">
        <v>2056</v>
      </c>
      <c r="AB36" s="5">
        <f t="shared" si="18"/>
        <v>-93063138.861943096</v>
      </c>
      <c r="AC36" s="26">
        <f>'#1-Without Volatility'!H52</f>
        <v>-58748394.565125763</v>
      </c>
      <c r="AD36" s="30">
        <f t="shared" si="14"/>
        <v>-75905766.71353443</v>
      </c>
      <c r="AE36" s="30">
        <f t="shared" si="16"/>
        <v>-4750423.9611627096</v>
      </c>
    </row>
    <row r="37" spans="27:31">
      <c r="AA37" s="14">
        <v>2057</v>
      </c>
      <c r="AB37" s="5">
        <f t="shared" si="18"/>
        <v>-95017464.778043881</v>
      </c>
      <c r="AC37" s="26">
        <f>'#1-Without Volatility'!H53</f>
        <v>-59982110.850993387</v>
      </c>
      <c r="AD37" s="30">
        <f t="shared" si="14"/>
        <v>-77499787.814518631</v>
      </c>
      <c r="AE37" s="30">
        <f t="shared" si="16"/>
        <v>-4850182.8643471254</v>
      </c>
    </row>
    <row r="38" spans="27:31">
      <c r="AA38" s="14">
        <v>2058</v>
      </c>
      <c r="AB38" s="5">
        <f t="shared" si="18"/>
        <v>-97012831.538382813</v>
      </c>
      <c r="AC38" s="26">
        <f>'#1-Without Volatility'!H54</f>
        <v>-61241735.178864248</v>
      </c>
      <c r="AD38" s="30">
        <f t="shared" si="14"/>
        <v>-79127283.358623534</v>
      </c>
      <c r="AE38" s="30">
        <f t="shared" si="16"/>
        <v>-4952036.7044984149</v>
      </c>
    </row>
    <row r="39" spans="27:31">
      <c r="AA39" s="14">
        <v>2059</v>
      </c>
      <c r="AB39" s="5">
        <f t="shared" si="18"/>
        <v>-99050101.000688836</v>
      </c>
      <c r="AC39" s="26">
        <f>'#1-Without Volatility'!H55</f>
        <v>-62527811.617620386</v>
      </c>
      <c r="AD39" s="30">
        <f t="shared" si="14"/>
        <v>-80788956.309154615</v>
      </c>
      <c r="AE39" s="30">
        <f t="shared" si="16"/>
        <v>-5056029.475292881</v>
      </c>
    </row>
    <row r="40" spans="27:31">
      <c r="AA40" s="14">
        <v>2060</v>
      </c>
      <c r="AB40" s="5">
        <f t="shared" si="18"/>
        <v>-101130153.12170328</v>
      </c>
      <c r="AC40" s="26">
        <f>'#1-Without Volatility'!H56</f>
        <v>-63840895.661590405</v>
      </c>
      <c r="AD40" s="30">
        <f t="shared" si="14"/>
        <v>-82485524.391646847</v>
      </c>
      <c r="AE40" s="30">
        <f t="shared" si="16"/>
        <v>-5162206.0942740301</v>
      </c>
    </row>
    <row r="41" spans="27:31">
      <c r="AA41" s="14">
        <v>2061</v>
      </c>
      <c r="AB41" s="5">
        <f t="shared" si="18"/>
        <v>-103253886.33725904</v>
      </c>
      <c r="AC41" s="26">
        <f>'#1-Without Volatility'!H57</f>
        <v>-65181554.470483802</v>
      </c>
      <c r="AD41" s="30">
        <f t="shared" si="14"/>
        <v>-84217720.403871417</v>
      </c>
      <c r="AE41" s="30">
        <f t="shared" si="16"/>
        <v>-5270612.4222537847</v>
      </c>
    </row>
    <row r="42" spans="27:31">
      <c r="AA42" s="14">
        <v>2062</v>
      </c>
      <c r="AB42" s="5">
        <f t="shared" si="18"/>
        <v>-105422217.95034146</v>
      </c>
      <c r="AC42" s="26">
        <f>'#1-Without Volatility'!H58</f>
        <v>-66550367.114363946</v>
      </c>
      <c r="AD42" s="30">
        <f t="shared" si="14"/>
        <v>-85986292.532352701</v>
      </c>
      <c r="AE42" s="30">
        <f t="shared" si="16"/>
        <v>-5381295.2831211127</v>
      </c>
    </row>
    <row r="43" spans="27:31">
      <c r="AA43" s="14">
        <v>2063</v>
      </c>
      <c r="AB43" s="5">
        <f t="shared" si="18"/>
        <v>-107636084.52729863</v>
      </c>
      <c r="AC43" s="26">
        <f>'#1-Without Volatility'!H59</f>
        <v>-67947924.823765591</v>
      </c>
      <c r="AD43" s="30">
        <f t="shared" si="14"/>
        <v>-87792004.675532103</v>
      </c>
      <c r="AE43" s="30">
        <f t="shared" si="16"/>
        <v>-5494302.4840666559</v>
      </c>
    </row>
    <row r="61" spans="9:9">
      <c r="I61" s="17"/>
    </row>
    <row r="62" spans="9:9">
      <c r="I62" s="17"/>
    </row>
    <row r="63" spans="9:9">
      <c r="I63" s="17"/>
    </row>
    <row r="64" spans="9:9">
      <c r="I64" s="17"/>
    </row>
  </sheetData>
  <mergeCells count="1">
    <mergeCell ref="C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68EAD-D44E-4F08-A3F5-F7F845E77310}">
  <dimension ref="B2:O59"/>
  <sheetViews>
    <sheetView showGridLines="0" tabSelected="1" view="pageLayout" topLeftCell="G1" zoomScaleNormal="86" workbookViewId="0">
      <selection activeCell="H27" sqref="H27"/>
    </sheetView>
  </sheetViews>
  <sheetFormatPr defaultRowHeight="15"/>
  <cols>
    <col min="3" max="5" width="17.5703125" customWidth="1"/>
    <col min="7" max="10" width="23.28515625" customWidth="1"/>
    <col min="11" max="11" width="8.7109375" customWidth="1"/>
    <col min="13" max="15" width="17.5703125" customWidth="1"/>
    <col min="17" max="17" width="8.7109375" customWidth="1"/>
  </cols>
  <sheetData>
    <row r="2" spans="2:15">
      <c r="C2" s="172" t="s">
        <v>191</v>
      </c>
      <c r="D2" s="172"/>
    </row>
    <row r="3" spans="2:15" ht="70.150000000000006" customHeight="1">
      <c r="B3" s="11" t="s">
        <v>60</v>
      </c>
      <c r="C3" s="11" t="s">
        <v>61</v>
      </c>
      <c r="D3" s="11" t="s">
        <v>62</v>
      </c>
      <c r="E3" s="11" t="s">
        <v>65</v>
      </c>
      <c r="G3" s="11" t="s">
        <v>66</v>
      </c>
      <c r="H3" s="11" t="s">
        <v>61</v>
      </c>
      <c r="I3" s="11" t="s">
        <v>62</v>
      </c>
      <c r="J3" s="11" t="s">
        <v>65</v>
      </c>
      <c r="L3" s="11" t="s">
        <v>68</v>
      </c>
      <c r="M3" s="11" t="s">
        <v>61</v>
      </c>
      <c r="N3" s="11" t="s">
        <v>62</v>
      </c>
      <c r="O3" s="11" t="s">
        <v>65</v>
      </c>
    </row>
    <row r="4" spans="2:15">
      <c r="B4" s="12">
        <v>2024</v>
      </c>
      <c r="C4" s="112">
        <v>1418990136.5401804</v>
      </c>
      <c r="D4" s="112">
        <v>1429687880.7611349</v>
      </c>
      <c r="E4" s="13">
        <f>C4-D4</f>
        <v>-10697744.220954418</v>
      </c>
      <c r="G4" s="12">
        <v>2024</v>
      </c>
      <c r="H4" s="13">
        <f t="shared" ref="H4:H17" si="0">C4*1.3</f>
        <v>1844687177.5022347</v>
      </c>
      <c r="I4" s="13">
        <f t="shared" ref="I4:I17" si="1">D4*1.3</f>
        <v>1858594244.9894755</v>
      </c>
      <c r="J4" s="13">
        <f>H4-I4</f>
        <v>-13907067.487240791</v>
      </c>
      <c r="L4" s="12">
        <v>2024</v>
      </c>
      <c r="M4" s="13">
        <f t="shared" ref="M4:M17" si="2">H4/1.021^($G4-Start_Year)</f>
        <v>1806745521.5496914</v>
      </c>
      <c r="N4" s="13">
        <f t="shared" ref="N4:N17" si="3">I4/1.021^($G4-Start_Year)</f>
        <v>1820366547.4921408</v>
      </c>
      <c r="O4" s="13">
        <f>M4-N4</f>
        <v>-13621025.942449331</v>
      </c>
    </row>
    <row r="5" spans="2:15">
      <c r="B5" s="12">
        <v>2025</v>
      </c>
      <c r="C5" s="112">
        <v>1392873830.0956326</v>
      </c>
      <c r="D5" s="112">
        <v>1398998227.2648606</v>
      </c>
      <c r="E5" s="13">
        <f t="shared" ref="E5:E17" si="4">C5-D5</f>
        <v>-6124397.1692280769</v>
      </c>
      <c r="G5" s="12">
        <v>2025</v>
      </c>
      <c r="H5" s="13">
        <f t="shared" si="0"/>
        <v>1810735979.1243224</v>
      </c>
      <c r="I5" s="13">
        <f t="shared" si="1"/>
        <v>1818697695.4443188</v>
      </c>
      <c r="J5" s="13">
        <f t="shared" ref="J5:J17" si="5">H5-I5</f>
        <v>-7961716.319996357</v>
      </c>
      <c r="L5" s="12">
        <v>2025</v>
      </c>
      <c r="M5" s="13">
        <f t="shared" si="2"/>
        <v>1737015312.2568307</v>
      </c>
      <c r="N5" s="13">
        <f t="shared" si="3"/>
        <v>1744652882.459841</v>
      </c>
      <c r="O5" s="13">
        <f t="shared" ref="O5:O17" si="6">M5-N5</f>
        <v>-7637570.2030103207</v>
      </c>
    </row>
    <row r="6" spans="2:15">
      <c r="B6" s="14">
        <v>2026</v>
      </c>
      <c r="C6" s="112">
        <v>1301964715.7527835</v>
      </c>
      <c r="D6" s="112">
        <v>1311516400.3232176</v>
      </c>
      <c r="E6" s="13">
        <f t="shared" si="4"/>
        <v>-9551684.5704340935</v>
      </c>
      <c r="G6" s="14">
        <v>2026</v>
      </c>
      <c r="H6" s="13">
        <f t="shared" si="0"/>
        <v>1692554130.4786186</v>
      </c>
      <c r="I6" s="13">
        <f t="shared" si="1"/>
        <v>1704971320.4201829</v>
      </c>
      <c r="J6" s="13">
        <f t="shared" si="5"/>
        <v>-12417189.941564322</v>
      </c>
      <c r="L6" s="14">
        <v>2026</v>
      </c>
      <c r="M6" s="13">
        <f t="shared" si="2"/>
        <v>1590249767.3878355</v>
      </c>
      <c r="N6" s="13">
        <f t="shared" si="3"/>
        <v>1601916415.4793797</v>
      </c>
      <c r="O6" s="13">
        <f t="shared" si="6"/>
        <v>-11666648.091544151</v>
      </c>
    </row>
    <row r="7" spans="2:15">
      <c r="B7" s="14">
        <v>2027</v>
      </c>
      <c r="C7" s="112">
        <v>1333542980.8226306</v>
      </c>
      <c r="D7" s="112">
        <v>1346772130.1403935</v>
      </c>
      <c r="E7" s="13">
        <f t="shared" si="4"/>
        <v>-13229149.317762852</v>
      </c>
      <c r="G7" s="14">
        <v>2027</v>
      </c>
      <c r="H7" s="13">
        <f t="shared" si="0"/>
        <v>1733605875.0694199</v>
      </c>
      <c r="I7" s="13">
        <f t="shared" si="1"/>
        <v>1750803769.1825116</v>
      </c>
      <c r="J7" s="13">
        <f t="shared" si="5"/>
        <v>-17197894.113091707</v>
      </c>
      <c r="L7" s="14">
        <v>2027</v>
      </c>
      <c r="M7" s="13">
        <f t="shared" si="2"/>
        <v>1595318500.9945581</v>
      </c>
      <c r="N7" s="13">
        <f t="shared" si="3"/>
        <v>1611144542.5714314</v>
      </c>
      <c r="O7" s="13">
        <f t="shared" si="6"/>
        <v>-15826041.576873302</v>
      </c>
    </row>
    <row r="8" spans="2:15">
      <c r="B8" s="14">
        <v>2028</v>
      </c>
      <c r="C8" s="112">
        <v>1390304559.3854957</v>
      </c>
      <c r="D8" s="112">
        <v>1413278940.0270109</v>
      </c>
      <c r="E8" s="13">
        <f t="shared" si="4"/>
        <v>-22974380.641515255</v>
      </c>
      <c r="G8" s="14">
        <v>2028</v>
      </c>
      <c r="H8" s="13">
        <f t="shared" si="0"/>
        <v>1807395927.2011445</v>
      </c>
      <c r="I8" s="13">
        <f t="shared" si="1"/>
        <v>1837262622.0351143</v>
      </c>
      <c r="J8" s="13">
        <f t="shared" si="5"/>
        <v>-29866694.833969831</v>
      </c>
      <c r="L8" s="14">
        <v>2028</v>
      </c>
      <c r="M8" s="13">
        <f t="shared" si="2"/>
        <v>1629013145.3476832</v>
      </c>
      <c r="N8" s="13">
        <f t="shared" si="3"/>
        <v>1655932116.3160236</v>
      </c>
      <c r="O8" s="13">
        <f t="shared" si="6"/>
        <v>-26918970.968340397</v>
      </c>
    </row>
    <row r="9" spans="2:15">
      <c r="B9" s="14">
        <v>2029</v>
      </c>
      <c r="C9" s="112">
        <v>1498839775.5925229</v>
      </c>
      <c r="D9" s="112">
        <v>1521202933.3451977</v>
      </c>
      <c r="E9" s="13">
        <f t="shared" si="4"/>
        <v>-22363157.752674818</v>
      </c>
      <c r="G9" s="14">
        <v>2029</v>
      </c>
      <c r="H9" s="13">
        <f t="shared" si="0"/>
        <v>1948491708.2702799</v>
      </c>
      <c r="I9" s="13">
        <f t="shared" si="1"/>
        <v>1977563813.348757</v>
      </c>
      <c r="J9" s="13">
        <f t="shared" si="5"/>
        <v>-29072105.078477144</v>
      </c>
      <c r="L9" s="14">
        <v>2029</v>
      </c>
      <c r="M9" s="13">
        <f t="shared" si="2"/>
        <v>1720062031.9287679</v>
      </c>
      <c r="N9" s="13">
        <f t="shared" si="3"/>
        <v>1745725894.8651533</v>
      </c>
      <c r="O9" s="13">
        <f t="shared" si="6"/>
        <v>-25663862.936385393</v>
      </c>
    </row>
    <row r="10" spans="2:15">
      <c r="B10" s="14">
        <v>2030</v>
      </c>
      <c r="C10" s="112">
        <v>1554298092.9833245</v>
      </c>
      <c r="D10" s="112">
        <v>1574663962.9433246</v>
      </c>
      <c r="E10" s="13">
        <f t="shared" si="4"/>
        <v>-20365869.960000038</v>
      </c>
      <c r="G10" s="14">
        <v>2030</v>
      </c>
      <c r="H10" s="13">
        <f t="shared" si="0"/>
        <v>2020587520.8783219</v>
      </c>
      <c r="I10" s="13">
        <f t="shared" si="1"/>
        <v>2047063151.8263221</v>
      </c>
      <c r="J10" s="13">
        <f t="shared" si="5"/>
        <v>-26475630.948000193</v>
      </c>
      <c r="L10" s="14">
        <v>2030</v>
      </c>
      <c r="M10" s="13">
        <f t="shared" si="2"/>
        <v>1747018370.8746617</v>
      </c>
      <c r="N10" s="13">
        <f t="shared" si="3"/>
        <v>1769909442.4905787</v>
      </c>
      <c r="O10" s="13">
        <f t="shared" si="6"/>
        <v>-22891071.615916967</v>
      </c>
    </row>
    <row r="11" spans="2:15">
      <c r="B11" s="14">
        <v>2031</v>
      </c>
      <c r="C11" s="112">
        <v>1640226198.0776484</v>
      </c>
      <c r="D11" s="112">
        <v>1665143708.018383</v>
      </c>
      <c r="E11" s="13">
        <f t="shared" si="4"/>
        <v>-24917509.940734625</v>
      </c>
      <c r="G11" s="14">
        <v>2031</v>
      </c>
      <c r="H11" s="13">
        <f t="shared" si="0"/>
        <v>2132294057.5009429</v>
      </c>
      <c r="I11" s="13">
        <f t="shared" si="1"/>
        <v>2164686820.4238982</v>
      </c>
      <c r="J11" s="13">
        <f t="shared" si="5"/>
        <v>-32392762.922955275</v>
      </c>
      <c r="L11" s="14">
        <v>2031</v>
      </c>
      <c r="M11" s="13">
        <f t="shared" si="2"/>
        <v>1805681547.1943944</v>
      </c>
      <c r="N11" s="13">
        <f t="shared" si="3"/>
        <v>1833112573.4484255</v>
      </c>
      <c r="O11" s="13">
        <f t="shared" si="6"/>
        <v>-27431026.254031181</v>
      </c>
    </row>
    <row r="12" spans="2:15">
      <c r="B12" s="14">
        <v>2032</v>
      </c>
      <c r="C12" s="112">
        <v>1738953146.0621035</v>
      </c>
      <c r="D12" s="112">
        <v>1763552391.3541453</v>
      </c>
      <c r="E12" s="13">
        <f t="shared" si="4"/>
        <v>-24599245.292041779</v>
      </c>
      <c r="G12" s="14">
        <v>2032</v>
      </c>
      <c r="H12" s="13">
        <f t="shared" si="0"/>
        <v>2260639089.8807344</v>
      </c>
      <c r="I12" s="13">
        <f t="shared" si="1"/>
        <v>2292618108.7603889</v>
      </c>
      <c r="J12" s="13">
        <f t="shared" si="5"/>
        <v>-31979018.879654408</v>
      </c>
      <c r="L12" s="14">
        <v>2032</v>
      </c>
      <c r="M12" s="13">
        <f t="shared" si="2"/>
        <v>1874992583.2206426</v>
      </c>
      <c r="N12" s="13">
        <f t="shared" si="3"/>
        <v>1901516243.4928308</v>
      </c>
      <c r="O12" s="13">
        <f t="shared" si="6"/>
        <v>-26523660.272188187</v>
      </c>
    </row>
    <row r="13" spans="2:15">
      <c r="B13" s="14">
        <v>2033</v>
      </c>
      <c r="C13" s="112">
        <v>1832607971.3594</v>
      </c>
      <c r="D13" s="112">
        <v>1857887395.7275288</v>
      </c>
      <c r="E13" s="13">
        <f t="shared" si="4"/>
        <v>-25279424.368128777</v>
      </c>
      <c r="G13" s="14">
        <v>2033</v>
      </c>
      <c r="H13" s="13">
        <f t="shared" si="0"/>
        <v>2382390362.76722</v>
      </c>
      <c r="I13" s="13">
        <f t="shared" si="1"/>
        <v>2415253614.4457874</v>
      </c>
      <c r="J13" s="13">
        <f t="shared" si="5"/>
        <v>-32863251.67856741</v>
      </c>
      <c r="L13" s="14">
        <v>2033</v>
      </c>
      <c r="M13" s="13">
        <f t="shared" si="2"/>
        <v>1935332112.1413159</v>
      </c>
      <c r="N13" s="13">
        <f t="shared" si="3"/>
        <v>1962028537.4110348</v>
      </c>
      <c r="O13" s="13">
        <f t="shared" si="6"/>
        <v>-26696425.269718885</v>
      </c>
    </row>
    <row r="14" spans="2:15">
      <c r="B14" s="14">
        <v>2034</v>
      </c>
      <c r="C14" s="112">
        <v>1948835092.1391239</v>
      </c>
      <c r="D14" s="112">
        <v>1974295929.4921322</v>
      </c>
      <c r="E14" s="13">
        <f t="shared" si="4"/>
        <v>-25460837.35300827</v>
      </c>
      <c r="G14" s="14">
        <v>2034</v>
      </c>
      <c r="H14" s="13">
        <f t="shared" si="0"/>
        <v>2533485619.7808614</v>
      </c>
      <c r="I14" s="13">
        <f t="shared" si="1"/>
        <v>2566584708.3397717</v>
      </c>
      <c r="J14" s="13">
        <f t="shared" si="5"/>
        <v>-33099088.55891037</v>
      </c>
      <c r="L14" s="14">
        <v>2034</v>
      </c>
      <c r="M14" s="13">
        <f t="shared" si="2"/>
        <v>2015743558.2740741</v>
      </c>
      <c r="N14" s="13">
        <f t="shared" si="3"/>
        <v>2042078530.9403636</v>
      </c>
      <c r="O14" s="13">
        <f t="shared" si="6"/>
        <v>-26334972.666289568</v>
      </c>
    </row>
    <row r="15" spans="2:15">
      <c r="B15" s="14">
        <v>2035</v>
      </c>
      <c r="C15" s="112">
        <v>1998247024.1336129</v>
      </c>
      <c r="D15" s="112">
        <v>2022125357.1510537</v>
      </c>
      <c r="E15" s="13">
        <f t="shared" si="4"/>
        <v>-23878333.017440796</v>
      </c>
      <c r="G15" s="14">
        <v>2035</v>
      </c>
      <c r="H15" s="13">
        <f t="shared" si="0"/>
        <v>2597721131.3736968</v>
      </c>
      <c r="I15" s="13">
        <f t="shared" si="1"/>
        <v>2628762964.29637</v>
      </c>
      <c r="J15" s="13">
        <f t="shared" si="5"/>
        <v>-31041832.922673225</v>
      </c>
      <c r="L15" s="22">
        <v>2035</v>
      </c>
      <c r="M15" s="23">
        <f t="shared" si="2"/>
        <v>2024340771.3882229</v>
      </c>
      <c r="N15" s="23">
        <f t="shared" si="3"/>
        <v>2048530915.2974572</v>
      </c>
      <c r="O15" s="13">
        <f t="shared" si="6"/>
        <v>-24190143.909234285</v>
      </c>
    </row>
    <row r="16" spans="2:15">
      <c r="B16" s="14">
        <v>2040</v>
      </c>
      <c r="C16" s="112">
        <v>2277206819.9168448</v>
      </c>
      <c r="D16" s="112">
        <v>2298174606.0078344</v>
      </c>
      <c r="E16" s="13">
        <f t="shared" si="4"/>
        <v>-20967786.09098959</v>
      </c>
      <c r="G16" s="14">
        <v>2040</v>
      </c>
      <c r="H16" s="13">
        <f t="shared" si="0"/>
        <v>2960368865.8918986</v>
      </c>
      <c r="I16" s="13">
        <f t="shared" si="1"/>
        <v>2987626987.810185</v>
      </c>
      <c r="J16" s="13">
        <f t="shared" si="5"/>
        <v>-27258121.918286324</v>
      </c>
      <c r="L16" s="22">
        <v>2040</v>
      </c>
      <c r="M16" s="23">
        <f t="shared" si="2"/>
        <v>2079257193.2977123</v>
      </c>
      <c r="N16" s="23">
        <f t="shared" si="3"/>
        <v>2098402323.0575159</v>
      </c>
      <c r="O16" s="13">
        <f t="shared" si="6"/>
        <v>-19145129.759803534</v>
      </c>
    </row>
    <row r="17" spans="2:15">
      <c r="B17" s="14">
        <v>2044</v>
      </c>
      <c r="C17" s="112">
        <v>2480300944.150106</v>
      </c>
      <c r="D17" s="112">
        <v>2534374904.019628</v>
      </c>
      <c r="E17" s="13">
        <f t="shared" si="4"/>
        <v>-54073959.869522095</v>
      </c>
      <c r="G17" s="14">
        <v>2044</v>
      </c>
      <c r="H17" s="13">
        <f t="shared" si="0"/>
        <v>3224391227.3951378</v>
      </c>
      <c r="I17" s="13">
        <f t="shared" si="1"/>
        <v>3294687375.2255168</v>
      </c>
      <c r="J17" s="13">
        <f t="shared" si="5"/>
        <v>-70296147.830379009</v>
      </c>
      <c r="L17" s="22">
        <v>2044</v>
      </c>
      <c r="M17" s="23">
        <f t="shared" si="2"/>
        <v>2084045262.8993292</v>
      </c>
      <c r="N17" s="23">
        <f t="shared" si="3"/>
        <v>2129480305.8436446</v>
      </c>
      <c r="O17" s="13">
        <f t="shared" si="6"/>
        <v>-45435042.944315434</v>
      </c>
    </row>
    <row r="18" spans="2:15">
      <c r="O18" s="21">
        <f>AVERAGE(O15:O17)</f>
        <v>-29590105.537784416</v>
      </c>
    </row>
    <row r="19" spans="2:15" ht="50.1" customHeight="1">
      <c r="G19" s="19" t="s">
        <v>52</v>
      </c>
      <c r="H19" s="18" t="s">
        <v>74</v>
      </c>
    </row>
    <row r="20" spans="2:15">
      <c r="G20" s="17">
        <v>2024</v>
      </c>
      <c r="H20" s="20">
        <f>J4</f>
        <v>-13907067.487240791</v>
      </c>
    </row>
    <row r="21" spans="2:15">
      <c r="G21" s="17">
        <v>2025</v>
      </c>
      <c r="H21" s="20">
        <f t="shared" ref="H21:H31" si="7">J5</f>
        <v>-7961716.319996357</v>
      </c>
    </row>
    <row r="22" spans="2:15">
      <c r="G22" s="17">
        <v>2026</v>
      </c>
      <c r="H22" s="20">
        <f t="shared" si="7"/>
        <v>-12417189.941564322</v>
      </c>
    </row>
    <row r="23" spans="2:15">
      <c r="G23" s="17">
        <v>2027</v>
      </c>
      <c r="H23" s="20">
        <f t="shared" si="7"/>
        <v>-17197894.113091707</v>
      </c>
    </row>
    <row r="24" spans="2:15">
      <c r="G24" s="17">
        <v>2028</v>
      </c>
      <c r="H24" s="20">
        <f t="shared" si="7"/>
        <v>-29866694.833969831</v>
      </c>
    </row>
    <row r="25" spans="2:15">
      <c r="G25" s="17">
        <v>2029</v>
      </c>
      <c r="H25" s="20">
        <f t="shared" si="7"/>
        <v>-29072105.078477144</v>
      </c>
    </row>
    <row r="26" spans="2:15">
      <c r="G26" s="17">
        <v>2030</v>
      </c>
      <c r="H26" s="20">
        <f t="shared" si="7"/>
        <v>-26475630.948000193</v>
      </c>
    </row>
    <row r="27" spans="2:15">
      <c r="G27" s="17">
        <v>2031</v>
      </c>
      <c r="H27" s="20">
        <f t="shared" si="7"/>
        <v>-32392762.922955275</v>
      </c>
    </row>
    <row r="28" spans="2:15">
      <c r="G28" s="17">
        <v>2032</v>
      </c>
      <c r="H28" s="20">
        <f t="shared" si="7"/>
        <v>-31979018.879654408</v>
      </c>
    </row>
    <row r="29" spans="2:15">
      <c r="G29" s="17">
        <v>2033</v>
      </c>
      <c r="H29" s="20">
        <f t="shared" si="7"/>
        <v>-32863251.67856741</v>
      </c>
    </row>
    <row r="30" spans="2:15">
      <c r="G30" s="17">
        <v>2034</v>
      </c>
      <c r="H30" s="20">
        <f t="shared" si="7"/>
        <v>-33099088.55891037</v>
      </c>
    </row>
    <row r="31" spans="2:15">
      <c r="G31" s="17">
        <v>2035</v>
      </c>
      <c r="H31" s="20">
        <f t="shared" si="7"/>
        <v>-31041832.922673225</v>
      </c>
    </row>
    <row r="32" spans="2:15">
      <c r="G32" s="17">
        <v>2036</v>
      </c>
      <c r="H32" s="20">
        <f>$O$18*1.021^(G32-Start_Year)</f>
        <v>-38768693.115041852</v>
      </c>
    </row>
    <row r="33" spans="7:8">
      <c r="G33" s="17">
        <v>2037</v>
      </c>
      <c r="H33" s="20">
        <f>$O$18*1.021^(G33-Start_Year)</f>
        <v>-39582835.670457728</v>
      </c>
    </row>
    <row r="34" spans="7:8">
      <c r="G34" s="17">
        <v>2038</v>
      </c>
      <c r="H34" s="20">
        <f>$O$18*1.021^(G34-Start_Year)</f>
        <v>-40414075.219537333</v>
      </c>
    </row>
    <row r="35" spans="7:8">
      <c r="G35" s="17">
        <v>2039</v>
      </c>
      <c r="H35" s="20">
        <f>$O$18*1.021^(G35-Start_Year)</f>
        <v>-41262770.799147613</v>
      </c>
    </row>
    <row r="36" spans="7:8">
      <c r="G36" s="17">
        <v>2040</v>
      </c>
      <c r="H36" s="20">
        <f>O16</f>
        <v>-19145129.759803534</v>
      </c>
    </row>
    <row r="37" spans="7:8">
      <c r="G37" s="17">
        <v>2041</v>
      </c>
      <c r="H37" s="20">
        <f>$O$18*1.021^(G37-Start_Year)</f>
        <v>-43014004.054634228</v>
      </c>
    </row>
    <row r="38" spans="7:8">
      <c r="G38" s="17">
        <v>2042</v>
      </c>
      <c r="H38" s="20">
        <f>$O$18*1.021^(G38-Start_Year)</f>
        <v>-43917298.139781542</v>
      </c>
    </row>
    <row r="39" spans="7:8">
      <c r="G39" s="17">
        <v>2043</v>
      </c>
      <c r="H39" s="20">
        <f>$O$18*1.021^(G39-Start_Year)</f>
        <v>-44839561.400716946</v>
      </c>
    </row>
    <row r="40" spans="7:8">
      <c r="G40" s="17">
        <v>2044</v>
      </c>
      <c r="H40" s="20">
        <f>O17</f>
        <v>-45435042.944315434</v>
      </c>
    </row>
    <row r="41" spans="7:8">
      <c r="G41" s="17">
        <v>2045</v>
      </c>
      <c r="H41" s="20">
        <f t="shared" ref="H41:H59" si="8">$O$18*1.021^(G41-Start_Year)</f>
        <v>-46742597.226124771</v>
      </c>
    </row>
    <row r="42" spans="7:8">
      <c r="G42" s="17">
        <v>2046</v>
      </c>
      <c r="H42" s="20">
        <f t="shared" si="8"/>
        <v>-47724191.767873384</v>
      </c>
    </row>
    <row r="43" spans="7:8">
      <c r="G43" s="17">
        <v>2047</v>
      </c>
      <c r="H43" s="20">
        <f t="shared" si="8"/>
        <v>-48726399.794998713</v>
      </c>
    </row>
    <row r="44" spans="7:8">
      <c r="G44" s="17">
        <v>2048</v>
      </c>
      <c r="H44" s="20">
        <f t="shared" si="8"/>
        <v>-49749654.190693676</v>
      </c>
    </row>
    <row r="45" spans="7:8">
      <c r="G45" s="17">
        <v>2049</v>
      </c>
      <c r="H45" s="20">
        <f t="shared" si="8"/>
        <v>-50794396.928698242</v>
      </c>
    </row>
    <row r="46" spans="7:8">
      <c r="G46" s="17">
        <v>2050</v>
      </c>
      <c r="H46" s="20">
        <f t="shared" si="8"/>
        <v>-51861079.264200911</v>
      </c>
    </row>
    <row r="47" spans="7:8">
      <c r="G47" s="17">
        <v>2051</v>
      </c>
      <c r="H47" s="20">
        <f t="shared" si="8"/>
        <v>-52950161.928749107</v>
      </c>
    </row>
    <row r="48" spans="7:8">
      <c r="G48" s="17">
        <v>2052</v>
      </c>
      <c r="H48" s="20">
        <f t="shared" si="8"/>
        <v>-54062115.329252832</v>
      </c>
    </row>
    <row r="49" spans="7:8">
      <c r="G49" s="17">
        <v>2053</v>
      </c>
      <c r="H49" s="20">
        <f t="shared" si="8"/>
        <v>-55197419.751167141</v>
      </c>
    </row>
    <row r="50" spans="7:8">
      <c r="G50" s="17">
        <v>2054</v>
      </c>
      <c r="H50" s="20">
        <f t="shared" si="8"/>
        <v>-56356565.565941639</v>
      </c>
    </row>
    <row r="51" spans="7:8">
      <c r="G51" s="17">
        <v>2055</v>
      </c>
      <c r="H51" s="20">
        <f t="shared" si="8"/>
        <v>-57540053.442826413</v>
      </c>
    </row>
    <row r="52" spans="7:8">
      <c r="G52" s="17">
        <v>2056</v>
      </c>
      <c r="H52" s="20">
        <f t="shared" si="8"/>
        <v>-58748394.565125763</v>
      </c>
    </row>
    <row r="53" spans="7:8">
      <c r="G53" s="17">
        <v>2057</v>
      </c>
      <c r="H53" s="20">
        <f t="shared" si="8"/>
        <v>-59982110.850993387</v>
      </c>
    </row>
    <row r="54" spans="7:8">
      <c r="G54" s="17">
        <v>2058</v>
      </c>
      <c r="H54" s="20">
        <f t="shared" si="8"/>
        <v>-61241735.178864248</v>
      </c>
    </row>
    <row r="55" spans="7:8">
      <c r="G55" s="17">
        <v>2059</v>
      </c>
      <c r="H55" s="20">
        <f t="shared" si="8"/>
        <v>-62527811.617620386</v>
      </c>
    </row>
    <row r="56" spans="7:8">
      <c r="G56" s="17">
        <v>2060</v>
      </c>
      <c r="H56" s="20">
        <f t="shared" si="8"/>
        <v>-63840895.661590405</v>
      </c>
    </row>
    <row r="57" spans="7:8">
      <c r="G57" s="17">
        <v>2061</v>
      </c>
      <c r="H57" s="20">
        <f t="shared" si="8"/>
        <v>-65181554.470483802</v>
      </c>
    </row>
    <row r="58" spans="7:8">
      <c r="G58" s="17">
        <v>2062</v>
      </c>
      <c r="H58" s="20">
        <f t="shared" si="8"/>
        <v>-66550367.114363946</v>
      </c>
    </row>
    <row r="59" spans="7:8">
      <c r="G59" s="17">
        <v>2063</v>
      </c>
      <c r="H59" s="20">
        <f t="shared" si="8"/>
        <v>-67947924.823765591</v>
      </c>
    </row>
  </sheetData>
  <mergeCells count="1">
    <mergeCell ref="C2:D2"/>
  </mergeCells>
  <pageMargins left="0.7" right="0.7" top="0.75" bottom="0.75" header="0.3" footer="0.3"/>
  <pageSetup orientation="portrait" r:id="rId1"/>
  <headerFooter>
    <oddHeader xml:space="preserve">&amp;CFiled:  2022-06-30 EB-2022-0086 Exhibit I.ED.15 Attachment 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6BF2-5C5B-4DF1-B74A-A115C2811456}">
  <dimension ref="B2:M42"/>
  <sheetViews>
    <sheetView showGridLines="0" zoomScale="75" zoomScaleNormal="75" workbookViewId="0">
      <selection activeCell="L41" sqref="L41"/>
    </sheetView>
  </sheetViews>
  <sheetFormatPr defaultRowHeight="15"/>
  <cols>
    <col min="2" max="2" width="7.42578125" customWidth="1"/>
    <col min="3" max="3" width="13.28515625" bestFit="1" customWidth="1"/>
    <col min="4" max="4" width="12.7109375" bestFit="1" customWidth="1"/>
    <col min="5" max="5" width="12" bestFit="1" customWidth="1"/>
    <col min="6" max="6" width="3.7109375" customWidth="1"/>
    <col min="7" max="7" width="11.42578125" bestFit="1" customWidth="1"/>
    <col min="9" max="9" width="15.28515625" customWidth="1"/>
    <col min="10" max="10" width="4.42578125" customWidth="1"/>
    <col min="11" max="11" width="20.28515625" customWidth="1"/>
    <col min="13" max="13" width="15.28515625" bestFit="1" customWidth="1"/>
  </cols>
  <sheetData>
    <row r="2" spans="2:13">
      <c r="B2" s="2" t="s">
        <v>52</v>
      </c>
      <c r="C2" s="33" t="s">
        <v>75</v>
      </c>
      <c r="D2" s="33" t="s">
        <v>76</v>
      </c>
      <c r="E2" s="33" t="s">
        <v>77</v>
      </c>
      <c r="F2" s="15"/>
      <c r="G2" s="33" t="s">
        <v>78</v>
      </c>
      <c r="I2" s="34" t="s">
        <v>79</v>
      </c>
      <c r="J2" s="15"/>
      <c r="K2" s="15" t="s">
        <v>80</v>
      </c>
      <c r="M2" s="15" t="s">
        <v>81</v>
      </c>
    </row>
    <row r="3" spans="2:13">
      <c r="B3" s="2">
        <v>2024</v>
      </c>
      <c r="C3" s="26">
        <v>206400000</v>
      </c>
      <c r="D3" s="32">
        <f>Gross_Rate_of_Return_on_Rate_Base</f>
        <v>7.3800000000000004E-2</v>
      </c>
      <c r="E3" s="27">
        <f t="shared" ref="E3:E42" si="0">C3*D3</f>
        <v>15232320</v>
      </c>
      <c r="G3" s="26">
        <f>C3/40</f>
        <v>5160000</v>
      </c>
      <c r="I3" s="30">
        <f t="shared" ref="I3:I42" si="1">SUM(E3,G3)</f>
        <v>20392320</v>
      </c>
      <c r="J3" s="25"/>
      <c r="K3" s="50">
        <f>NPV(4.92%,I3:I42)</f>
        <v>264840305.53467941</v>
      </c>
      <c r="M3" s="51">
        <v>14726941.765970696</v>
      </c>
    </row>
    <row r="4" spans="2:13">
      <c r="B4" s="2">
        <f t="shared" ref="B4:B42" si="2">B3+1</f>
        <v>2025</v>
      </c>
      <c r="C4" s="26">
        <f>C3-G3</f>
        <v>201240000</v>
      </c>
      <c r="D4" s="32">
        <f t="shared" ref="D4:D42" si="3">D3</f>
        <v>7.3800000000000004E-2</v>
      </c>
      <c r="E4" s="27">
        <f t="shared" si="0"/>
        <v>14851512</v>
      </c>
      <c r="G4" s="26">
        <f t="shared" ref="G4:G42" si="4">G3</f>
        <v>5160000</v>
      </c>
      <c r="I4" s="30">
        <f t="shared" si="1"/>
        <v>20011512</v>
      </c>
      <c r="J4" s="25"/>
    </row>
    <row r="5" spans="2:13">
      <c r="B5" s="2">
        <f t="shared" si="2"/>
        <v>2026</v>
      </c>
      <c r="C5" s="26">
        <f t="shared" ref="C5:C42" si="5">C4-G4</f>
        <v>196080000</v>
      </c>
      <c r="D5" s="32">
        <f t="shared" si="3"/>
        <v>7.3800000000000004E-2</v>
      </c>
      <c r="E5" s="27">
        <f t="shared" si="0"/>
        <v>14470704</v>
      </c>
      <c r="G5" s="26">
        <f t="shared" si="4"/>
        <v>5160000</v>
      </c>
      <c r="I5" s="30">
        <f t="shared" si="1"/>
        <v>19630704</v>
      </c>
      <c r="J5" s="25"/>
    </row>
    <row r="6" spans="2:13">
      <c r="B6" s="2">
        <f t="shared" si="2"/>
        <v>2027</v>
      </c>
      <c r="C6" s="26">
        <f t="shared" si="5"/>
        <v>190920000</v>
      </c>
      <c r="D6" s="32">
        <f t="shared" si="3"/>
        <v>7.3800000000000004E-2</v>
      </c>
      <c r="E6" s="27">
        <f t="shared" si="0"/>
        <v>14089896</v>
      </c>
      <c r="G6" s="26">
        <f t="shared" si="4"/>
        <v>5160000</v>
      </c>
      <c r="I6" s="30">
        <f t="shared" si="1"/>
        <v>19249896</v>
      </c>
      <c r="J6" s="25"/>
    </row>
    <row r="7" spans="2:13">
      <c r="B7" s="2">
        <f t="shared" si="2"/>
        <v>2028</v>
      </c>
      <c r="C7" s="26">
        <f t="shared" si="5"/>
        <v>185760000</v>
      </c>
      <c r="D7" s="32">
        <f t="shared" si="3"/>
        <v>7.3800000000000004E-2</v>
      </c>
      <c r="E7" s="27">
        <f t="shared" si="0"/>
        <v>13709088</v>
      </c>
      <c r="G7" s="26">
        <f t="shared" si="4"/>
        <v>5160000</v>
      </c>
      <c r="I7" s="30">
        <f t="shared" si="1"/>
        <v>18869088</v>
      </c>
      <c r="J7" s="25"/>
    </row>
    <row r="8" spans="2:13">
      <c r="B8" s="2">
        <f t="shared" si="2"/>
        <v>2029</v>
      </c>
      <c r="C8" s="26">
        <f t="shared" si="5"/>
        <v>180600000</v>
      </c>
      <c r="D8" s="32">
        <f t="shared" si="3"/>
        <v>7.3800000000000004E-2</v>
      </c>
      <c r="E8" s="27">
        <f t="shared" si="0"/>
        <v>13328280</v>
      </c>
      <c r="G8" s="26">
        <f t="shared" si="4"/>
        <v>5160000</v>
      </c>
      <c r="I8" s="30">
        <f t="shared" si="1"/>
        <v>18488280</v>
      </c>
      <c r="J8" s="25"/>
    </row>
    <row r="9" spans="2:13">
      <c r="B9" s="2">
        <f t="shared" si="2"/>
        <v>2030</v>
      </c>
      <c r="C9" s="26">
        <f t="shared" si="5"/>
        <v>175440000</v>
      </c>
      <c r="D9" s="32">
        <f t="shared" si="3"/>
        <v>7.3800000000000004E-2</v>
      </c>
      <c r="E9" s="27">
        <f t="shared" si="0"/>
        <v>12947472</v>
      </c>
      <c r="G9" s="26">
        <f t="shared" si="4"/>
        <v>5160000</v>
      </c>
      <c r="I9" s="30">
        <f t="shared" si="1"/>
        <v>18107472</v>
      </c>
      <c r="J9" s="25"/>
    </row>
    <row r="10" spans="2:13">
      <c r="B10" s="2">
        <f t="shared" si="2"/>
        <v>2031</v>
      </c>
      <c r="C10" s="26">
        <f t="shared" si="5"/>
        <v>170280000</v>
      </c>
      <c r="D10" s="32">
        <f t="shared" si="3"/>
        <v>7.3800000000000004E-2</v>
      </c>
      <c r="E10" s="27">
        <f t="shared" si="0"/>
        <v>12566664</v>
      </c>
      <c r="G10" s="26">
        <f t="shared" si="4"/>
        <v>5160000</v>
      </c>
      <c r="I10" s="30">
        <f t="shared" si="1"/>
        <v>17726664</v>
      </c>
      <c r="J10" s="25"/>
    </row>
    <row r="11" spans="2:13">
      <c r="B11" s="2">
        <f t="shared" si="2"/>
        <v>2032</v>
      </c>
      <c r="C11" s="26">
        <f t="shared" si="5"/>
        <v>165120000</v>
      </c>
      <c r="D11" s="32">
        <f t="shared" si="3"/>
        <v>7.3800000000000004E-2</v>
      </c>
      <c r="E11" s="27">
        <f t="shared" si="0"/>
        <v>12185856</v>
      </c>
      <c r="G11" s="26">
        <f t="shared" si="4"/>
        <v>5160000</v>
      </c>
      <c r="I11" s="30">
        <f t="shared" si="1"/>
        <v>17345856</v>
      </c>
      <c r="J11" s="25"/>
    </row>
    <row r="12" spans="2:13">
      <c r="B12" s="2">
        <f t="shared" si="2"/>
        <v>2033</v>
      </c>
      <c r="C12" s="26">
        <f t="shared" si="5"/>
        <v>159960000</v>
      </c>
      <c r="D12" s="32">
        <f t="shared" si="3"/>
        <v>7.3800000000000004E-2</v>
      </c>
      <c r="E12" s="27">
        <f t="shared" si="0"/>
        <v>11805048</v>
      </c>
      <c r="G12" s="26">
        <f t="shared" si="4"/>
        <v>5160000</v>
      </c>
      <c r="I12" s="30">
        <f t="shared" si="1"/>
        <v>16965048</v>
      </c>
      <c r="J12" s="25"/>
    </row>
    <row r="13" spans="2:13">
      <c r="B13" s="2">
        <f t="shared" si="2"/>
        <v>2034</v>
      </c>
      <c r="C13" s="26">
        <f t="shared" si="5"/>
        <v>154800000</v>
      </c>
      <c r="D13" s="32">
        <f t="shared" si="3"/>
        <v>7.3800000000000004E-2</v>
      </c>
      <c r="E13" s="27">
        <f t="shared" si="0"/>
        <v>11424240</v>
      </c>
      <c r="G13" s="26">
        <f t="shared" si="4"/>
        <v>5160000</v>
      </c>
      <c r="I13" s="30">
        <f t="shared" si="1"/>
        <v>16584240</v>
      </c>
      <c r="J13" s="25"/>
    </row>
    <row r="14" spans="2:13">
      <c r="B14" s="2">
        <f t="shared" si="2"/>
        <v>2035</v>
      </c>
      <c r="C14" s="26">
        <f t="shared" si="5"/>
        <v>149640000</v>
      </c>
      <c r="D14" s="32">
        <f t="shared" si="3"/>
        <v>7.3800000000000004E-2</v>
      </c>
      <c r="E14" s="27">
        <f t="shared" si="0"/>
        <v>11043432</v>
      </c>
      <c r="G14" s="26">
        <f t="shared" si="4"/>
        <v>5160000</v>
      </c>
      <c r="I14" s="30">
        <f t="shared" si="1"/>
        <v>16203432</v>
      </c>
      <c r="J14" s="25"/>
    </row>
    <row r="15" spans="2:13">
      <c r="B15" s="2">
        <f t="shared" si="2"/>
        <v>2036</v>
      </c>
      <c r="C15" s="26">
        <f t="shared" si="5"/>
        <v>144480000</v>
      </c>
      <c r="D15" s="32">
        <f t="shared" si="3"/>
        <v>7.3800000000000004E-2</v>
      </c>
      <c r="E15" s="27">
        <f t="shared" si="0"/>
        <v>10662624</v>
      </c>
      <c r="G15" s="26">
        <f t="shared" si="4"/>
        <v>5160000</v>
      </c>
      <c r="I15" s="30">
        <f t="shared" si="1"/>
        <v>15822624</v>
      </c>
      <c r="J15" s="25"/>
    </row>
    <row r="16" spans="2:13">
      <c r="B16" s="2">
        <f t="shared" si="2"/>
        <v>2037</v>
      </c>
      <c r="C16" s="26">
        <f t="shared" si="5"/>
        <v>139320000</v>
      </c>
      <c r="D16" s="32">
        <f t="shared" si="3"/>
        <v>7.3800000000000004E-2</v>
      </c>
      <c r="E16" s="27">
        <f t="shared" si="0"/>
        <v>10281816</v>
      </c>
      <c r="G16" s="26">
        <f t="shared" si="4"/>
        <v>5160000</v>
      </c>
      <c r="I16" s="30">
        <f t="shared" si="1"/>
        <v>15441816</v>
      </c>
      <c r="J16" s="25"/>
    </row>
    <row r="17" spans="2:10">
      <c r="B17" s="2">
        <f t="shared" si="2"/>
        <v>2038</v>
      </c>
      <c r="C17" s="26">
        <f t="shared" si="5"/>
        <v>134160000</v>
      </c>
      <c r="D17" s="32">
        <f t="shared" si="3"/>
        <v>7.3800000000000004E-2</v>
      </c>
      <c r="E17" s="27">
        <f t="shared" si="0"/>
        <v>9901008</v>
      </c>
      <c r="G17" s="26">
        <f t="shared" si="4"/>
        <v>5160000</v>
      </c>
      <c r="I17" s="30">
        <f t="shared" si="1"/>
        <v>15061008</v>
      </c>
      <c r="J17" s="25"/>
    </row>
    <row r="18" spans="2:10">
      <c r="B18" s="2">
        <f t="shared" si="2"/>
        <v>2039</v>
      </c>
      <c r="C18" s="26">
        <f t="shared" si="5"/>
        <v>129000000</v>
      </c>
      <c r="D18" s="32">
        <f t="shared" si="3"/>
        <v>7.3800000000000004E-2</v>
      </c>
      <c r="E18" s="27">
        <f t="shared" si="0"/>
        <v>9520200</v>
      </c>
      <c r="G18" s="26">
        <f t="shared" si="4"/>
        <v>5160000</v>
      </c>
      <c r="I18" s="30">
        <f t="shared" si="1"/>
        <v>14680200</v>
      </c>
      <c r="J18" s="25"/>
    </row>
    <row r="19" spans="2:10">
      <c r="B19" s="2">
        <f t="shared" si="2"/>
        <v>2040</v>
      </c>
      <c r="C19" s="26">
        <f t="shared" si="5"/>
        <v>123840000</v>
      </c>
      <c r="D19" s="32">
        <f t="shared" si="3"/>
        <v>7.3800000000000004E-2</v>
      </c>
      <c r="E19" s="27">
        <f t="shared" si="0"/>
        <v>9139392</v>
      </c>
      <c r="G19" s="26">
        <f t="shared" si="4"/>
        <v>5160000</v>
      </c>
      <c r="I19" s="30">
        <f t="shared" si="1"/>
        <v>14299392</v>
      </c>
      <c r="J19" s="25"/>
    </row>
    <row r="20" spans="2:10">
      <c r="B20" s="2">
        <f t="shared" si="2"/>
        <v>2041</v>
      </c>
      <c r="C20" s="26">
        <f t="shared" si="5"/>
        <v>118680000</v>
      </c>
      <c r="D20" s="32">
        <f t="shared" si="3"/>
        <v>7.3800000000000004E-2</v>
      </c>
      <c r="E20" s="27">
        <f t="shared" si="0"/>
        <v>8758584</v>
      </c>
      <c r="G20" s="26">
        <f t="shared" si="4"/>
        <v>5160000</v>
      </c>
      <c r="I20" s="30">
        <f t="shared" si="1"/>
        <v>13918584</v>
      </c>
      <c r="J20" s="25"/>
    </row>
    <row r="21" spans="2:10">
      <c r="B21" s="2">
        <f t="shared" si="2"/>
        <v>2042</v>
      </c>
      <c r="C21" s="26">
        <f t="shared" si="5"/>
        <v>113520000</v>
      </c>
      <c r="D21" s="32">
        <f t="shared" si="3"/>
        <v>7.3800000000000004E-2</v>
      </c>
      <c r="E21" s="27">
        <f t="shared" si="0"/>
        <v>8377776.0000000009</v>
      </c>
      <c r="G21" s="26">
        <f t="shared" si="4"/>
        <v>5160000</v>
      </c>
      <c r="I21" s="30">
        <f t="shared" si="1"/>
        <v>13537776</v>
      </c>
      <c r="J21" s="25"/>
    </row>
    <row r="22" spans="2:10">
      <c r="B22" s="2">
        <f t="shared" si="2"/>
        <v>2043</v>
      </c>
      <c r="C22" s="26">
        <f t="shared" si="5"/>
        <v>108360000</v>
      </c>
      <c r="D22" s="32">
        <f t="shared" si="3"/>
        <v>7.3800000000000004E-2</v>
      </c>
      <c r="E22" s="27">
        <f t="shared" si="0"/>
        <v>7996968.0000000009</v>
      </c>
      <c r="G22" s="26">
        <f t="shared" si="4"/>
        <v>5160000</v>
      </c>
      <c r="I22" s="30">
        <f t="shared" si="1"/>
        <v>13156968</v>
      </c>
      <c r="J22" s="25"/>
    </row>
    <row r="23" spans="2:10">
      <c r="B23" s="2">
        <f t="shared" si="2"/>
        <v>2044</v>
      </c>
      <c r="C23" s="26">
        <f t="shared" si="5"/>
        <v>103200000</v>
      </c>
      <c r="D23" s="32">
        <f t="shared" si="3"/>
        <v>7.3800000000000004E-2</v>
      </c>
      <c r="E23" s="27">
        <f t="shared" si="0"/>
        <v>7616160</v>
      </c>
      <c r="G23" s="26">
        <f t="shared" si="4"/>
        <v>5160000</v>
      </c>
      <c r="I23" s="30">
        <f t="shared" si="1"/>
        <v>12776160</v>
      </c>
      <c r="J23" s="25"/>
    </row>
    <row r="24" spans="2:10">
      <c r="B24" s="2">
        <f t="shared" si="2"/>
        <v>2045</v>
      </c>
      <c r="C24" s="26">
        <f t="shared" si="5"/>
        <v>98040000</v>
      </c>
      <c r="D24" s="32">
        <f t="shared" si="3"/>
        <v>7.3800000000000004E-2</v>
      </c>
      <c r="E24" s="27">
        <f t="shared" si="0"/>
        <v>7235352</v>
      </c>
      <c r="G24" s="26">
        <f t="shared" si="4"/>
        <v>5160000</v>
      </c>
      <c r="I24" s="30">
        <f t="shared" si="1"/>
        <v>12395352</v>
      </c>
      <c r="J24" s="25"/>
    </row>
    <row r="25" spans="2:10">
      <c r="B25" s="2">
        <f t="shared" si="2"/>
        <v>2046</v>
      </c>
      <c r="C25" s="26">
        <f t="shared" si="5"/>
        <v>92880000</v>
      </c>
      <c r="D25" s="32">
        <f t="shared" si="3"/>
        <v>7.3800000000000004E-2</v>
      </c>
      <c r="E25" s="27">
        <f t="shared" si="0"/>
        <v>6854544</v>
      </c>
      <c r="G25" s="26">
        <f t="shared" si="4"/>
        <v>5160000</v>
      </c>
      <c r="I25" s="30">
        <f t="shared" si="1"/>
        <v>12014544</v>
      </c>
      <c r="J25" s="25"/>
    </row>
    <row r="26" spans="2:10">
      <c r="B26" s="2">
        <f t="shared" si="2"/>
        <v>2047</v>
      </c>
      <c r="C26" s="26">
        <f t="shared" si="5"/>
        <v>87720000</v>
      </c>
      <c r="D26" s="32">
        <f t="shared" si="3"/>
        <v>7.3800000000000004E-2</v>
      </c>
      <c r="E26" s="27">
        <f t="shared" si="0"/>
        <v>6473736</v>
      </c>
      <c r="G26" s="26">
        <f t="shared" si="4"/>
        <v>5160000</v>
      </c>
      <c r="I26" s="30">
        <f t="shared" si="1"/>
        <v>11633736</v>
      </c>
      <c r="J26" s="25"/>
    </row>
    <row r="27" spans="2:10">
      <c r="B27" s="2">
        <f t="shared" si="2"/>
        <v>2048</v>
      </c>
      <c r="C27" s="26">
        <f t="shared" si="5"/>
        <v>82560000</v>
      </c>
      <c r="D27" s="32">
        <f t="shared" si="3"/>
        <v>7.3800000000000004E-2</v>
      </c>
      <c r="E27" s="27">
        <f t="shared" si="0"/>
        <v>6092928</v>
      </c>
      <c r="G27" s="26">
        <f t="shared" si="4"/>
        <v>5160000</v>
      </c>
      <c r="I27" s="30">
        <f t="shared" si="1"/>
        <v>11252928</v>
      </c>
      <c r="J27" s="25"/>
    </row>
    <row r="28" spans="2:10">
      <c r="B28" s="2">
        <f t="shared" si="2"/>
        <v>2049</v>
      </c>
      <c r="C28" s="26">
        <f t="shared" si="5"/>
        <v>77400000</v>
      </c>
      <c r="D28" s="32">
        <f t="shared" si="3"/>
        <v>7.3800000000000004E-2</v>
      </c>
      <c r="E28" s="27">
        <f t="shared" si="0"/>
        <v>5712120</v>
      </c>
      <c r="G28" s="26">
        <f t="shared" si="4"/>
        <v>5160000</v>
      </c>
      <c r="I28" s="30">
        <f t="shared" si="1"/>
        <v>10872120</v>
      </c>
      <c r="J28" s="25"/>
    </row>
    <row r="29" spans="2:10">
      <c r="B29" s="2">
        <f t="shared" si="2"/>
        <v>2050</v>
      </c>
      <c r="C29" s="26">
        <f t="shared" si="5"/>
        <v>72240000</v>
      </c>
      <c r="D29" s="32">
        <f t="shared" si="3"/>
        <v>7.3800000000000004E-2</v>
      </c>
      <c r="E29" s="27">
        <f t="shared" si="0"/>
        <v>5331312</v>
      </c>
      <c r="G29" s="26">
        <f t="shared" si="4"/>
        <v>5160000</v>
      </c>
      <c r="I29" s="30">
        <f t="shared" si="1"/>
        <v>10491312</v>
      </c>
      <c r="J29" s="25"/>
    </row>
    <row r="30" spans="2:10">
      <c r="B30" s="2">
        <f t="shared" si="2"/>
        <v>2051</v>
      </c>
      <c r="C30" s="26">
        <f t="shared" si="5"/>
        <v>67080000</v>
      </c>
      <c r="D30" s="32">
        <f t="shared" si="3"/>
        <v>7.3800000000000004E-2</v>
      </c>
      <c r="E30" s="27">
        <f t="shared" si="0"/>
        <v>4950504</v>
      </c>
      <c r="G30" s="26">
        <f t="shared" si="4"/>
        <v>5160000</v>
      </c>
      <c r="I30" s="30">
        <f t="shared" si="1"/>
        <v>10110504</v>
      </c>
      <c r="J30" s="25"/>
    </row>
    <row r="31" spans="2:10">
      <c r="B31" s="2">
        <f t="shared" si="2"/>
        <v>2052</v>
      </c>
      <c r="C31" s="26">
        <f t="shared" si="5"/>
        <v>61920000</v>
      </c>
      <c r="D31" s="32">
        <f t="shared" si="3"/>
        <v>7.3800000000000004E-2</v>
      </c>
      <c r="E31" s="27">
        <f t="shared" si="0"/>
        <v>4569696</v>
      </c>
      <c r="G31" s="26">
        <f t="shared" si="4"/>
        <v>5160000</v>
      </c>
      <c r="I31" s="30">
        <f t="shared" si="1"/>
        <v>9729696</v>
      </c>
      <c r="J31" s="25"/>
    </row>
    <row r="32" spans="2:10">
      <c r="B32" s="2">
        <f t="shared" si="2"/>
        <v>2053</v>
      </c>
      <c r="C32" s="26">
        <f t="shared" si="5"/>
        <v>56760000</v>
      </c>
      <c r="D32" s="32">
        <f t="shared" si="3"/>
        <v>7.3800000000000004E-2</v>
      </c>
      <c r="E32" s="27">
        <f t="shared" si="0"/>
        <v>4188888.0000000005</v>
      </c>
      <c r="G32" s="26">
        <f t="shared" si="4"/>
        <v>5160000</v>
      </c>
      <c r="I32" s="30">
        <f t="shared" si="1"/>
        <v>9348888</v>
      </c>
      <c r="J32" s="25"/>
    </row>
    <row r="33" spans="2:10">
      <c r="B33" s="2">
        <f t="shared" si="2"/>
        <v>2054</v>
      </c>
      <c r="C33" s="26">
        <f t="shared" si="5"/>
        <v>51600000</v>
      </c>
      <c r="D33" s="32">
        <f t="shared" si="3"/>
        <v>7.3800000000000004E-2</v>
      </c>
      <c r="E33" s="27">
        <f t="shared" si="0"/>
        <v>3808080</v>
      </c>
      <c r="G33" s="26">
        <f t="shared" si="4"/>
        <v>5160000</v>
      </c>
      <c r="I33" s="30">
        <f t="shared" si="1"/>
        <v>8968080</v>
      </c>
      <c r="J33" s="25"/>
    </row>
    <row r="34" spans="2:10">
      <c r="B34" s="2">
        <f t="shared" si="2"/>
        <v>2055</v>
      </c>
      <c r="C34" s="26">
        <f t="shared" si="5"/>
        <v>46440000</v>
      </c>
      <c r="D34" s="32">
        <f t="shared" si="3"/>
        <v>7.3800000000000004E-2</v>
      </c>
      <c r="E34" s="27">
        <f t="shared" si="0"/>
        <v>3427272</v>
      </c>
      <c r="G34" s="26">
        <f t="shared" si="4"/>
        <v>5160000</v>
      </c>
      <c r="I34" s="30">
        <f t="shared" si="1"/>
        <v>8587272</v>
      </c>
      <c r="J34" s="25"/>
    </row>
    <row r="35" spans="2:10">
      <c r="B35" s="2">
        <f t="shared" si="2"/>
        <v>2056</v>
      </c>
      <c r="C35" s="26">
        <f t="shared" si="5"/>
        <v>41280000</v>
      </c>
      <c r="D35" s="32">
        <f t="shared" si="3"/>
        <v>7.3800000000000004E-2</v>
      </c>
      <c r="E35" s="27">
        <f t="shared" si="0"/>
        <v>3046464</v>
      </c>
      <c r="G35" s="26">
        <f t="shared" si="4"/>
        <v>5160000</v>
      </c>
      <c r="I35" s="30">
        <f t="shared" si="1"/>
        <v>8206464</v>
      </c>
      <c r="J35" s="25"/>
    </row>
    <row r="36" spans="2:10">
      <c r="B36" s="2">
        <f t="shared" si="2"/>
        <v>2057</v>
      </c>
      <c r="C36" s="26">
        <f t="shared" si="5"/>
        <v>36120000</v>
      </c>
      <c r="D36" s="32">
        <f t="shared" si="3"/>
        <v>7.3800000000000004E-2</v>
      </c>
      <c r="E36" s="27">
        <f t="shared" si="0"/>
        <v>2665656</v>
      </c>
      <c r="G36" s="26">
        <f t="shared" si="4"/>
        <v>5160000</v>
      </c>
      <c r="I36" s="30">
        <f t="shared" si="1"/>
        <v>7825656</v>
      </c>
      <c r="J36" s="25"/>
    </row>
    <row r="37" spans="2:10">
      <c r="B37" s="2">
        <f t="shared" si="2"/>
        <v>2058</v>
      </c>
      <c r="C37" s="26">
        <f t="shared" si="5"/>
        <v>30960000</v>
      </c>
      <c r="D37" s="32">
        <f t="shared" si="3"/>
        <v>7.3800000000000004E-2</v>
      </c>
      <c r="E37" s="27">
        <f t="shared" si="0"/>
        <v>2284848</v>
      </c>
      <c r="G37" s="26">
        <f t="shared" si="4"/>
        <v>5160000</v>
      </c>
      <c r="I37" s="30">
        <f t="shared" si="1"/>
        <v>7444848</v>
      </c>
      <c r="J37" s="25"/>
    </row>
    <row r="38" spans="2:10">
      <c r="B38" s="2">
        <f t="shared" si="2"/>
        <v>2059</v>
      </c>
      <c r="C38" s="26">
        <f t="shared" si="5"/>
        <v>25800000</v>
      </c>
      <c r="D38" s="32">
        <f t="shared" si="3"/>
        <v>7.3800000000000004E-2</v>
      </c>
      <c r="E38" s="27">
        <f t="shared" si="0"/>
        <v>1904040</v>
      </c>
      <c r="G38" s="26">
        <f t="shared" si="4"/>
        <v>5160000</v>
      </c>
      <c r="I38" s="30">
        <f t="shared" si="1"/>
        <v>7064040</v>
      </c>
      <c r="J38" s="25"/>
    </row>
    <row r="39" spans="2:10">
      <c r="B39" s="2">
        <f t="shared" si="2"/>
        <v>2060</v>
      </c>
      <c r="C39" s="26">
        <f t="shared" si="5"/>
        <v>20640000</v>
      </c>
      <c r="D39" s="32">
        <f t="shared" si="3"/>
        <v>7.3800000000000004E-2</v>
      </c>
      <c r="E39" s="27">
        <f t="shared" si="0"/>
        <v>1523232</v>
      </c>
      <c r="G39" s="26">
        <f t="shared" si="4"/>
        <v>5160000</v>
      </c>
      <c r="I39" s="30">
        <f t="shared" si="1"/>
        <v>6683232</v>
      </c>
      <c r="J39" s="25"/>
    </row>
    <row r="40" spans="2:10">
      <c r="B40" s="2">
        <f t="shared" si="2"/>
        <v>2061</v>
      </c>
      <c r="C40" s="26">
        <f t="shared" si="5"/>
        <v>15480000</v>
      </c>
      <c r="D40" s="32">
        <f t="shared" si="3"/>
        <v>7.3800000000000004E-2</v>
      </c>
      <c r="E40" s="27">
        <f t="shared" si="0"/>
        <v>1142424</v>
      </c>
      <c r="G40" s="26">
        <f t="shared" si="4"/>
        <v>5160000</v>
      </c>
      <c r="I40" s="30">
        <f t="shared" si="1"/>
        <v>6302424</v>
      </c>
      <c r="J40" s="25"/>
    </row>
    <row r="41" spans="2:10">
      <c r="B41" s="2">
        <f t="shared" si="2"/>
        <v>2062</v>
      </c>
      <c r="C41" s="26">
        <f t="shared" si="5"/>
        <v>10320000</v>
      </c>
      <c r="D41" s="32">
        <f t="shared" si="3"/>
        <v>7.3800000000000004E-2</v>
      </c>
      <c r="E41" s="27">
        <f t="shared" si="0"/>
        <v>761616</v>
      </c>
      <c r="G41" s="26">
        <f t="shared" si="4"/>
        <v>5160000</v>
      </c>
      <c r="I41" s="30">
        <f t="shared" si="1"/>
        <v>5921616</v>
      </c>
      <c r="J41" s="25"/>
    </row>
    <row r="42" spans="2:10">
      <c r="B42" s="2">
        <f t="shared" si="2"/>
        <v>2063</v>
      </c>
      <c r="C42" s="26">
        <f t="shared" si="5"/>
        <v>5160000</v>
      </c>
      <c r="D42" s="32">
        <f t="shared" si="3"/>
        <v>7.3800000000000004E-2</v>
      </c>
      <c r="E42" s="27">
        <f t="shared" si="0"/>
        <v>380808</v>
      </c>
      <c r="G42" s="26">
        <f t="shared" si="4"/>
        <v>5160000</v>
      </c>
      <c r="I42" s="30">
        <f t="shared" si="1"/>
        <v>5540808</v>
      </c>
      <c r="J42"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73640-D823-44B6-A240-A4F7BD867E56}">
  <dimension ref="A1:AZ37"/>
  <sheetViews>
    <sheetView showGridLines="0" zoomScale="65" zoomScaleNormal="65" workbookViewId="0">
      <selection activeCell="L51" sqref="L51"/>
    </sheetView>
  </sheetViews>
  <sheetFormatPr defaultRowHeight="15"/>
  <cols>
    <col min="1" max="2" width="1.5703125" customWidth="1"/>
    <col min="3" max="3" width="4.42578125" customWidth="1"/>
    <col min="4" max="4" width="16.28515625" customWidth="1"/>
    <col min="5" max="5" width="40.7109375" customWidth="1"/>
    <col min="6" max="6" width="16.5703125" customWidth="1"/>
    <col min="7" max="7" width="8.28515625" bestFit="1" customWidth="1"/>
    <col min="8" max="8" width="7.7109375" customWidth="1"/>
    <col min="9" max="9" width="1.28515625" customWidth="1"/>
    <col min="10" max="10" width="14.7109375" customWidth="1"/>
    <col min="11" max="11" width="12.7109375" customWidth="1"/>
    <col min="12" max="13" width="11.28515625" bestFit="1" customWidth="1"/>
    <col min="14" max="15" width="10.42578125" customWidth="1"/>
    <col min="16" max="26" width="8.7109375" customWidth="1"/>
    <col min="27" max="29" width="9.28515625" customWidth="1"/>
    <col min="30" max="48" width="10.42578125" customWidth="1"/>
    <col min="50" max="52" width="10.5703125" customWidth="1"/>
  </cols>
  <sheetData>
    <row r="1" spans="1:52" ht="18">
      <c r="A1" s="58"/>
      <c r="B1" s="58"/>
      <c r="C1" s="58"/>
      <c r="D1" s="59"/>
      <c r="E1" s="60" t="s">
        <v>82</v>
      </c>
      <c r="F1" s="59"/>
      <c r="G1" s="59"/>
      <c r="H1" s="61"/>
      <c r="I1" s="61"/>
      <c r="J1" s="59"/>
      <c r="K1" s="59"/>
      <c r="L1" s="59"/>
      <c r="M1" s="59"/>
      <c r="N1" s="62" t="s">
        <v>83</v>
      </c>
      <c r="O1" s="59"/>
      <c r="P1" s="59"/>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row>
    <row r="2" spans="1:52" ht="15.75">
      <c r="A2" s="58"/>
      <c r="B2" s="58"/>
      <c r="C2" s="58"/>
      <c r="D2" s="59"/>
      <c r="E2" s="63" t="s">
        <v>84</v>
      </c>
      <c r="F2" s="64"/>
      <c r="G2" s="64"/>
      <c r="H2" s="65"/>
      <c r="I2" s="65"/>
      <c r="J2" s="64"/>
      <c r="K2" s="66"/>
      <c r="L2" s="66"/>
      <c r="M2" s="59"/>
      <c r="N2" s="62" t="s">
        <v>85</v>
      </c>
      <c r="O2" s="59"/>
      <c r="P2" s="59"/>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row>
    <row r="3" spans="1:52" ht="15.75">
      <c r="A3" s="58"/>
      <c r="B3" s="58"/>
      <c r="C3" s="58"/>
      <c r="D3" s="59"/>
      <c r="E3" s="67" t="s">
        <v>86</v>
      </c>
      <c r="F3" s="64"/>
      <c r="G3" s="64"/>
      <c r="H3" s="65"/>
      <c r="I3" s="65"/>
      <c r="J3" s="64"/>
      <c r="K3" s="66"/>
      <c r="L3" s="66"/>
      <c r="M3" s="59"/>
      <c r="N3" s="62"/>
      <c r="O3" s="59"/>
      <c r="P3" s="59"/>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row>
    <row r="4" spans="1:52" ht="15.75">
      <c r="A4" s="58"/>
      <c r="B4" s="58"/>
      <c r="C4" s="58"/>
      <c r="D4" s="59"/>
      <c r="E4" s="67" t="s">
        <v>87</v>
      </c>
      <c r="F4" s="64"/>
      <c r="G4" s="64"/>
      <c r="H4" s="65"/>
      <c r="I4" s="65"/>
      <c r="J4" s="64"/>
      <c r="K4" s="66"/>
      <c r="L4" s="66"/>
      <c r="M4" s="59"/>
      <c r="N4" s="58"/>
      <c r="O4" s="59"/>
      <c r="P4" s="59"/>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row>
    <row r="5" spans="1:52" ht="15.75">
      <c r="A5" s="68"/>
      <c r="B5" s="68"/>
      <c r="C5" s="68"/>
      <c r="D5" s="68"/>
      <c r="E5" s="66"/>
      <c r="F5" s="69"/>
      <c r="G5" s="68"/>
      <c r="H5" s="70"/>
      <c r="I5" s="68"/>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row>
    <row r="6" spans="1:52">
      <c r="A6" s="72"/>
      <c r="B6" s="72"/>
      <c r="C6" s="72"/>
      <c r="D6" s="72"/>
      <c r="E6" s="73"/>
      <c r="F6" s="72"/>
      <c r="G6" s="72"/>
      <c r="H6" s="72"/>
      <c r="I6" s="72"/>
      <c r="J6" s="74">
        <v>2021</v>
      </c>
      <c r="K6" s="74">
        <v>2022</v>
      </c>
      <c r="L6" s="74">
        <v>2023</v>
      </c>
      <c r="M6" s="74">
        <v>2024</v>
      </c>
      <c r="N6" s="74">
        <v>2025</v>
      </c>
      <c r="O6" s="74">
        <v>2026</v>
      </c>
      <c r="P6" s="74">
        <v>2027</v>
      </c>
      <c r="Q6" s="74">
        <v>2028</v>
      </c>
      <c r="R6" s="74">
        <v>2029</v>
      </c>
      <c r="S6" s="74">
        <v>2030</v>
      </c>
      <c r="T6" s="74">
        <v>2031</v>
      </c>
      <c r="U6" s="74">
        <v>2032</v>
      </c>
      <c r="V6" s="74">
        <v>2033</v>
      </c>
      <c r="W6" s="74">
        <v>2034</v>
      </c>
      <c r="X6" s="74">
        <v>2035</v>
      </c>
      <c r="Y6" s="74">
        <v>2036</v>
      </c>
      <c r="Z6" s="74">
        <v>2037</v>
      </c>
      <c r="AA6" s="74">
        <v>2038</v>
      </c>
      <c r="AB6" s="74">
        <v>2039</v>
      </c>
      <c r="AC6" s="74">
        <v>2040</v>
      </c>
      <c r="AD6" s="74">
        <v>2041</v>
      </c>
      <c r="AE6" s="74">
        <v>2042</v>
      </c>
      <c r="AF6" s="74">
        <v>2043</v>
      </c>
      <c r="AG6" s="74">
        <v>2044</v>
      </c>
      <c r="AH6" s="74">
        <v>2045</v>
      </c>
      <c r="AI6" s="74">
        <v>2046</v>
      </c>
      <c r="AJ6" s="74">
        <v>2047</v>
      </c>
      <c r="AK6" s="74">
        <v>2048</v>
      </c>
      <c r="AL6" s="74">
        <v>2049</v>
      </c>
      <c r="AM6" s="74">
        <v>2050</v>
      </c>
      <c r="AN6" s="74">
        <v>2051</v>
      </c>
      <c r="AO6" s="74">
        <v>2052</v>
      </c>
      <c r="AP6" s="74">
        <v>2053</v>
      </c>
      <c r="AQ6" s="74">
        <v>2054</v>
      </c>
      <c r="AR6" s="74">
        <v>2055</v>
      </c>
      <c r="AS6" s="74">
        <v>2056</v>
      </c>
      <c r="AT6" s="74">
        <v>2057</v>
      </c>
      <c r="AU6" s="74">
        <v>2058</v>
      </c>
      <c r="AV6" s="74">
        <v>2059</v>
      </c>
      <c r="AW6" s="74">
        <v>2060</v>
      </c>
      <c r="AX6" s="74">
        <f>AW6+1</f>
        <v>2061</v>
      </c>
      <c r="AY6" s="74">
        <f t="shared" ref="AY6:AZ6" si="0">AX6+1</f>
        <v>2062</v>
      </c>
      <c r="AZ6" s="74">
        <f t="shared" si="0"/>
        <v>2063</v>
      </c>
    </row>
    <row r="7" spans="1:52">
      <c r="A7" s="68"/>
      <c r="B7" s="68"/>
      <c r="C7" s="68"/>
      <c r="D7" s="75" t="s">
        <v>88</v>
      </c>
      <c r="E7" s="76"/>
      <c r="F7" s="77"/>
      <c r="G7" s="68"/>
      <c r="H7" s="68"/>
      <c r="I7" s="68"/>
      <c r="J7" s="78">
        <v>1</v>
      </c>
      <c r="K7" s="78">
        <v>2</v>
      </c>
      <c r="L7" s="78">
        <v>3</v>
      </c>
      <c r="M7" s="78">
        <v>4</v>
      </c>
      <c r="N7" s="78">
        <v>5</v>
      </c>
      <c r="O7" s="78">
        <v>6</v>
      </c>
      <c r="P7" s="78">
        <v>7</v>
      </c>
      <c r="Q7" s="78">
        <v>8</v>
      </c>
      <c r="R7" s="78">
        <v>9</v>
      </c>
      <c r="S7" s="78">
        <v>10</v>
      </c>
      <c r="T7" s="78">
        <v>11</v>
      </c>
      <c r="U7" s="78">
        <v>12</v>
      </c>
      <c r="V7" s="78">
        <v>13</v>
      </c>
      <c r="W7" s="78">
        <v>14</v>
      </c>
      <c r="X7" s="78">
        <v>15</v>
      </c>
      <c r="Y7" s="78">
        <v>16</v>
      </c>
      <c r="Z7" s="78">
        <v>17</v>
      </c>
      <c r="AA7" s="78">
        <v>18</v>
      </c>
      <c r="AB7" s="78">
        <v>19</v>
      </c>
      <c r="AC7" s="78">
        <v>20</v>
      </c>
      <c r="AD7" s="78">
        <v>21</v>
      </c>
      <c r="AE7" s="78">
        <v>22</v>
      </c>
      <c r="AF7" s="78">
        <v>23</v>
      </c>
      <c r="AG7" s="78">
        <v>24</v>
      </c>
      <c r="AH7" s="78">
        <v>25</v>
      </c>
      <c r="AI7" s="78">
        <v>26</v>
      </c>
      <c r="AJ7" s="78">
        <v>27</v>
      </c>
      <c r="AK7" s="78">
        <v>28</v>
      </c>
      <c r="AL7" s="78">
        <v>29</v>
      </c>
      <c r="AM7" s="78">
        <v>30</v>
      </c>
      <c r="AN7" s="78">
        <v>31</v>
      </c>
      <c r="AO7" s="78">
        <v>32</v>
      </c>
      <c r="AP7" s="78">
        <v>33</v>
      </c>
      <c r="AQ7" s="78">
        <v>34</v>
      </c>
      <c r="AR7" s="78">
        <v>35</v>
      </c>
      <c r="AS7" s="78">
        <v>36</v>
      </c>
      <c r="AT7" s="78">
        <v>37</v>
      </c>
      <c r="AU7" s="78">
        <v>38</v>
      </c>
      <c r="AV7" s="78">
        <v>39</v>
      </c>
      <c r="AW7" s="78">
        <v>40</v>
      </c>
      <c r="AX7" s="78">
        <f>AW7+1</f>
        <v>41</v>
      </c>
      <c r="AY7" s="78">
        <f t="shared" ref="AY7:AZ7" si="1">AX7+1</f>
        <v>42</v>
      </c>
      <c r="AZ7" s="78">
        <f t="shared" si="1"/>
        <v>43</v>
      </c>
    </row>
    <row r="8" spans="1:52" ht="15.75">
      <c r="A8" s="58"/>
      <c r="B8" s="58"/>
      <c r="C8" s="58"/>
      <c r="E8" s="59"/>
      <c r="F8" s="79" t="s">
        <v>89</v>
      </c>
      <c r="G8" s="59"/>
      <c r="I8" s="79"/>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58"/>
      <c r="AT8" s="58"/>
      <c r="AU8" s="58"/>
      <c r="AV8" s="58"/>
      <c r="AW8" s="58"/>
      <c r="AX8" s="58"/>
      <c r="AY8" s="58"/>
      <c r="AZ8" s="58"/>
    </row>
    <row r="9" spans="1:52" ht="15.75">
      <c r="A9" s="58"/>
      <c r="B9" s="58"/>
      <c r="C9" s="58"/>
      <c r="D9" s="81" t="s">
        <v>90</v>
      </c>
      <c r="E9" s="59"/>
      <c r="F9" s="61"/>
      <c r="G9" s="59"/>
      <c r="I9" s="61"/>
      <c r="J9" s="111"/>
      <c r="K9" s="110"/>
      <c r="L9" s="110"/>
      <c r="M9" s="110"/>
      <c r="N9" s="59"/>
      <c r="O9" s="59"/>
      <c r="P9" s="59"/>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row>
    <row r="10" spans="1:52" ht="15.75">
      <c r="A10" s="58"/>
      <c r="B10" s="58"/>
      <c r="C10" s="58"/>
      <c r="D10" s="82"/>
      <c r="E10" s="68" t="s">
        <v>91</v>
      </c>
      <c r="F10" s="83"/>
      <c r="G10" s="84" t="s">
        <v>92</v>
      </c>
      <c r="I10" s="83"/>
      <c r="J10" s="84">
        <v>2297.4683700225669</v>
      </c>
      <c r="K10" s="84">
        <v>17749.533699520391</v>
      </c>
      <c r="L10" s="84">
        <v>176261.71402693455</v>
      </c>
      <c r="M10" s="84">
        <v>10078.728309869557</v>
      </c>
      <c r="N10" s="84">
        <v>0</v>
      </c>
      <c r="O10" s="84">
        <v>0</v>
      </c>
      <c r="P10" s="84">
        <v>0</v>
      </c>
      <c r="Q10" s="84">
        <v>0</v>
      </c>
      <c r="R10" s="84">
        <v>0</v>
      </c>
      <c r="S10" s="84">
        <v>0</v>
      </c>
      <c r="T10" s="84">
        <v>0</v>
      </c>
      <c r="U10" s="84">
        <v>0</v>
      </c>
      <c r="V10" s="84">
        <v>0</v>
      </c>
      <c r="W10" s="84">
        <v>0</v>
      </c>
      <c r="X10" s="84">
        <v>0</v>
      </c>
      <c r="Y10" s="84">
        <v>0</v>
      </c>
      <c r="Z10" s="84">
        <v>0</v>
      </c>
      <c r="AA10" s="84">
        <v>0</v>
      </c>
      <c r="AB10" s="84">
        <v>0</v>
      </c>
      <c r="AC10" s="84">
        <v>0</v>
      </c>
      <c r="AD10" s="84">
        <v>52.5</v>
      </c>
      <c r="AE10" s="84">
        <v>52.5</v>
      </c>
      <c r="AF10" s="84">
        <v>52.5</v>
      </c>
      <c r="AG10" s="84">
        <v>52.5</v>
      </c>
      <c r="AH10" s="84">
        <v>52.5</v>
      </c>
      <c r="AI10" s="84">
        <v>52.5</v>
      </c>
      <c r="AJ10" s="84">
        <v>52.5</v>
      </c>
      <c r="AK10" s="84">
        <v>52.5</v>
      </c>
      <c r="AL10" s="84">
        <v>52.5</v>
      </c>
      <c r="AM10" s="84">
        <v>52.5</v>
      </c>
      <c r="AN10" s="84">
        <v>105</v>
      </c>
      <c r="AO10" s="84">
        <v>105</v>
      </c>
      <c r="AP10" s="84">
        <v>105</v>
      </c>
      <c r="AQ10" s="84">
        <v>105</v>
      </c>
      <c r="AR10" s="84">
        <v>105</v>
      </c>
      <c r="AS10" s="84">
        <v>105</v>
      </c>
      <c r="AT10" s="84">
        <v>105</v>
      </c>
      <c r="AU10" s="84">
        <v>105</v>
      </c>
      <c r="AV10" s="84">
        <v>105</v>
      </c>
      <c r="AW10" s="84">
        <v>105</v>
      </c>
      <c r="AX10" s="84"/>
      <c r="AY10" s="84"/>
      <c r="AZ10" s="84"/>
    </row>
    <row r="11" spans="1:52" ht="17.25">
      <c r="A11" s="58"/>
      <c r="B11" s="58"/>
      <c r="C11" s="58"/>
      <c r="D11" s="82"/>
      <c r="E11" s="68" t="s">
        <v>93</v>
      </c>
      <c r="F11" s="83"/>
      <c r="G11" s="84" t="s">
        <v>92</v>
      </c>
      <c r="I11" s="83"/>
      <c r="J11" s="85">
        <v>0</v>
      </c>
      <c r="K11" s="85">
        <v>0</v>
      </c>
      <c r="L11" s="85">
        <v>23154.727014147549</v>
      </c>
      <c r="M11" s="85">
        <v>183995.59112570752</v>
      </c>
      <c r="N11" s="85">
        <v>179026.69117581611</v>
      </c>
      <c r="O11" s="85">
        <v>174057.79122592471</v>
      </c>
      <c r="P11" s="85">
        <v>169088.8912760333</v>
      </c>
      <c r="Q11" s="85">
        <v>164119.99132614187</v>
      </c>
      <c r="R11" s="85">
        <v>159151.09137625046</v>
      </c>
      <c r="S11" s="85">
        <v>154182.19142635906</v>
      </c>
      <c r="T11" s="85">
        <v>149213.29147646765</v>
      </c>
      <c r="U11" s="85">
        <v>144244.39152657625</v>
      </c>
      <c r="V11" s="85">
        <v>139275.49157668481</v>
      </c>
      <c r="W11" s="85">
        <v>134306.59162679341</v>
      </c>
      <c r="X11" s="85">
        <v>129337.691676902</v>
      </c>
      <c r="Y11" s="85">
        <v>124368.79172701058</v>
      </c>
      <c r="Z11" s="85">
        <v>119399.89177711918</v>
      </c>
      <c r="AA11" s="85">
        <v>114430.99182722777</v>
      </c>
      <c r="AB11" s="85">
        <v>109462.09187733637</v>
      </c>
      <c r="AC11" s="85">
        <v>104493.19192744496</v>
      </c>
      <c r="AD11" s="85">
        <v>99524.291977553556</v>
      </c>
      <c r="AE11" s="85">
        <v>94555.39202766215</v>
      </c>
      <c r="AF11" s="85">
        <v>89586.492077770745</v>
      </c>
      <c r="AG11" s="85">
        <v>84617.592127879339</v>
      </c>
      <c r="AH11" s="85">
        <v>79648.692177987934</v>
      </c>
      <c r="AI11" s="85">
        <v>74679.792228096529</v>
      </c>
      <c r="AJ11" s="85">
        <v>69710.892278205123</v>
      </c>
      <c r="AK11" s="85">
        <v>64741.992328313718</v>
      </c>
      <c r="AL11" s="85">
        <v>59773.092378422312</v>
      </c>
      <c r="AM11" s="85">
        <v>54804.192428530921</v>
      </c>
      <c r="AN11" s="85">
        <v>49835.292478639487</v>
      </c>
      <c r="AO11" s="85">
        <v>44866.392528748111</v>
      </c>
      <c r="AP11" s="85">
        <v>39897.492578856676</v>
      </c>
      <c r="AQ11" s="85">
        <v>34928.5926289653</v>
      </c>
      <c r="AR11" s="85">
        <v>29959.692679073865</v>
      </c>
      <c r="AS11" s="85">
        <v>24990.792729182489</v>
      </c>
      <c r="AT11" s="85">
        <v>20770.260213270638</v>
      </c>
      <c r="AU11" s="85">
        <v>17721.767135647155</v>
      </c>
      <c r="AV11" s="85">
        <v>15096.946062332572</v>
      </c>
      <c r="AW11" s="85">
        <v>12472.124989017932</v>
      </c>
      <c r="AX11" s="85"/>
      <c r="AY11" s="85"/>
      <c r="AZ11" s="85"/>
    </row>
    <row r="12" spans="1:52" ht="15.75">
      <c r="A12" s="58"/>
      <c r="B12" s="58"/>
      <c r="C12" s="58"/>
      <c r="D12" s="82"/>
      <c r="E12" s="68" t="s">
        <v>94</v>
      </c>
      <c r="F12" s="83"/>
      <c r="G12" s="84" t="s">
        <v>92</v>
      </c>
      <c r="I12" s="83"/>
      <c r="J12" s="86">
        <f>J10+I12</f>
        <v>2297.4683700225669</v>
      </c>
      <c r="K12" s="86">
        <f t="shared" ref="K12:AW12" si="2">K10+J12</f>
        <v>20047.002069542956</v>
      </c>
      <c r="L12" s="86">
        <f t="shared" si="2"/>
        <v>196308.71609647752</v>
      </c>
      <c r="M12" s="86">
        <f>M10+L12</f>
        <v>206387.44440634709</v>
      </c>
      <c r="N12" s="86">
        <f t="shared" si="2"/>
        <v>206387.44440634709</v>
      </c>
      <c r="O12" s="86">
        <f t="shared" si="2"/>
        <v>206387.44440634709</v>
      </c>
      <c r="P12" s="86">
        <f t="shared" si="2"/>
        <v>206387.44440634709</v>
      </c>
      <c r="Q12" s="86">
        <f t="shared" si="2"/>
        <v>206387.44440634709</v>
      </c>
      <c r="R12" s="86">
        <f t="shared" si="2"/>
        <v>206387.44440634709</v>
      </c>
      <c r="S12" s="86">
        <f t="shared" si="2"/>
        <v>206387.44440634709</v>
      </c>
      <c r="T12" s="86">
        <f t="shared" si="2"/>
        <v>206387.44440634709</v>
      </c>
      <c r="U12" s="86">
        <f t="shared" si="2"/>
        <v>206387.44440634709</v>
      </c>
      <c r="V12" s="86">
        <f t="shared" si="2"/>
        <v>206387.44440634709</v>
      </c>
      <c r="W12" s="86">
        <f t="shared" si="2"/>
        <v>206387.44440634709</v>
      </c>
      <c r="X12" s="86">
        <f t="shared" si="2"/>
        <v>206387.44440634709</v>
      </c>
      <c r="Y12" s="86">
        <f t="shared" si="2"/>
        <v>206387.44440634709</v>
      </c>
      <c r="Z12" s="86">
        <f t="shared" si="2"/>
        <v>206387.44440634709</v>
      </c>
      <c r="AA12" s="86">
        <f t="shared" si="2"/>
        <v>206387.44440634709</v>
      </c>
      <c r="AB12" s="86">
        <f t="shared" si="2"/>
        <v>206387.44440634709</v>
      </c>
      <c r="AC12" s="86">
        <f t="shared" si="2"/>
        <v>206387.44440634709</v>
      </c>
      <c r="AD12" s="86">
        <f t="shared" si="2"/>
        <v>206439.94440634709</v>
      </c>
      <c r="AE12" s="86">
        <f t="shared" si="2"/>
        <v>206492.44440634709</v>
      </c>
      <c r="AF12" s="86">
        <f t="shared" si="2"/>
        <v>206544.94440634709</v>
      </c>
      <c r="AG12" s="86">
        <f t="shared" si="2"/>
        <v>206597.44440634709</v>
      </c>
      <c r="AH12" s="86">
        <f t="shared" si="2"/>
        <v>206649.94440634709</v>
      </c>
      <c r="AI12" s="86">
        <f t="shared" si="2"/>
        <v>206702.44440634709</v>
      </c>
      <c r="AJ12" s="86">
        <f t="shared" si="2"/>
        <v>206754.94440634709</v>
      </c>
      <c r="AK12" s="86">
        <f t="shared" si="2"/>
        <v>206807.44440634709</v>
      </c>
      <c r="AL12" s="86">
        <f t="shared" si="2"/>
        <v>206859.94440634709</v>
      </c>
      <c r="AM12" s="86">
        <f t="shared" si="2"/>
        <v>206912.44440634709</v>
      </c>
      <c r="AN12" s="86">
        <f t="shared" si="2"/>
        <v>207017.44440634709</v>
      </c>
      <c r="AO12" s="86">
        <f t="shared" si="2"/>
        <v>207122.44440634709</v>
      </c>
      <c r="AP12" s="86">
        <f t="shared" si="2"/>
        <v>207227.44440634709</v>
      </c>
      <c r="AQ12" s="86">
        <f t="shared" si="2"/>
        <v>207332.44440634709</v>
      </c>
      <c r="AR12" s="86">
        <f t="shared" si="2"/>
        <v>207437.44440634709</v>
      </c>
      <c r="AS12" s="86">
        <f t="shared" si="2"/>
        <v>207542.44440634709</v>
      </c>
      <c r="AT12" s="86">
        <f t="shared" si="2"/>
        <v>207647.44440634709</v>
      </c>
      <c r="AU12" s="86">
        <f t="shared" si="2"/>
        <v>207752.44440634709</v>
      </c>
      <c r="AV12" s="86">
        <f t="shared" si="2"/>
        <v>207857.44440634709</v>
      </c>
      <c r="AW12" s="86">
        <f t="shared" si="2"/>
        <v>207962.44440634709</v>
      </c>
      <c r="AX12" s="86"/>
      <c r="AY12" s="86"/>
      <c r="AZ12" s="86"/>
    </row>
    <row r="13" spans="1:52" ht="15.75">
      <c r="A13" s="58"/>
      <c r="B13" s="58"/>
      <c r="C13" s="58"/>
      <c r="D13" s="82"/>
      <c r="E13" s="68"/>
      <c r="F13" s="83"/>
      <c r="G13" s="68"/>
      <c r="I13" s="83"/>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row>
    <row r="14" spans="1:52" ht="15.75">
      <c r="A14" s="58"/>
      <c r="B14" s="58"/>
      <c r="C14" s="58"/>
      <c r="D14" s="81" t="s">
        <v>95</v>
      </c>
      <c r="E14" s="59"/>
      <c r="F14" s="87"/>
      <c r="G14" s="59"/>
      <c r="I14" s="87"/>
      <c r="J14" s="110"/>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row>
    <row r="15" spans="1:52" ht="15.75">
      <c r="A15" s="58"/>
      <c r="B15" s="58"/>
      <c r="C15" s="58"/>
      <c r="D15" s="82"/>
      <c r="E15" s="68" t="s">
        <v>96</v>
      </c>
      <c r="F15" s="83"/>
      <c r="G15" s="68"/>
      <c r="I15" s="83"/>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row>
    <row r="16" spans="1:52" ht="15.75">
      <c r="A16" s="58"/>
      <c r="B16" s="58"/>
      <c r="C16" s="58"/>
      <c r="D16" s="58"/>
      <c r="E16" s="84" t="s">
        <v>97</v>
      </c>
      <c r="F16" s="84">
        <v>0</v>
      </c>
      <c r="G16" s="84" t="s">
        <v>92</v>
      </c>
      <c r="H16" s="84">
        <v>0</v>
      </c>
      <c r="I16" s="84" t="e">
        <v>#REF!</v>
      </c>
      <c r="J16" s="84">
        <v>0</v>
      </c>
      <c r="K16" s="84">
        <v>0</v>
      </c>
      <c r="L16" s="84">
        <v>258.67748333333327</v>
      </c>
      <c r="M16" s="84">
        <v>1570.8002166666665</v>
      </c>
      <c r="N16" s="84">
        <v>1683.2898500000001</v>
      </c>
      <c r="O16" s="84">
        <v>1796.2474379999999</v>
      </c>
      <c r="P16" s="84">
        <v>1909.6823397600001</v>
      </c>
      <c r="Q16" s="84">
        <v>2023.6041015552</v>
      </c>
      <c r="R16" s="84">
        <v>2138.0224605863041</v>
      </c>
      <c r="S16" s="84">
        <v>2252.9473487980304</v>
      </c>
      <c r="T16" s="84">
        <v>2353.5402467739909</v>
      </c>
      <c r="U16" s="84">
        <v>2499.9261445717016</v>
      </c>
      <c r="V16" s="84">
        <v>3005.3773457748157</v>
      </c>
      <c r="W16" s="84">
        <v>2435.7935186929335</v>
      </c>
      <c r="X16" s="84">
        <v>2464.3152250667927</v>
      </c>
      <c r="Y16" s="84">
        <v>2493.4073655681282</v>
      </c>
      <c r="Z16" s="84">
        <v>2523.0813488794902</v>
      </c>
      <c r="AA16" s="84">
        <v>2553.3488118570804</v>
      </c>
      <c r="AB16" s="84">
        <v>2584.2216240942216</v>
      </c>
      <c r="AC16" s="84">
        <v>2615.7118925761065</v>
      </c>
      <c r="AD16" s="84">
        <v>2647.8319664276287</v>
      </c>
      <c r="AE16" s="84">
        <v>2826.275559008961</v>
      </c>
      <c r="AF16" s="84">
        <v>3442.4177528552045</v>
      </c>
      <c r="AG16" s="84">
        <v>2748.0982459231309</v>
      </c>
      <c r="AH16" s="84">
        <v>2782.8660468415937</v>
      </c>
      <c r="AI16" s="84">
        <v>2818.3292037784258</v>
      </c>
      <c r="AJ16" s="84">
        <v>2854.5016238539947</v>
      </c>
      <c r="AK16" s="84">
        <v>2891.3974923310743</v>
      </c>
      <c r="AL16" s="84">
        <v>2929.0312781776956</v>
      </c>
      <c r="AM16" s="84">
        <v>2967.4177397412495</v>
      </c>
      <c r="AN16" s="84">
        <v>3006.5719305360744</v>
      </c>
      <c r="AO16" s="84">
        <v>3224.0936741765368</v>
      </c>
      <c r="AP16" s="84">
        <v>3975.1675703984347</v>
      </c>
      <c r="AQ16" s="84">
        <v>3128.7959657547271</v>
      </c>
      <c r="AR16" s="84">
        <v>3171.177721069821</v>
      </c>
      <c r="AS16" s="84">
        <v>3214.4071114912185</v>
      </c>
      <c r="AT16" s="84">
        <v>3258.5010897210427</v>
      </c>
      <c r="AU16" s="84">
        <v>3303.4769475154635</v>
      </c>
      <c r="AV16" s="84">
        <v>3349.3523224657729</v>
      </c>
      <c r="AW16" s="84">
        <v>3396.145204915088</v>
      </c>
      <c r="AX16" s="84"/>
      <c r="AY16" s="84"/>
      <c r="AZ16" s="84"/>
    </row>
    <row r="17" spans="1:52" ht="15.75">
      <c r="A17" s="58"/>
      <c r="B17" s="58"/>
      <c r="C17" s="58"/>
      <c r="D17" s="58"/>
      <c r="E17" s="104" t="s">
        <v>98</v>
      </c>
      <c r="F17" s="104"/>
      <c r="G17" s="104"/>
      <c r="H17" s="104"/>
      <c r="I17" s="104"/>
      <c r="J17" s="104"/>
      <c r="K17" s="104"/>
      <c r="L17" s="104">
        <v>0</v>
      </c>
      <c r="M17" s="104">
        <v>0</v>
      </c>
      <c r="N17" s="104">
        <v>0</v>
      </c>
      <c r="O17" s="104">
        <v>0</v>
      </c>
      <c r="P17" s="104">
        <v>0</v>
      </c>
      <c r="Q17" s="104">
        <v>0</v>
      </c>
      <c r="R17" s="104">
        <v>0</v>
      </c>
      <c r="S17" s="104">
        <v>0</v>
      </c>
      <c r="T17" s="104">
        <v>0</v>
      </c>
      <c r="U17" s="104">
        <v>0</v>
      </c>
      <c r="V17" s="104">
        <v>0</v>
      </c>
      <c r="W17" s="104">
        <v>0</v>
      </c>
      <c r="X17" s="104">
        <v>0</v>
      </c>
      <c r="Y17" s="104">
        <v>0</v>
      </c>
      <c r="Z17" s="104">
        <v>0</v>
      </c>
      <c r="AA17" s="104">
        <v>0</v>
      </c>
      <c r="AB17" s="104">
        <v>0</v>
      </c>
      <c r="AC17" s="104">
        <v>0</v>
      </c>
      <c r="AD17" s="104">
        <v>0</v>
      </c>
      <c r="AE17" s="104">
        <v>0</v>
      </c>
      <c r="AF17" s="104">
        <v>0</v>
      </c>
      <c r="AG17" s="104">
        <v>0</v>
      </c>
      <c r="AH17" s="104">
        <v>0</v>
      </c>
      <c r="AI17" s="104">
        <v>0</v>
      </c>
      <c r="AJ17" s="104">
        <v>0</v>
      </c>
      <c r="AK17" s="104">
        <v>0</v>
      </c>
      <c r="AL17" s="104">
        <v>0</v>
      </c>
      <c r="AM17" s="104">
        <v>0</v>
      </c>
      <c r="AN17" s="104">
        <v>0</v>
      </c>
      <c r="AO17" s="104">
        <v>0</v>
      </c>
      <c r="AP17" s="104">
        <v>0</v>
      </c>
      <c r="AQ17" s="104">
        <v>0</v>
      </c>
      <c r="AR17" s="104">
        <v>0</v>
      </c>
      <c r="AS17" s="104">
        <v>0</v>
      </c>
      <c r="AT17" s="104">
        <v>0</v>
      </c>
      <c r="AU17" s="104">
        <v>0</v>
      </c>
      <c r="AV17" s="104">
        <v>0</v>
      </c>
      <c r="AW17" s="104">
        <v>0</v>
      </c>
      <c r="AX17" s="84"/>
      <c r="AY17" s="84"/>
      <c r="AZ17" s="84"/>
    </row>
    <row r="18" spans="1:52" ht="15.75">
      <c r="A18" s="58"/>
      <c r="B18" s="58"/>
      <c r="C18" s="58"/>
      <c r="D18" s="58"/>
      <c r="E18" s="84" t="s">
        <v>99</v>
      </c>
      <c r="F18" s="84">
        <v>0</v>
      </c>
      <c r="G18" s="84" t="s">
        <v>92</v>
      </c>
      <c r="H18" s="84">
        <v>0</v>
      </c>
      <c r="I18" s="84" t="e">
        <v>#REF!</v>
      </c>
      <c r="J18" s="84">
        <v>0</v>
      </c>
      <c r="K18" s="84">
        <v>0</v>
      </c>
      <c r="L18" s="84">
        <v>414.0749958242842</v>
      </c>
      <c r="M18" s="84">
        <v>5030.0137552718188</v>
      </c>
      <c r="N18" s="84">
        <v>5091.1275606522277</v>
      </c>
      <c r="O18" s="84">
        <v>5091.1275606522277</v>
      </c>
      <c r="P18" s="84">
        <v>5091.1275606522277</v>
      </c>
      <c r="Q18" s="84">
        <v>5091.1275606522277</v>
      </c>
      <c r="R18" s="84">
        <v>5091.1275606522277</v>
      </c>
      <c r="S18" s="84">
        <v>5091.1275606522277</v>
      </c>
      <c r="T18" s="84">
        <v>5091.1275606522277</v>
      </c>
      <c r="U18" s="84">
        <v>5091.1275606522277</v>
      </c>
      <c r="V18" s="84">
        <v>5091.1275606522277</v>
      </c>
      <c r="W18" s="84">
        <v>5091.1275606522277</v>
      </c>
      <c r="X18" s="84">
        <v>5091.1275606522277</v>
      </c>
      <c r="Y18" s="84">
        <v>5091.1275606522277</v>
      </c>
      <c r="Z18" s="84">
        <v>5091.1275606522277</v>
      </c>
      <c r="AA18" s="84">
        <v>5091.1275606522277</v>
      </c>
      <c r="AB18" s="84">
        <v>5091.1275606522277</v>
      </c>
      <c r="AC18" s="84">
        <v>5091.1275606522277</v>
      </c>
      <c r="AD18" s="84">
        <v>5091.7680606522281</v>
      </c>
      <c r="AE18" s="84">
        <v>5093.0490606522271</v>
      </c>
      <c r="AF18" s="84">
        <v>5094.330060652228</v>
      </c>
      <c r="AG18" s="84">
        <v>5095.611060652227</v>
      </c>
      <c r="AH18" s="84">
        <v>5096.8920606522279</v>
      </c>
      <c r="AI18" s="84">
        <v>5098.1730606522269</v>
      </c>
      <c r="AJ18" s="84">
        <v>5099.4540606522278</v>
      </c>
      <c r="AK18" s="84">
        <v>5100.7350606522268</v>
      </c>
      <c r="AL18" s="84">
        <v>5102.0160606522277</v>
      </c>
      <c r="AM18" s="84">
        <v>5103.2970606522276</v>
      </c>
      <c r="AN18" s="84">
        <v>5105.2185606522271</v>
      </c>
      <c r="AO18" s="84">
        <v>5107.780560652227</v>
      </c>
      <c r="AP18" s="84">
        <v>5110.3425606522269</v>
      </c>
      <c r="AQ18" s="84">
        <v>5112.9045606522268</v>
      </c>
      <c r="AR18" s="84">
        <v>5115.4665606522276</v>
      </c>
      <c r="AS18" s="84">
        <v>5118.0285606522275</v>
      </c>
      <c r="AT18" s="84">
        <v>3623.8556926931014</v>
      </c>
      <c r="AU18" s="84">
        <v>2779.0736840754166</v>
      </c>
      <c r="AV18" s="84">
        <v>2781.6356840754165</v>
      </c>
      <c r="AW18" s="84">
        <v>2784.1976840754169</v>
      </c>
      <c r="AX18" s="84"/>
      <c r="AY18" s="84"/>
      <c r="AZ18" s="84"/>
    </row>
    <row r="19" spans="1:52" ht="15.75">
      <c r="A19" s="58"/>
      <c r="B19" s="58"/>
      <c r="C19" s="58"/>
      <c r="D19" s="58"/>
      <c r="E19" s="84" t="s">
        <v>100</v>
      </c>
      <c r="F19" s="84">
        <v>0</v>
      </c>
      <c r="G19" s="84" t="s">
        <v>92</v>
      </c>
      <c r="H19" s="84">
        <v>0</v>
      </c>
      <c r="I19" s="84" t="e">
        <v>#REF!</v>
      </c>
      <c r="J19" s="84">
        <v>0</v>
      </c>
      <c r="K19" s="84">
        <v>0</v>
      </c>
      <c r="L19" s="84">
        <v>128.83333333333331</v>
      </c>
      <c r="M19" s="84">
        <v>775.31900000000007</v>
      </c>
      <c r="N19" s="84">
        <v>789.27474199999995</v>
      </c>
      <c r="O19" s="84">
        <v>803.48168735600007</v>
      </c>
      <c r="P19" s="84">
        <v>817.94435772840814</v>
      </c>
      <c r="Q19" s="84">
        <v>832.66735616751942</v>
      </c>
      <c r="R19" s="84">
        <v>847.65536857853476</v>
      </c>
      <c r="S19" s="84">
        <v>862.91316521294834</v>
      </c>
      <c r="T19" s="84">
        <v>878.44560218678146</v>
      </c>
      <c r="U19" s="84">
        <v>894.25762302614351</v>
      </c>
      <c r="V19" s="84">
        <v>910.35426024061417</v>
      </c>
      <c r="W19" s="84">
        <v>926.74063692494519</v>
      </c>
      <c r="X19" s="84">
        <v>943.4219683895941</v>
      </c>
      <c r="Y19" s="84">
        <v>960.40356382060668</v>
      </c>
      <c r="Z19" s="84">
        <v>977.69082796937755</v>
      </c>
      <c r="AA19" s="84">
        <v>995.28926287282638</v>
      </c>
      <c r="AB19" s="84">
        <v>1013.2044696045372</v>
      </c>
      <c r="AC19" s="84">
        <v>1031.4421500574188</v>
      </c>
      <c r="AD19" s="84">
        <v>1050.0081087584526</v>
      </c>
      <c r="AE19" s="84">
        <v>1068.9082547161045</v>
      </c>
      <c r="AF19" s="84">
        <v>1088.1486033009944</v>
      </c>
      <c r="AG19" s="84">
        <v>1107.7352781604122</v>
      </c>
      <c r="AH19" s="84">
        <v>1127.6745131672997</v>
      </c>
      <c r="AI19" s="84">
        <v>1147.9726544043112</v>
      </c>
      <c r="AJ19" s="84">
        <v>1168.6361621835888</v>
      </c>
      <c r="AK19" s="84">
        <v>1189.6716131028934</v>
      </c>
      <c r="AL19" s="84">
        <v>1211.0857021387453</v>
      </c>
      <c r="AM19" s="84">
        <v>1232.8852447772431</v>
      </c>
      <c r="AN19" s="84">
        <v>1255.0771791832335</v>
      </c>
      <c r="AO19" s="84">
        <v>1277.6685684085317</v>
      </c>
      <c r="AP19" s="84">
        <v>1300.6666026398852</v>
      </c>
      <c r="AQ19" s="84">
        <v>1324.0786014874031</v>
      </c>
      <c r="AR19" s="84">
        <v>1347.9120163141763</v>
      </c>
      <c r="AS19" s="84">
        <v>1372.1744326078315</v>
      </c>
      <c r="AT19" s="84">
        <v>1396.8735723947725</v>
      </c>
      <c r="AU19" s="84">
        <v>1422.0172966978785</v>
      </c>
      <c r="AV19" s="84">
        <v>1447.6136080384404</v>
      </c>
      <c r="AW19" s="84">
        <v>1473.6706529831322</v>
      </c>
      <c r="AX19" s="84"/>
      <c r="AY19" s="84"/>
      <c r="AZ19" s="84"/>
    </row>
    <row r="20" spans="1:52" ht="17.25">
      <c r="A20" s="58"/>
      <c r="B20" s="58"/>
      <c r="C20" s="58"/>
      <c r="D20" s="58"/>
      <c r="E20" s="89" t="s">
        <v>101</v>
      </c>
      <c r="I20" s="83"/>
      <c r="J20" s="90">
        <f>SUM(J16:J19)</f>
        <v>0</v>
      </c>
      <c r="K20" s="90">
        <f t="shared" ref="K20:AW20" si="3">SUM(K16:K19)</f>
        <v>0</v>
      </c>
      <c r="L20" s="90">
        <f>SUM(L16:L19)</f>
        <v>801.58581249095073</v>
      </c>
      <c r="M20" s="90">
        <f>SUM(M16:M19)</f>
        <v>7376.1329719384858</v>
      </c>
      <c r="N20" s="90">
        <f t="shared" si="3"/>
        <v>7563.6921526522274</v>
      </c>
      <c r="O20" s="90">
        <f t="shared" si="3"/>
        <v>7690.8566860082274</v>
      </c>
      <c r="P20" s="90">
        <f t="shared" si="3"/>
        <v>7818.754258140636</v>
      </c>
      <c r="Q20" s="90">
        <f t="shared" si="3"/>
        <v>7947.3990183749474</v>
      </c>
      <c r="R20" s="90">
        <f t="shared" si="3"/>
        <v>8076.8053898170665</v>
      </c>
      <c r="S20" s="90">
        <f t="shared" si="3"/>
        <v>8206.9880746632061</v>
      </c>
      <c r="T20" s="90">
        <f t="shared" si="3"/>
        <v>8323.113409612999</v>
      </c>
      <c r="U20" s="90">
        <f t="shared" si="3"/>
        <v>8485.3113282500726</v>
      </c>
      <c r="V20" s="90">
        <f t="shared" si="3"/>
        <v>9006.8591666676584</v>
      </c>
      <c r="W20" s="90">
        <f t="shared" si="3"/>
        <v>8453.6617162701059</v>
      </c>
      <c r="X20" s="90">
        <f t="shared" si="3"/>
        <v>8498.8647541086139</v>
      </c>
      <c r="Y20" s="90">
        <f t="shared" si="3"/>
        <v>8544.9384900409623</v>
      </c>
      <c r="Z20" s="90">
        <f t="shared" si="3"/>
        <v>8591.8997375010949</v>
      </c>
      <c r="AA20" s="90">
        <f t="shared" si="3"/>
        <v>8639.7656353821349</v>
      </c>
      <c r="AB20" s="90">
        <f t="shared" si="3"/>
        <v>8688.5536543509861</v>
      </c>
      <c r="AC20" s="90">
        <f t="shared" si="3"/>
        <v>8738.2816032857536</v>
      </c>
      <c r="AD20" s="90">
        <f t="shared" si="3"/>
        <v>8789.608135838309</v>
      </c>
      <c r="AE20" s="90">
        <f t="shared" si="3"/>
        <v>8988.2328743772923</v>
      </c>
      <c r="AF20" s="90">
        <f t="shared" si="3"/>
        <v>9624.8964168084276</v>
      </c>
      <c r="AG20" s="90">
        <f t="shared" si="3"/>
        <v>8951.4445847357711</v>
      </c>
      <c r="AH20" s="90">
        <f t="shared" si="3"/>
        <v>9007.4326206611222</v>
      </c>
      <c r="AI20" s="90">
        <f t="shared" si="3"/>
        <v>9064.4749188349633</v>
      </c>
      <c r="AJ20" s="90">
        <f t="shared" si="3"/>
        <v>9122.5918466898111</v>
      </c>
      <c r="AK20" s="90">
        <f t="shared" si="3"/>
        <v>9181.8041660861945</v>
      </c>
      <c r="AL20" s="90">
        <f t="shared" si="3"/>
        <v>9242.1330409686689</v>
      </c>
      <c r="AM20" s="90">
        <f t="shared" si="3"/>
        <v>9303.6000451707205</v>
      </c>
      <c r="AN20" s="90">
        <f t="shared" si="3"/>
        <v>9366.8676703715355</v>
      </c>
      <c r="AO20" s="90">
        <f t="shared" si="3"/>
        <v>9609.5428032372947</v>
      </c>
      <c r="AP20" s="90">
        <f t="shared" si="3"/>
        <v>10386.176733690547</v>
      </c>
      <c r="AQ20" s="90">
        <f t="shared" si="3"/>
        <v>9565.7791278943569</v>
      </c>
      <c r="AR20" s="90">
        <f t="shared" si="3"/>
        <v>9634.5562980362247</v>
      </c>
      <c r="AS20" s="90">
        <f t="shared" si="3"/>
        <v>9704.6101047512766</v>
      </c>
      <c r="AT20" s="90">
        <f t="shared" si="3"/>
        <v>8279.2303548089167</v>
      </c>
      <c r="AU20" s="90">
        <f t="shared" si="3"/>
        <v>7504.5679282887595</v>
      </c>
      <c r="AV20" s="90">
        <f t="shared" si="3"/>
        <v>7578.6016145796293</v>
      </c>
      <c r="AW20" s="90">
        <f t="shared" si="3"/>
        <v>7654.0135419736362</v>
      </c>
      <c r="AX20" s="90"/>
      <c r="AY20" s="90"/>
      <c r="AZ20" s="90"/>
    </row>
    <row r="21" spans="1:52" ht="15.75">
      <c r="A21" s="58"/>
      <c r="B21" s="58"/>
      <c r="C21" s="58"/>
      <c r="D21" s="58"/>
      <c r="E21" s="68"/>
      <c r="I21" s="83"/>
      <c r="J21" s="86"/>
      <c r="K21" s="86"/>
      <c r="L21" s="86"/>
      <c r="M21" s="10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row>
    <row r="22" spans="1:52" ht="15.75">
      <c r="A22" s="58"/>
      <c r="B22" s="58"/>
      <c r="C22" s="58"/>
      <c r="D22" s="58"/>
      <c r="E22" s="91" t="s">
        <v>102</v>
      </c>
      <c r="G22" s="91" t="s">
        <v>92</v>
      </c>
      <c r="I22" s="83"/>
      <c r="J22" s="84">
        <v>0</v>
      </c>
      <c r="K22" s="84">
        <v>0</v>
      </c>
      <c r="L22" s="84">
        <v>675.0621732612633</v>
      </c>
      <c r="M22" s="84">
        <v>4333.4641621926639</v>
      </c>
      <c r="N22" s="84">
        <v>4204.9789223375692</v>
      </c>
      <c r="O22" s="84">
        <v>4088.2694003145202</v>
      </c>
      <c r="P22" s="84">
        <v>3971.5598782914708</v>
      </c>
      <c r="Q22" s="84">
        <v>3854.8503562684205</v>
      </c>
      <c r="R22" s="84">
        <v>3738.1408342453715</v>
      </c>
      <c r="S22" s="84">
        <v>3621.4313122223216</v>
      </c>
      <c r="T22" s="84">
        <v>3504.7217901992726</v>
      </c>
      <c r="U22" s="84">
        <v>3388.0122681762236</v>
      </c>
      <c r="V22" s="84">
        <v>3271.3027461531733</v>
      </c>
      <c r="W22" s="84">
        <v>3154.5932241301243</v>
      </c>
      <c r="X22" s="84">
        <v>3037.8837021070744</v>
      </c>
      <c r="Y22" s="84">
        <v>2921.1741800840246</v>
      </c>
      <c r="Z22" s="84">
        <v>2804.4646580609756</v>
      </c>
      <c r="AA22" s="84">
        <v>2687.7551360379266</v>
      </c>
      <c r="AB22" s="84">
        <v>2571.0456140148767</v>
      </c>
      <c r="AC22" s="84">
        <v>2454.3360919918277</v>
      </c>
      <c r="AD22" s="84">
        <v>2337.6265699687783</v>
      </c>
      <c r="AE22" s="84">
        <v>2220.9170479457289</v>
      </c>
      <c r="AF22" s="84">
        <v>2104.2075259226795</v>
      </c>
      <c r="AG22" s="84">
        <v>1987.4980038996302</v>
      </c>
      <c r="AH22" s="84">
        <v>1870.7884818765808</v>
      </c>
      <c r="AI22" s="84">
        <v>1754.0789598535314</v>
      </c>
      <c r="AJ22" s="84">
        <v>1637.369437830482</v>
      </c>
      <c r="AK22" s="84">
        <v>1520.6599158074328</v>
      </c>
      <c r="AL22" s="84">
        <v>1403.9503937843833</v>
      </c>
      <c r="AM22" s="84">
        <v>1287.2408717613346</v>
      </c>
      <c r="AN22" s="84">
        <v>1170.5313497382845</v>
      </c>
      <c r="AO22" s="84">
        <v>1053.8218277152357</v>
      </c>
      <c r="AP22" s="84">
        <v>937.11230569218583</v>
      </c>
      <c r="AQ22" s="84">
        <v>820.40278366913708</v>
      </c>
      <c r="AR22" s="84">
        <v>703.69326164608708</v>
      </c>
      <c r="AS22" s="84">
        <v>586.98373962303845</v>
      </c>
      <c r="AT22" s="84">
        <v>487.85187188930075</v>
      </c>
      <c r="AU22" s="84">
        <v>416.24886648208042</v>
      </c>
      <c r="AV22" s="84">
        <v>354.59706911206746</v>
      </c>
      <c r="AW22" s="84">
        <v>292.94527174205319</v>
      </c>
      <c r="AX22" s="84"/>
      <c r="AY22" s="84"/>
      <c r="AZ22" s="84"/>
    </row>
    <row r="23" spans="1:52" ht="15.75">
      <c r="A23" s="58"/>
      <c r="B23" s="58"/>
      <c r="C23" s="58"/>
      <c r="D23" s="58"/>
      <c r="E23" s="84" t="s">
        <v>103</v>
      </c>
      <c r="G23" s="84" t="s">
        <v>92</v>
      </c>
      <c r="I23" s="83"/>
      <c r="J23" s="84">
        <v>0</v>
      </c>
      <c r="K23" s="84">
        <v>0</v>
      </c>
      <c r="L23" s="84">
        <v>760.29009245493739</v>
      </c>
      <c r="M23" s="84">
        <v>5868.7233745455669</v>
      </c>
      <c r="N23" s="84">
        <v>5710.2353417438308</v>
      </c>
      <c r="O23" s="84">
        <v>5551.7473089420946</v>
      </c>
      <c r="P23" s="84">
        <v>5393.2592761403585</v>
      </c>
      <c r="Q23" s="84">
        <v>5234.7712433386205</v>
      </c>
      <c r="R23" s="84">
        <v>5047.6360140891593</v>
      </c>
      <c r="S23" s="84">
        <v>4890.0423832784036</v>
      </c>
      <c r="T23" s="84">
        <v>4732.4487524676479</v>
      </c>
      <c r="U23" s="84">
        <v>4574.8551216568922</v>
      </c>
      <c r="V23" s="84">
        <v>4417.2614908461355</v>
      </c>
      <c r="W23" s="84">
        <v>4259.6678600353798</v>
      </c>
      <c r="X23" s="84">
        <v>4102.0742292246241</v>
      </c>
      <c r="Y23" s="84">
        <v>3944.4805984138675</v>
      </c>
      <c r="Z23" s="84">
        <v>3786.8869676031113</v>
      </c>
      <c r="AA23" s="84">
        <v>3629.2933367923556</v>
      </c>
      <c r="AB23" s="84">
        <v>3471.6997059816003</v>
      </c>
      <c r="AC23" s="84">
        <v>3314.1060751708437</v>
      </c>
      <c r="AD23" s="84">
        <v>3156.5124443600885</v>
      </c>
      <c r="AE23" s="84">
        <v>2998.9188135493328</v>
      </c>
      <c r="AF23" s="84">
        <v>2841.3251827385766</v>
      </c>
      <c r="AG23" s="84">
        <v>2683.7315519278209</v>
      </c>
      <c r="AH23" s="84">
        <v>2526.1379211170652</v>
      </c>
      <c r="AI23" s="84">
        <v>2368.5442903063094</v>
      </c>
      <c r="AJ23" s="84">
        <v>2210.9506594955537</v>
      </c>
      <c r="AK23" s="84">
        <v>2053.357028684798</v>
      </c>
      <c r="AL23" s="84">
        <v>1895.7633978740419</v>
      </c>
      <c r="AM23" s="84">
        <v>1738.1697670632866</v>
      </c>
      <c r="AN23" s="84">
        <v>1580.5761362525297</v>
      </c>
      <c r="AO23" s="84">
        <v>1422.9825054417749</v>
      </c>
      <c r="AP23" s="84">
        <v>1265.3888746310183</v>
      </c>
      <c r="AQ23" s="84">
        <v>1107.7952438202635</v>
      </c>
      <c r="AR23" s="84">
        <v>950.20161300950667</v>
      </c>
      <c r="AS23" s="84">
        <v>792.60798219875176</v>
      </c>
      <c r="AT23" s="84">
        <v>658.74957292409147</v>
      </c>
      <c r="AU23" s="84">
        <v>562.06356647418511</v>
      </c>
      <c r="AV23" s="84">
        <v>478.81474131293982</v>
      </c>
      <c r="AW23" s="84">
        <v>395.56591615169265</v>
      </c>
      <c r="AX23" s="84"/>
      <c r="AY23" s="84"/>
      <c r="AZ23" s="84"/>
    </row>
    <row r="24" spans="1:52" ht="15.75">
      <c r="A24" s="58"/>
      <c r="B24" s="58"/>
      <c r="C24" s="58"/>
      <c r="D24" s="58"/>
      <c r="E24" s="92" t="s">
        <v>104</v>
      </c>
      <c r="I24" s="83"/>
      <c r="J24" s="86">
        <f>J23+J22</f>
        <v>0</v>
      </c>
      <c r="K24" s="86">
        <f t="shared" ref="K24:AW24" si="4">K23+K22</f>
        <v>0</v>
      </c>
      <c r="L24" s="86">
        <f t="shared" si="4"/>
        <v>1435.3522657162007</v>
      </c>
      <c r="M24" s="86">
        <f t="shared" si="4"/>
        <v>10202.187536738231</v>
      </c>
      <c r="N24" s="86">
        <f t="shared" si="4"/>
        <v>9915.2142640814</v>
      </c>
      <c r="O24" s="86">
        <f t="shared" si="4"/>
        <v>9640.0167092566153</v>
      </c>
      <c r="P24" s="86">
        <f t="shared" si="4"/>
        <v>9364.8191544318288</v>
      </c>
      <c r="Q24" s="86">
        <f t="shared" si="4"/>
        <v>9089.6215996070405</v>
      </c>
      <c r="R24" s="86">
        <f t="shared" si="4"/>
        <v>8785.7768483345317</v>
      </c>
      <c r="S24" s="86">
        <f t="shared" si="4"/>
        <v>8511.4736955007247</v>
      </c>
      <c r="T24" s="86">
        <f t="shared" si="4"/>
        <v>8237.1705426669214</v>
      </c>
      <c r="U24" s="86">
        <f t="shared" si="4"/>
        <v>7962.8673898331162</v>
      </c>
      <c r="V24" s="86">
        <f t="shared" si="4"/>
        <v>7688.5642369993093</v>
      </c>
      <c r="W24" s="86">
        <f t="shared" si="4"/>
        <v>7414.2610841655041</v>
      </c>
      <c r="X24" s="86">
        <f t="shared" si="4"/>
        <v>7139.957931331699</v>
      </c>
      <c r="Y24" s="86">
        <f t="shared" si="4"/>
        <v>6865.654778497892</v>
      </c>
      <c r="Z24" s="86">
        <f t="shared" si="4"/>
        <v>6591.3516256640869</v>
      </c>
      <c r="AA24" s="86">
        <f t="shared" si="4"/>
        <v>6317.0484728302818</v>
      </c>
      <c r="AB24" s="86">
        <f t="shared" si="4"/>
        <v>6042.7453199964766</v>
      </c>
      <c r="AC24" s="86">
        <f t="shared" si="4"/>
        <v>5768.4421671626715</v>
      </c>
      <c r="AD24" s="86">
        <f t="shared" si="4"/>
        <v>5494.1390143288663</v>
      </c>
      <c r="AE24" s="86">
        <f t="shared" si="4"/>
        <v>5219.8358614950612</v>
      </c>
      <c r="AF24" s="86">
        <f t="shared" si="4"/>
        <v>4945.532708661256</v>
      </c>
      <c r="AG24" s="86">
        <f t="shared" si="4"/>
        <v>4671.2295558274509</v>
      </c>
      <c r="AH24" s="86">
        <f t="shared" si="4"/>
        <v>4396.9264029936458</v>
      </c>
      <c r="AI24" s="86">
        <f t="shared" si="4"/>
        <v>4122.6232501598406</v>
      </c>
      <c r="AJ24" s="86">
        <f t="shared" si="4"/>
        <v>3848.3200973260355</v>
      </c>
      <c r="AK24" s="86">
        <f t="shared" si="4"/>
        <v>3574.0169444922308</v>
      </c>
      <c r="AL24" s="86">
        <f t="shared" si="4"/>
        <v>3299.7137916584252</v>
      </c>
      <c r="AM24" s="86">
        <f t="shared" si="4"/>
        <v>3025.4106388246209</v>
      </c>
      <c r="AN24" s="86">
        <f t="shared" si="4"/>
        <v>2751.107485990814</v>
      </c>
      <c r="AO24" s="86">
        <f t="shared" si="4"/>
        <v>2476.8043331570107</v>
      </c>
      <c r="AP24" s="86">
        <f t="shared" si="4"/>
        <v>2202.5011803232042</v>
      </c>
      <c r="AQ24" s="86">
        <f t="shared" si="4"/>
        <v>1928.1980274894006</v>
      </c>
      <c r="AR24" s="86">
        <f t="shared" si="4"/>
        <v>1653.8948746555939</v>
      </c>
      <c r="AS24" s="86">
        <f t="shared" si="4"/>
        <v>1379.5917218217901</v>
      </c>
      <c r="AT24" s="86">
        <f t="shared" si="4"/>
        <v>1146.6014448133922</v>
      </c>
      <c r="AU24" s="86">
        <f t="shared" si="4"/>
        <v>978.31243295626552</v>
      </c>
      <c r="AV24" s="86">
        <f t="shared" si="4"/>
        <v>833.41181042500727</v>
      </c>
      <c r="AW24" s="86">
        <f t="shared" si="4"/>
        <v>688.51118789374584</v>
      </c>
      <c r="AX24" s="86"/>
      <c r="AY24" s="86"/>
      <c r="AZ24" s="86"/>
    </row>
    <row r="25" spans="1:52" ht="15.75">
      <c r="A25" s="58"/>
      <c r="B25" s="58"/>
      <c r="C25" s="58"/>
      <c r="D25" s="58"/>
      <c r="E25" s="68"/>
      <c r="I25" s="83"/>
      <c r="J25" s="84"/>
      <c r="K25" s="100"/>
      <c r="L25" s="102"/>
      <c r="M25" s="102"/>
      <c r="N25" s="102"/>
      <c r="O25" s="102"/>
      <c r="P25" s="102"/>
      <c r="Q25" s="102"/>
      <c r="R25" s="102"/>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row>
    <row r="26" spans="1:52" ht="15.75">
      <c r="A26" s="58"/>
      <c r="B26" s="58"/>
      <c r="C26" s="58"/>
      <c r="D26" s="58"/>
      <c r="E26" s="68" t="s">
        <v>105</v>
      </c>
      <c r="I26" s="83"/>
      <c r="J26" s="84"/>
      <c r="K26" s="84"/>
      <c r="L26" s="84"/>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84"/>
      <c r="AV26" s="84"/>
      <c r="AW26" s="84"/>
      <c r="AX26" s="84"/>
      <c r="AY26" s="84"/>
      <c r="AZ26" s="84"/>
    </row>
    <row r="27" spans="1:52" ht="15.75">
      <c r="A27" s="58"/>
      <c r="B27" s="58"/>
      <c r="C27" s="58"/>
      <c r="D27" s="58"/>
      <c r="E27" s="93" t="s">
        <v>106</v>
      </c>
      <c r="I27" s="83"/>
      <c r="J27" s="94">
        <v>0</v>
      </c>
      <c r="K27" s="94">
        <v>0</v>
      </c>
      <c r="L27" s="94">
        <v>274.1181965993992</v>
      </c>
      <c r="M27" s="94">
        <v>2115.9342778973814</v>
      </c>
      <c r="N27" s="94">
        <v>2058.792334098116</v>
      </c>
      <c r="O27" s="94">
        <v>2001.6503902988504</v>
      </c>
      <c r="P27" s="94">
        <v>1944.508446499585</v>
      </c>
      <c r="Q27" s="94">
        <v>1887.366502700319</v>
      </c>
      <c r="R27" s="94">
        <v>1819.8959778688807</v>
      </c>
      <c r="S27" s="94">
        <v>1763.076505535751</v>
      </c>
      <c r="T27" s="94">
        <v>1706.2570332026214</v>
      </c>
      <c r="U27" s="94">
        <v>1649.4375608694918</v>
      </c>
      <c r="V27" s="94">
        <v>1592.6180885363619</v>
      </c>
      <c r="W27" s="94">
        <v>1535.7986162032323</v>
      </c>
      <c r="X27" s="94">
        <v>1478.9791438701027</v>
      </c>
      <c r="Y27" s="94">
        <v>1422.1596715369726</v>
      </c>
      <c r="Z27" s="94">
        <v>1365.340199203843</v>
      </c>
      <c r="AA27" s="94">
        <v>1308.5207268707134</v>
      </c>
      <c r="AB27" s="94">
        <v>1251.7012545375837</v>
      </c>
      <c r="AC27" s="94">
        <v>1194.8817822044539</v>
      </c>
      <c r="AD27" s="94">
        <v>1138.0623098713245</v>
      </c>
      <c r="AE27" s="94">
        <v>1081.2428375381949</v>
      </c>
      <c r="AF27" s="94">
        <v>1024.423365205065</v>
      </c>
      <c r="AG27" s="94">
        <v>967.6038928719355</v>
      </c>
      <c r="AH27" s="94">
        <v>910.78442053880588</v>
      </c>
      <c r="AI27" s="94">
        <v>853.96494820567625</v>
      </c>
      <c r="AJ27" s="94">
        <v>797.14547587254663</v>
      </c>
      <c r="AK27" s="94">
        <v>740.326003539417</v>
      </c>
      <c r="AL27" s="94">
        <v>683.50653120628726</v>
      </c>
      <c r="AM27" s="94">
        <v>626.68705887315775</v>
      </c>
      <c r="AN27" s="94">
        <v>569.86758654002779</v>
      </c>
      <c r="AO27" s="94">
        <v>513.0481142068985</v>
      </c>
      <c r="AP27" s="94">
        <v>456.22864187376854</v>
      </c>
      <c r="AQ27" s="94">
        <v>399.40916954063925</v>
      </c>
      <c r="AR27" s="94">
        <v>342.58969720750923</v>
      </c>
      <c r="AS27" s="94">
        <v>285.77022487437989</v>
      </c>
      <c r="AT27" s="94">
        <v>237.50834942161123</v>
      </c>
      <c r="AU27" s="94">
        <v>202.64876886484225</v>
      </c>
      <c r="AV27" s="94">
        <v>172.633886323713</v>
      </c>
      <c r="AW27" s="94">
        <v>142.61900378258306</v>
      </c>
      <c r="AX27" s="94"/>
      <c r="AY27" s="94"/>
      <c r="AZ27" s="94"/>
    </row>
    <row r="28" spans="1:52" ht="17.25">
      <c r="A28" s="58"/>
      <c r="B28" s="58"/>
      <c r="C28" s="58"/>
      <c r="D28" s="58"/>
      <c r="E28" s="95" t="s">
        <v>107</v>
      </c>
      <c r="I28" s="83"/>
      <c r="J28" s="96">
        <v>0</v>
      </c>
      <c r="K28" s="96">
        <v>0</v>
      </c>
      <c r="L28" s="96">
        <v>-6565.2656646613214</v>
      </c>
      <c r="M28" s="96">
        <v>-1841.6764227492313</v>
      </c>
      <c r="N28" s="96">
        <v>-1623.9488575326748</v>
      </c>
      <c r="O28" s="96">
        <v>-1419.2717707860947</v>
      </c>
      <c r="P28" s="96">
        <v>-1226.8627925734445</v>
      </c>
      <c r="Q28" s="96">
        <v>-1045.9864622162302</v>
      </c>
      <c r="R28" s="96">
        <v>-875.9514153849924</v>
      </c>
      <c r="S28" s="96">
        <v>-716.107739882945</v>
      </c>
      <c r="T28" s="96">
        <v>-565.84449000437121</v>
      </c>
      <c r="U28" s="96">
        <v>-424.58734995719476</v>
      </c>
      <c r="V28" s="96">
        <v>-291.79643740959784</v>
      </c>
      <c r="W28" s="96">
        <v>-166.96423875676834</v>
      </c>
      <c r="X28" s="96">
        <v>-49.613668207924384</v>
      </c>
      <c r="Y28" s="96">
        <v>60.703756732413972</v>
      </c>
      <c r="Z28" s="96">
        <v>164.40963036953579</v>
      </c>
      <c r="AA28" s="96">
        <v>261.90027107197363</v>
      </c>
      <c r="AB28" s="96">
        <v>353.54823684163148</v>
      </c>
      <c r="AC28" s="96">
        <v>439.70374999900804</v>
      </c>
      <c r="AD28" s="96">
        <v>520.69603643414484</v>
      </c>
      <c r="AE28" s="96">
        <v>596.83458454701668</v>
      </c>
      <c r="AF28" s="96">
        <v>668.41032869376704</v>
      </c>
      <c r="AG28" s="96">
        <v>735.69676166633053</v>
      </c>
      <c r="AH28" s="96">
        <v>798.95098046142755</v>
      </c>
      <c r="AI28" s="96">
        <v>858.41466933966183</v>
      </c>
      <c r="AJ28" s="96">
        <v>914.31502393550272</v>
      </c>
      <c r="AK28" s="96">
        <v>966.86561995337911</v>
      </c>
      <c r="AL28" s="96">
        <v>1016.2672297730795</v>
      </c>
      <c r="AM28" s="96">
        <v>1062.7085900883494</v>
      </c>
      <c r="AN28" s="96">
        <v>1106.3671235152171</v>
      </c>
      <c r="AO28" s="96">
        <v>1147.4096169304612</v>
      </c>
      <c r="AP28" s="96">
        <v>1185.9928591350797</v>
      </c>
      <c r="AQ28" s="96">
        <v>1222.2642402819956</v>
      </c>
      <c r="AR28" s="96">
        <v>1256.3623153609424</v>
      </c>
      <c r="AS28" s="96">
        <v>1288.4173338959558</v>
      </c>
      <c r="AT28" s="96">
        <v>778.91263582834142</v>
      </c>
      <c r="AU28" s="96">
        <v>501.73654511060874</v>
      </c>
      <c r="AV28" s="96">
        <v>528.36812819579359</v>
      </c>
      <c r="AW28" s="96">
        <v>553.40411968761657</v>
      </c>
      <c r="AX28" s="96"/>
      <c r="AY28" s="96"/>
      <c r="AZ28" s="96"/>
    </row>
    <row r="29" spans="1:52" ht="16.5">
      <c r="E29" s="68" t="s">
        <v>108</v>
      </c>
      <c r="I29" s="83"/>
      <c r="J29" s="90">
        <f>J28+J27</f>
        <v>0</v>
      </c>
      <c r="K29" s="90">
        <f t="shared" ref="K29:AW29" si="5">K28+K27</f>
        <v>0</v>
      </c>
      <c r="L29" s="90">
        <f t="shared" si="5"/>
        <v>-6291.1474680619222</v>
      </c>
      <c r="M29" s="90">
        <f t="shared" si="5"/>
        <v>274.25785514815016</v>
      </c>
      <c r="N29" s="90">
        <f t="shared" si="5"/>
        <v>434.84347656544128</v>
      </c>
      <c r="O29" s="90">
        <f t="shared" si="5"/>
        <v>582.37861951275568</v>
      </c>
      <c r="P29" s="90">
        <f t="shared" si="5"/>
        <v>717.64565392614054</v>
      </c>
      <c r="Q29" s="90">
        <f t="shared" si="5"/>
        <v>841.38004048408879</v>
      </c>
      <c r="R29" s="90">
        <f t="shared" si="5"/>
        <v>943.94456248388826</v>
      </c>
      <c r="S29" s="90">
        <f t="shared" si="5"/>
        <v>1046.968765652806</v>
      </c>
      <c r="T29" s="90">
        <f t="shared" si="5"/>
        <v>1140.4125431982502</v>
      </c>
      <c r="U29" s="90">
        <f t="shared" si="5"/>
        <v>1224.8502109122969</v>
      </c>
      <c r="V29" s="90">
        <f t="shared" si="5"/>
        <v>1300.8216511267642</v>
      </c>
      <c r="W29" s="90">
        <f t="shared" si="5"/>
        <v>1368.834377446464</v>
      </c>
      <c r="X29" s="90">
        <f t="shared" si="5"/>
        <v>1429.3654756621784</v>
      </c>
      <c r="Y29" s="90">
        <f t="shared" si="5"/>
        <v>1482.8634282693865</v>
      </c>
      <c r="Z29" s="90">
        <f t="shared" si="5"/>
        <v>1529.7498295733787</v>
      </c>
      <c r="AA29" s="90">
        <f t="shared" si="5"/>
        <v>1570.4209979426869</v>
      </c>
      <c r="AB29" s="90">
        <f t="shared" si="5"/>
        <v>1605.2494913792152</v>
      </c>
      <c r="AC29" s="90">
        <f t="shared" si="5"/>
        <v>1634.585532203462</v>
      </c>
      <c r="AD29" s="90">
        <f t="shared" si="5"/>
        <v>1658.7583463054693</v>
      </c>
      <c r="AE29" s="90">
        <f t="shared" si="5"/>
        <v>1678.0774220852115</v>
      </c>
      <c r="AF29" s="90">
        <f t="shared" si="5"/>
        <v>1692.8336938988321</v>
      </c>
      <c r="AG29" s="90">
        <f t="shared" si="5"/>
        <v>1703.3006545382659</v>
      </c>
      <c r="AH29" s="90">
        <f t="shared" si="5"/>
        <v>1709.7354010002334</v>
      </c>
      <c r="AI29" s="90">
        <f t="shared" si="5"/>
        <v>1712.3796175453381</v>
      </c>
      <c r="AJ29" s="90">
        <f t="shared" si="5"/>
        <v>1711.4604998080495</v>
      </c>
      <c r="AK29" s="90">
        <f t="shared" si="5"/>
        <v>1707.1916234927962</v>
      </c>
      <c r="AL29" s="90">
        <f t="shared" si="5"/>
        <v>1699.7737609793667</v>
      </c>
      <c r="AM29" s="90">
        <f t="shared" si="5"/>
        <v>1689.395648961507</v>
      </c>
      <c r="AN29" s="90">
        <f t="shared" si="5"/>
        <v>1676.2347100552449</v>
      </c>
      <c r="AO29" s="90">
        <f t="shared" si="5"/>
        <v>1660.4577311373596</v>
      </c>
      <c r="AP29" s="90">
        <f t="shared" si="5"/>
        <v>1642.2215010088482</v>
      </c>
      <c r="AQ29" s="90">
        <f t="shared" si="5"/>
        <v>1621.6734098226348</v>
      </c>
      <c r="AR29" s="90">
        <f t="shared" si="5"/>
        <v>1598.9520125684517</v>
      </c>
      <c r="AS29" s="90">
        <f t="shared" si="5"/>
        <v>1574.1875587703357</v>
      </c>
      <c r="AT29" s="90">
        <f t="shared" si="5"/>
        <v>1016.4209852499527</v>
      </c>
      <c r="AU29" s="90">
        <f t="shared" si="5"/>
        <v>704.38531397545103</v>
      </c>
      <c r="AV29" s="90">
        <f t="shared" si="5"/>
        <v>701.00201451950659</v>
      </c>
      <c r="AW29" s="90">
        <f t="shared" si="5"/>
        <v>696.02312347019961</v>
      </c>
      <c r="AX29" s="90"/>
      <c r="AY29" s="90"/>
      <c r="AZ29" s="90"/>
    </row>
    <row r="30" spans="1:52" ht="17.25">
      <c r="A30" s="58"/>
      <c r="B30" s="58"/>
      <c r="C30" s="58"/>
      <c r="D30" s="58"/>
      <c r="E30" s="68"/>
      <c r="H30" s="83"/>
      <c r="I30" s="83"/>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row>
    <row r="31" spans="1:52" ht="17.25">
      <c r="A31" s="58"/>
      <c r="B31" s="58"/>
      <c r="C31" s="58"/>
      <c r="D31" s="58"/>
      <c r="E31" s="68" t="s">
        <v>109</v>
      </c>
      <c r="H31" s="83"/>
      <c r="I31" s="83"/>
      <c r="J31" s="90">
        <f>J29+J24</f>
        <v>0</v>
      </c>
      <c r="K31" s="90">
        <f t="shared" ref="K31:AW31" si="6">K29+K24</f>
        <v>0</v>
      </c>
      <c r="L31" s="90">
        <f t="shared" si="6"/>
        <v>-4855.7952023457219</v>
      </c>
      <c r="M31" s="90">
        <f t="shared" si="6"/>
        <v>10476.44539188638</v>
      </c>
      <c r="N31" s="90">
        <f>N29+N24</f>
        <v>10350.057740646842</v>
      </c>
      <c r="O31" s="90">
        <f t="shared" si="6"/>
        <v>10222.395328769371</v>
      </c>
      <c r="P31" s="90">
        <f t="shared" si="6"/>
        <v>10082.464808357969</v>
      </c>
      <c r="Q31" s="90">
        <f t="shared" si="6"/>
        <v>9931.00164009113</v>
      </c>
      <c r="R31" s="90">
        <f t="shared" si="6"/>
        <v>9729.7214108184198</v>
      </c>
      <c r="S31" s="90">
        <f t="shared" si="6"/>
        <v>9558.4424611535305</v>
      </c>
      <c r="T31" s="90">
        <f t="shared" si="6"/>
        <v>9377.5830858651716</v>
      </c>
      <c r="U31" s="90">
        <f t="shared" si="6"/>
        <v>9187.7176007454127</v>
      </c>
      <c r="V31" s="90">
        <f t="shared" si="6"/>
        <v>8989.385888126073</v>
      </c>
      <c r="W31" s="90">
        <f t="shared" si="6"/>
        <v>8783.0954616119689</v>
      </c>
      <c r="X31" s="90">
        <f t="shared" si="6"/>
        <v>8569.3234069938771</v>
      </c>
      <c r="Y31" s="90">
        <f t="shared" si="6"/>
        <v>8348.5182067672795</v>
      </c>
      <c r="Z31" s="90">
        <f t="shared" si="6"/>
        <v>8121.1014552374654</v>
      </c>
      <c r="AA31" s="90">
        <f t="shared" si="6"/>
        <v>7887.4694707729686</v>
      </c>
      <c r="AB31" s="90">
        <f t="shared" si="6"/>
        <v>7647.9948113756918</v>
      </c>
      <c r="AC31" s="90">
        <f t="shared" si="6"/>
        <v>7403.0276993661337</v>
      </c>
      <c r="AD31" s="90">
        <f t="shared" si="6"/>
        <v>7152.8973606343352</v>
      </c>
      <c r="AE31" s="90">
        <f t="shared" si="6"/>
        <v>6897.9132835802729</v>
      </c>
      <c r="AF31" s="90">
        <f t="shared" si="6"/>
        <v>6638.3664025600883</v>
      </c>
      <c r="AG31" s="90">
        <f t="shared" si="6"/>
        <v>6374.5302103657168</v>
      </c>
      <c r="AH31" s="90">
        <f t="shared" si="6"/>
        <v>6106.6618039938794</v>
      </c>
      <c r="AI31" s="90">
        <f t="shared" si="6"/>
        <v>5835.0028677051787</v>
      </c>
      <c r="AJ31" s="90">
        <f t="shared" si="6"/>
        <v>5559.7805971340849</v>
      </c>
      <c r="AK31" s="90">
        <f t="shared" si="6"/>
        <v>5281.208567985027</v>
      </c>
      <c r="AL31" s="90">
        <f t="shared" si="6"/>
        <v>4999.4875526377919</v>
      </c>
      <c r="AM31" s="90">
        <f t="shared" si="6"/>
        <v>4714.8062877861285</v>
      </c>
      <c r="AN31" s="90">
        <f t="shared" si="6"/>
        <v>4427.3421960460591</v>
      </c>
      <c r="AO31" s="90">
        <f t="shared" si="6"/>
        <v>4137.2620642943702</v>
      </c>
      <c r="AP31" s="90">
        <f t="shared" si="6"/>
        <v>3844.7226813320522</v>
      </c>
      <c r="AQ31" s="90">
        <f t="shared" si="6"/>
        <v>3549.8714373120356</v>
      </c>
      <c r="AR31" s="90">
        <f t="shared" si="6"/>
        <v>3252.8468872240455</v>
      </c>
      <c r="AS31" s="90">
        <f t="shared" si="6"/>
        <v>2953.7792805921258</v>
      </c>
      <c r="AT31" s="90">
        <f t="shared" si="6"/>
        <v>2163.0224300633449</v>
      </c>
      <c r="AU31" s="90">
        <f t="shared" si="6"/>
        <v>1682.6977469317167</v>
      </c>
      <c r="AV31" s="90">
        <f t="shared" si="6"/>
        <v>1534.4138249445139</v>
      </c>
      <c r="AW31" s="90">
        <f t="shared" si="6"/>
        <v>1384.5343113639456</v>
      </c>
      <c r="AX31" s="90"/>
      <c r="AY31" s="90"/>
      <c r="AZ31" s="90"/>
    </row>
    <row r="32" spans="1:52" ht="17.25">
      <c r="A32" s="58"/>
      <c r="B32" s="58"/>
      <c r="C32" s="58"/>
      <c r="D32" s="58"/>
      <c r="E32" s="68"/>
      <c r="H32" s="83"/>
      <c r="I32" s="83"/>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row>
    <row r="33" spans="1:52" ht="17.25">
      <c r="A33" s="58"/>
      <c r="B33" s="58"/>
      <c r="C33" s="58"/>
      <c r="E33" s="59" t="s">
        <v>95</v>
      </c>
      <c r="H33" s="87"/>
      <c r="I33" s="87"/>
      <c r="J33" s="98">
        <f>J20+J31</f>
        <v>0</v>
      </c>
      <c r="K33" s="98">
        <f t="shared" ref="K33:AR33" si="7">K20+K31</f>
        <v>0</v>
      </c>
      <c r="L33" s="98">
        <f t="shared" si="7"/>
        <v>-4054.209389854771</v>
      </c>
      <c r="M33" s="98">
        <f>M20+M31</f>
        <v>17852.578363824865</v>
      </c>
      <c r="N33" s="98">
        <f t="shared" si="7"/>
        <v>17913.749893299071</v>
      </c>
      <c r="O33" s="98">
        <f t="shared" si="7"/>
        <v>17913.252014777598</v>
      </c>
      <c r="P33" s="98">
        <f t="shared" si="7"/>
        <v>17901.219066498605</v>
      </c>
      <c r="Q33" s="98">
        <f t="shared" si="7"/>
        <v>17878.400658466078</v>
      </c>
      <c r="R33" s="98">
        <f t="shared" si="7"/>
        <v>17806.526800635485</v>
      </c>
      <c r="S33" s="98">
        <f t="shared" si="7"/>
        <v>17765.430535816737</v>
      </c>
      <c r="T33" s="98">
        <f t="shared" si="7"/>
        <v>17700.696495478172</v>
      </c>
      <c r="U33" s="98">
        <f t="shared" si="7"/>
        <v>17673.028928995485</v>
      </c>
      <c r="V33" s="98">
        <f t="shared" si="7"/>
        <v>17996.245054793733</v>
      </c>
      <c r="W33" s="98">
        <f t="shared" si="7"/>
        <v>17236.757177882075</v>
      </c>
      <c r="X33" s="98">
        <f t="shared" si="7"/>
        <v>17068.188161102491</v>
      </c>
      <c r="Y33" s="98">
        <f t="shared" si="7"/>
        <v>16893.456696808244</v>
      </c>
      <c r="Z33" s="98">
        <f t="shared" si="7"/>
        <v>16713.00119273856</v>
      </c>
      <c r="AA33" s="98">
        <f t="shared" si="7"/>
        <v>16527.235106155102</v>
      </c>
      <c r="AB33" s="98">
        <f t="shared" si="7"/>
        <v>16336.548465726679</v>
      </c>
      <c r="AC33" s="98">
        <f t="shared" si="7"/>
        <v>16141.309302651887</v>
      </c>
      <c r="AD33" s="98">
        <f t="shared" si="7"/>
        <v>15942.505496472644</v>
      </c>
      <c r="AE33" s="98">
        <f t="shared" si="7"/>
        <v>15886.146157957566</v>
      </c>
      <c r="AF33" s="98">
        <f t="shared" si="7"/>
        <v>16263.262819368516</v>
      </c>
      <c r="AG33" s="98">
        <f t="shared" si="7"/>
        <v>15325.974795101487</v>
      </c>
      <c r="AH33" s="98">
        <f t="shared" si="7"/>
        <v>15114.094424655003</v>
      </c>
      <c r="AI33" s="98">
        <f t="shared" si="7"/>
        <v>14899.477786540141</v>
      </c>
      <c r="AJ33" s="98">
        <f t="shared" si="7"/>
        <v>14682.372443823897</v>
      </c>
      <c r="AK33" s="98">
        <f t="shared" si="7"/>
        <v>14463.012734071221</v>
      </c>
      <c r="AL33" s="98">
        <f t="shared" si="7"/>
        <v>14241.620593606462</v>
      </c>
      <c r="AM33" s="98">
        <f t="shared" si="7"/>
        <v>14018.406332956849</v>
      </c>
      <c r="AN33" s="98">
        <f t="shared" si="7"/>
        <v>13794.209866417594</v>
      </c>
      <c r="AO33" s="98">
        <f t="shared" si="7"/>
        <v>13746.804867531664</v>
      </c>
      <c r="AP33" s="98">
        <f t="shared" si="7"/>
        <v>14230.899415022599</v>
      </c>
      <c r="AQ33" s="98">
        <f t="shared" si="7"/>
        <v>13115.650565206393</v>
      </c>
      <c r="AR33" s="98">
        <f t="shared" si="7"/>
        <v>12887.403185260271</v>
      </c>
      <c r="AS33" s="98">
        <f>AS20+AS31</f>
        <v>12658.389385343402</v>
      </c>
      <c r="AT33" s="98">
        <f>AT20+AT31</f>
        <v>10442.252784872262</v>
      </c>
      <c r="AU33" s="98">
        <f>AU20+AU31</f>
        <v>9187.2656752204766</v>
      </c>
      <c r="AV33" s="98">
        <f>AV20+AV31</f>
        <v>9113.0154395241425</v>
      </c>
      <c r="AW33" s="98">
        <f>AW20+AW31</f>
        <v>9038.5478533375826</v>
      </c>
      <c r="AX33" s="103">
        <f t="array" ref="AX33:AZ33">TREND(AM33:AW33,AM6:AW6,AX6:AZ6)</f>
        <v>8457.3181906393729</v>
      </c>
      <c r="AY33" s="103">
        <v>7863.343262250768</v>
      </c>
      <c r="AZ33" s="103">
        <v>7269.3683338619303</v>
      </c>
    </row>
    <row r="34" spans="1:52" ht="15.75">
      <c r="A34" s="58"/>
      <c r="B34" s="58"/>
      <c r="C34" s="58"/>
      <c r="D34" s="99"/>
      <c r="E34" s="59"/>
      <c r="F34" s="58"/>
      <c r="G34" s="59"/>
      <c r="H34" s="87"/>
      <c r="I34" s="87"/>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row>
    <row r="36" spans="1:52">
      <c r="J36" t="s">
        <v>110</v>
      </c>
    </row>
    <row r="37" spans="1:52">
      <c r="E37" s="16" t="s">
        <v>111</v>
      </c>
      <c r="F37" s="105">
        <f>NPV(4.92%,M33:AZ33)+L33</f>
        <v>275604.5042149254</v>
      </c>
    </row>
  </sheetData>
  <conditionalFormatting sqref="X5:AV5">
    <cfRule type="expression" dxfId="3" priority="3">
      <formula>#REF!=1</formula>
    </cfRule>
  </conditionalFormatting>
  <conditionalFormatting sqref="K5 M5:W5">
    <cfRule type="expression" dxfId="2" priority="2">
      <formula>#REF!=1</formula>
    </cfRule>
  </conditionalFormatting>
  <conditionalFormatting sqref="J5:AV5">
    <cfRule type="expression" dxfId="1" priority="1">
      <formula>J$5=1</formula>
    </cfRule>
  </conditionalFormatting>
  <conditionalFormatting sqref="L5">
    <cfRule type="expression" dxfId="0" priority="4">
      <formula>#REF!=1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61777-D586-4CD5-BBFA-FA1E679430FB}">
  <dimension ref="A2:AJ53"/>
  <sheetViews>
    <sheetView showGridLines="0" topLeftCell="J1" zoomScale="77" zoomScaleNormal="77" workbookViewId="0">
      <selection activeCell="AE40" sqref="AE40"/>
    </sheetView>
  </sheetViews>
  <sheetFormatPr defaultColWidth="8.7109375" defaultRowHeight="15"/>
  <cols>
    <col min="1" max="1" width="8.7109375" style="122"/>
    <col min="2" max="2" width="8.7109375" style="122" bestFit="1" customWidth="1"/>
    <col min="3" max="3" width="29.28515625" style="122" bestFit="1" customWidth="1"/>
    <col min="4" max="6" width="10.7109375" style="122" bestFit="1" customWidth="1"/>
    <col min="7" max="7" width="11.42578125" style="122" bestFit="1" customWidth="1"/>
    <col min="8" max="8" width="11.7109375" style="122" bestFit="1" customWidth="1"/>
    <col min="9" max="10" width="11.42578125" style="122" bestFit="1" customWidth="1"/>
    <col min="11" max="12" width="8.7109375" style="122"/>
    <col min="13" max="13" width="32.42578125" style="122" bestFit="1" customWidth="1"/>
    <col min="14" max="16" width="10.7109375" style="122" bestFit="1" customWidth="1"/>
    <col min="17" max="17" width="11.28515625" style="122" bestFit="1" customWidth="1"/>
    <col min="18" max="18" width="11.7109375" style="122" bestFit="1" customWidth="1"/>
    <col min="19" max="20" width="11.42578125" style="122" bestFit="1" customWidth="1"/>
    <col min="21" max="23" width="8.7109375" style="122"/>
    <col min="24" max="24" width="29.28515625" style="122" bestFit="1" customWidth="1"/>
    <col min="25" max="29" width="8.7109375" style="122" bestFit="1" customWidth="1"/>
    <col min="30" max="30" width="8.7109375" style="122"/>
    <col min="31" max="31" width="32.42578125" style="122" bestFit="1" customWidth="1"/>
    <col min="32" max="32" width="8.28515625" style="122" bestFit="1" customWidth="1"/>
    <col min="33" max="33" width="9.85546875" style="122" bestFit="1" customWidth="1"/>
    <col min="34" max="34" width="7.7109375" style="122" bestFit="1" customWidth="1"/>
    <col min="35" max="35" width="8.7109375" style="122" bestFit="1" customWidth="1"/>
    <col min="36" max="36" width="6.85546875" style="122" bestFit="1" customWidth="1"/>
    <col min="37" max="16384" width="8.7109375" style="122"/>
  </cols>
  <sheetData>
    <row r="2" spans="1:36">
      <c r="C2" s="173" t="s">
        <v>112</v>
      </c>
      <c r="D2" s="173"/>
      <c r="E2" s="173"/>
      <c r="F2" s="173"/>
      <c r="G2" s="173"/>
      <c r="H2" s="173"/>
      <c r="I2" s="173"/>
      <c r="J2" s="173"/>
      <c r="K2" s="173"/>
      <c r="L2" s="173"/>
      <c r="M2" s="173"/>
      <c r="N2" s="173"/>
      <c r="O2" s="173"/>
      <c r="P2" s="173"/>
      <c r="Q2" s="173"/>
      <c r="R2" s="173"/>
      <c r="S2" s="173"/>
      <c r="T2" s="173"/>
      <c r="X2" s="174" t="s">
        <v>113</v>
      </c>
      <c r="Y2" s="174"/>
      <c r="Z2" s="174"/>
      <c r="AA2" s="174"/>
      <c r="AB2" s="174"/>
      <c r="AC2" s="174"/>
      <c r="AD2" s="174"/>
      <c r="AE2" s="174"/>
      <c r="AF2" s="174"/>
      <c r="AG2" s="174"/>
      <c r="AH2" s="174"/>
      <c r="AI2" s="174"/>
      <c r="AJ2" s="174"/>
    </row>
    <row r="3" spans="1:36" ht="15.75" thickBot="1">
      <c r="A3" s="122" t="s">
        <v>196</v>
      </c>
      <c r="C3" s="122" t="s">
        <v>212</v>
      </c>
      <c r="M3" s="122" t="s">
        <v>213</v>
      </c>
      <c r="X3" s="122" t="s">
        <v>216</v>
      </c>
      <c r="AE3" s="122" t="s">
        <v>217</v>
      </c>
    </row>
    <row r="4" spans="1:36" ht="26.25" thickBot="1">
      <c r="A4" s="122">
        <v>0.94781698791343783</v>
      </c>
      <c r="C4" s="123" t="s">
        <v>114</v>
      </c>
      <c r="D4" s="124" t="s">
        <v>115</v>
      </c>
      <c r="E4" s="124" t="s">
        <v>116</v>
      </c>
      <c r="F4" s="124" t="s">
        <v>117</v>
      </c>
      <c r="G4" s="124" t="s">
        <v>118</v>
      </c>
      <c r="H4" s="124" t="s">
        <v>119</v>
      </c>
      <c r="I4" s="125" t="s">
        <v>120</v>
      </c>
      <c r="J4" s="126" t="s">
        <v>121</v>
      </c>
      <c r="M4" s="123" t="s">
        <v>114</v>
      </c>
      <c r="N4" s="124" t="s">
        <v>115</v>
      </c>
      <c r="O4" s="124" t="s">
        <v>116</v>
      </c>
      <c r="P4" s="124" t="s">
        <v>117</v>
      </c>
      <c r="Q4" s="124" t="s">
        <v>118</v>
      </c>
      <c r="R4" s="124" t="s">
        <v>119</v>
      </c>
      <c r="S4" s="125" t="s">
        <v>120</v>
      </c>
      <c r="T4" s="126" t="s">
        <v>121</v>
      </c>
      <c r="X4" s="123" t="s">
        <v>114</v>
      </c>
      <c r="Y4" s="124" t="s">
        <v>115</v>
      </c>
      <c r="Z4" s="124" t="s">
        <v>116</v>
      </c>
      <c r="AA4" s="124" t="s">
        <v>117</v>
      </c>
      <c r="AB4" s="124" t="s">
        <v>118</v>
      </c>
      <c r="AC4" s="127" t="s">
        <v>119</v>
      </c>
      <c r="AE4" s="123" t="s">
        <v>114</v>
      </c>
      <c r="AF4" s="124" t="s">
        <v>115</v>
      </c>
      <c r="AG4" s="124" t="s">
        <v>116</v>
      </c>
      <c r="AH4" s="124" t="s">
        <v>117</v>
      </c>
      <c r="AI4" s="124" t="s">
        <v>118</v>
      </c>
      <c r="AJ4" s="127" t="s">
        <v>119</v>
      </c>
    </row>
    <row r="5" spans="1:36" ht="15.75" thickBot="1">
      <c r="C5" s="128">
        <v>2024</v>
      </c>
      <c r="D5" s="129">
        <v>17224064.034700043</v>
      </c>
      <c r="E5" s="129">
        <v>37486152.599999949</v>
      </c>
      <c r="F5" s="129">
        <v>50282042.127999991</v>
      </c>
      <c r="G5" s="129">
        <v>91443622.459600002</v>
      </c>
      <c r="H5" s="129">
        <v>246533477.39600006</v>
      </c>
      <c r="I5" s="129">
        <v>174374034.82899997</v>
      </c>
      <c r="J5" s="129">
        <v>174374035.435</v>
      </c>
      <c r="M5" s="128">
        <v>2024</v>
      </c>
      <c r="N5" s="129">
        <v>19277811.618000057</v>
      </c>
      <c r="O5" s="129">
        <v>37486152.599999949</v>
      </c>
      <c r="P5" s="129">
        <v>54751234.691100001</v>
      </c>
      <c r="Q5" s="129">
        <v>94604173.079999998</v>
      </c>
      <c r="R5" s="129">
        <v>236849986.97361994</v>
      </c>
      <c r="S5" s="129">
        <v>144241258.4924199</v>
      </c>
      <c r="T5" s="129">
        <v>144241260.93500015</v>
      </c>
      <c r="X5" s="130">
        <v>2024</v>
      </c>
      <c r="Y5" s="131">
        <v>3.2516783860737486</v>
      </c>
      <c r="Z5" s="131">
        <v>2.9065763034579439</v>
      </c>
      <c r="AA5" s="131">
        <v>3.1206871872160722</v>
      </c>
      <c r="AB5" s="131">
        <v>2.9480214063462369</v>
      </c>
      <c r="AC5" s="131">
        <v>3.3726235019885671</v>
      </c>
      <c r="AD5" s="132"/>
      <c r="AE5" s="133">
        <v>2024</v>
      </c>
      <c r="AF5" s="131">
        <v>3.2468498175226914</v>
      </c>
      <c r="AG5" s="131">
        <v>2.9036720524545574</v>
      </c>
      <c r="AH5" s="131">
        <v>3.1188195329600985</v>
      </c>
      <c r="AI5" s="131">
        <v>2.9440965822910674</v>
      </c>
      <c r="AJ5" s="131">
        <v>3.3706042866864929</v>
      </c>
    </row>
    <row r="6" spans="1:36" ht="15.75" thickBot="1">
      <c r="C6" s="128">
        <v>2025</v>
      </c>
      <c r="D6" s="129">
        <v>16339416.70100004</v>
      </c>
      <c r="E6" s="129">
        <v>40271501.400000021</v>
      </c>
      <c r="F6" s="129">
        <v>52090515.876400001</v>
      </c>
      <c r="G6" s="129">
        <v>86777900.579999998</v>
      </c>
      <c r="H6" s="129">
        <v>249152141.28400004</v>
      </c>
      <c r="I6" s="129">
        <v>175930530.83399999</v>
      </c>
      <c r="J6" s="129">
        <v>175930531.39299995</v>
      </c>
      <c r="M6" s="128">
        <v>2025</v>
      </c>
      <c r="N6" s="129">
        <v>19359146.38800006</v>
      </c>
      <c r="O6" s="129">
        <v>40735726.200000033</v>
      </c>
      <c r="P6" s="129">
        <v>60048166.542999998</v>
      </c>
      <c r="Q6" s="129">
        <v>87020240.302000016</v>
      </c>
      <c r="R6" s="129">
        <v>237468196.53809994</v>
      </c>
      <c r="S6" s="129">
        <v>143823717.65199983</v>
      </c>
      <c r="T6" s="129">
        <v>143823719.7950002</v>
      </c>
      <c r="X6" s="130">
        <v>2025</v>
      </c>
      <c r="Y6" s="131">
        <v>3.209983121203142</v>
      </c>
      <c r="Z6" s="131">
        <v>2.7337219047181232</v>
      </c>
      <c r="AA6" s="131">
        <v>2.9995465040702776</v>
      </c>
      <c r="AB6" s="131">
        <v>2.9112489876336487</v>
      </c>
      <c r="AC6" s="131">
        <v>3.3115497568706025</v>
      </c>
      <c r="AD6" s="132"/>
      <c r="AE6" s="133">
        <v>2025</v>
      </c>
      <c r="AF6" s="131">
        <v>3.2051234091551111</v>
      </c>
      <c r="AG6" s="131">
        <v>2.7249422108989818</v>
      </c>
      <c r="AH6" s="131">
        <v>2.997018662433967</v>
      </c>
      <c r="AI6" s="131">
        <v>2.9056914284466782</v>
      </c>
      <c r="AJ6" s="131">
        <v>3.3085679881761512</v>
      </c>
    </row>
    <row r="7" spans="1:36" ht="15.75" thickBot="1">
      <c r="C7" s="128">
        <v>2026</v>
      </c>
      <c r="D7" s="129">
        <v>20279383.818000063</v>
      </c>
      <c r="E7" s="129">
        <v>40851782.400000036</v>
      </c>
      <c r="F7" s="129">
        <v>54673018.862499997</v>
      </c>
      <c r="G7" s="129">
        <v>97696960</v>
      </c>
      <c r="H7" s="129">
        <v>233021326.70100003</v>
      </c>
      <c r="I7" s="129">
        <v>173216542.49600008</v>
      </c>
      <c r="J7" s="129">
        <v>173216543.02829999</v>
      </c>
      <c r="M7" s="128">
        <v>2026</v>
      </c>
      <c r="N7" s="129">
        <v>20873424.276000068</v>
      </c>
      <c r="O7" s="129">
        <v>40967838.600000039</v>
      </c>
      <c r="P7" s="129">
        <v>60636005.533999994</v>
      </c>
      <c r="Q7" s="129">
        <v>97086354</v>
      </c>
      <c r="R7" s="129">
        <v>226958849.26920009</v>
      </c>
      <c r="S7" s="129">
        <v>143031998.98499987</v>
      </c>
      <c r="T7" s="129">
        <v>143032001.36300018</v>
      </c>
      <c r="X7" s="130">
        <v>2026</v>
      </c>
      <c r="Y7" s="131">
        <v>2.9802920263726596</v>
      </c>
      <c r="Z7" s="131">
        <v>2.5338354348195167</v>
      </c>
      <c r="AA7" s="131">
        <v>2.7998208443006738</v>
      </c>
      <c r="AB7" s="131">
        <v>2.6497228961001693</v>
      </c>
      <c r="AC7" s="131">
        <v>3.124202405079139</v>
      </c>
      <c r="AD7" s="132"/>
      <c r="AE7" s="133">
        <v>2026</v>
      </c>
      <c r="AF7" s="131">
        <v>2.9758405118476459</v>
      </c>
      <c r="AG7" s="131">
        <v>2.5194733559075932</v>
      </c>
      <c r="AH7" s="131">
        <v>2.7859256408068425</v>
      </c>
      <c r="AI7" s="131">
        <v>2.6443423365887848</v>
      </c>
      <c r="AJ7" s="131">
        <v>3.1087823669896975</v>
      </c>
    </row>
    <row r="8" spans="1:36" ht="15.75" thickBot="1">
      <c r="C8" s="128">
        <v>2027</v>
      </c>
      <c r="D8" s="129">
        <v>19146580.278000057</v>
      </c>
      <c r="E8" s="129">
        <v>41316007.200000048</v>
      </c>
      <c r="F8" s="129">
        <v>54683353.787000008</v>
      </c>
      <c r="G8" s="129">
        <v>91085324.873000011</v>
      </c>
      <c r="H8" s="129">
        <v>242637288.95650011</v>
      </c>
      <c r="I8" s="129">
        <v>174221681.3028</v>
      </c>
      <c r="J8" s="129">
        <v>174221681.95199993</v>
      </c>
      <c r="M8" s="128">
        <v>2027</v>
      </c>
      <c r="N8" s="129">
        <v>19895630.920000061</v>
      </c>
      <c r="O8" s="129">
        <v>40851782.400000036</v>
      </c>
      <c r="P8" s="129">
        <v>59600000</v>
      </c>
      <c r="Q8" s="129">
        <v>93876102.339999989</v>
      </c>
      <c r="R8" s="129">
        <v>234645039.63699999</v>
      </c>
      <c r="S8" s="129">
        <v>142829330.28699988</v>
      </c>
      <c r="T8" s="129">
        <v>142829332.72200012</v>
      </c>
      <c r="X8" s="130">
        <v>2027</v>
      </c>
      <c r="Y8" s="131">
        <v>3.0480653930127963</v>
      </c>
      <c r="Z8" s="131">
        <v>2.5355567876176899</v>
      </c>
      <c r="AA8" s="131">
        <v>2.838987579160813</v>
      </c>
      <c r="AB8" s="131">
        <v>2.7211341907784647</v>
      </c>
      <c r="AC8" s="131">
        <v>3.1731003030327258</v>
      </c>
      <c r="AD8" s="132"/>
      <c r="AE8" s="133">
        <v>2027</v>
      </c>
      <c r="AF8" s="131">
        <v>3.0426626939255188</v>
      </c>
      <c r="AG8" s="131">
        <v>2.5366737721816528</v>
      </c>
      <c r="AH8" s="131">
        <v>2.8322024689775307</v>
      </c>
      <c r="AI8" s="131">
        <v>2.7165666561053565</v>
      </c>
      <c r="AJ8" s="131">
        <v>3.1586859306131809</v>
      </c>
    </row>
    <row r="9" spans="1:36" ht="15.75" thickBot="1">
      <c r="C9" s="128">
        <v>2028</v>
      </c>
      <c r="D9" s="129">
        <v>19621922.892000061</v>
      </c>
      <c r="E9" s="129">
        <v>41432063.400000051</v>
      </c>
      <c r="F9" s="129">
        <v>56132065.173999988</v>
      </c>
      <c r="G9" s="129">
        <v>84294130.675900012</v>
      </c>
      <c r="H9" s="129">
        <v>248614775.2101</v>
      </c>
      <c r="I9" s="129">
        <v>175835605.92748898</v>
      </c>
      <c r="J9" s="129">
        <v>175835606.77019998</v>
      </c>
      <c r="M9" s="128">
        <v>2028</v>
      </c>
      <c r="N9" s="129">
        <v>21959973.214000076</v>
      </c>
      <c r="O9" s="129">
        <v>41432063.400000051</v>
      </c>
      <c r="P9" s="129">
        <v>60243830.351000004</v>
      </c>
      <c r="Q9" s="129">
        <v>90261208.200000003</v>
      </c>
      <c r="R9" s="129">
        <v>236197882.18099996</v>
      </c>
      <c r="S9" s="129">
        <v>140996483.6471999</v>
      </c>
      <c r="T9" s="129">
        <v>140996486.12000015</v>
      </c>
      <c r="X9" s="130">
        <v>2028</v>
      </c>
      <c r="Y9" s="131">
        <v>3.1463061019412417</v>
      </c>
      <c r="Z9" s="131">
        <v>2.6543323277177939</v>
      </c>
      <c r="AA9" s="131">
        <v>2.9480734420523058</v>
      </c>
      <c r="AB9" s="131">
        <v>2.8687965951564958</v>
      </c>
      <c r="AC9" s="131">
        <v>3.2927437189481745</v>
      </c>
      <c r="AD9" s="132"/>
      <c r="AE9" s="133">
        <v>2028</v>
      </c>
      <c r="AF9" s="131">
        <v>3.1586179611994232</v>
      </c>
      <c r="AG9" s="131">
        <v>2.6666200299732865</v>
      </c>
      <c r="AH9" s="131">
        <v>2.9623974785193887</v>
      </c>
      <c r="AI9" s="131">
        <v>2.8826107279296762</v>
      </c>
      <c r="AJ9" s="131">
        <v>3.3068819957634425</v>
      </c>
    </row>
    <row r="10" spans="1:36" ht="15.75" thickBot="1">
      <c r="C10" s="128">
        <v>2029</v>
      </c>
      <c r="D10" s="129">
        <v>18166938.96970005</v>
      </c>
      <c r="E10" s="129">
        <v>40735726.200000033</v>
      </c>
      <c r="F10" s="129">
        <v>53406410.534000009</v>
      </c>
      <c r="G10" s="129">
        <v>77614140.961999983</v>
      </c>
      <c r="H10" s="129">
        <v>262902582.73650002</v>
      </c>
      <c r="I10" s="129">
        <v>174434541.68619993</v>
      </c>
      <c r="J10" s="129">
        <v>174434542.26499999</v>
      </c>
      <c r="M10" s="128">
        <v>2029</v>
      </c>
      <c r="N10" s="129">
        <v>20360429.662100062</v>
      </c>
      <c r="O10" s="129">
        <v>40735726.200000033</v>
      </c>
      <c r="P10" s="129">
        <v>59114293.802000001</v>
      </c>
      <c r="Q10" s="129">
        <v>80905295</v>
      </c>
      <c r="R10" s="129">
        <v>251710054.5769999</v>
      </c>
      <c r="S10" s="129">
        <v>145856177.35319996</v>
      </c>
      <c r="T10" s="129">
        <v>145856180.08000016</v>
      </c>
      <c r="X10" s="130">
        <v>2029</v>
      </c>
      <c r="Y10" s="131">
        <v>3.3591559060358862</v>
      </c>
      <c r="Z10" s="131">
        <v>2.8592820236380692</v>
      </c>
      <c r="AA10" s="131">
        <v>3.1592943951461092</v>
      </c>
      <c r="AB10" s="131">
        <v>3.1010994788424369</v>
      </c>
      <c r="AC10" s="131">
        <v>3.4938276829052528</v>
      </c>
      <c r="AD10" s="132"/>
      <c r="AE10" s="133">
        <v>2029</v>
      </c>
      <c r="AF10" s="131">
        <v>3.3674481877905649</v>
      </c>
      <c r="AG10" s="131">
        <v>2.8674168535943907</v>
      </c>
      <c r="AH10" s="131">
        <v>3.1699066662636053</v>
      </c>
      <c r="AI10" s="131">
        <v>3.1098342808695962</v>
      </c>
      <c r="AJ10" s="131">
        <v>3.5038476824304619</v>
      </c>
    </row>
    <row r="11" spans="1:36" ht="15.75" thickBot="1">
      <c r="C11" s="128">
        <v>2030</v>
      </c>
      <c r="D11" s="129">
        <v>19439914.820000056</v>
      </c>
      <c r="E11" s="129">
        <v>40271501.400000021</v>
      </c>
      <c r="F11" s="129">
        <v>52900277.167999998</v>
      </c>
      <c r="G11" s="129">
        <v>94338627</v>
      </c>
      <c r="H11" s="129">
        <v>248622890.29561794</v>
      </c>
      <c r="I11" s="129">
        <v>175345246.00355992</v>
      </c>
      <c r="J11" s="129">
        <v>175345246.75500005</v>
      </c>
      <c r="M11" s="128">
        <v>2030</v>
      </c>
      <c r="N11" s="129">
        <v>21702407.486000072</v>
      </c>
      <c r="O11" s="129">
        <v>39807276.600000009</v>
      </c>
      <c r="P11" s="129">
        <v>58033843.403999999</v>
      </c>
      <c r="Q11" s="129">
        <v>94033324</v>
      </c>
      <c r="R11" s="129">
        <v>241996359.39590001</v>
      </c>
      <c r="S11" s="129">
        <v>144192750.69955993</v>
      </c>
      <c r="T11" s="129">
        <v>144192753.35200015</v>
      </c>
      <c r="X11" s="130">
        <v>2030</v>
      </c>
      <c r="Y11" s="131">
        <v>3.4699299818762501</v>
      </c>
      <c r="Z11" s="131">
        <v>2.9866320266718978</v>
      </c>
      <c r="AA11" s="131">
        <v>3.2773639133701744</v>
      </c>
      <c r="AB11" s="131">
        <v>3.1166415597781807</v>
      </c>
      <c r="AC11" s="131">
        <v>3.621294388096258</v>
      </c>
      <c r="AD11" s="132"/>
      <c r="AE11" s="133">
        <v>2030</v>
      </c>
      <c r="AF11" s="131">
        <v>3.473251462760111</v>
      </c>
      <c r="AG11" s="131">
        <v>2.9906966296538284</v>
      </c>
      <c r="AH11" s="131">
        <v>3.2827559530601618</v>
      </c>
      <c r="AI11" s="131">
        <v>3.1207293259208733</v>
      </c>
      <c r="AJ11" s="131">
        <v>3.6263839644264673</v>
      </c>
    </row>
    <row r="12" spans="1:36" ht="15.75" thickBot="1">
      <c r="C12" s="128">
        <v>2031</v>
      </c>
      <c r="D12" s="129">
        <v>21446808.458000068</v>
      </c>
      <c r="E12" s="129">
        <v>40155445.200000018</v>
      </c>
      <c r="F12" s="129">
        <v>53105218.449000001</v>
      </c>
      <c r="G12" s="129">
        <v>96272983.994000018</v>
      </c>
      <c r="H12" s="129">
        <v>247877682.07020009</v>
      </c>
      <c r="I12" s="129">
        <v>174774778.49599996</v>
      </c>
      <c r="J12" s="129">
        <v>174774779.00640002</v>
      </c>
      <c r="M12" s="128">
        <v>2031</v>
      </c>
      <c r="N12" s="129">
        <v>23557394.450000085</v>
      </c>
      <c r="O12" s="129">
        <v>40155445.200000018</v>
      </c>
      <c r="P12" s="129">
        <v>55702485.032000005</v>
      </c>
      <c r="Q12" s="129">
        <v>99223475</v>
      </c>
      <c r="R12" s="129">
        <v>240219338.5120002</v>
      </c>
      <c r="S12" s="129">
        <v>143364008.01599982</v>
      </c>
      <c r="T12" s="129">
        <v>143364010.4935002</v>
      </c>
      <c r="X12" s="130">
        <v>2031</v>
      </c>
      <c r="Y12" s="131">
        <v>3.6442699532675165</v>
      </c>
      <c r="Z12" s="131">
        <v>3.1552424610331959</v>
      </c>
      <c r="AA12" s="131">
        <v>3.459235247196399</v>
      </c>
      <c r="AB12" s="131">
        <v>3.250241763948706</v>
      </c>
      <c r="AC12" s="131">
        <v>3.8279824371279041</v>
      </c>
      <c r="AD12" s="132"/>
      <c r="AE12" s="133">
        <v>2031</v>
      </c>
      <c r="AF12" s="131">
        <v>3.6544063178319663</v>
      </c>
      <c r="AG12" s="131">
        <v>3.1660994345621822</v>
      </c>
      <c r="AH12" s="131">
        <v>3.4715879348388374</v>
      </c>
      <c r="AI12" s="131">
        <v>3.2608492101480286</v>
      </c>
      <c r="AJ12" s="131">
        <v>3.8401336618430437</v>
      </c>
    </row>
    <row r="13" spans="1:36" ht="15.75" thickBot="1">
      <c r="C13" s="128">
        <v>2032</v>
      </c>
      <c r="D13" s="129">
        <v>20427087.285460066</v>
      </c>
      <c r="E13" s="129">
        <v>39459108</v>
      </c>
      <c r="F13" s="129">
        <v>49861432.613300003</v>
      </c>
      <c r="G13" s="129">
        <v>96261169.347000003</v>
      </c>
      <c r="H13" s="129">
        <v>255109345.17999995</v>
      </c>
      <c r="I13" s="129">
        <v>175616288.99099982</v>
      </c>
      <c r="J13" s="129">
        <v>175616289.83900005</v>
      </c>
      <c r="M13" s="128">
        <v>2032</v>
      </c>
      <c r="N13" s="129">
        <v>21164395.04000007</v>
      </c>
      <c r="O13" s="129">
        <v>39459108</v>
      </c>
      <c r="P13" s="129">
        <v>54823508.177000001</v>
      </c>
      <c r="Q13" s="129">
        <v>98203584.269999996</v>
      </c>
      <c r="R13" s="129">
        <v>247467547.21899995</v>
      </c>
      <c r="S13" s="129">
        <v>145019275.88699988</v>
      </c>
      <c r="T13" s="129">
        <v>145019278.35880014</v>
      </c>
      <c r="X13" s="130">
        <v>2032</v>
      </c>
      <c r="Y13" s="131">
        <v>3.8454184869419574</v>
      </c>
      <c r="Z13" s="131">
        <v>3.342823360375204</v>
      </c>
      <c r="AA13" s="131">
        <v>3.6580242500289826</v>
      </c>
      <c r="AB13" s="131">
        <v>3.4194193719828316</v>
      </c>
      <c r="AC13" s="131">
        <v>4.007823865259919</v>
      </c>
      <c r="AD13" s="132"/>
      <c r="AE13" s="133">
        <v>2032</v>
      </c>
      <c r="AF13" s="131">
        <v>3.8571246559042409</v>
      </c>
      <c r="AG13" s="131">
        <v>3.353474120863384</v>
      </c>
      <c r="AH13" s="131">
        <v>3.6711996789057513</v>
      </c>
      <c r="AI13" s="131">
        <v>3.4315227597734572</v>
      </c>
      <c r="AJ13" s="131">
        <v>4.0211853737782777</v>
      </c>
    </row>
    <row r="14" spans="1:36" ht="15.75" thickBot="1">
      <c r="C14" s="128">
        <v>2033</v>
      </c>
      <c r="D14" s="129">
        <v>21318910.40200007</v>
      </c>
      <c r="E14" s="129">
        <v>38994883.199999988</v>
      </c>
      <c r="F14" s="129">
        <v>51162329.845999993</v>
      </c>
      <c r="G14" s="129">
        <v>97069209.594999984</v>
      </c>
      <c r="H14" s="129">
        <v>255370531.96599999</v>
      </c>
      <c r="I14" s="129">
        <v>177523391.17499995</v>
      </c>
      <c r="J14" s="129">
        <v>177523392.22100008</v>
      </c>
      <c r="M14" s="128">
        <v>2033</v>
      </c>
      <c r="N14" s="129">
        <v>22957987.840000082</v>
      </c>
      <c r="O14" s="129">
        <v>38878826.999999985</v>
      </c>
      <c r="P14" s="129">
        <v>55150095.811000004</v>
      </c>
      <c r="Q14" s="129">
        <v>98799349.199999988</v>
      </c>
      <c r="R14" s="129">
        <v>248129605.02949998</v>
      </c>
      <c r="S14" s="129">
        <v>143986787.43099988</v>
      </c>
      <c r="T14" s="129">
        <v>143986790.02900016</v>
      </c>
      <c r="X14" s="130">
        <v>2033</v>
      </c>
      <c r="Y14" s="131">
        <v>4.0258377206368001</v>
      </c>
      <c r="Z14" s="131">
        <v>3.5370492751872127</v>
      </c>
      <c r="AA14" s="131">
        <v>3.8512481985893525</v>
      </c>
      <c r="AB14" s="131">
        <v>3.5657514787567188</v>
      </c>
      <c r="AC14" s="131">
        <v>4.2138926624064004</v>
      </c>
      <c r="AD14" s="132"/>
      <c r="AE14" s="133">
        <v>2033</v>
      </c>
      <c r="AF14" s="131">
        <v>4.0386566066455769</v>
      </c>
      <c r="AG14" s="131">
        <v>3.5488754018226918</v>
      </c>
      <c r="AH14" s="131">
        <v>3.8654015173751222</v>
      </c>
      <c r="AI14" s="131">
        <v>3.5785717244657462</v>
      </c>
      <c r="AJ14" s="131">
        <v>4.2281667147146065</v>
      </c>
    </row>
    <row r="15" spans="1:36" ht="15.75" thickBot="1">
      <c r="C15" s="128">
        <v>2034</v>
      </c>
      <c r="D15" s="129">
        <v>20814719.257900059</v>
      </c>
      <c r="E15" s="129">
        <v>38298545.99999997</v>
      </c>
      <c r="F15" s="129">
        <v>48300978.710999988</v>
      </c>
      <c r="G15" s="129">
        <v>96702375.291999996</v>
      </c>
      <c r="H15" s="129">
        <v>262613943.02000004</v>
      </c>
      <c r="I15" s="129">
        <v>176928350.90099999</v>
      </c>
      <c r="J15" s="129">
        <v>176928351.55420005</v>
      </c>
      <c r="M15" s="128">
        <v>2034</v>
      </c>
      <c r="N15" s="129">
        <v>22778424.549000081</v>
      </c>
      <c r="O15" s="129">
        <v>38066433.599999964</v>
      </c>
      <c r="P15" s="129">
        <v>53576967.130000003</v>
      </c>
      <c r="Q15" s="129">
        <v>98598504.739999995</v>
      </c>
      <c r="R15" s="129">
        <v>253710232.37800008</v>
      </c>
      <c r="S15" s="129">
        <v>145153015.93099988</v>
      </c>
      <c r="T15" s="129">
        <v>145153018.60200015</v>
      </c>
      <c r="X15" s="130">
        <v>2034</v>
      </c>
      <c r="Y15" s="131">
        <v>4.2531983595098657</v>
      </c>
      <c r="Z15" s="131">
        <v>3.7683059338150171</v>
      </c>
      <c r="AA15" s="131">
        <v>4.0813230212211469</v>
      </c>
      <c r="AB15" s="131">
        <v>3.7633734994553367</v>
      </c>
      <c r="AC15" s="131">
        <v>4.4416580959220404</v>
      </c>
      <c r="AD15" s="132"/>
      <c r="AE15" s="133">
        <v>2034</v>
      </c>
      <c r="AF15" s="131">
        <v>4.2669774771342484</v>
      </c>
      <c r="AG15" s="131">
        <v>3.780443897597491</v>
      </c>
      <c r="AH15" s="131">
        <v>4.0959248961385102</v>
      </c>
      <c r="AI15" s="131">
        <v>3.7770715813304534</v>
      </c>
      <c r="AJ15" s="131">
        <v>4.4567038969110238</v>
      </c>
    </row>
    <row r="16" spans="1:36" ht="15.75" thickBot="1">
      <c r="C16" s="128">
        <v>2035</v>
      </c>
      <c r="D16" s="129">
        <v>20140173.121000059</v>
      </c>
      <c r="E16" s="129">
        <v>37486152.599999949</v>
      </c>
      <c r="F16" s="129">
        <v>45796368.202999994</v>
      </c>
      <c r="G16" s="129">
        <v>99223475</v>
      </c>
      <c r="H16" s="129">
        <v>267449771.49100003</v>
      </c>
      <c r="I16" s="129">
        <v>176341329.00199983</v>
      </c>
      <c r="J16" s="129">
        <v>176341329.70100003</v>
      </c>
      <c r="M16" s="128">
        <v>2035</v>
      </c>
      <c r="N16" s="129">
        <v>22415729.719000079</v>
      </c>
      <c r="O16" s="129">
        <v>37486152.599999949</v>
      </c>
      <c r="P16" s="129">
        <v>51755071.683000006</v>
      </c>
      <c r="Q16" s="129">
        <v>99223475</v>
      </c>
      <c r="R16" s="129">
        <v>259215511.47759995</v>
      </c>
      <c r="S16" s="129">
        <v>145997342.32399985</v>
      </c>
      <c r="T16" s="129">
        <v>145997345.13800019</v>
      </c>
      <c r="X16" s="130">
        <v>2035</v>
      </c>
      <c r="Y16" s="131">
        <v>4.3371059517152268</v>
      </c>
      <c r="Z16" s="131">
        <v>3.8402287266743644</v>
      </c>
      <c r="AA16" s="131">
        <v>4.1702705595720095</v>
      </c>
      <c r="AB16" s="131">
        <v>3.7925989755572007</v>
      </c>
      <c r="AC16" s="131">
        <v>4.510076706289464</v>
      </c>
      <c r="AD16" s="132"/>
      <c r="AE16" s="133">
        <v>2035</v>
      </c>
      <c r="AF16" s="131">
        <v>4.3465719956852693</v>
      </c>
      <c r="AG16" s="131">
        <v>3.8497406686280664</v>
      </c>
      <c r="AH16" s="131">
        <v>4.1812865683242695</v>
      </c>
      <c r="AI16" s="131">
        <v>3.8021673024700435</v>
      </c>
      <c r="AJ16" s="131">
        <v>4.521245230541</v>
      </c>
    </row>
    <row r="17" spans="3:36" ht="15.75" thickBot="1">
      <c r="C17" s="128">
        <v>2040</v>
      </c>
      <c r="D17" s="129">
        <v>21137702.262200069</v>
      </c>
      <c r="E17" s="129">
        <v>39459108</v>
      </c>
      <c r="F17" s="129">
        <v>48459125.460000001</v>
      </c>
      <c r="G17" s="129">
        <v>109298474</v>
      </c>
      <c r="H17" s="129">
        <v>265626614.03200004</v>
      </c>
      <c r="I17" s="129">
        <v>176586254.33299991</v>
      </c>
      <c r="J17" s="129">
        <v>176586255.43999997</v>
      </c>
      <c r="M17" s="128">
        <v>2040</v>
      </c>
      <c r="N17" s="129">
        <v>23487854.373000085</v>
      </c>
      <c r="O17" s="129">
        <v>39226995.599999994</v>
      </c>
      <c r="P17" s="129">
        <v>55568044.75</v>
      </c>
      <c r="Q17" s="129">
        <v>103497717</v>
      </c>
      <c r="R17" s="129">
        <v>250630681.95849994</v>
      </c>
      <c r="S17" s="129">
        <v>147039777.27199984</v>
      </c>
      <c r="T17" s="129">
        <v>147039779.74200016</v>
      </c>
      <c r="X17" s="130">
        <v>2040</v>
      </c>
      <c r="Y17" s="131">
        <v>4.8741164410487672</v>
      </c>
      <c r="Z17" s="131">
        <v>4.2588001839643033</v>
      </c>
      <c r="AA17" s="131">
        <v>4.7014824277862415</v>
      </c>
      <c r="AB17" s="131">
        <v>3.8481452698498542</v>
      </c>
      <c r="AC17" s="131">
        <v>5.1053672946874462</v>
      </c>
      <c r="AD17" s="132"/>
      <c r="AE17" s="134">
        <v>2040</v>
      </c>
      <c r="AF17" s="131">
        <v>4.8642548759915254</v>
      </c>
      <c r="AG17" s="131">
        <v>4.2529185469452111</v>
      </c>
      <c r="AH17" s="131">
        <v>4.6984903541237886</v>
      </c>
      <c r="AI17" s="131">
        <v>3.8416249696154994</v>
      </c>
      <c r="AJ17" s="131">
        <v>5.1007942656051002</v>
      </c>
    </row>
    <row r="18" spans="3:36" ht="15.75" thickBot="1">
      <c r="C18" s="128">
        <v>2044</v>
      </c>
      <c r="D18" s="129">
        <v>23869202.708000086</v>
      </c>
      <c r="E18" s="129">
        <v>37486152.599999949</v>
      </c>
      <c r="F18" s="129">
        <v>52033626.702999994</v>
      </c>
      <c r="G18" s="129">
        <v>109298474</v>
      </c>
      <c r="H18" s="129">
        <v>273146649.1813001</v>
      </c>
      <c r="I18" s="129">
        <v>175401992.90969998</v>
      </c>
      <c r="J18" s="129">
        <v>175401993.41300005</v>
      </c>
      <c r="M18" s="128">
        <v>2044</v>
      </c>
      <c r="N18" s="129">
        <v>24040031.251000091</v>
      </c>
      <c r="O18" s="129">
        <v>38994883.199999988</v>
      </c>
      <c r="P18" s="129">
        <v>55180247.810000002</v>
      </c>
      <c r="Q18" s="129">
        <v>107161353</v>
      </c>
      <c r="R18" s="129">
        <v>249901019.59299999</v>
      </c>
      <c r="S18" s="129">
        <v>143137723.83549979</v>
      </c>
      <c r="T18" s="129">
        <v>143137726.70700023</v>
      </c>
      <c r="X18" s="130">
        <v>2044</v>
      </c>
      <c r="Y18" s="131">
        <v>5.1507126092541187</v>
      </c>
      <c r="Z18" s="131">
        <v>4.6704251920606605</v>
      </c>
      <c r="AA18" s="131">
        <v>5.0397353083450724</v>
      </c>
      <c r="AB18" s="131">
        <v>4.0104155342404839</v>
      </c>
      <c r="AC18" s="131">
        <v>5.4276087303162548</v>
      </c>
      <c r="AD18" s="132"/>
      <c r="AE18" s="134">
        <v>2044</v>
      </c>
      <c r="AF18" s="131">
        <v>5.2068396471687226</v>
      </c>
      <c r="AG18" s="131">
        <v>4.7242403676592017</v>
      </c>
      <c r="AH18" s="131">
        <v>5.0996532367134941</v>
      </c>
      <c r="AI18" s="131">
        <v>4.0642016956428249</v>
      </c>
      <c r="AJ18" s="131">
        <v>5.4902000348723483</v>
      </c>
    </row>
    <row r="19" spans="3:36">
      <c r="Y19" s="132"/>
      <c r="Z19" s="132"/>
      <c r="AA19" s="132"/>
      <c r="AB19" s="132"/>
      <c r="AC19" s="132"/>
      <c r="AD19" s="132"/>
      <c r="AE19" s="132"/>
      <c r="AF19" s="132"/>
      <c r="AG19" s="132"/>
      <c r="AH19" s="132"/>
      <c r="AI19" s="132"/>
      <c r="AJ19" s="132"/>
    </row>
    <row r="20" spans="3:36" ht="15.75" thickBot="1">
      <c r="C20" s="122" t="s">
        <v>211</v>
      </c>
      <c r="M20" s="122" t="s">
        <v>214</v>
      </c>
      <c r="X20" s="122" t="s">
        <v>218</v>
      </c>
      <c r="Y20" s="132"/>
      <c r="Z20" s="132"/>
      <c r="AA20" s="132"/>
      <c r="AB20" s="132"/>
      <c r="AC20" s="132"/>
      <c r="AD20" s="132"/>
      <c r="AE20" s="122" t="s">
        <v>219</v>
      </c>
      <c r="AF20" s="132"/>
      <c r="AG20" s="132"/>
      <c r="AH20" s="132"/>
      <c r="AI20" s="132"/>
      <c r="AJ20" s="132"/>
    </row>
    <row r="21" spans="3:36" ht="26.25" thickBot="1">
      <c r="C21" s="123" t="s">
        <v>114</v>
      </c>
      <c r="D21" s="124" t="s">
        <v>115</v>
      </c>
      <c r="E21" s="124" t="s">
        <v>116</v>
      </c>
      <c r="F21" s="124" t="s">
        <v>117</v>
      </c>
      <c r="G21" s="124" t="s">
        <v>118</v>
      </c>
      <c r="H21" s="124" t="s">
        <v>119</v>
      </c>
      <c r="I21" s="125" t="s">
        <v>120</v>
      </c>
      <c r="J21" s="126" t="s">
        <v>121</v>
      </c>
      <c r="M21" s="123" t="s">
        <v>114</v>
      </c>
      <c r="N21" s="124" t="s">
        <v>115</v>
      </c>
      <c r="O21" s="124" t="s">
        <v>116</v>
      </c>
      <c r="P21" s="124" t="s">
        <v>117</v>
      </c>
      <c r="Q21" s="124" t="s">
        <v>118</v>
      </c>
      <c r="R21" s="124" t="s">
        <v>119</v>
      </c>
      <c r="S21" s="125" t="s">
        <v>120</v>
      </c>
      <c r="T21" s="126" t="s">
        <v>121</v>
      </c>
      <c r="X21" s="123" t="s">
        <v>114</v>
      </c>
      <c r="Y21" s="135" t="s">
        <v>115</v>
      </c>
      <c r="Z21" s="135" t="s">
        <v>116</v>
      </c>
      <c r="AA21" s="135" t="s">
        <v>117</v>
      </c>
      <c r="AB21" s="135" t="s">
        <v>118</v>
      </c>
      <c r="AC21" s="136" t="s">
        <v>119</v>
      </c>
      <c r="AD21" s="132"/>
      <c r="AE21" s="137" t="s">
        <v>114</v>
      </c>
      <c r="AF21" s="135" t="s">
        <v>115</v>
      </c>
      <c r="AG21" s="135" t="s">
        <v>116</v>
      </c>
      <c r="AH21" s="135" t="s">
        <v>117</v>
      </c>
      <c r="AI21" s="135" t="s">
        <v>118</v>
      </c>
      <c r="AJ21" s="136" t="s">
        <v>119</v>
      </c>
    </row>
    <row r="22" spans="3:36" ht="15.75" thickBot="1">
      <c r="C22" s="128">
        <v>2024</v>
      </c>
      <c r="D22" s="129">
        <f t="shared" ref="D22:J35" si="0">D5*$A$4/10^3</f>
        <v>16325.26049299757</v>
      </c>
      <c r="E22" s="129">
        <f t="shared" si="0"/>
        <v>35530.012245795435</v>
      </c>
      <c r="F22" s="129">
        <f t="shared" si="0"/>
        <v>47658.173715897537</v>
      </c>
      <c r="G22" s="129">
        <f t="shared" si="0"/>
        <v>86671.818803551665</v>
      </c>
      <c r="H22" s="129">
        <f t="shared" si="0"/>
        <v>233668.61796530237</v>
      </c>
      <c r="I22" s="129">
        <f t="shared" si="0"/>
        <v>165274.67246193564</v>
      </c>
      <c r="J22" s="129">
        <f t="shared" si="0"/>
        <v>165274.6730363128</v>
      </c>
      <c r="M22" s="128">
        <v>2024</v>
      </c>
      <c r="N22" s="129">
        <f t="shared" ref="N22:T35" si="1">N5*$A$4/10^3</f>
        <v>18271.837341335489</v>
      </c>
      <c r="O22" s="129">
        <f t="shared" si="1"/>
        <v>35530.012245795435</v>
      </c>
      <c r="P22" s="129">
        <f t="shared" si="1"/>
        <v>51894.150349460127</v>
      </c>
      <c r="Q22" s="129">
        <f t="shared" si="1"/>
        <v>89667.442372727135</v>
      </c>
      <c r="R22" s="129">
        <f t="shared" si="1"/>
        <v>224490.44124067342</v>
      </c>
      <c r="S22" s="129">
        <f t="shared" si="1"/>
        <v>136714.31515712902</v>
      </c>
      <c r="T22" s="129">
        <f t="shared" si="1"/>
        <v>136714.31747224808</v>
      </c>
      <c r="X22" s="130">
        <v>2024</v>
      </c>
      <c r="Y22" s="138">
        <f t="shared" ref="Y22:AC35" si="2">Y5*1.3*$A$4</f>
        <v>4.0065948176171444</v>
      </c>
      <c r="Z22" s="138">
        <f t="shared" si="2"/>
        <v>3.5813731162093081</v>
      </c>
      <c r="AA22" s="138">
        <f t="shared" si="2"/>
        <v>3.8451924290093551</v>
      </c>
      <c r="AB22" s="138">
        <f t="shared" si="2"/>
        <v>3.6324402005676553</v>
      </c>
      <c r="AC22" s="138">
        <f t="shared" si="2"/>
        <v>4.1556188037271369</v>
      </c>
      <c r="AD22" s="132"/>
      <c r="AE22" s="130">
        <v>2024</v>
      </c>
      <c r="AF22" s="138">
        <f t="shared" ref="AF22:AJ35" si="3">AF5*1.3*$A$4</f>
        <v>4.0006452385271487</v>
      </c>
      <c r="AG22" s="138">
        <f t="shared" si="3"/>
        <v>3.5777946082396808</v>
      </c>
      <c r="AH22" s="138">
        <f t="shared" si="3"/>
        <v>3.8428911762485858</v>
      </c>
      <c r="AI22" s="138">
        <f t="shared" si="3"/>
        <v>3.6276041811793762</v>
      </c>
      <c r="AJ22" s="138">
        <f t="shared" si="3"/>
        <v>4.1531308031919076</v>
      </c>
    </row>
    <row r="23" spans="3:36" ht="15.75" thickBot="1">
      <c r="C23" s="128">
        <v>2025</v>
      </c>
      <c r="D23" s="129">
        <f t="shared" si="0"/>
        <v>15486.776721804379</v>
      </c>
      <c r="E23" s="129">
        <f t="shared" si="0"/>
        <v>38170.013155699809</v>
      </c>
      <c r="F23" s="129">
        <f t="shared" si="0"/>
        <v>49372.275856826556</v>
      </c>
      <c r="G23" s="129">
        <f t="shared" si="0"/>
        <v>82249.568345187363</v>
      </c>
      <c r="H23" s="129">
        <f t="shared" si="0"/>
        <v>236150.63208398424</v>
      </c>
      <c r="I23" s="129">
        <f t="shared" si="0"/>
        <v>166749.94581709406</v>
      </c>
      <c r="J23" s="129">
        <f t="shared" si="0"/>
        <v>166749.94634692374</v>
      </c>
      <c r="M23" s="128">
        <v>2025</v>
      </c>
      <c r="N23" s="129">
        <f t="shared" si="1"/>
        <v>18348.927818049528</v>
      </c>
      <c r="O23" s="129">
        <f t="shared" si="1"/>
        <v>38610.013307350549</v>
      </c>
      <c r="P23" s="129">
        <f t="shared" si="1"/>
        <v>56914.672342510727</v>
      </c>
      <c r="Q23" s="129">
        <f t="shared" si="1"/>
        <v>82479.262050545207</v>
      </c>
      <c r="R23" s="129">
        <f t="shared" si="1"/>
        <v>225076.39076797816</v>
      </c>
      <c r="S23" s="129">
        <f t="shared" si="1"/>
        <v>136318.56285543123</v>
      </c>
      <c r="T23" s="129">
        <f t="shared" si="1"/>
        <v>136318.56488660336</v>
      </c>
      <c r="X23" s="130">
        <v>2025</v>
      </c>
      <c r="Y23" s="138">
        <f t="shared" si="2"/>
        <v>3.9552194931492592</v>
      </c>
      <c r="Z23" s="138">
        <f t="shared" si="2"/>
        <v>3.3683884799797932</v>
      </c>
      <c r="AA23" s="138">
        <f t="shared" si="2"/>
        <v>3.6959274723724249</v>
      </c>
      <c r="AB23" s="138">
        <f t="shared" si="2"/>
        <v>3.5871306204824611</v>
      </c>
      <c r="AC23" s="138">
        <f t="shared" si="2"/>
        <v>4.0803660506473429</v>
      </c>
      <c r="AD23" s="132"/>
      <c r="AE23" s="130">
        <v>2025</v>
      </c>
      <c r="AF23" s="138">
        <f t="shared" si="3"/>
        <v>3.9492315402231206</v>
      </c>
      <c r="AG23" s="138">
        <f t="shared" si="3"/>
        <v>3.3575704741441941</v>
      </c>
      <c r="AH23" s="138">
        <f t="shared" si="3"/>
        <v>3.6928127617530802</v>
      </c>
      <c r="AI23" s="138">
        <f t="shared" si="3"/>
        <v>3.5802828067710926</v>
      </c>
      <c r="AJ23" s="138">
        <f t="shared" si="3"/>
        <v>4.0766920283179253</v>
      </c>
    </row>
    <row r="24" spans="3:36" ht="15.75" thickBot="1">
      <c r="C24" s="128">
        <v>2026</v>
      </c>
      <c r="D24" s="129">
        <f t="shared" si="0"/>
        <v>19221.14448711733</v>
      </c>
      <c r="E24" s="129">
        <f t="shared" si="0"/>
        <v>38720.013345263229</v>
      </c>
      <c r="F24" s="129">
        <f t="shared" si="0"/>
        <v>51820.016058389323</v>
      </c>
      <c r="G24" s="129">
        <f t="shared" si="0"/>
        <v>92598.838355499625</v>
      </c>
      <c r="H24" s="129">
        <f t="shared" si="0"/>
        <v>220861.571993335</v>
      </c>
      <c r="I24" s="129">
        <f t="shared" si="0"/>
        <v>164177.5815653388</v>
      </c>
      <c r="J24" s="129">
        <f t="shared" si="0"/>
        <v>164177.58206986167</v>
      </c>
      <c r="M24" s="128">
        <v>2026</v>
      </c>
      <c r="N24" s="129">
        <f t="shared" si="1"/>
        <v>19784.186124717617</v>
      </c>
      <c r="O24" s="129">
        <f t="shared" si="1"/>
        <v>38830.013383175909</v>
      </c>
      <c r="P24" s="129">
        <f t="shared" si="1"/>
        <v>57471.836124338421</v>
      </c>
      <c r="Q24" s="129">
        <f t="shared" si="1"/>
        <v>92020.09561577774</v>
      </c>
      <c r="R24" s="129">
        <f t="shared" si="1"/>
        <v>215115.45289463317</v>
      </c>
      <c r="S24" s="129">
        <f t="shared" si="1"/>
        <v>135568.15845320045</v>
      </c>
      <c r="T24" s="129">
        <f t="shared" si="1"/>
        <v>135568.16070710958</v>
      </c>
      <c r="X24" s="130">
        <v>2026</v>
      </c>
      <c r="Y24" s="138">
        <f t="shared" si="2"/>
        <v>3.6722028350006615</v>
      </c>
      <c r="Z24" s="138">
        <f t="shared" si="2"/>
        <v>3.1220959506086614</v>
      </c>
      <c r="AA24" s="138">
        <f t="shared" si="2"/>
        <v>3.44983308714502</v>
      </c>
      <c r="AB24" s="138">
        <f t="shared" si="2"/>
        <v>3.2648880864430136</v>
      </c>
      <c r="AC24" s="138">
        <f t="shared" si="2"/>
        <v>3.8495237471782362</v>
      </c>
      <c r="AD24" s="132"/>
      <c r="AE24" s="130">
        <v>2026</v>
      </c>
      <c r="AF24" s="138">
        <f t="shared" si="3"/>
        <v>3.6667178475852844</v>
      </c>
      <c r="AG24" s="138">
        <f t="shared" si="3"/>
        <v>3.1043995415218451</v>
      </c>
      <c r="AH24" s="138">
        <f t="shared" si="3"/>
        <v>3.4327119442464622</v>
      </c>
      <c r="AI24" s="138">
        <f t="shared" si="3"/>
        <v>3.2582583650208337</v>
      </c>
      <c r="AJ24" s="138">
        <f t="shared" si="3"/>
        <v>3.8305237609061571</v>
      </c>
    </row>
    <row r="25" spans="3:36" ht="15.75" thickBot="1">
      <c r="C25" s="128">
        <v>2027</v>
      </c>
      <c r="D25" s="129">
        <f t="shared" si="0"/>
        <v>18147.454047936844</v>
      </c>
      <c r="E25" s="129">
        <f t="shared" si="0"/>
        <v>39160.013496913954</v>
      </c>
      <c r="F25" s="129">
        <f t="shared" si="0"/>
        <v>51829.811675399229</v>
      </c>
      <c r="G25" s="129">
        <f t="shared" si="0"/>
        <v>86332.218264243813</v>
      </c>
      <c r="H25" s="129">
        <f t="shared" si="0"/>
        <v>229975.7443742324</v>
      </c>
      <c r="I25" s="129">
        <f t="shared" si="0"/>
        <v>165130.2692016348</v>
      </c>
      <c r="J25" s="129">
        <f t="shared" si="0"/>
        <v>165130.26981695753</v>
      </c>
      <c r="M25" s="128">
        <v>2027</v>
      </c>
      <c r="N25" s="129">
        <f t="shared" si="1"/>
        <v>18857.41697123192</v>
      </c>
      <c r="O25" s="129">
        <f t="shared" si="1"/>
        <v>38720.013345263229</v>
      </c>
      <c r="P25" s="129">
        <f t="shared" si="1"/>
        <v>56489.89247964089</v>
      </c>
      <c r="Q25" s="129">
        <f t="shared" si="1"/>
        <v>88977.364556952423</v>
      </c>
      <c r="R25" s="129">
        <f t="shared" si="1"/>
        <v>222400.55469757057</v>
      </c>
      <c r="S25" s="129">
        <f t="shared" si="1"/>
        <v>135376.06561831778</v>
      </c>
      <c r="T25" s="129">
        <f t="shared" si="1"/>
        <v>135376.06792625238</v>
      </c>
      <c r="X25" s="130">
        <v>2027</v>
      </c>
      <c r="Y25" s="138">
        <f t="shared" si="2"/>
        <v>3.7557106076991511</v>
      </c>
      <c r="Z25" s="138">
        <f t="shared" si="2"/>
        <v>3.1242169362602525</v>
      </c>
      <c r="AA25" s="138">
        <f t="shared" si="2"/>
        <v>3.4980928528050241</v>
      </c>
      <c r="AB25" s="138">
        <f t="shared" si="2"/>
        <v>3.352878376135489</v>
      </c>
      <c r="AC25" s="138">
        <f t="shared" si="2"/>
        <v>3.909773883038004</v>
      </c>
      <c r="AD25" s="132"/>
      <c r="AE25" s="130">
        <v>2027</v>
      </c>
      <c r="AF25" s="138">
        <f t="shared" si="3"/>
        <v>3.7490536067309934</v>
      </c>
      <c r="AG25" s="138">
        <f t="shared" si="3"/>
        <v>3.1255932422887023</v>
      </c>
      <c r="AH25" s="138">
        <f t="shared" si="3"/>
        <v>3.4897324972994705</v>
      </c>
      <c r="AI25" s="138">
        <f t="shared" si="3"/>
        <v>3.3472504330926167</v>
      </c>
      <c r="AJ25" s="138">
        <f t="shared" si="3"/>
        <v>3.8920130398738415</v>
      </c>
    </row>
    <row r="26" spans="3:36" ht="15.75" thickBot="1">
      <c r="C26" s="128">
        <v>2028</v>
      </c>
      <c r="D26" s="129">
        <f t="shared" si="0"/>
        <v>18597.991852565228</v>
      </c>
      <c r="E26" s="129">
        <f t="shared" si="0"/>
        <v>39270.013534826634</v>
      </c>
      <c r="F26" s="129">
        <f t="shared" si="0"/>
        <v>53202.924938581455</v>
      </c>
      <c r="G26" s="129">
        <f t="shared" si="0"/>
        <v>79895.409036013269</v>
      </c>
      <c r="H26" s="129">
        <f t="shared" si="0"/>
        <v>235641.30739041339</v>
      </c>
      <c r="I26" s="129">
        <f t="shared" si="0"/>
        <v>166659.97437812682</v>
      </c>
      <c r="J26" s="129">
        <f t="shared" si="0"/>
        <v>166659.97517686264</v>
      </c>
      <c r="M26" s="128">
        <v>2028</v>
      </c>
      <c r="N26" s="129">
        <f t="shared" si="1"/>
        <v>20814.035666353331</v>
      </c>
      <c r="O26" s="129">
        <f t="shared" si="1"/>
        <v>39270.013534826634</v>
      </c>
      <c r="P26" s="129">
        <f t="shared" si="1"/>
        <v>57100.125823652968</v>
      </c>
      <c r="Q26" s="129">
        <f t="shared" si="1"/>
        <v>85551.106481551687</v>
      </c>
      <c r="R26" s="129">
        <f t="shared" si="1"/>
        <v>223872.36524032845</v>
      </c>
      <c r="S26" s="129">
        <f t="shared" si="1"/>
        <v>133638.86243687529</v>
      </c>
      <c r="T26" s="129">
        <f t="shared" si="1"/>
        <v>133638.86478063738</v>
      </c>
      <c r="X26" s="130">
        <v>2028</v>
      </c>
      <c r="Y26" s="138">
        <f t="shared" si="2"/>
        <v>3.8767590843743034</v>
      </c>
      <c r="Z26" s="138">
        <f t="shared" si="2"/>
        <v>3.2705676533123667</v>
      </c>
      <c r="AA26" s="138">
        <f t="shared" si="2"/>
        <v>3.6325043169917026</v>
      </c>
      <c r="AB26" s="138">
        <f t="shared" si="2"/>
        <v>3.534822392084823</v>
      </c>
      <c r="AC26" s="138">
        <f t="shared" si="2"/>
        <v>4.0571939637636554</v>
      </c>
      <c r="AD26" s="132"/>
      <c r="AE26" s="130">
        <v>2028</v>
      </c>
      <c r="AF26" s="138">
        <f t="shared" si="3"/>
        <v>3.8919292905393181</v>
      </c>
      <c r="AG26" s="138">
        <f t="shared" si="3"/>
        <v>3.285708094134598</v>
      </c>
      <c r="AH26" s="138">
        <f t="shared" si="3"/>
        <v>3.6501538516203933</v>
      </c>
      <c r="AI26" s="138">
        <f t="shared" si="3"/>
        <v>3.5518436427152489</v>
      </c>
      <c r="AJ26" s="138">
        <f t="shared" si="3"/>
        <v>4.0746146123925895</v>
      </c>
    </row>
    <row r="27" spans="3:36" ht="15.75" thickBot="1">
      <c r="C27" s="128">
        <v>2029</v>
      </c>
      <c r="D27" s="129">
        <f t="shared" si="0"/>
        <v>17218.933373868353</v>
      </c>
      <c r="E27" s="129">
        <f t="shared" si="0"/>
        <v>38610.013307350549</v>
      </c>
      <c r="F27" s="129">
        <f t="shared" si="0"/>
        <v>50619.503167604387</v>
      </c>
      <c r="G27" s="129">
        <f t="shared" si="0"/>
        <v>73564.001306091799</v>
      </c>
      <c r="H27" s="129">
        <f t="shared" si="0"/>
        <v>249183.53408397283</v>
      </c>
      <c r="I27" s="129">
        <f t="shared" si="0"/>
        <v>165332.02188907505</v>
      </c>
      <c r="J27" s="129">
        <f t="shared" si="0"/>
        <v>165332.02243767155</v>
      </c>
      <c r="M27" s="128">
        <v>2029</v>
      </c>
      <c r="N27" s="129">
        <f t="shared" si="1"/>
        <v>19297.961114955095</v>
      </c>
      <c r="O27" s="129">
        <f t="shared" si="1"/>
        <v>38610.013307350549</v>
      </c>
      <c r="P27" s="129">
        <f t="shared" si="1"/>
        <v>56029.531894041647</v>
      </c>
      <c r="Q27" s="129">
        <f t="shared" si="1"/>
        <v>76683.413013148136</v>
      </c>
      <c r="R27" s="129">
        <f t="shared" si="1"/>
        <v>238575.0657566991</v>
      </c>
      <c r="S27" s="129">
        <f t="shared" si="1"/>
        <v>138244.96268747817</v>
      </c>
      <c r="T27" s="129">
        <f t="shared" si="1"/>
        <v>138244.96527198571</v>
      </c>
      <c r="X27" s="130">
        <v>2029</v>
      </c>
      <c r="Y27" s="138">
        <f t="shared" si="2"/>
        <v>4.1390245426277392</v>
      </c>
      <c r="Z27" s="138">
        <f t="shared" si="2"/>
        <v>3.5230988978115763</v>
      </c>
      <c r="AA27" s="138">
        <f t="shared" si="2"/>
        <v>3.8927627668009492</v>
      </c>
      <c r="AB27" s="138">
        <f t="shared" si="2"/>
        <v>3.8210571974332819</v>
      </c>
      <c r="AC27" s="138">
        <f t="shared" si="2"/>
        <v>4.3049619999097954</v>
      </c>
      <c r="AD27" s="132"/>
      <c r="AE27" s="130">
        <v>2029</v>
      </c>
      <c r="AF27" s="138">
        <f t="shared" si="3"/>
        <v>4.1492419777980833</v>
      </c>
      <c r="AG27" s="138">
        <f t="shared" si="3"/>
        <v>3.5331223268458816</v>
      </c>
      <c r="AH27" s="138">
        <f t="shared" si="3"/>
        <v>3.9058388049001072</v>
      </c>
      <c r="AI27" s="138">
        <f t="shared" si="3"/>
        <v>3.8318198893049042</v>
      </c>
      <c r="AJ27" s="138">
        <f t="shared" si="3"/>
        <v>4.3173082634093358</v>
      </c>
    </row>
    <row r="28" spans="3:36" ht="15.75" thickBot="1">
      <c r="C28" s="128">
        <v>2030</v>
      </c>
      <c r="D28" s="129">
        <f t="shared" si="0"/>
        <v>18425.481509986254</v>
      </c>
      <c r="E28" s="129">
        <f t="shared" si="0"/>
        <v>38170.013155699809</v>
      </c>
      <c r="F28" s="129">
        <f t="shared" si="0"/>
        <v>50139.781365159768</v>
      </c>
      <c r="G28" s="129">
        <f t="shared" si="0"/>
        <v>89415.753287029322</v>
      </c>
      <c r="H28" s="129">
        <f t="shared" si="0"/>
        <v>235648.9990063257</v>
      </c>
      <c r="I28" s="129">
        <f t="shared" si="0"/>
        <v>166195.20291203493</v>
      </c>
      <c r="J28" s="129">
        <f t="shared" si="0"/>
        <v>166195.20362426265</v>
      </c>
      <c r="M28" s="128">
        <v>2030</v>
      </c>
      <c r="N28" s="129">
        <f t="shared" si="1"/>
        <v>20569.910493850635</v>
      </c>
      <c r="O28" s="129">
        <f t="shared" si="1"/>
        <v>37730.013004049084</v>
      </c>
      <c r="P28" s="129">
        <f t="shared" si="1"/>
        <v>55005.462652219408</v>
      </c>
      <c r="Q28" s="129">
        <f t="shared" si="1"/>
        <v>89126.381917168372</v>
      </c>
      <c r="R28" s="129">
        <f t="shared" si="1"/>
        <v>229368.26044863972</v>
      </c>
      <c r="S28" s="129">
        <f t="shared" si="1"/>
        <v>136668.33864701015</v>
      </c>
      <c r="T28" s="129">
        <f t="shared" si="1"/>
        <v>136668.34116103803</v>
      </c>
      <c r="X28" s="130">
        <v>2030</v>
      </c>
      <c r="Y28" s="138">
        <f t="shared" si="2"/>
        <v>4.2755161588002206</v>
      </c>
      <c r="Z28" s="138">
        <f t="shared" si="2"/>
        <v>3.6800147429837535</v>
      </c>
      <c r="AA28" s="138">
        <f t="shared" si="2"/>
        <v>4.0382435504667304</v>
      </c>
      <c r="AB28" s="138">
        <f t="shared" si="2"/>
        <v>3.8402075602732317</v>
      </c>
      <c r="AC28" s="138">
        <f t="shared" si="2"/>
        <v>4.4620216410552</v>
      </c>
      <c r="AD28" s="132"/>
      <c r="AE28" s="130">
        <v>2030</v>
      </c>
      <c r="AF28" s="138">
        <f t="shared" si="3"/>
        <v>4.2796087616089995</v>
      </c>
      <c r="AG28" s="138">
        <f t="shared" si="3"/>
        <v>3.6850229926657705</v>
      </c>
      <c r="AH28" s="138">
        <f t="shared" si="3"/>
        <v>4.044887417329706</v>
      </c>
      <c r="AI28" s="138">
        <f t="shared" si="3"/>
        <v>3.845244350723692</v>
      </c>
      <c r="AJ28" s="138">
        <f t="shared" si="3"/>
        <v>4.4682928240343722</v>
      </c>
    </row>
    <row r="29" spans="3:36" ht="15.75" thickBot="1">
      <c r="C29" s="128">
        <v>2031</v>
      </c>
      <c r="D29" s="129">
        <f t="shared" si="0"/>
        <v>20327.649393018066</v>
      </c>
      <c r="E29" s="129">
        <f t="shared" si="0"/>
        <v>38060.01311778713</v>
      </c>
      <c r="F29" s="129">
        <f t="shared" si="0"/>
        <v>50334.028192816309</v>
      </c>
      <c r="G29" s="129">
        <f t="shared" si="0"/>
        <v>91249.169706631699</v>
      </c>
      <c r="H29" s="129">
        <f t="shared" si="0"/>
        <v>234942.67799074182</v>
      </c>
      <c r="I29" s="129">
        <f t="shared" si="0"/>
        <v>165654.50411731697</v>
      </c>
      <c r="J29" s="129">
        <f t="shared" si="0"/>
        <v>165654.50460108279</v>
      </c>
      <c r="M29" s="128">
        <v>2031</v>
      </c>
      <c r="N29" s="129">
        <f t="shared" si="1"/>
        <v>22328.098650687818</v>
      </c>
      <c r="O29" s="129">
        <f t="shared" si="1"/>
        <v>38060.01311778713</v>
      </c>
      <c r="P29" s="129">
        <f t="shared" si="1"/>
        <v>52795.761582323605</v>
      </c>
      <c r="Q29" s="129">
        <f t="shared" si="1"/>
        <v>94045.695204804302</v>
      </c>
      <c r="R29" s="129">
        <f t="shared" si="1"/>
        <v>227683.96986700251</v>
      </c>
      <c r="S29" s="129">
        <f t="shared" si="1"/>
        <v>135882.84225292291</v>
      </c>
      <c r="T29" s="129">
        <f t="shared" si="1"/>
        <v>135882.84460113983</v>
      </c>
      <c r="X29" s="130">
        <v>2031</v>
      </c>
      <c r="Y29" s="138">
        <f t="shared" si="2"/>
        <v>4.4903312613243012</v>
      </c>
      <c r="Z29" s="138">
        <f t="shared" si="2"/>
        <v>3.8877701272189862</v>
      </c>
      <c r="AA29" s="138">
        <f t="shared" si="2"/>
        <v>4.2623385122261936</v>
      </c>
      <c r="AB29" s="138">
        <f t="shared" si="2"/>
        <v>4.0048246663052174</v>
      </c>
      <c r="AC29" s="138">
        <f t="shared" si="2"/>
        <v>4.7166948183473449</v>
      </c>
      <c r="AD29" s="132"/>
      <c r="AE29" s="130">
        <v>2031</v>
      </c>
      <c r="AF29" s="138">
        <f t="shared" si="3"/>
        <v>4.502820905413131</v>
      </c>
      <c r="AG29" s="138">
        <f t="shared" si="3"/>
        <v>3.9011476783515158</v>
      </c>
      <c r="AH29" s="138">
        <f t="shared" si="3"/>
        <v>4.2775590255782525</v>
      </c>
      <c r="AI29" s="138">
        <f t="shared" si="3"/>
        <v>4.0178947593231431</v>
      </c>
      <c r="AJ29" s="138">
        <f t="shared" si="3"/>
        <v>4.7316670967189962</v>
      </c>
    </row>
    <row r="30" spans="3:36" ht="15.75" thickBot="1">
      <c r="C30" s="128">
        <v>2032</v>
      </c>
      <c r="D30" s="129">
        <f t="shared" si="0"/>
        <v>19361.140342749644</v>
      </c>
      <c r="E30" s="129">
        <f t="shared" si="0"/>
        <v>37400.012890311038</v>
      </c>
      <c r="F30" s="129">
        <f t="shared" si="0"/>
        <v>47259.512872586864</v>
      </c>
      <c r="G30" s="129">
        <f t="shared" si="0"/>
        <v>91237.971583498889</v>
      </c>
      <c r="H30" s="129">
        <f t="shared" si="0"/>
        <v>241796.97113707702</v>
      </c>
      <c r="I30" s="129">
        <f t="shared" si="0"/>
        <v>166452.10205998528</v>
      </c>
      <c r="J30" s="129">
        <f t="shared" si="0"/>
        <v>166452.1028637343</v>
      </c>
      <c r="M30" s="128">
        <v>2032</v>
      </c>
      <c r="N30" s="129">
        <f t="shared" si="1"/>
        <v>20059.973157822969</v>
      </c>
      <c r="O30" s="129">
        <f t="shared" si="1"/>
        <v>37400.012890311038</v>
      </c>
      <c r="P30" s="129">
        <f t="shared" si="1"/>
        <v>51962.652387171875</v>
      </c>
      <c r="Q30" s="129">
        <f t="shared" si="1"/>
        <v>93079.025445094856</v>
      </c>
      <c r="R30" s="129">
        <f t="shared" si="1"/>
        <v>234553.94521143899</v>
      </c>
      <c r="S30" s="129">
        <f t="shared" si="1"/>
        <v>137451.73326060406</v>
      </c>
      <c r="T30" s="129">
        <f t="shared" si="1"/>
        <v>137451.73560341835</v>
      </c>
      <c r="X30" s="130">
        <v>2032</v>
      </c>
      <c r="Y30" s="138">
        <f t="shared" si="2"/>
        <v>4.7381788578279682</v>
      </c>
      <c r="Z30" s="138">
        <f t="shared" si="2"/>
        <v>4.118900199124754</v>
      </c>
      <c r="AA30" s="138">
        <f t="shared" si="2"/>
        <v>4.5072787842898174</v>
      </c>
      <c r="AB30" s="138">
        <f t="shared" si="2"/>
        <v>4.2132789004353146</v>
      </c>
      <c r="AC30" s="138">
        <f t="shared" si="2"/>
        <v>4.9382886072757231</v>
      </c>
      <c r="AD30" s="132"/>
      <c r="AE30" s="130">
        <v>2032</v>
      </c>
      <c r="AF30" s="138">
        <f t="shared" si="3"/>
        <v>4.7526027553755572</v>
      </c>
      <c r="AG30" s="138">
        <f t="shared" si="3"/>
        <v>4.132023662367116</v>
      </c>
      <c r="AH30" s="138">
        <f t="shared" si="3"/>
        <v>4.5235130481959986</v>
      </c>
      <c r="AI30" s="138">
        <f t="shared" si="3"/>
        <v>4.2281922359623518</v>
      </c>
      <c r="AJ30" s="138">
        <f t="shared" si="3"/>
        <v>4.9547521514609292</v>
      </c>
    </row>
    <row r="31" spans="3:36" ht="15.75" thickBot="1">
      <c r="C31" s="128">
        <v>2033</v>
      </c>
      <c r="D31" s="129">
        <f t="shared" si="0"/>
        <v>20206.425442820164</v>
      </c>
      <c r="E31" s="129">
        <f t="shared" si="0"/>
        <v>36960.012738660305</v>
      </c>
      <c r="F31" s="129">
        <f t="shared" si="0"/>
        <v>48492.525369269497</v>
      </c>
      <c r="G31" s="129">
        <f t="shared" si="0"/>
        <v>92003.845857471068</v>
      </c>
      <c r="H31" s="129">
        <f t="shared" si="0"/>
        <v>242044.52840986638</v>
      </c>
      <c r="I31" s="129">
        <f t="shared" si="0"/>
        <v>168259.68590766742</v>
      </c>
      <c r="J31" s="129">
        <f t="shared" si="0"/>
        <v>168259.68689908413</v>
      </c>
      <c r="M31" s="128">
        <v>2033</v>
      </c>
      <c r="N31" s="129">
        <f t="shared" si="1"/>
        <v>21759.970883062211</v>
      </c>
      <c r="O31" s="129">
        <f t="shared" si="1"/>
        <v>36850.012700747626</v>
      </c>
      <c r="P31" s="129">
        <f t="shared" si="1"/>
        <v>52272.197694719529</v>
      </c>
      <c r="Q31" s="129">
        <f t="shared" si="1"/>
        <v>93643.701566551914</v>
      </c>
      <c r="R31" s="129">
        <f t="shared" si="1"/>
        <v>235181.45485121166</v>
      </c>
      <c r="S31" s="129">
        <f t="shared" si="1"/>
        <v>136473.12316218275</v>
      </c>
      <c r="T31" s="129">
        <f t="shared" si="1"/>
        <v>136473.12562461157</v>
      </c>
      <c r="X31" s="130">
        <v>2033</v>
      </c>
      <c r="Y31" s="138">
        <f t="shared" si="2"/>
        <v>4.9604845968629538</v>
      </c>
      <c r="Z31" s="138">
        <f t="shared" si="2"/>
        <v>4.3582180071421588</v>
      </c>
      <c r="AA31" s="138">
        <f t="shared" si="2"/>
        <v>4.7453620074822176</v>
      </c>
      <c r="AB31" s="138">
        <f t="shared" si="2"/>
        <v>4.3935837741160038</v>
      </c>
      <c r="AC31" s="138">
        <f t="shared" si="2"/>
        <v>5.1921987658743429</v>
      </c>
      <c r="AD31" s="132"/>
      <c r="AE31" s="130">
        <v>2033</v>
      </c>
      <c r="AF31" s="138">
        <f t="shared" si="3"/>
        <v>4.9762795421657717</v>
      </c>
      <c r="AG31" s="138">
        <f t="shared" si="3"/>
        <v>4.3727897119863774</v>
      </c>
      <c r="AH31" s="138">
        <f t="shared" si="3"/>
        <v>4.7628011902568765</v>
      </c>
      <c r="AI31" s="138">
        <f t="shared" si="3"/>
        <v>4.4093803947899168</v>
      </c>
      <c r="AJ31" s="138">
        <f t="shared" si="3"/>
        <v>5.2097867119176504</v>
      </c>
    </row>
    <row r="32" spans="3:36" ht="15.75" thickBot="1">
      <c r="C32" s="128">
        <v>2034</v>
      </c>
      <c r="D32" s="129">
        <f t="shared" si="0"/>
        <v>19728.544511286662</v>
      </c>
      <c r="E32" s="129">
        <f t="shared" si="0"/>
        <v>36300.012511184214</v>
      </c>
      <c r="F32" s="129">
        <f t="shared" si="0"/>
        <v>45780.488155131097</v>
      </c>
      <c r="G32" s="129">
        <f t="shared" si="0"/>
        <v>91656.154073338286</v>
      </c>
      <c r="H32" s="129">
        <f t="shared" si="0"/>
        <v>248909.95645728763</v>
      </c>
      <c r="I32" s="129">
        <f t="shared" si="0"/>
        <v>167695.69662747759</v>
      </c>
      <c r="J32" s="129">
        <f t="shared" si="0"/>
        <v>167695.69724659171</v>
      </c>
      <c r="M32" s="128">
        <v>2034</v>
      </c>
      <c r="N32" s="129">
        <f t="shared" si="1"/>
        <v>21589.777745446765</v>
      </c>
      <c r="O32" s="129">
        <f t="shared" si="1"/>
        <v>36080.012435358854</v>
      </c>
      <c r="P32" s="129">
        <f t="shared" si="1"/>
        <v>50781.159606693873</v>
      </c>
      <c r="Q32" s="129">
        <f t="shared" si="1"/>
        <v>93453.337775435619</v>
      </c>
      <c r="R32" s="129">
        <f t="shared" si="1"/>
        <v>240470.86825533441</v>
      </c>
      <c r="S32" s="129">
        <f t="shared" si="1"/>
        <v>137578.49434627153</v>
      </c>
      <c r="T32" s="129">
        <f t="shared" si="1"/>
        <v>137578.49687789101</v>
      </c>
      <c r="X32" s="130">
        <v>2034</v>
      </c>
      <c r="Y32" s="138">
        <f t="shared" si="2"/>
        <v>5.2406297555417209</v>
      </c>
      <c r="Z32" s="138">
        <f t="shared" si="2"/>
        <v>4.6431636936423502</v>
      </c>
      <c r="AA32" s="138">
        <f t="shared" si="2"/>
        <v>5.0288514804782789</v>
      </c>
      <c r="AB32" s="138">
        <f t="shared" si="2"/>
        <v>4.6370861350411152</v>
      </c>
      <c r="AC32" s="138">
        <f t="shared" si="2"/>
        <v>5.472842697163613</v>
      </c>
      <c r="AD32" s="132"/>
      <c r="AE32" s="130">
        <v>2034</v>
      </c>
      <c r="AF32" s="138">
        <f t="shared" si="3"/>
        <v>5.2576078618334225</v>
      </c>
      <c r="AG32" s="138">
        <f t="shared" si="3"/>
        <v>4.658119632395568</v>
      </c>
      <c r="AH32" s="138">
        <f t="shared" si="3"/>
        <v>5.0468433571109621</v>
      </c>
      <c r="AI32" s="138">
        <f t="shared" si="3"/>
        <v>4.6539643921550988</v>
      </c>
      <c r="AJ32" s="138">
        <f t="shared" si="3"/>
        <v>5.4913815626699733</v>
      </c>
    </row>
    <row r="33" spans="3:36" ht="15.75" thickBot="1">
      <c r="C33" s="128">
        <v>2035</v>
      </c>
      <c r="D33" s="129">
        <f t="shared" si="0"/>
        <v>19089.198223601456</v>
      </c>
      <c r="E33" s="129">
        <f t="shared" si="0"/>
        <v>35530.012245795435</v>
      </c>
      <c r="F33" s="129">
        <f t="shared" si="0"/>
        <v>43406.575767542192</v>
      </c>
      <c r="G33" s="129">
        <f t="shared" si="0"/>
        <v>94045.695204804302</v>
      </c>
      <c r="H33" s="129">
        <f t="shared" si="0"/>
        <v>253493.43683273689</v>
      </c>
      <c r="I33" s="129">
        <f t="shared" si="0"/>
        <v>167139.30729932804</v>
      </c>
      <c r="J33" s="129">
        <f t="shared" si="0"/>
        <v>167139.30796185232</v>
      </c>
      <c r="M33" s="128">
        <v>2035</v>
      </c>
      <c r="N33" s="129">
        <f t="shared" si="1"/>
        <v>21246.009424144388</v>
      </c>
      <c r="O33" s="129">
        <f t="shared" si="1"/>
        <v>35530.012245795435</v>
      </c>
      <c r="P33" s="129">
        <f t="shared" si="1"/>
        <v>49054.336151825126</v>
      </c>
      <c r="Q33" s="129">
        <f t="shared" si="1"/>
        <v>94045.695204804302</v>
      </c>
      <c r="R33" s="129">
        <f t="shared" si="1"/>
        <v>245688.86530913998</v>
      </c>
      <c r="S33" s="129">
        <f t="shared" si="1"/>
        <v>138378.76124490061</v>
      </c>
      <c r="T33" s="129">
        <f t="shared" si="1"/>
        <v>138378.76391205794</v>
      </c>
      <c r="X33" s="130">
        <v>2035</v>
      </c>
      <c r="Y33" s="138">
        <f t="shared" si="2"/>
        <v>5.3440175092410209</v>
      </c>
      <c r="Z33" s="138">
        <f t="shared" si="2"/>
        <v>4.7317842319996988</v>
      </c>
      <c r="AA33" s="138">
        <f t="shared" si="2"/>
        <v>5.138449264724918</v>
      </c>
      <c r="AB33" s="138">
        <f t="shared" si="2"/>
        <v>4.6730966585890812</v>
      </c>
      <c r="AC33" s="138">
        <f t="shared" si="2"/>
        <v>5.5571455147179902</v>
      </c>
      <c r="AD33" s="132"/>
      <c r="AE33" s="130">
        <v>2035</v>
      </c>
      <c r="AF33" s="138">
        <f t="shared" si="3"/>
        <v>5.3556812097091058</v>
      </c>
      <c r="AG33" s="138">
        <f t="shared" si="3"/>
        <v>4.7435044862229931</v>
      </c>
      <c r="AH33" s="138">
        <f t="shared" si="3"/>
        <v>5.1520227730296311</v>
      </c>
      <c r="AI33" s="138">
        <f t="shared" si="3"/>
        <v>4.6848863882211536</v>
      </c>
      <c r="AJ33" s="138">
        <f t="shared" si="3"/>
        <v>5.5709069468381776</v>
      </c>
    </row>
    <row r="34" spans="3:36" ht="15.75" thickBot="1">
      <c r="C34" s="128">
        <v>2040</v>
      </c>
      <c r="D34" s="129">
        <f t="shared" si="0"/>
        <v>20034.673289569531</v>
      </c>
      <c r="E34" s="129">
        <f t="shared" si="0"/>
        <v>37400.012890311038</v>
      </c>
      <c r="F34" s="129">
        <f t="shared" si="0"/>
        <v>45930.382330416593</v>
      </c>
      <c r="G34" s="129">
        <f t="shared" si="0"/>
        <v>103594.9504102152</v>
      </c>
      <c r="H34" s="129">
        <f t="shared" si="0"/>
        <v>251765.4172214556</v>
      </c>
      <c r="I34" s="129">
        <f t="shared" si="0"/>
        <v>167371.45168882023</v>
      </c>
      <c r="J34" s="129">
        <f t="shared" si="0"/>
        <v>167371.45273805369</v>
      </c>
      <c r="M34" s="128">
        <v>2040</v>
      </c>
      <c r="N34" s="129">
        <f t="shared" si="1"/>
        <v>22262.187384366407</v>
      </c>
      <c r="O34" s="129">
        <f t="shared" si="1"/>
        <v>37180.012814485679</v>
      </c>
      <c r="P34" s="129">
        <f t="shared" si="1"/>
        <v>52668.336799184122</v>
      </c>
      <c r="Q34" s="129">
        <f t="shared" si="1"/>
        <v>98096.894382857412</v>
      </c>
      <c r="R34" s="129">
        <f t="shared" si="1"/>
        <v>237552.01805259622</v>
      </c>
      <c r="S34" s="129">
        <f t="shared" si="1"/>
        <v>139366.79879740966</v>
      </c>
      <c r="T34" s="129">
        <f t="shared" si="1"/>
        <v>139366.80113851791</v>
      </c>
      <c r="X34" s="130">
        <v>2040</v>
      </c>
      <c r="Y34" s="138">
        <f t="shared" si="2"/>
        <v>6.0057014730624703</v>
      </c>
      <c r="Z34" s="138">
        <f t="shared" si="2"/>
        <v>5.2475321112373132</v>
      </c>
      <c r="AA34" s="138">
        <f t="shared" si="2"/>
        <v>5.7929883874620058</v>
      </c>
      <c r="AB34" s="138">
        <f t="shared" si="2"/>
        <v>4.7415386963391626</v>
      </c>
      <c r="AC34" s="138">
        <f t="shared" si="2"/>
        <v>6.2906400068751616</v>
      </c>
      <c r="AD34" s="132"/>
      <c r="AE34" s="130">
        <v>2040</v>
      </c>
      <c r="AF34" s="138">
        <f t="shared" si="3"/>
        <v>5.9935504265072037</v>
      </c>
      <c r="AG34" s="138">
        <f t="shared" si="3"/>
        <v>5.2402849811088466</v>
      </c>
      <c r="AH34" s="138">
        <f t="shared" si="3"/>
        <v>5.7893016677417366</v>
      </c>
      <c r="AI34" s="138">
        <f t="shared" si="3"/>
        <v>4.7335046296122192</v>
      </c>
      <c r="AJ34" s="138">
        <f t="shared" si="3"/>
        <v>6.2850052938295509</v>
      </c>
    </row>
    <row r="35" spans="3:36" ht="15.75" thickBot="1">
      <c r="C35" s="128">
        <v>2044</v>
      </c>
      <c r="D35" s="129">
        <f t="shared" si="0"/>
        <v>22623.635814591915</v>
      </c>
      <c r="E35" s="129">
        <f t="shared" si="0"/>
        <v>35530.012245795435</v>
      </c>
      <c r="F35" s="129">
        <f t="shared" si="0"/>
        <v>49318.355331849678</v>
      </c>
      <c r="G35" s="129">
        <f t="shared" si="0"/>
        <v>103594.9504102152</v>
      </c>
      <c r="H35" s="129">
        <f t="shared" si="0"/>
        <v>258893.03428566837</v>
      </c>
      <c r="I35" s="129">
        <f t="shared" si="0"/>
        <v>166248.98859368602</v>
      </c>
      <c r="J35" s="129">
        <f t="shared" si="0"/>
        <v>166248.98907072237</v>
      </c>
      <c r="M35" s="128">
        <v>2044</v>
      </c>
      <c r="N35" s="129">
        <f t="shared" si="1"/>
        <v>22785.550009667822</v>
      </c>
      <c r="O35" s="129">
        <f t="shared" si="1"/>
        <v>36960.012738660305</v>
      </c>
      <c r="P35" s="129">
        <f t="shared" si="1"/>
        <v>52300.776271591276</v>
      </c>
      <c r="Q35" s="129">
        <f t="shared" si="1"/>
        <v>101569.35082118864</v>
      </c>
      <c r="R35" s="129">
        <f t="shared" si="1"/>
        <v>236860.43166713425</v>
      </c>
      <c r="S35" s="129">
        <f t="shared" si="1"/>
        <v>135668.36626254892</v>
      </c>
      <c r="T35" s="129">
        <f t="shared" si="1"/>
        <v>135668.36898420582</v>
      </c>
      <c r="X35" s="130">
        <v>2044</v>
      </c>
      <c r="Y35" s="138">
        <f t="shared" si="2"/>
        <v>6.3465127841843039</v>
      </c>
      <c r="Z35" s="138">
        <f t="shared" si="2"/>
        <v>5.7547208391581677</v>
      </c>
      <c r="AA35" s="138">
        <f t="shared" si="2"/>
        <v>6.2097707617876159</v>
      </c>
      <c r="AB35" s="138">
        <f t="shared" si="2"/>
        <v>4.9414819635285987</v>
      </c>
      <c r="AC35" s="138">
        <f t="shared" si="2"/>
        <v>6.6876936858433407</v>
      </c>
      <c r="AD35" s="132"/>
      <c r="AE35" s="130">
        <v>2044</v>
      </c>
      <c r="AF35" s="138">
        <f t="shared" si="3"/>
        <v>6.4156703922060441</v>
      </c>
      <c r="AG35" s="138">
        <f t="shared" si="3"/>
        <v>5.821029858089962</v>
      </c>
      <c r="AH35" s="138">
        <f t="shared" si="3"/>
        <v>6.2835993612922376</v>
      </c>
      <c r="AI35" s="138">
        <f t="shared" si="3"/>
        <v>5.0077552322679297</v>
      </c>
      <c r="AJ35" s="138">
        <f t="shared" si="3"/>
        <v>6.7648163181234491</v>
      </c>
    </row>
    <row r="38" spans="3:36" ht="15.75" thickBot="1">
      <c r="C38" s="122" t="s">
        <v>215</v>
      </c>
    </row>
    <row r="39" spans="3:36" ht="26.25" thickBot="1">
      <c r="C39" s="123" t="s">
        <v>114</v>
      </c>
      <c r="D39" s="124" t="s">
        <v>115</v>
      </c>
      <c r="E39" s="124" t="s">
        <v>116</v>
      </c>
      <c r="F39" s="124" t="s">
        <v>117</v>
      </c>
      <c r="G39" s="124" t="s">
        <v>118</v>
      </c>
      <c r="H39" s="124" t="s">
        <v>119</v>
      </c>
      <c r="I39" s="125" t="s">
        <v>120</v>
      </c>
      <c r="J39" s="126" t="s">
        <v>121</v>
      </c>
    </row>
    <row r="40" spans="3:36" ht="15.75" thickBot="1">
      <c r="C40" s="128">
        <v>2024</v>
      </c>
      <c r="D40" s="129">
        <f>D22-N22</f>
        <v>-1946.5768483379197</v>
      </c>
      <c r="E40" s="129">
        <f t="shared" ref="E40:J53" si="4">E22-O22</f>
        <v>0</v>
      </c>
      <c r="F40" s="129">
        <f t="shared" si="4"/>
        <v>-4235.97663356259</v>
      </c>
      <c r="G40" s="129">
        <f t="shared" si="4"/>
        <v>-2995.62356917547</v>
      </c>
      <c r="H40" s="129">
        <f t="shared" si="4"/>
        <v>9178.1767246289528</v>
      </c>
      <c r="I40" s="129">
        <f t="shared" si="4"/>
        <v>28560.357304806617</v>
      </c>
      <c r="J40" s="129">
        <f t="shared" si="4"/>
        <v>28560.355564064725</v>
      </c>
    </row>
    <row r="41" spans="3:36" ht="15.75" thickBot="1">
      <c r="C41" s="128">
        <v>2025</v>
      </c>
      <c r="D41" s="129">
        <f t="shared" ref="D41:D53" si="5">D23-N23</f>
        <v>-2862.1510962451484</v>
      </c>
      <c r="E41" s="129">
        <f t="shared" si="4"/>
        <v>-440.00015165074001</v>
      </c>
      <c r="F41" s="129">
        <f t="shared" si="4"/>
        <v>-7542.3964856841703</v>
      </c>
      <c r="G41" s="129">
        <f t="shared" si="4"/>
        <v>-229.69370535784401</v>
      </c>
      <c r="H41" s="129">
        <f t="shared" si="4"/>
        <v>11074.241316006082</v>
      </c>
      <c r="I41" s="129">
        <f t="shared" si="4"/>
        <v>30431.382961662835</v>
      </c>
      <c r="J41" s="129">
        <f t="shared" si="4"/>
        <v>30431.381460320379</v>
      </c>
    </row>
    <row r="42" spans="3:36" ht="15.75" thickBot="1">
      <c r="C42" s="128">
        <v>2026</v>
      </c>
      <c r="D42" s="129">
        <f t="shared" si="5"/>
        <v>-563.04163760028678</v>
      </c>
      <c r="E42" s="129">
        <f t="shared" si="4"/>
        <v>-110.00003791267955</v>
      </c>
      <c r="F42" s="129">
        <f t="shared" si="4"/>
        <v>-5651.8200659490976</v>
      </c>
      <c r="G42" s="129">
        <f t="shared" si="4"/>
        <v>578.7427397218853</v>
      </c>
      <c r="H42" s="129">
        <f t="shared" si="4"/>
        <v>5746.1190987018344</v>
      </c>
      <c r="I42" s="129">
        <f t="shared" si="4"/>
        <v>28609.423112138349</v>
      </c>
      <c r="J42" s="129">
        <f t="shared" si="4"/>
        <v>28609.421362752095</v>
      </c>
    </row>
    <row r="43" spans="3:36" ht="15.75" thickBot="1">
      <c r="C43" s="128">
        <v>2027</v>
      </c>
      <c r="D43" s="129">
        <f t="shared" si="5"/>
        <v>-709.9629232950756</v>
      </c>
      <c r="E43" s="129">
        <f t="shared" si="4"/>
        <v>440.00015165072546</v>
      </c>
      <c r="F43" s="129">
        <f t="shared" si="4"/>
        <v>-4660.0808042416611</v>
      </c>
      <c r="G43" s="129">
        <f t="shared" si="4"/>
        <v>-2645.1462927086104</v>
      </c>
      <c r="H43" s="129">
        <f t="shared" si="4"/>
        <v>7575.1896766618302</v>
      </c>
      <c r="I43" s="129">
        <f t="shared" si="4"/>
        <v>29754.203583317023</v>
      </c>
      <c r="J43" s="129">
        <f t="shared" si="4"/>
        <v>29754.201890705153</v>
      </c>
    </row>
    <row r="44" spans="3:36" ht="15.75" thickBot="1">
      <c r="C44" s="128">
        <v>2028</v>
      </c>
      <c r="D44" s="129">
        <f t="shared" si="5"/>
        <v>-2216.0438137881029</v>
      </c>
      <c r="E44" s="129">
        <f t="shared" si="4"/>
        <v>0</v>
      </c>
      <c r="F44" s="129">
        <f t="shared" si="4"/>
        <v>-3897.2008850715138</v>
      </c>
      <c r="G44" s="129">
        <f t="shared" si="4"/>
        <v>-5655.6974455384188</v>
      </c>
      <c r="H44" s="129">
        <f t="shared" si="4"/>
        <v>11768.942150084942</v>
      </c>
      <c r="I44" s="129">
        <f t="shared" si="4"/>
        <v>33021.111941251525</v>
      </c>
      <c r="J44" s="129">
        <f t="shared" si="4"/>
        <v>33021.110396225267</v>
      </c>
    </row>
    <row r="45" spans="3:36" ht="15.75" thickBot="1">
      <c r="C45" s="128">
        <v>2029</v>
      </c>
      <c r="D45" s="129">
        <f t="shared" si="5"/>
        <v>-2079.027741086742</v>
      </c>
      <c r="E45" s="129">
        <f t="shared" si="4"/>
        <v>0</v>
      </c>
      <c r="F45" s="129">
        <f t="shared" si="4"/>
        <v>-5410.02872643726</v>
      </c>
      <c r="G45" s="129">
        <f t="shared" si="4"/>
        <v>-3119.411707056337</v>
      </c>
      <c r="H45" s="129">
        <f t="shared" si="4"/>
        <v>10608.468327273731</v>
      </c>
      <c r="I45" s="129">
        <f t="shared" si="4"/>
        <v>27087.059201596887</v>
      </c>
      <c r="J45" s="129">
        <f t="shared" si="4"/>
        <v>27087.057165685837</v>
      </c>
    </row>
    <row r="46" spans="3:36" ht="15.75" thickBot="1">
      <c r="C46" s="128">
        <v>2030</v>
      </c>
      <c r="D46" s="129">
        <f t="shared" si="5"/>
        <v>-2144.4289838643817</v>
      </c>
      <c r="E46" s="129">
        <f t="shared" si="4"/>
        <v>440.00015165072546</v>
      </c>
      <c r="F46" s="129">
        <f t="shared" si="4"/>
        <v>-4865.6812870596405</v>
      </c>
      <c r="G46" s="129">
        <f t="shared" si="4"/>
        <v>289.37136986094993</v>
      </c>
      <c r="H46" s="129">
        <f t="shared" si="4"/>
        <v>6280.7385576859815</v>
      </c>
      <c r="I46" s="129">
        <f t="shared" si="4"/>
        <v>29526.864265024778</v>
      </c>
      <c r="J46" s="129">
        <f t="shared" si="4"/>
        <v>29526.862463224621</v>
      </c>
    </row>
    <row r="47" spans="3:36" ht="15.75" thickBot="1">
      <c r="C47" s="128">
        <v>2031</v>
      </c>
      <c r="D47" s="129">
        <f t="shared" si="5"/>
        <v>-2000.4492576697521</v>
      </c>
      <c r="E47" s="129">
        <f t="shared" si="4"/>
        <v>0</v>
      </c>
      <c r="F47" s="129">
        <f t="shared" si="4"/>
        <v>-2461.7333895072952</v>
      </c>
      <c r="G47" s="129">
        <f t="shared" si="4"/>
        <v>-2796.525498172603</v>
      </c>
      <c r="H47" s="129">
        <f t="shared" si="4"/>
        <v>7258.708123739314</v>
      </c>
      <c r="I47" s="129">
        <f t="shared" si="4"/>
        <v>29771.66186439406</v>
      </c>
      <c r="J47" s="129">
        <f t="shared" si="4"/>
        <v>29771.65999994296</v>
      </c>
    </row>
    <row r="48" spans="3:36" ht="15.75" thickBot="1">
      <c r="C48" s="128">
        <v>2032</v>
      </c>
      <c r="D48" s="129">
        <f t="shared" si="5"/>
        <v>-698.83281507332504</v>
      </c>
      <c r="E48" s="129">
        <f t="shared" si="4"/>
        <v>0</v>
      </c>
      <c r="F48" s="129">
        <f t="shared" si="4"/>
        <v>-4703.1395145850111</v>
      </c>
      <c r="G48" s="129">
        <f t="shared" si="4"/>
        <v>-1841.0538615959667</v>
      </c>
      <c r="H48" s="129">
        <f t="shared" si="4"/>
        <v>7243.0259256380377</v>
      </c>
      <c r="I48" s="129">
        <f t="shared" si="4"/>
        <v>29000.36879938122</v>
      </c>
      <c r="J48" s="129">
        <f t="shared" si="4"/>
        <v>29000.36726031595</v>
      </c>
    </row>
    <row r="49" spans="3:10" ht="15.75" thickBot="1">
      <c r="C49" s="128">
        <v>2033</v>
      </c>
      <c r="D49" s="129">
        <f t="shared" si="5"/>
        <v>-1553.5454402420473</v>
      </c>
      <c r="E49" s="129">
        <f t="shared" si="4"/>
        <v>110.00003791267955</v>
      </c>
      <c r="F49" s="129">
        <f t="shared" si="4"/>
        <v>-3779.6723254500321</v>
      </c>
      <c r="G49" s="129">
        <f t="shared" si="4"/>
        <v>-1639.8557090808463</v>
      </c>
      <c r="H49" s="129">
        <f t="shared" si="4"/>
        <v>6863.0735586547235</v>
      </c>
      <c r="I49" s="129">
        <f t="shared" si="4"/>
        <v>31786.562745484669</v>
      </c>
      <c r="J49" s="129">
        <f t="shared" si="4"/>
        <v>31786.561274472566</v>
      </c>
    </row>
    <row r="50" spans="3:10" ht="15.75" thickBot="1">
      <c r="C50" s="128">
        <v>2034</v>
      </c>
      <c r="D50" s="129">
        <f t="shared" si="5"/>
        <v>-1861.2332341601032</v>
      </c>
      <c r="E50" s="129">
        <f t="shared" si="4"/>
        <v>220.00007582535909</v>
      </c>
      <c r="F50" s="129">
        <f t="shared" si="4"/>
        <v>-5000.6714515627755</v>
      </c>
      <c r="G50" s="129">
        <f t="shared" si="4"/>
        <v>-1797.1837020973326</v>
      </c>
      <c r="H50" s="129">
        <f t="shared" si="4"/>
        <v>8439.0882019532146</v>
      </c>
      <c r="I50" s="129">
        <f t="shared" si="4"/>
        <v>30117.20228120606</v>
      </c>
      <c r="J50" s="129">
        <f t="shared" si="4"/>
        <v>30117.200368700695</v>
      </c>
    </row>
    <row r="51" spans="3:10" ht="15.75" thickBot="1">
      <c r="C51" s="128">
        <v>2035</v>
      </c>
      <c r="D51" s="129">
        <f t="shared" si="5"/>
        <v>-2156.8112005429321</v>
      </c>
      <c r="E51" s="129">
        <f t="shared" si="4"/>
        <v>0</v>
      </c>
      <c r="F51" s="129">
        <f t="shared" si="4"/>
        <v>-5647.760384282934</v>
      </c>
      <c r="G51" s="129">
        <f t="shared" si="4"/>
        <v>0</v>
      </c>
      <c r="H51" s="129">
        <f t="shared" si="4"/>
        <v>7804.571523596911</v>
      </c>
      <c r="I51" s="129">
        <f t="shared" si="4"/>
        <v>28760.546054427425</v>
      </c>
      <c r="J51" s="129">
        <f t="shared" si="4"/>
        <v>28760.544049794378</v>
      </c>
    </row>
    <row r="52" spans="3:10" ht="15.75" thickBot="1">
      <c r="C52" s="128">
        <v>2040</v>
      </c>
      <c r="D52" s="129">
        <f t="shared" si="5"/>
        <v>-2227.5140947968757</v>
      </c>
      <c r="E52" s="129">
        <f t="shared" si="4"/>
        <v>220.00007582535909</v>
      </c>
      <c r="F52" s="129">
        <f t="shared" si="4"/>
        <v>-6737.9544687675298</v>
      </c>
      <c r="G52" s="129">
        <f t="shared" si="4"/>
        <v>5498.0560273577867</v>
      </c>
      <c r="H52" s="129">
        <f t="shared" si="4"/>
        <v>14213.399168859381</v>
      </c>
      <c r="I52" s="129">
        <f t="shared" si="4"/>
        <v>28004.652891410573</v>
      </c>
      <c r="J52" s="129">
        <f t="shared" si="4"/>
        <v>28004.651599535777</v>
      </c>
    </row>
    <row r="53" spans="3:10" ht="15.75" thickBot="1">
      <c r="C53" s="128">
        <v>2044</v>
      </c>
      <c r="D53" s="129">
        <f t="shared" si="5"/>
        <v>-161.91419507590763</v>
      </c>
      <c r="E53" s="129">
        <f t="shared" si="4"/>
        <v>-1430.0004928648705</v>
      </c>
      <c r="F53" s="129">
        <f t="shared" si="4"/>
        <v>-2982.420939741598</v>
      </c>
      <c r="G53" s="129">
        <f t="shared" si="4"/>
        <v>2025.5995890265622</v>
      </c>
      <c r="H53" s="129">
        <f t="shared" si="4"/>
        <v>22032.602618534118</v>
      </c>
      <c r="I53" s="129">
        <f t="shared" si="4"/>
        <v>30580.6223311371</v>
      </c>
      <c r="J53" s="129">
        <f t="shared" si="4"/>
        <v>30580.620086516545</v>
      </c>
    </row>
  </sheetData>
  <mergeCells count="2">
    <mergeCell ref="C2:T2"/>
    <mergeCell ref="X2:AJ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B8E6-F24D-4C49-BF19-9F054849A4BF}">
  <sheetPr>
    <tabColor theme="0" tint="-0.249977111117893"/>
  </sheetPr>
  <dimension ref="B2:K90"/>
  <sheetViews>
    <sheetView showGridLines="0" zoomScale="74" zoomScaleNormal="74" workbookViewId="0">
      <selection activeCell="K73" sqref="K73"/>
    </sheetView>
  </sheetViews>
  <sheetFormatPr defaultRowHeight="15"/>
  <cols>
    <col min="3" max="3" width="19.28515625" customWidth="1"/>
    <col min="4" max="4" width="20.5703125" bestFit="1" customWidth="1"/>
    <col min="5" max="5" width="19.5703125" customWidth="1"/>
    <col min="6" max="7" width="16" customWidth="1"/>
    <col min="8" max="8" width="21.7109375" bestFit="1" customWidth="1"/>
    <col min="9" max="9" width="18.42578125" bestFit="1" customWidth="1"/>
    <col min="10" max="10" width="18.42578125" customWidth="1"/>
    <col min="11" max="11" width="22.42578125" customWidth="1"/>
  </cols>
  <sheetData>
    <row r="2" spans="3:11">
      <c r="C2" s="15" t="s">
        <v>195</v>
      </c>
      <c r="E2" s="6"/>
    </row>
    <row r="3" spans="3:11" ht="45">
      <c r="C3" s="56" t="s">
        <v>52</v>
      </c>
      <c r="D3" s="57" t="s">
        <v>53</v>
      </c>
      <c r="E3" s="57" t="s">
        <v>7</v>
      </c>
      <c r="F3" s="57" t="s">
        <v>8</v>
      </c>
      <c r="G3" s="57" t="s">
        <v>54</v>
      </c>
      <c r="H3" s="57" t="s">
        <v>10</v>
      </c>
      <c r="I3" s="57" t="s">
        <v>11</v>
      </c>
      <c r="J3" s="57" t="s">
        <v>12</v>
      </c>
      <c r="K3" s="107" t="s">
        <v>55</v>
      </c>
    </row>
    <row r="4" spans="3:11">
      <c r="C4" s="169" t="s">
        <v>56</v>
      </c>
      <c r="D4" s="170"/>
      <c r="E4" s="170"/>
      <c r="F4" s="170"/>
      <c r="G4" s="170"/>
      <c r="H4" s="170"/>
      <c r="I4" s="170"/>
      <c r="J4" s="171"/>
      <c r="K4" s="108"/>
    </row>
    <row r="5" spans="3:11">
      <c r="C5" s="54" t="s">
        <v>57</v>
      </c>
      <c r="D5" s="55">
        <f>NPV(After_Tax_Cost_of_Capital,D8:D47)</f>
        <v>46822998392.229286</v>
      </c>
      <c r="E5" s="55">
        <f>NPV(After_Tax_Cost_of_Capital,E8:E47)+'#1 Cost of Service'!L33*1000</f>
        <v>275604504.21492529</v>
      </c>
      <c r="F5" s="55">
        <f t="shared" ref="F5:K5" si="0">NPV(After_Tax_Cost_of_Capital,F8:F47)</f>
        <v>0</v>
      </c>
      <c r="G5" s="55">
        <f t="shared" si="0"/>
        <v>0</v>
      </c>
      <c r="H5" s="55">
        <f t="shared" si="0"/>
        <v>-70953911.363022327</v>
      </c>
      <c r="I5" s="55">
        <f t="shared" si="0"/>
        <v>-798259661.91961181</v>
      </c>
      <c r="J5" s="55">
        <f t="shared" si="0"/>
        <v>-589554859.67785418</v>
      </c>
      <c r="K5" s="55">
        <f t="shared" si="0"/>
        <v>45643888672.873566</v>
      </c>
    </row>
    <row r="6" spans="3:11">
      <c r="C6" s="54" t="s">
        <v>58</v>
      </c>
      <c r="D6" s="55">
        <f>NPV(After_Tax_Cost_of_Capital,D8:D27)</f>
        <v>28557030272.77491</v>
      </c>
      <c r="E6" s="55">
        <f>NPV(After_Tax_Cost_of_Capital,E8:E27)+'#1 Cost of Service'!L33*1000</f>
        <v>213680038.12720135</v>
      </c>
      <c r="F6" s="55">
        <f t="shared" ref="F6:K6" si="1">NPV(After_Tax_Cost_of_Capital,F8:F27)</f>
        <v>0</v>
      </c>
      <c r="G6" s="55">
        <f t="shared" si="1"/>
        <v>0</v>
      </c>
      <c r="H6" s="55">
        <f t="shared" si="1"/>
        <v>-50170394.757343151</v>
      </c>
      <c r="I6" s="55">
        <f t="shared" si="1"/>
        <v>-461991314.28260547</v>
      </c>
      <c r="J6" s="55">
        <f t="shared" si="1"/>
        <v>-294427461.52289265</v>
      </c>
      <c r="K6" s="55">
        <f t="shared" si="1"/>
        <v>27968175349.72913</v>
      </c>
    </row>
    <row r="7" spans="3:11">
      <c r="C7" s="169" t="s">
        <v>59</v>
      </c>
      <c r="D7" s="170"/>
      <c r="E7" s="170"/>
      <c r="F7" s="170"/>
      <c r="G7" s="170"/>
      <c r="H7" s="170"/>
      <c r="I7" s="170"/>
      <c r="J7" s="171"/>
      <c r="K7" s="108"/>
    </row>
    <row r="8" spans="3:11">
      <c r="C8" s="52">
        <v>2024</v>
      </c>
      <c r="D8" s="53">
        <f>'#1-With Volatility Weather'!K4</f>
        <v>1836248678.1013782</v>
      </c>
      <c r="E8" s="5">
        <f t="array" ref="E8:E47">TRANSPOSE('#1 Cost of Service'!M33:AZ33)*1000</f>
        <v>17852578.363824867</v>
      </c>
      <c r="F8" s="5">
        <v>0</v>
      </c>
      <c r="G8" s="5">
        <v>0</v>
      </c>
      <c r="H8" s="139">
        <f>'#1-With Volatility Weather'!AE4</f>
        <v>-4859000.8231529156</v>
      </c>
      <c r="I8" s="139">
        <f>'#1-With Volatility Weather'!AD4</f>
        <v>-20182789.601694942</v>
      </c>
      <c r="J8" s="139">
        <f t="shared" ref="J8:J47" si="2">SUM(E8:I8)</f>
        <v>-7189212.0610229895</v>
      </c>
      <c r="K8" s="5">
        <f t="shared" ref="K8:K47" si="3">SUM(D8:J8)</f>
        <v>1821870253.9793322</v>
      </c>
    </row>
    <row r="9" spans="3:11">
      <c r="C9" s="52">
        <v>2025</v>
      </c>
      <c r="D9" s="53">
        <f>'#1-With Volatility Weather'!K5</f>
        <v>1794895197.0769277</v>
      </c>
      <c r="E9" s="5">
        <v>17913749.893299073</v>
      </c>
      <c r="F9" s="5">
        <v>0</v>
      </c>
      <c r="G9" s="5">
        <v>0</v>
      </c>
      <c r="H9" s="139">
        <f>'#1-With Volatility Weather'!AE5</f>
        <v>-4069542.819392045</v>
      </c>
      <c r="I9" s="139">
        <f>'#1-With Volatility Weather'!AD5</f>
        <v>-14471918.695811629</v>
      </c>
      <c r="J9" s="139">
        <f t="shared" si="2"/>
        <v>-627711.62190460041</v>
      </c>
      <c r="K9" s="5">
        <f t="shared" si="3"/>
        <v>1793639773.8331187</v>
      </c>
    </row>
    <row r="10" spans="3:11">
      <c r="C10" s="52">
        <v>2026</v>
      </c>
      <c r="D10" s="53">
        <f>'#1-With Volatility Weather'!K6</f>
        <v>1686654052.7493098</v>
      </c>
      <c r="E10" s="5">
        <v>17913252.014777597</v>
      </c>
      <c r="F10" s="5">
        <v>0</v>
      </c>
      <c r="G10" s="5">
        <v>0</v>
      </c>
      <c r="H10" s="139">
        <f>'#1-With Volatility Weather'!AE6</f>
        <v>-2857402.4164655413</v>
      </c>
      <c r="I10" s="139">
        <f>'#1-With Volatility Weather'!AD6</f>
        <v>-17684602.527334452</v>
      </c>
      <c r="J10" s="139">
        <f t="shared" si="2"/>
        <v>-2628752.929022396</v>
      </c>
      <c r="K10" s="5">
        <f t="shared" si="3"/>
        <v>1681396546.8912652</v>
      </c>
    </row>
    <row r="11" spans="3:11">
      <c r="C11" s="52">
        <v>2027</v>
      </c>
      <c r="D11" s="53">
        <f>'#1-With Volatility Weather'!K7</f>
        <v>1728932717.4516201</v>
      </c>
      <c r="E11" s="5">
        <v>17901219.066498604</v>
      </c>
      <c r="F11" s="5">
        <v>0</v>
      </c>
      <c r="G11" s="5">
        <v>0</v>
      </c>
      <c r="H11" s="139">
        <f>'#1-With Volatility Weather'!AE7</f>
        <v>-4045738.895370353</v>
      </c>
      <c r="I11" s="139">
        <f>'#1-With Volatility Weather'!AD7</f>
        <v>-22842115.865254164</v>
      </c>
      <c r="J11" s="139">
        <f t="shared" si="2"/>
        <v>-8986635.6941259131</v>
      </c>
      <c r="K11" s="5">
        <f t="shared" si="3"/>
        <v>1710959446.0633683</v>
      </c>
    </row>
    <row r="12" spans="3:11">
      <c r="C12" s="52">
        <v>2028</v>
      </c>
      <c r="D12" s="53">
        <f>'#1-With Volatility Weather'!K8</f>
        <v>1818322489.3758662</v>
      </c>
      <c r="E12" s="5">
        <v>17878400.658466078</v>
      </c>
      <c r="F12" s="5">
        <v>0</v>
      </c>
      <c r="G12" s="5">
        <v>0</v>
      </c>
      <c r="H12" s="139">
        <f>'#1-With Volatility Weather'!AE8</f>
        <v>-5137266.9233778277</v>
      </c>
      <c r="I12" s="139">
        <f>'#1-With Volatility Weather'!AD8</f>
        <v>-36622096.525642991</v>
      </c>
      <c r="J12" s="139">
        <f t="shared" si="2"/>
        <v>-23880962.79055474</v>
      </c>
      <c r="K12" s="5">
        <f t="shared" si="3"/>
        <v>1770560563.7947567</v>
      </c>
    </row>
    <row r="13" spans="3:11">
      <c r="C13" s="52">
        <v>2029</v>
      </c>
      <c r="D13" s="53">
        <f>'#1-With Volatility Weather'!K9</f>
        <v>1945660763.6097312</v>
      </c>
      <c r="E13" s="5">
        <v>17806526.800635487</v>
      </c>
      <c r="F13" s="5">
        <v>0</v>
      </c>
      <c r="G13" s="5">
        <v>0</v>
      </c>
      <c r="H13" s="139">
        <f>'#1-With Volatility Weather'!AE9</f>
        <v>-4695191.7211072035</v>
      </c>
      <c r="I13" s="139">
        <f>'#1-With Volatility Weather'!AD9</f>
        <v>-36091698.788123727</v>
      </c>
      <c r="J13" s="139">
        <f t="shared" si="2"/>
        <v>-22980363.708595444</v>
      </c>
      <c r="K13" s="5">
        <f t="shared" si="3"/>
        <v>1899700036.1925404</v>
      </c>
    </row>
    <row r="14" spans="3:11">
      <c r="C14" s="52">
        <v>2030</v>
      </c>
      <c r="D14" s="53">
        <f>'#1-With Volatility Weather'!K10</f>
        <v>2021118106.4611952</v>
      </c>
      <c r="E14" s="5">
        <v>17765430.535816737</v>
      </c>
      <c r="F14" s="5">
        <v>0</v>
      </c>
      <c r="G14" s="5">
        <v>0</v>
      </c>
      <c r="H14" s="139">
        <f>'#1-With Volatility Weather'!AE10</f>
        <v>-2629711.0127105843</v>
      </c>
      <c r="I14" s="139">
        <f>'#1-With Volatility Weather'!AD10</f>
        <v>-33730334.767878056</v>
      </c>
      <c r="J14" s="139">
        <f t="shared" si="2"/>
        <v>-18594615.244771905</v>
      </c>
      <c r="K14" s="5">
        <f t="shared" si="3"/>
        <v>1983928875.9716513</v>
      </c>
    </row>
    <row r="15" spans="3:11">
      <c r="C15" s="52">
        <v>2031</v>
      </c>
      <c r="D15" s="53">
        <f>'#1-With Volatility Weather'!K11</f>
        <v>2147100563.7081747</v>
      </c>
      <c r="E15" s="5">
        <v>17700696.495478172</v>
      </c>
      <c r="F15" s="5">
        <v>0</v>
      </c>
      <c r="G15" s="5">
        <v>0</v>
      </c>
      <c r="H15" s="139">
        <f>'#1-With Volatility Weather'!AE11</f>
        <v>-4704646.1844227929</v>
      </c>
      <c r="I15" s="139">
        <f>'#1-With Volatility Weather'!AD11</f>
        <v>-41100585.003745914</v>
      </c>
      <c r="J15" s="139">
        <f t="shared" si="2"/>
        <v>-28104534.692690536</v>
      </c>
      <c r="K15" s="5">
        <f t="shared" si="3"/>
        <v>2090891494.3227932</v>
      </c>
    </row>
    <row r="16" spans="3:11">
      <c r="C16" s="52">
        <v>2032</v>
      </c>
      <c r="D16" s="53">
        <f>'#1-With Volatility Weather'!K12</f>
        <v>2263648078.58146</v>
      </c>
      <c r="E16" s="5">
        <v>17673028.928995486</v>
      </c>
      <c r="F16" s="5">
        <v>0</v>
      </c>
      <c r="G16" s="5">
        <v>0</v>
      </c>
      <c r="H16" s="139">
        <f>'#1-With Volatility Weather'!AE12</f>
        <v>-4112589.3396611894</v>
      </c>
      <c r="I16" s="139">
        <f>'#1-With Volatility Weather'!AD12</f>
        <v>-40636442.242144346</v>
      </c>
      <c r="J16" s="139">
        <f t="shared" si="2"/>
        <v>-27076002.652810048</v>
      </c>
      <c r="K16" s="5">
        <f t="shared" si="3"/>
        <v>2209496073.2758398</v>
      </c>
    </row>
    <row r="17" spans="3:11">
      <c r="C17" s="52">
        <v>2033</v>
      </c>
      <c r="D17" s="53">
        <f>'#1-With Volatility Weather'!K13</f>
        <v>2393918979.1765141</v>
      </c>
      <c r="E17" s="5">
        <v>17996245.054793734</v>
      </c>
      <c r="F17" s="5">
        <v>0</v>
      </c>
      <c r="G17" s="5">
        <v>0</v>
      </c>
      <c r="H17" s="139">
        <f>'#1-With Volatility Weather'!AE13</f>
        <v>-4829265.6239863746</v>
      </c>
      <c r="I17" s="139">
        <f>'#1-With Volatility Weather'!AD13</f>
        <v>-42773943.387057543</v>
      </c>
      <c r="J17" s="139">
        <f t="shared" si="2"/>
        <v>-29606963.956250183</v>
      </c>
      <c r="K17" s="5">
        <f t="shared" si="3"/>
        <v>2334705051.2640142</v>
      </c>
    </row>
    <row r="18" spans="3:11">
      <c r="C18" s="52">
        <v>2034</v>
      </c>
      <c r="D18" s="53">
        <f>'#1-With Volatility Weather'!K14</f>
        <v>2540127238.289546</v>
      </c>
      <c r="E18" s="5">
        <v>17236757.177882075</v>
      </c>
      <c r="F18" s="5">
        <v>0</v>
      </c>
      <c r="G18" s="5">
        <v>0</v>
      </c>
      <c r="H18" s="139">
        <f>'#1-With Volatility Weather'!AE14</f>
        <v>-5205631.1060891226</v>
      </c>
      <c r="I18" s="139">
        <f>'#1-With Volatility Weather'!AD14</f>
        <v>-44796150.879780531</v>
      </c>
      <c r="J18" s="139">
        <f t="shared" si="2"/>
        <v>-32765024.807987578</v>
      </c>
      <c r="K18" s="5">
        <f t="shared" si="3"/>
        <v>2474597188.6735711</v>
      </c>
    </row>
    <row r="19" spans="3:11">
      <c r="C19" s="52">
        <v>2035</v>
      </c>
      <c r="D19" s="53">
        <f>'#1-With Volatility Weather'!K15</f>
        <v>2593803828.3091598</v>
      </c>
      <c r="E19" s="5">
        <v>17068188.161102492</v>
      </c>
      <c r="F19" s="5">
        <v>0</v>
      </c>
      <c r="G19" s="5">
        <v>0</v>
      </c>
      <c r="H19" s="139">
        <f>'#1-With Volatility Weather'!AE15</f>
        <v>-4648913.5347327897</v>
      </c>
      <c r="I19" s="139">
        <f>'#1-With Volatility Weather'!AD15</f>
        <v>-42384238.698140621</v>
      </c>
      <c r="J19" s="139">
        <f t="shared" si="2"/>
        <v>-29964964.071770918</v>
      </c>
      <c r="K19" s="5">
        <f t="shared" si="3"/>
        <v>2533873900.1656175</v>
      </c>
    </row>
    <row r="20" spans="3:11">
      <c r="C20" s="52">
        <v>2036</v>
      </c>
      <c r="D20" s="53">
        <f>'#1-With Volatility Weather'!$S$18*1.021^($C20-Start_Year)</f>
        <v>2713272623.6167173</v>
      </c>
      <c r="E20" s="5">
        <v>16893456.696808245</v>
      </c>
      <c r="F20" s="5">
        <v>0</v>
      </c>
      <c r="G20" s="5">
        <v>0</v>
      </c>
      <c r="H20" s="139">
        <f>'#1-With Volatility Weather'!AE16</f>
        <v>-3087235.577106507</v>
      </c>
      <c r="I20" s="139">
        <f>'#1-With Volatility Weather'!AD16</f>
        <v>-50248618.769379042</v>
      </c>
      <c r="J20" s="139">
        <f t="shared" si="2"/>
        <v>-36442397.649677306</v>
      </c>
      <c r="K20" s="5">
        <f t="shared" si="3"/>
        <v>2640387828.3173628</v>
      </c>
    </row>
    <row r="21" spans="3:11">
      <c r="C21" s="52">
        <v>2037</v>
      </c>
      <c r="D21" s="53">
        <f>'#1-With Volatility Weather'!$S$18*1.021^($C21-Start_Year)</f>
        <v>2770251348.7126684</v>
      </c>
      <c r="E21" s="5">
        <v>16713001.192738561</v>
      </c>
      <c r="F21" s="5">
        <v>0</v>
      </c>
      <c r="G21" s="5">
        <v>0</v>
      </c>
      <c r="H21" s="139">
        <f>'#1-With Volatility Weather'!AE17</f>
        <v>-3152067.5242257435</v>
      </c>
      <c r="I21" s="139">
        <f>'#1-With Volatility Weather'!AD17</f>
        <v>-51303839.763536006</v>
      </c>
      <c r="J21" s="139">
        <f t="shared" si="2"/>
        <v>-37742906.095023185</v>
      </c>
      <c r="K21" s="5">
        <f t="shared" si="3"/>
        <v>2694765536.5226221</v>
      </c>
    </row>
    <row r="22" spans="3:11">
      <c r="C22" s="52">
        <v>2038</v>
      </c>
      <c r="D22" s="53">
        <f>'#1-With Volatility Weather'!$S$18*1.021^($C22-Start_Year)</f>
        <v>2828426627.035634</v>
      </c>
      <c r="E22" s="5">
        <v>16527235.106155101</v>
      </c>
      <c r="F22" s="5">
        <v>0</v>
      </c>
      <c r="G22" s="5">
        <v>0</v>
      </c>
      <c r="H22" s="139">
        <f>'#1-With Volatility Weather'!AE18</f>
        <v>-3218260.9422344835</v>
      </c>
      <c r="I22" s="139">
        <f>'#1-With Volatility Weather'!AD18</f>
        <v>-52381220.398570247</v>
      </c>
      <c r="J22" s="139">
        <f t="shared" si="2"/>
        <v>-39072246.234649628</v>
      </c>
      <c r="K22" s="5">
        <f t="shared" si="3"/>
        <v>2750282134.5663347</v>
      </c>
    </row>
    <row r="23" spans="3:11">
      <c r="C23" s="52">
        <v>2039</v>
      </c>
      <c r="D23" s="53">
        <f>'#1-With Volatility Weather'!$S$18*1.021^($C23-Start_Year)</f>
        <v>2887823586.2033825</v>
      </c>
      <c r="E23" s="5">
        <v>16336548.465726679</v>
      </c>
      <c r="F23" s="5">
        <v>0</v>
      </c>
      <c r="G23" s="5">
        <v>0</v>
      </c>
      <c r="H23" s="139">
        <f>'#1-With Volatility Weather'!AE19</f>
        <v>-3285844.4220214076</v>
      </c>
      <c r="I23" s="139">
        <f>'#1-With Volatility Weather'!AD19</f>
        <v>-53481226.026940219</v>
      </c>
      <c r="J23" s="139">
        <f t="shared" si="2"/>
        <v>-40430521.983234949</v>
      </c>
      <c r="K23" s="5">
        <f t="shared" si="3"/>
        <v>2806962542.2369127</v>
      </c>
    </row>
    <row r="24" spans="3:11">
      <c r="C24" s="52">
        <v>2040</v>
      </c>
      <c r="D24" s="53">
        <f>'#1-With Volatility Weather'!$S$18*1.021^($C24-Start_Year)</f>
        <v>2948467881.5136533</v>
      </c>
      <c r="E24" s="5">
        <v>16141309.302651888</v>
      </c>
      <c r="F24" s="5">
        <v>0</v>
      </c>
      <c r="G24" s="5">
        <v>0</v>
      </c>
      <c r="H24" s="139">
        <f>'#1-With Volatility Weather'!AE20</f>
        <v>-3354847.1548838569</v>
      </c>
      <c r="I24" s="139">
        <f>'#1-With Volatility Weather'!AD20</f>
        <v>-28198909.947367787</v>
      </c>
      <c r="J24" s="139">
        <f t="shared" si="2"/>
        <v>-15412447.799599756</v>
      </c>
      <c r="K24" s="5">
        <f t="shared" si="3"/>
        <v>2917642985.914454</v>
      </c>
    </row>
    <row r="25" spans="3:11">
      <c r="C25" s="52">
        <v>2041</v>
      </c>
      <c r="D25" s="53">
        <f>'#1-With Volatility Weather'!$S$18*1.021^($C25-Start_Year)</f>
        <v>3010385707.0254393</v>
      </c>
      <c r="E25" s="5">
        <v>15942505.496472644</v>
      </c>
      <c r="F25" s="5">
        <v>0</v>
      </c>
      <c r="G25" s="5">
        <v>0</v>
      </c>
      <c r="H25" s="139">
        <f>'#1-With Volatility Weather'!AE21</f>
        <v>-3425298.9451364172</v>
      </c>
      <c r="I25" s="139">
        <f>'#1-With Volatility Weather'!AD21</f>
        <v>-55751022.740749575</v>
      </c>
      <c r="J25" s="139">
        <f t="shared" si="2"/>
        <v>-43233816.189413346</v>
      </c>
      <c r="K25" s="5">
        <f t="shared" si="3"/>
        <v>2923918074.6466126</v>
      </c>
    </row>
    <row r="26" spans="3:11">
      <c r="C26" s="52">
        <v>2042</v>
      </c>
      <c r="D26" s="53">
        <f>'#1-With Volatility Weather'!$S$18*1.021^($C26-Start_Year)</f>
        <v>3073603806.8729734</v>
      </c>
      <c r="E26" s="5">
        <v>15886146.157957567</v>
      </c>
      <c r="F26" s="5">
        <v>0</v>
      </c>
      <c r="G26" s="5">
        <v>0</v>
      </c>
      <c r="H26" s="139">
        <f>'#1-With Volatility Weather'!AE22</f>
        <v>-3497230.2229842818</v>
      </c>
      <c r="I26" s="139">
        <f>'#1-With Volatility Weather'!AD22</f>
        <v>-56921794.21830532</v>
      </c>
      <c r="J26" s="139">
        <f t="shared" si="2"/>
        <v>-44532878.283332035</v>
      </c>
      <c r="K26" s="5">
        <f t="shared" si="3"/>
        <v>2984538050.3063097</v>
      </c>
    </row>
    <row r="27" spans="3:11">
      <c r="C27" s="52">
        <v>2043</v>
      </c>
      <c r="D27" s="53">
        <f>'#1-With Volatility Weather'!$S$18*1.021^($C27-Start_Year)</f>
        <v>3138149486.8173051</v>
      </c>
      <c r="E27" s="5">
        <v>16263262.819368515</v>
      </c>
      <c r="F27" s="5">
        <v>0</v>
      </c>
      <c r="G27" s="5">
        <v>0</v>
      </c>
      <c r="H27" s="139">
        <f>'#1-With Volatility Weather'!AE23</f>
        <v>-3570672.0576669509</v>
      </c>
      <c r="I27" s="139">
        <f>'#1-With Volatility Weather'!AD23</f>
        <v>-58117151.896889716</v>
      </c>
      <c r="J27" s="139">
        <f t="shared" si="2"/>
        <v>-45424561.135188147</v>
      </c>
      <c r="K27" s="5">
        <f t="shared" si="3"/>
        <v>3047300364.5469289</v>
      </c>
    </row>
    <row r="28" spans="3:11">
      <c r="C28" s="52">
        <v>2044</v>
      </c>
      <c r="D28" s="53">
        <f>'#1-With Volatility Weather'!$S$18*1.021^($C28-Start_Year)</f>
        <v>3204050626.0404682</v>
      </c>
      <c r="E28" s="5">
        <v>15325974.795101486</v>
      </c>
      <c r="F28" s="5">
        <v>0</v>
      </c>
      <c r="G28" s="5">
        <v>0</v>
      </c>
      <c r="H28" s="139">
        <f>'#1-With Volatility Weather'!AE24</f>
        <v>-3645656.1708779563</v>
      </c>
      <c r="I28" s="139">
        <f>'#1-With Volatility Weather'!AD24</f>
        <v>-53828473.742551923</v>
      </c>
      <c r="J28" s="139">
        <f t="shared" si="2"/>
        <v>-42148155.118328393</v>
      </c>
      <c r="K28" s="5">
        <f t="shared" si="3"/>
        <v>3119754315.8038116</v>
      </c>
    </row>
    <row r="29" spans="3:11">
      <c r="C29" s="52">
        <v>2045</v>
      </c>
      <c r="D29" s="53">
        <f>'#1-With Volatility Weather'!$S$18*1.021^($C29-Start_Year)</f>
        <v>3271335689.1873178</v>
      </c>
      <c r="E29" s="5">
        <v>15114094.424655002</v>
      </c>
      <c r="F29" s="5">
        <v>0</v>
      </c>
      <c r="G29" s="5">
        <v>0</v>
      </c>
      <c r="H29" s="139">
        <f>'#1-With Volatility Weather'!AE25</f>
        <v>-3722214.9504663935</v>
      </c>
      <c r="I29" s="139">
        <f>'#1-With Volatility Weather'!AD25</f>
        <v>-60583701.940545604</v>
      </c>
      <c r="J29" s="139">
        <f t="shared" si="2"/>
        <v>-49191822.466356993</v>
      </c>
      <c r="K29" s="5">
        <f t="shared" si="3"/>
        <v>3172952044.2546043</v>
      </c>
    </row>
    <row r="30" spans="3:11">
      <c r="C30" s="52">
        <v>2046</v>
      </c>
      <c r="D30" s="53">
        <f>'#1-With Volatility Weather'!$S$18*1.021^($C30-Start_Year)</f>
        <v>3340033738.6602511</v>
      </c>
      <c r="E30" s="5">
        <v>14899477.786540141</v>
      </c>
      <c r="F30" s="5">
        <v>0</v>
      </c>
      <c r="G30" s="5">
        <v>0</v>
      </c>
      <c r="H30" s="139">
        <f>'#1-With Volatility Weather'!AE26</f>
        <v>-3800381.4644261873</v>
      </c>
      <c r="I30" s="139">
        <f>'#1-With Volatility Weather'!AD26</f>
        <v>-61855959.681297049</v>
      </c>
      <c r="J30" s="139">
        <f t="shared" si="2"/>
        <v>-50756863.359183095</v>
      </c>
      <c r="K30" s="5">
        <f t="shared" si="3"/>
        <v>3238520011.941885</v>
      </c>
    </row>
    <row r="31" spans="3:11">
      <c r="C31" s="52">
        <v>2047</v>
      </c>
      <c r="D31" s="53">
        <f>'#1-With Volatility Weather'!$S$18*1.021^($C31-Start_Year)</f>
        <v>3410174447.1721158</v>
      </c>
      <c r="E31" s="5">
        <v>14682372.443823896</v>
      </c>
      <c r="F31" s="5">
        <v>0</v>
      </c>
      <c r="G31" s="5">
        <v>0</v>
      </c>
      <c r="H31" s="139">
        <f>'#1-With Volatility Weather'!AE27</f>
        <v>-3880189.4751791363</v>
      </c>
      <c r="I31" s="139">
        <f>'#1-With Volatility Weather'!AD27</f>
        <v>-63154934.834604278</v>
      </c>
      <c r="J31" s="139">
        <f t="shared" si="2"/>
        <v>-52352751.865959518</v>
      </c>
      <c r="K31" s="5">
        <f t="shared" si="3"/>
        <v>3305468943.4401965</v>
      </c>
    </row>
    <row r="32" spans="3:11">
      <c r="C32" s="52">
        <v>2048</v>
      </c>
      <c r="D32" s="53">
        <f>'#1-With Volatility Weather'!$S$18*1.021^($C32-Start_Year)</f>
        <v>3481788110.5627298</v>
      </c>
      <c r="E32" s="5">
        <v>14463012.734071221</v>
      </c>
      <c r="F32" s="5">
        <v>0</v>
      </c>
      <c r="G32" s="5">
        <v>0</v>
      </c>
      <c r="H32" s="139">
        <f>'#1-With Volatility Weather'!AE28</f>
        <v>-3961673.4541578977</v>
      </c>
      <c r="I32" s="139">
        <f>'#1-With Volatility Weather'!AD28</f>
        <v>-64481188.466130957</v>
      </c>
      <c r="J32" s="139">
        <f t="shared" si="2"/>
        <v>-53979849.186217636</v>
      </c>
      <c r="K32" s="5">
        <f t="shared" si="3"/>
        <v>3373828412.1902947</v>
      </c>
    </row>
    <row r="33" spans="3:11">
      <c r="C33" s="52">
        <v>2049</v>
      </c>
      <c r="D33" s="53">
        <f>'#1-With Volatility Weather'!$S$18*1.021^($C33-Start_Year)</f>
        <v>3554905660.8845463</v>
      </c>
      <c r="E33" s="5">
        <v>14241620.593606461</v>
      </c>
      <c r="F33" s="5">
        <v>0</v>
      </c>
      <c r="G33" s="5">
        <v>0</v>
      </c>
      <c r="H33" s="139">
        <f>'#1-With Volatility Weather'!AE29</f>
        <v>-4044868.5966952131</v>
      </c>
      <c r="I33" s="139">
        <f>'#1-With Volatility Weather'!AD29</f>
        <v>-65835293.4239197</v>
      </c>
      <c r="J33" s="139">
        <f t="shared" si="2"/>
        <v>-55638541.42700845</v>
      </c>
      <c r="K33" s="5">
        <f t="shared" si="3"/>
        <v>3443628578.030529</v>
      </c>
    </row>
    <row r="34" spans="3:11">
      <c r="C34" s="52">
        <v>2050</v>
      </c>
      <c r="D34" s="53">
        <f>'#1-With Volatility Weather'!$S$18*1.021^($C34-Start_Year)</f>
        <v>3629558679.7631221</v>
      </c>
      <c r="E34" s="5">
        <v>14018406.332956849</v>
      </c>
      <c r="F34" s="5">
        <v>0</v>
      </c>
      <c r="G34" s="5">
        <v>0</v>
      </c>
      <c r="H34" s="139">
        <f>'#1-With Volatility Weather'!AE30</f>
        <v>-4129810.837225813</v>
      </c>
      <c r="I34" s="139">
        <f>'#1-With Volatility Weather'!AD30</f>
        <v>-67217834.585822016</v>
      </c>
      <c r="J34" s="139">
        <f t="shared" si="2"/>
        <v>-57329239.090090983</v>
      </c>
      <c r="K34" s="5">
        <f t="shared" si="3"/>
        <v>3514900201.5829401</v>
      </c>
    </row>
    <row r="35" spans="3:11">
      <c r="C35" s="52">
        <v>2051</v>
      </c>
      <c r="D35" s="53">
        <f>'#1-With Volatility Weather'!$S$18*1.021^($C35-Start_Year)</f>
        <v>3705779412.0381465</v>
      </c>
      <c r="E35" s="5">
        <v>13794209.866417594</v>
      </c>
      <c r="F35" s="5">
        <v>0</v>
      </c>
      <c r="G35" s="5">
        <v>0</v>
      </c>
      <c r="H35" s="139">
        <f>'#1-With Volatility Weather'!AE31</f>
        <v>-4216536.8648075536</v>
      </c>
      <c r="I35" s="139">
        <f>'#1-With Volatility Weather'!AD31</f>
        <v>-68629409.112124264</v>
      </c>
      <c r="J35" s="139">
        <f t="shared" si="2"/>
        <v>-59051736.110514224</v>
      </c>
      <c r="K35" s="5">
        <f t="shared" si="3"/>
        <v>3587675939.8171177</v>
      </c>
    </row>
    <row r="36" spans="3:11">
      <c r="C36" s="52">
        <v>2052</v>
      </c>
      <c r="D36" s="53">
        <f>'#1-With Volatility Weather'!$S$18*1.021^($C36-Start_Year)</f>
        <v>3783600779.6909471</v>
      </c>
      <c r="E36" s="5">
        <v>13746804.867531665</v>
      </c>
      <c r="F36" s="5">
        <v>0</v>
      </c>
      <c r="G36" s="5">
        <v>0</v>
      </c>
      <c r="H36" s="139">
        <f>'#1-With Volatility Weather'!AE32</f>
        <v>-4305084.1389685115</v>
      </c>
      <c r="I36" s="139">
        <f>'#1-With Volatility Weather'!AD32</f>
        <v>-70070626.703478858</v>
      </c>
      <c r="J36" s="139">
        <f t="shared" si="2"/>
        <v>-60628905.974915706</v>
      </c>
      <c r="K36" s="5">
        <f t="shared" si="3"/>
        <v>3662342967.741116</v>
      </c>
    </row>
    <row r="37" spans="3:11">
      <c r="C37" s="52">
        <v>2053</v>
      </c>
      <c r="D37" s="53">
        <f>'#1-With Volatility Weather'!$S$18*1.021^($C37-Start_Year)</f>
        <v>3863056396.0644569</v>
      </c>
      <c r="E37" s="5">
        <v>14230899.415022599</v>
      </c>
      <c r="F37" s="5">
        <v>0</v>
      </c>
      <c r="G37" s="5">
        <v>0</v>
      </c>
      <c r="H37" s="139">
        <f>'#1-With Volatility Weather'!AE33</f>
        <v>-4395490.9058868503</v>
      </c>
      <c r="I37" s="139">
        <f>'#1-With Volatility Weather'!AD33</f>
        <v>-71542109.864251912</v>
      </c>
      <c r="J37" s="139">
        <f t="shared" si="2"/>
        <v>-61706701.355116159</v>
      </c>
      <c r="K37" s="5">
        <f t="shared" si="3"/>
        <v>3739642993.3542242</v>
      </c>
    </row>
    <row r="38" spans="3:11">
      <c r="C38" s="52">
        <v>2054</v>
      </c>
      <c r="D38" s="53">
        <f>'#1-With Volatility Weather'!$S$18*1.021^($C38-Start_Year)</f>
        <v>3944180580.3818097</v>
      </c>
      <c r="E38" s="5">
        <v>13115650.565206394</v>
      </c>
      <c r="F38" s="5">
        <v>0</v>
      </c>
      <c r="G38" s="5">
        <v>0</v>
      </c>
      <c r="H38" s="139">
        <f>'#1-With Volatility Weather'!AE34</f>
        <v>-4487796.2149104737</v>
      </c>
      <c r="I38" s="139">
        <f>'#1-With Volatility Weather'!AD34</f>
        <v>-73044494.171401188</v>
      </c>
      <c r="J38" s="139">
        <f t="shared" si="2"/>
        <v>-64416639.821105272</v>
      </c>
      <c r="K38" s="5">
        <f t="shared" si="3"/>
        <v>3815347300.7395992</v>
      </c>
    </row>
    <row r="39" spans="3:11">
      <c r="C39" s="52">
        <v>2055</v>
      </c>
      <c r="D39" s="53">
        <f>'#1-With Volatility Weather'!$S$18*1.021^($C39-Start_Year)</f>
        <v>4027008372.5698276</v>
      </c>
      <c r="E39" s="5">
        <v>12887403.185260272</v>
      </c>
      <c r="F39" s="5">
        <v>0</v>
      </c>
      <c r="G39" s="5">
        <v>0</v>
      </c>
      <c r="H39" s="139">
        <f>'#1-With Volatility Weather'!AE35</f>
        <v>-4582039.935423593</v>
      </c>
      <c r="I39" s="139">
        <f>'#1-With Volatility Weather'!AD35</f>
        <v>-74578428.549000606</v>
      </c>
      <c r="J39" s="139">
        <f t="shared" si="2"/>
        <v>-66273065.29916393</v>
      </c>
      <c r="K39" s="5">
        <f t="shared" si="3"/>
        <v>3894462241.9714999</v>
      </c>
    </row>
    <row r="40" spans="3:11">
      <c r="C40" s="52">
        <v>2056</v>
      </c>
      <c r="D40" s="53">
        <f>'#1-With Volatility Weather'!$S$18*1.021^($C40-Start_Year)</f>
        <v>4111575548.3937936</v>
      </c>
      <c r="E40" s="5">
        <v>12658389.385343403</v>
      </c>
      <c r="F40" s="5">
        <v>0</v>
      </c>
      <c r="G40" s="5">
        <v>0</v>
      </c>
      <c r="H40" s="139">
        <f>'#1-With Volatility Weather'!AE36</f>
        <v>-4678262.7740674876</v>
      </c>
      <c r="I40" s="139">
        <f>'#1-With Volatility Weather'!AD36</f>
        <v>-76144575.548529625</v>
      </c>
      <c r="J40" s="139">
        <f t="shared" si="2"/>
        <v>-68164448.937253714</v>
      </c>
      <c r="K40" s="5">
        <f t="shared" si="3"/>
        <v>3975246650.5192862</v>
      </c>
    </row>
    <row r="41" spans="3:11">
      <c r="C41" s="52">
        <v>2057</v>
      </c>
      <c r="D41" s="53">
        <f>'#1-With Volatility Weather'!$S$18*1.021^($C41-Start_Year)</f>
        <v>4197918634.9100623</v>
      </c>
      <c r="E41" s="5">
        <v>10442252.784872262</v>
      </c>
      <c r="F41" s="5">
        <v>0</v>
      </c>
      <c r="G41" s="5">
        <v>0</v>
      </c>
      <c r="H41" s="139">
        <f>'#1-With Volatility Weather'!AE37</f>
        <v>-4776506.2923229039</v>
      </c>
      <c r="I41" s="139">
        <f>'#1-With Volatility Weather'!AD37</f>
        <v>-77743611.635048717</v>
      </c>
      <c r="J41" s="139">
        <f t="shared" si="2"/>
        <v>-72077865.142499357</v>
      </c>
      <c r="K41" s="5">
        <f t="shared" si="3"/>
        <v>4053762904.6250629</v>
      </c>
    </row>
    <row r="42" spans="3:11">
      <c r="C42" s="52">
        <v>2058</v>
      </c>
      <c r="D42" s="53">
        <f>'#1-With Volatility Weather'!$S$18*1.021^($C42-Start_Year)</f>
        <v>4286074926.2431736</v>
      </c>
      <c r="E42" s="5">
        <v>9187265.6752204765</v>
      </c>
      <c r="F42" s="5">
        <v>0</v>
      </c>
      <c r="G42" s="5">
        <v>0</v>
      </c>
      <c r="H42" s="139">
        <f>'#1-With Volatility Weather'!AE38</f>
        <v>-4876812.9244616851</v>
      </c>
      <c r="I42" s="139">
        <f>'#1-With Volatility Weather'!AD38</f>
        <v>-79376227.479384735</v>
      </c>
      <c r="J42" s="139">
        <f t="shared" si="2"/>
        <v>-75065774.728625938</v>
      </c>
      <c r="K42" s="5">
        <f t="shared" si="3"/>
        <v>4135943376.7859216</v>
      </c>
    </row>
    <row r="43" spans="3:11">
      <c r="C43" s="52">
        <v>2059</v>
      </c>
      <c r="D43" s="53">
        <f>'#1-With Volatility Weather'!$S$18*1.021^($C43-Start_Year)</f>
        <v>4376082499.6942797</v>
      </c>
      <c r="E43" s="5">
        <v>9113015.4395241421</v>
      </c>
      <c r="F43" s="5">
        <v>0</v>
      </c>
      <c r="G43" s="5">
        <v>0</v>
      </c>
      <c r="H43" s="139">
        <f>'#1-With Volatility Weather'!AE39</f>
        <v>-4979225.99587538</v>
      </c>
      <c r="I43" s="139">
        <f>'#1-With Volatility Weather'!AD39</f>
        <v>-81043128.256451815</v>
      </c>
      <c r="J43" s="139">
        <f t="shared" si="2"/>
        <v>-76909338.81280306</v>
      </c>
      <c r="K43" s="5">
        <f t="shared" si="3"/>
        <v>4222263822.0686731</v>
      </c>
    </row>
    <row r="44" spans="3:11">
      <c r="C44" s="52">
        <v>2060</v>
      </c>
      <c r="D44" s="53">
        <f>'#1-With Volatility Weather'!$S$18*1.021^($C44-Start_Year)</f>
        <v>4467980232.1878586</v>
      </c>
      <c r="E44" s="5">
        <v>9038547.8533375822</v>
      </c>
      <c r="F44" s="5">
        <v>0</v>
      </c>
      <c r="G44" s="5">
        <v>0</v>
      </c>
      <c r="H44" s="139">
        <f>'#1-With Volatility Weather'!AE40</f>
        <v>-5083789.7417887617</v>
      </c>
      <c r="I44" s="139">
        <f>'#1-With Volatility Weather'!AD40</f>
        <v>-82745033.949837282</v>
      </c>
      <c r="J44" s="139">
        <f t="shared" si="2"/>
        <v>-78790275.838288456</v>
      </c>
      <c r="K44" s="5">
        <f t="shared" si="3"/>
        <v>4310399680.511281</v>
      </c>
    </row>
    <row r="45" spans="3:11">
      <c r="C45" s="52">
        <v>2061</v>
      </c>
      <c r="D45" s="53">
        <f>'#1-With Volatility Weather'!$S$18*1.021^($C45-Start_Year)</f>
        <v>4561807817.0638037</v>
      </c>
      <c r="E45" s="5">
        <v>8457318.1906393729</v>
      </c>
      <c r="F45" s="5">
        <v>0</v>
      </c>
      <c r="G45" s="5">
        <v>0</v>
      </c>
      <c r="H45" s="139">
        <f>'#1-With Volatility Weather'!AE41</f>
        <v>-5190549.3263663249</v>
      </c>
      <c r="I45" s="139">
        <f>'#1-With Volatility Weather'!AD41</f>
        <v>-84482679.662783861</v>
      </c>
      <c r="J45" s="139">
        <f t="shared" si="2"/>
        <v>-81215910.79851082</v>
      </c>
      <c r="K45" s="5">
        <f t="shared" si="3"/>
        <v>4399375995.4667826</v>
      </c>
    </row>
    <row r="46" spans="3:11">
      <c r="C46" s="52">
        <v>2062</v>
      </c>
      <c r="D46" s="53">
        <f>'#1-With Volatility Weather'!$S$18*1.021^($C46-Start_Year)</f>
        <v>4657605781.2221422</v>
      </c>
      <c r="E46" s="5">
        <v>7863343.262250768</v>
      </c>
      <c r="F46" s="5">
        <v>0</v>
      </c>
      <c r="G46" s="5">
        <v>0</v>
      </c>
      <c r="H46" s="139">
        <f>'#1-With Volatility Weather'!AE42</f>
        <v>-5299550.8622200172</v>
      </c>
      <c r="I46" s="139">
        <f>'#1-With Volatility Weather'!AD42</f>
        <v>-86256815.935702309</v>
      </c>
      <c r="J46" s="139">
        <f t="shared" si="2"/>
        <v>-83693023.535671562</v>
      </c>
      <c r="K46" s="5">
        <f t="shared" si="3"/>
        <v>4490219734.1507998</v>
      </c>
    </row>
    <row r="47" spans="3:11">
      <c r="C47" s="52">
        <v>2063</v>
      </c>
      <c r="D47" s="53">
        <f>'#1-With Volatility Weather'!$S$18*1.021^($C47-Start_Year)</f>
        <v>4755415502.6278076</v>
      </c>
      <c r="E47" s="5">
        <v>7269368.3338619303</v>
      </c>
      <c r="F47" s="5">
        <v>0</v>
      </c>
      <c r="G47" s="5">
        <v>0</v>
      </c>
      <c r="H47" s="139">
        <f>'#1-With Volatility Weather'!AE43</f>
        <v>-5410841.4303266378</v>
      </c>
      <c r="I47" s="139">
        <f>'#1-With Volatility Weather'!AD43</f>
        <v>-88068209.070352048</v>
      </c>
      <c r="J47" s="139">
        <f t="shared" si="2"/>
        <v>-86209682.166816756</v>
      </c>
      <c r="K47" s="5">
        <f t="shared" si="3"/>
        <v>4582996138.2941751</v>
      </c>
    </row>
    <row r="49" spans="2:5">
      <c r="C49" s="15" t="s">
        <v>194</v>
      </c>
    </row>
    <row r="50" spans="2:5">
      <c r="C50" s="33" t="s">
        <v>52</v>
      </c>
      <c r="D50" s="147" t="s">
        <v>128</v>
      </c>
      <c r="E50" s="33" t="s">
        <v>198</v>
      </c>
    </row>
    <row r="51" spans="2:5">
      <c r="B51">
        <v>1</v>
      </c>
      <c r="C51" s="52">
        <v>2024</v>
      </c>
      <c r="D51" s="117">
        <f>-NPV(After_Tax_Cost_of_Capital,J$8:J8)</f>
        <v>6852089.2689887434</v>
      </c>
      <c r="E51" s="118">
        <f>'#1 Cost of Service'!M12*1000</f>
        <v>206387444.4063471</v>
      </c>
    </row>
    <row r="52" spans="2:5">
      <c r="B52">
        <v>2</v>
      </c>
      <c r="C52" s="52">
        <v>2025</v>
      </c>
      <c r="D52" s="117">
        <f>-NPV(After_Tax_Cost_of_Capital,J$8:J9)</f>
        <v>7422310.7920014299</v>
      </c>
      <c r="E52" s="118">
        <f t="shared" ref="E52:E90" si="4">E51</f>
        <v>206387444.4063471</v>
      </c>
    </row>
    <row r="53" spans="2:5">
      <c r="B53">
        <v>3</v>
      </c>
      <c r="C53" s="52">
        <v>2026</v>
      </c>
      <c r="D53" s="117">
        <f>-NPV(After_Tax_Cost_of_Capital,J$8:J10)</f>
        <v>9698324.7643278074</v>
      </c>
      <c r="E53" s="118">
        <f t="shared" si="4"/>
        <v>206387444.4063471</v>
      </c>
    </row>
    <row r="54" spans="2:5">
      <c r="B54">
        <v>4</v>
      </c>
      <c r="C54" s="52">
        <v>2027</v>
      </c>
      <c r="D54" s="117">
        <f>-NPV(After_Tax_Cost_of_Capital,J$8:J11)</f>
        <v>17114227.219094157</v>
      </c>
      <c r="E54" s="118">
        <f t="shared" si="4"/>
        <v>206387444.4063471</v>
      </c>
    </row>
    <row r="55" spans="2:5">
      <c r="B55">
        <v>5</v>
      </c>
      <c r="C55" s="52">
        <v>2028</v>
      </c>
      <c r="D55" s="117">
        <f>-NPV(After_Tax_Cost_of_Capital,J$8:J12)</f>
        <v>35897031.033372216</v>
      </c>
      <c r="E55" s="118">
        <f t="shared" si="4"/>
        <v>206387444.4063471</v>
      </c>
    </row>
    <row r="56" spans="2:5">
      <c r="B56">
        <v>6</v>
      </c>
      <c r="C56" s="52">
        <v>2029</v>
      </c>
      <c r="D56" s="117">
        <f>-NPV(After_Tax_Cost_of_Capital,J$8:J13)</f>
        <v>53123933.958598003</v>
      </c>
      <c r="E56" s="118">
        <f t="shared" si="4"/>
        <v>206387444.4063471</v>
      </c>
    </row>
    <row r="57" spans="2:5">
      <c r="B57">
        <v>7</v>
      </c>
      <c r="C57" s="52">
        <v>2030</v>
      </c>
      <c r="D57" s="117">
        <f>-NPV(After_Tax_Cost_of_Capital,J$8:J14)</f>
        <v>66409474.317698605</v>
      </c>
      <c r="E57" s="118">
        <f t="shared" si="4"/>
        <v>206387444.4063471</v>
      </c>
    </row>
    <row r="58" spans="2:5">
      <c r="B58">
        <v>8</v>
      </c>
      <c r="C58" s="52">
        <v>2031</v>
      </c>
      <c r="D58" s="117">
        <f>-NPV(After_Tax_Cost_of_Capital,J$8:J15)</f>
        <v>85548073.362591729</v>
      </c>
      <c r="E58" s="118">
        <f t="shared" si="4"/>
        <v>206387444.4063471</v>
      </c>
    </row>
    <row r="59" spans="2:5">
      <c r="B59">
        <v>9</v>
      </c>
      <c r="C59" s="52">
        <v>2032</v>
      </c>
      <c r="D59" s="117">
        <f>-NPV(After_Tax_Cost_of_Capital,J$8:J16)</f>
        <v>103121643.97269852</v>
      </c>
      <c r="E59" s="118">
        <f t="shared" si="4"/>
        <v>206387444.4063471</v>
      </c>
    </row>
    <row r="60" spans="2:5">
      <c r="B60">
        <v>10</v>
      </c>
      <c r="C60" s="52">
        <v>2033</v>
      </c>
      <c r="D60" s="117">
        <f>-NPV(After_Tax_Cost_of_Capital,J$8:J17)</f>
        <v>121436818.26116113</v>
      </c>
      <c r="E60" s="118">
        <f t="shared" si="4"/>
        <v>206387444.4063471</v>
      </c>
    </row>
    <row r="61" spans="2:5">
      <c r="B61">
        <v>11</v>
      </c>
      <c r="C61" s="52">
        <v>2034</v>
      </c>
      <c r="D61" s="117">
        <f>-NPV(After_Tax_Cost_of_Capital,J$8:J18)</f>
        <v>140755140.23244315</v>
      </c>
      <c r="E61" s="118">
        <f t="shared" si="4"/>
        <v>206387444.4063471</v>
      </c>
    </row>
    <row r="62" spans="2:5">
      <c r="B62">
        <v>12</v>
      </c>
      <c r="C62" s="52">
        <v>2035</v>
      </c>
      <c r="D62" s="117">
        <f>-NPV(After_Tax_Cost_of_Capital,J$8:J19)</f>
        <v>157594065.84039435</v>
      </c>
      <c r="E62" s="118">
        <f t="shared" si="4"/>
        <v>206387444.4063471</v>
      </c>
    </row>
    <row r="63" spans="2:5">
      <c r="B63">
        <v>13</v>
      </c>
      <c r="C63" s="52">
        <v>2036</v>
      </c>
      <c r="D63" s="117">
        <f>-NPV(After_Tax_Cost_of_Capital,J$8:J20)</f>
        <v>177112693.42371494</v>
      </c>
      <c r="E63" s="118">
        <f t="shared" si="4"/>
        <v>206387444.4063471</v>
      </c>
    </row>
    <row r="64" spans="2:5">
      <c r="B64">
        <v>14</v>
      </c>
      <c r="C64" s="52">
        <v>2037</v>
      </c>
      <c r="D64" s="117">
        <f>-NPV(After_Tax_Cost_of_Capital,J$8:J21)</f>
        <v>196379928.21236122</v>
      </c>
      <c r="E64" s="118">
        <f t="shared" si="4"/>
        <v>206387444.4063471</v>
      </c>
    </row>
    <row r="65" spans="2:5">
      <c r="B65">
        <v>15</v>
      </c>
      <c r="C65" s="52">
        <v>2038</v>
      </c>
      <c r="D65" s="121">
        <f>-NPV(After_Tax_Cost_of_Capital,J$8:J22)</f>
        <v>215390454.95489311</v>
      </c>
      <c r="E65" s="118">
        <f t="shared" si="4"/>
        <v>206387444.4063471</v>
      </c>
    </row>
    <row r="66" spans="2:5">
      <c r="B66">
        <v>16</v>
      </c>
      <c r="C66" s="52">
        <v>2039</v>
      </c>
      <c r="D66" s="117">
        <f>-NPV(After_Tax_Cost_of_Capital,J$8:J23)</f>
        <v>234139400.06782156</v>
      </c>
      <c r="E66" s="118">
        <f t="shared" si="4"/>
        <v>206387444.4063471</v>
      </c>
    </row>
    <row r="67" spans="2:5">
      <c r="B67">
        <v>17</v>
      </c>
      <c r="C67" s="52">
        <v>2040</v>
      </c>
      <c r="D67" s="117">
        <f>-NPV(After_Tax_Cost_of_Capital,J$8:J24)</f>
        <v>240951497.1096566</v>
      </c>
      <c r="E67" s="118">
        <f t="shared" si="4"/>
        <v>206387444.4063471</v>
      </c>
    </row>
    <row r="68" spans="2:5">
      <c r="B68">
        <v>18</v>
      </c>
      <c r="C68" s="52">
        <v>2041</v>
      </c>
      <c r="D68" s="119">
        <f>-NPV(After_Tax_Cost_of_Capital,J$8:J25)</f>
        <v>259164203.95905328</v>
      </c>
      <c r="E68" s="118">
        <f t="shared" si="4"/>
        <v>206387444.4063471</v>
      </c>
    </row>
    <row r="69" spans="2:5">
      <c r="B69">
        <v>19</v>
      </c>
      <c r="C69" s="52">
        <v>2042</v>
      </c>
      <c r="D69" s="117">
        <f>-NPV(After_Tax_Cost_of_Capital,J$8:J26)</f>
        <v>277044446.65035957</v>
      </c>
      <c r="E69" s="118">
        <f t="shared" si="4"/>
        <v>206387444.4063471</v>
      </c>
    </row>
    <row r="70" spans="2:5">
      <c r="B70">
        <v>20</v>
      </c>
      <c r="C70" s="52">
        <v>2043</v>
      </c>
      <c r="D70" s="117">
        <f>-NPV(After_Tax_Cost_of_Capital,J$8:J27)</f>
        <v>294427461.52289265</v>
      </c>
      <c r="E70" s="118">
        <f t="shared" si="4"/>
        <v>206387444.4063471</v>
      </c>
    </row>
    <row r="71" spans="2:5">
      <c r="B71">
        <v>21</v>
      </c>
      <c r="C71" s="52">
        <v>2044</v>
      </c>
      <c r="D71" s="117">
        <f>-NPV(After_Tax_Cost_of_Capital,J$8:J28)</f>
        <v>309800320.72073317</v>
      </c>
      <c r="E71" s="118">
        <f t="shared" si="4"/>
        <v>206387444.4063471</v>
      </c>
    </row>
    <row r="72" spans="2:5">
      <c r="B72">
        <v>22</v>
      </c>
      <c r="C72" s="52">
        <v>2045</v>
      </c>
      <c r="D72" s="117">
        <f>-NPV(After_Tax_Cost_of_Capital,J$8:J29)</f>
        <v>326900895.59664083</v>
      </c>
      <c r="E72" s="118">
        <f t="shared" si="4"/>
        <v>206387444.4063471</v>
      </c>
    </row>
    <row r="73" spans="2:5">
      <c r="B73">
        <v>23</v>
      </c>
      <c r="C73" s="52">
        <v>2046</v>
      </c>
      <c r="D73" s="117">
        <f>-NPV(After_Tax_Cost_of_Capital,J$8:J30)</f>
        <v>343718118.93795037</v>
      </c>
      <c r="E73" s="118">
        <f t="shared" si="4"/>
        <v>206387444.4063471</v>
      </c>
    </row>
    <row r="74" spans="2:5">
      <c r="B74">
        <v>24</v>
      </c>
      <c r="C74" s="52">
        <v>2047</v>
      </c>
      <c r="D74" s="117">
        <f>-NPV(After_Tax_Cost_of_Capital,J$8:J31)</f>
        <v>360250703.3497932</v>
      </c>
      <c r="E74" s="118">
        <f t="shared" si="4"/>
        <v>206387444.4063471</v>
      </c>
    </row>
    <row r="75" spans="2:5">
      <c r="B75">
        <v>25</v>
      </c>
      <c r="C75" s="52">
        <v>2048</v>
      </c>
      <c r="D75" s="117">
        <f>-NPV(After_Tax_Cost_of_Capital,J$8:J32)</f>
        <v>376497757.16142827</v>
      </c>
      <c r="E75" s="118">
        <f t="shared" si="4"/>
        <v>206387444.4063471</v>
      </c>
    </row>
    <row r="76" spans="2:5">
      <c r="B76">
        <v>26</v>
      </c>
      <c r="C76" s="52">
        <v>2049</v>
      </c>
      <c r="D76" s="117">
        <f>-NPV(After_Tax_Cost_of_Capital,J$8:J33)</f>
        <v>392458768.51398474</v>
      </c>
      <c r="E76" s="118">
        <f t="shared" si="4"/>
        <v>206387444.4063471</v>
      </c>
    </row>
    <row r="77" spans="2:5">
      <c r="B77">
        <v>27</v>
      </c>
      <c r="C77" s="52">
        <v>2050</v>
      </c>
      <c r="D77" s="117">
        <f>-NPV(After_Tax_Cost_of_Capital,J$8:J34)</f>
        <v>408133588.63767374</v>
      </c>
      <c r="E77" s="118">
        <f t="shared" si="4"/>
        <v>206387444.4063471</v>
      </c>
    </row>
    <row r="78" spans="2:5">
      <c r="B78">
        <v>28</v>
      </c>
      <c r="C78" s="52">
        <v>2051</v>
      </c>
      <c r="D78" s="117">
        <f>-NPV(After_Tax_Cost_of_Capital,J$8:J35)</f>
        <v>423522247.65382516</v>
      </c>
      <c r="E78" s="118">
        <f t="shared" si="4"/>
        <v>206387444.4063471</v>
      </c>
    </row>
    <row r="79" spans="2:5">
      <c r="B79">
        <v>29</v>
      </c>
      <c r="C79" s="52">
        <v>2052</v>
      </c>
      <c r="D79" s="117">
        <f>-NPV(After_Tax_Cost_of_Capital,J$8:J36)</f>
        <v>438581019.59035373</v>
      </c>
      <c r="E79" s="118">
        <f t="shared" si="4"/>
        <v>206387444.4063471</v>
      </c>
    </row>
    <row r="80" spans="2:5">
      <c r="B80">
        <v>30</v>
      </c>
      <c r="C80" s="52">
        <v>2053</v>
      </c>
      <c r="D80" s="117">
        <f>-NPV(After_Tax_Cost_of_Capital,J$8:J37)</f>
        <v>453188787.94959629</v>
      </c>
      <c r="E80" s="118">
        <f t="shared" si="4"/>
        <v>206387444.4063471</v>
      </c>
    </row>
    <row r="81" spans="2:5">
      <c r="B81">
        <v>31</v>
      </c>
      <c r="C81" s="52">
        <v>2054</v>
      </c>
      <c r="D81" s="117">
        <f>-NPV(After_Tax_Cost_of_Capital,J$8:J38)</f>
        <v>467722994.48688024</v>
      </c>
      <c r="E81" s="118">
        <f t="shared" si="4"/>
        <v>206387444.4063471</v>
      </c>
    </row>
    <row r="82" spans="2:5">
      <c r="B82">
        <v>32</v>
      </c>
      <c r="C82" s="52">
        <v>2055</v>
      </c>
      <c r="D82" s="117">
        <f>-NPV(After_Tax_Cost_of_Capital,J$8:J39)</f>
        <v>481974870.54705554</v>
      </c>
      <c r="E82" s="118">
        <f t="shared" si="4"/>
        <v>206387444.4063471</v>
      </c>
    </row>
    <row r="83" spans="2:5">
      <c r="B83">
        <v>33</v>
      </c>
      <c r="C83" s="52">
        <v>2056</v>
      </c>
      <c r="D83" s="117">
        <f>-NPV(After_Tax_Cost_of_Capital,J$8:J40)</f>
        <v>495946099.98545378</v>
      </c>
      <c r="E83" s="118">
        <f t="shared" si="4"/>
        <v>206387444.4063471</v>
      </c>
    </row>
    <row r="84" spans="2:5">
      <c r="B84">
        <v>34</v>
      </c>
      <c r="C84" s="52">
        <v>2057</v>
      </c>
      <c r="D84" s="117">
        <f>-NPV(After_Tax_Cost_of_Capital,J$8:J41)</f>
        <v>510026673.02329218</v>
      </c>
      <c r="E84" s="118">
        <f t="shared" si="4"/>
        <v>206387444.4063471</v>
      </c>
    </row>
    <row r="85" spans="2:5">
      <c r="B85">
        <v>35</v>
      </c>
      <c r="C85" s="52">
        <v>2058</v>
      </c>
      <c r="D85" s="117">
        <f>-NPV(After_Tax_Cost_of_Capital,J$8:J42)</f>
        <v>524003291.29857987</v>
      </c>
      <c r="E85" s="118">
        <f t="shared" si="4"/>
        <v>206387444.4063471</v>
      </c>
    </row>
    <row r="86" spans="2:5">
      <c r="B86">
        <v>36</v>
      </c>
      <c r="C86" s="52">
        <v>2059</v>
      </c>
      <c r="D86" s="117">
        <f>-NPV(After_Tax_Cost_of_Capital,J$8:J43)</f>
        <v>537651665.7366879</v>
      </c>
      <c r="E86" s="118">
        <f t="shared" si="4"/>
        <v>206387444.4063471</v>
      </c>
    </row>
    <row r="87" spans="2:5">
      <c r="B87">
        <v>37</v>
      </c>
      <c r="C87" s="52">
        <v>2060</v>
      </c>
      <c r="D87" s="117">
        <f>-NPV(After_Tax_Cost_of_Capital,J$8:J44)</f>
        <v>550978168.38489449</v>
      </c>
      <c r="E87" s="118">
        <f t="shared" si="4"/>
        <v>206387444.4063471</v>
      </c>
    </row>
    <row r="88" spans="2:5">
      <c r="B88">
        <v>38</v>
      </c>
      <c r="C88" s="52">
        <v>2061</v>
      </c>
      <c r="D88" s="117">
        <f>-NPV(After_Tax_Cost_of_Capital,J$8:J45)</f>
        <v>564070783.65430701</v>
      </c>
      <c r="E88" s="118">
        <f t="shared" si="4"/>
        <v>206387444.4063471</v>
      </c>
    </row>
    <row r="89" spans="2:5">
      <c r="B89">
        <v>39</v>
      </c>
      <c r="C89" s="52">
        <v>2062</v>
      </c>
      <c r="D89" s="117">
        <f>-NPV(After_Tax_Cost_of_Capital,J$8:J46)</f>
        <v>576930052.10792351</v>
      </c>
      <c r="E89" s="118">
        <f t="shared" si="4"/>
        <v>206387444.4063471</v>
      </c>
    </row>
    <row r="90" spans="2:5">
      <c r="B90">
        <v>40</v>
      </c>
      <c r="C90" s="52">
        <v>2063</v>
      </c>
      <c r="D90" s="117">
        <f>-NPV(After_Tax_Cost_of_Capital,J$8:J47)</f>
        <v>589554859.67785418</v>
      </c>
      <c r="E90" s="118">
        <f t="shared" si="4"/>
        <v>206387444.4063471</v>
      </c>
    </row>
  </sheetData>
  <mergeCells count="2">
    <mergeCell ref="C4:J4"/>
    <mergeCell ref="C7:J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BEB4C02B10F147BC2F4F3C736D432E" ma:contentTypeVersion="2" ma:contentTypeDescription="Create a new document." ma:contentTypeScope="" ma:versionID="0aa1d4cb7d96abb63eb6f0509ce8ccd6">
  <xsd:schema xmlns:xsd="http://www.w3.org/2001/XMLSchema" xmlns:xs="http://www.w3.org/2001/XMLSchema" xmlns:p="http://schemas.microsoft.com/office/2006/metadata/properties" xmlns:ns2="10932e2e-7de5-45eb-8697-2ff7a26af6ed" targetNamespace="http://schemas.microsoft.com/office/2006/metadata/properties" ma:root="true" ma:fieldsID="ba9d6de55b6df0754c2bcb16610daa29" ns2:_="">
    <xsd:import namespace="10932e2e-7de5-45eb-8697-2ff7a26af6ed"/>
    <xsd:element name="properties">
      <xsd:complexType>
        <xsd:sequence>
          <xsd:element name="documentManagement">
            <xsd:complexType>
              <xsd:all>
                <xsd:element ref="ns2:Intervenor"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32e2e-7de5-45eb-8697-2ff7a26af6ed" elementFormDefault="qualified">
    <xsd:import namespace="http://schemas.microsoft.com/office/2006/documentManagement/types"/>
    <xsd:import namespace="http://schemas.microsoft.com/office/infopath/2007/PartnerControls"/>
    <xsd:element name="Intervenor" ma:index="8" nillable="true" ma:displayName="Intervenor" ma:internalName="Intervenor">
      <xsd:simpleType>
        <xsd:restriction base="dms:Text">
          <xsd:maxLength value="255"/>
        </xsd:restriction>
      </xsd:simpleType>
    </xsd:element>
    <xsd:element name="Attachment" ma:index="9" nillable="true" ma:displayName="Attachment" ma:internalName="Attachme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4ab40f3-767a-43a9-8b62-265d64c54f3b" ContentTypeId="0x01" PreviousValue="false"/>
</file>

<file path=customXml/item4.xml><?xml version="1.0" encoding="utf-8"?>
<p:properties xmlns:p="http://schemas.microsoft.com/office/2006/metadata/properties" xmlns:xsi="http://www.w3.org/2001/XMLSchema-instance" xmlns:pc="http://schemas.microsoft.com/office/infopath/2007/PartnerControls">
  <documentManagement>
    <Attachment xmlns="10932e2e-7de5-45eb-8697-2ff7a26af6ed">Attachment 1</Attachment>
    <Intervenor xmlns="10932e2e-7de5-45eb-8697-2ff7a26af6ed">ED</Intervenor>
  </documentManagement>
</p:properties>
</file>

<file path=customXml/itemProps1.xml><?xml version="1.0" encoding="utf-8"?>
<ds:datastoreItem xmlns:ds="http://schemas.openxmlformats.org/officeDocument/2006/customXml" ds:itemID="{089EB17A-B845-4F9D-B116-1A264EFAC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32e2e-7de5-45eb-8697-2ff7a26af6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603A08-48C0-4BE3-AE42-8353EE6CDEE6}">
  <ds:schemaRefs>
    <ds:schemaRef ds:uri="http://schemas.microsoft.com/sharepoint/v3/contenttype/forms"/>
  </ds:schemaRefs>
</ds:datastoreItem>
</file>

<file path=customXml/itemProps3.xml><?xml version="1.0" encoding="utf-8"?>
<ds:datastoreItem xmlns:ds="http://schemas.openxmlformats.org/officeDocument/2006/customXml" ds:itemID="{646B150F-CA8A-434F-8D26-C7DD6EAACD40}">
  <ds:schemaRefs>
    <ds:schemaRef ds:uri="Microsoft.SharePoint.Taxonomy.ContentTypeSync"/>
  </ds:schemaRefs>
</ds:datastoreItem>
</file>

<file path=customXml/itemProps4.xml><?xml version="1.0" encoding="utf-8"?>
<ds:datastoreItem xmlns:ds="http://schemas.openxmlformats.org/officeDocument/2006/customXml" ds:itemID="{1D425094-56CE-4A36-B461-72167DD5C9EA}">
  <ds:schemaRefs>
    <ds:schemaRef ds:uri="10932e2e-7de5-45eb-8697-2ff7a26af6e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4</vt:i4>
      </vt:variant>
    </vt:vector>
  </HeadingPairs>
  <TitlesOfParts>
    <vt:vector size="27" baseType="lpstr">
      <vt:lpstr>Option Overview</vt:lpstr>
      <vt:lpstr>NPV Summary</vt:lpstr>
      <vt:lpstr>Option 1 Dawn Corunna</vt:lpstr>
      <vt:lpstr>#1-With Volatility</vt:lpstr>
      <vt:lpstr>#1-Without Volatility</vt:lpstr>
      <vt:lpstr>Simplified Cost of Services</vt:lpstr>
      <vt:lpstr>#1 Cost of Service</vt:lpstr>
      <vt:lpstr>Gas Flow</vt:lpstr>
      <vt:lpstr>Option 1 Dawn Corunna Weather</vt:lpstr>
      <vt:lpstr>#1-With Volatility Weather</vt:lpstr>
      <vt:lpstr>#1-Without Volatility Weather</vt:lpstr>
      <vt:lpstr>Option 2 Market Storage</vt:lpstr>
      <vt:lpstr>#2-Storage Value</vt:lpstr>
      <vt:lpstr>#2-Commodity</vt:lpstr>
      <vt:lpstr>Option 2 Market Storage 1.2%</vt:lpstr>
      <vt:lpstr>#2-Storage Value 1.2%</vt:lpstr>
      <vt:lpstr>#2-Commodity 1.2%</vt:lpstr>
      <vt:lpstr>Compare 1.2% and 4.5%</vt:lpstr>
      <vt:lpstr>Option 3 Pipeline</vt:lpstr>
      <vt:lpstr>#3-With Volatility</vt:lpstr>
      <vt:lpstr>#3-Without Volatility</vt:lpstr>
      <vt:lpstr>Option 4 Delivered Service</vt:lpstr>
      <vt:lpstr>#4 Delivered Service</vt:lpstr>
      <vt:lpstr>After_Tax_Cost_of_Capital</vt:lpstr>
      <vt:lpstr>Gross_Rate_of_Return_on_Rate_Base</vt:lpstr>
      <vt:lpstr>Inflation</vt:lpstr>
      <vt:lpstr>Start_Year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 Niki</dc:creator>
  <cp:keywords/>
  <dc:description/>
  <cp:lastModifiedBy>Angela Monforton</cp:lastModifiedBy>
  <cp:revision/>
  <dcterms:created xsi:type="dcterms:W3CDTF">2022-01-24T21:47:06Z</dcterms:created>
  <dcterms:modified xsi:type="dcterms:W3CDTF">2022-06-30T19:53:10Z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0x010100CEBEB4C02B10F147BC2F4F3C736D432E</vt:lpwstr>
  </property>
</Properties>
</file>