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pcorweb/en-ca/departments/natgas/sites/ON/ONReg/RC_QRAM/IRM/EB-2022-0184 - Southern Bruce IRM - 20230101 Rates/"/>
    </mc:Choice>
  </mc:AlternateContent>
  <workbookProtection workbookAlgorithmName="SHA-512" workbookHashValue="HyiMvC+9THrmta6eaxSnZ+cXfVdqNeANgPKJNItp+BpOGSdUlvzKsfF9v/ByYKS7gkqlPSCOnrGHU2mhR78LyQ==" workbookSaltValue="YqmJsreoUPK7RhRlqi0Ung==" workbookSpinCount="100000" lockStructure="1"/>
  <bookViews>
    <workbookView xWindow="0" yWindow="0" windowWidth="28800" windowHeight="12000" tabRatio="683"/>
  </bookViews>
  <sheets>
    <sheet name="A1.1 Distributor Information" sheetId="2" r:id="rId1"/>
    <sheet name="B1.1 Current Distribution Rates" sheetId="1" r:id="rId2"/>
    <sheet name="B1.2 Billing Determinants" sheetId="3" r:id="rId3"/>
    <sheet name="B1.3 Current Rev From Rates" sheetId="4" r:id="rId4"/>
    <sheet name="C1.1 Current Rate Riders" sheetId="21" r:id="rId5"/>
    <sheet name="D1.1 Rate 1 Adjustment" sheetId="5" r:id="rId6"/>
    <sheet name="D1.2 Rate 6 Adjustment" sheetId="6" r:id="rId7"/>
    <sheet name="D1.3 Rate 11 Adjustment" sheetId="7" r:id="rId8"/>
    <sheet name="D1.4 Rate 16 Adjustment" sheetId="8" r:id="rId9"/>
    <sheet name="E1.1 Proposed Dist Rates " sheetId="11" r:id="rId10"/>
    <sheet name="E1.2 Billing Determinants" sheetId="12" r:id="rId11"/>
    <sheet name="E1.3 Proposed Rev From Rate" sheetId="13" r:id="rId12"/>
    <sheet name="F1.3 Rate Riders" sheetId="22" r:id="rId13"/>
    <sheet name="G1.1 Rate 1 Bill Impact" sheetId="30" r:id="rId14"/>
    <sheet name="G1.2 Rate 6 Bill Impact" sheetId="15" r:id="rId15"/>
    <sheet name="G1.3 Rate 11 Bill Impact" sheetId="17" r:id="rId16"/>
    <sheet name="G1.4 Rate 16 Bill Impact" sheetId="18" r:id="rId17"/>
    <sheet name="G1.7 Summary of Bill Impacts" sheetId="29" r:id="rId18"/>
  </sheets>
  <definedNames>
    <definedName name="OneDollar">'B1.1 Current Distribution Rates'!$D$18</definedName>
    <definedName name="_xlnm.Print_Titles" localSheetId="13">'G1.1 Rate 1 Bill Impact'!$1:$5</definedName>
    <definedName name="_xlnm.Print_Titles" localSheetId="14">'G1.2 Rate 6 Bill Impact'!$1:$5</definedName>
    <definedName name="_xlnm.Print_Titles" localSheetId="16">'G1.4 Rate 16 Bill Impact'!$1:$5</definedName>
  </definedNames>
  <calcPr calcId="162913"/>
</workbook>
</file>

<file path=xl/calcChain.xml><?xml version="1.0" encoding="utf-8"?>
<calcChain xmlns="http://schemas.openxmlformats.org/spreadsheetml/2006/main">
  <c r="F36" i="18" l="1"/>
  <c r="F25" i="18"/>
  <c r="H69" i="15" l="1"/>
  <c r="H67" i="15"/>
  <c r="H27" i="18"/>
  <c r="H23" i="17"/>
  <c r="H26" i="17" l="1"/>
  <c r="H25" i="17"/>
  <c r="F48" i="18" l="1"/>
  <c r="C48" i="18"/>
  <c r="E48" i="18"/>
  <c r="F27" i="18"/>
  <c r="F26" i="18"/>
  <c r="F47" i="18"/>
  <c r="C26" i="18"/>
  <c r="H48" i="18"/>
  <c r="C87" i="17"/>
  <c r="E87" i="17"/>
  <c r="C44" i="17"/>
  <c r="C67" i="17" s="1"/>
  <c r="E44" i="17"/>
  <c r="F25" i="17"/>
  <c r="F24" i="17"/>
  <c r="F44" i="17" s="1"/>
  <c r="F23" i="17"/>
  <c r="C24" i="17"/>
  <c r="H44" i="17"/>
  <c r="C88" i="15"/>
  <c r="E88" i="15"/>
  <c r="H88" i="15" s="1"/>
  <c r="F69" i="15"/>
  <c r="F70" i="15"/>
  <c r="E44" i="15"/>
  <c r="F25" i="15"/>
  <c r="F23" i="15"/>
  <c r="F67" i="15" s="1"/>
  <c r="F24" i="15"/>
  <c r="F44" i="15" s="1"/>
  <c r="C24" i="15"/>
  <c r="C44" i="15" s="1"/>
  <c r="C68" i="15" s="1"/>
  <c r="H44" i="15"/>
  <c r="C176" i="30"/>
  <c r="E176" i="30"/>
  <c r="H176" i="30" s="1"/>
  <c r="C177" i="30"/>
  <c r="C46" i="30"/>
  <c r="C70" i="30" s="1"/>
  <c r="C90" i="30" s="1"/>
  <c r="C113" i="30" s="1"/>
  <c r="C133" i="30" s="1"/>
  <c r="C156" i="30" s="1"/>
  <c r="F26" i="30"/>
  <c r="F70" i="30" s="1"/>
  <c r="F113" i="30" s="1"/>
  <c r="F156" i="30" s="1"/>
  <c r="C26" i="30"/>
  <c r="H26" i="30"/>
  <c r="H70" i="30" s="1"/>
  <c r="H113" i="30" s="1"/>
  <c r="H156" i="30" s="1"/>
  <c r="F27" i="30"/>
  <c r="F25" i="30"/>
  <c r="J48" i="18" l="1"/>
  <c r="L48" i="18" s="1"/>
  <c r="J44" i="17"/>
  <c r="L44" i="17" s="1"/>
  <c r="F67" i="17"/>
  <c r="F87" i="17" s="1"/>
  <c r="H67" i="17"/>
  <c r="H87" i="17" s="1"/>
  <c r="J87" i="17" s="1"/>
  <c r="L87" i="17" s="1"/>
  <c r="F68" i="15"/>
  <c r="F88" i="15"/>
  <c r="J88" i="15" s="1"/>
  <c r="L88" i="15" s="1"/>
  <c r="J44" i="15"/>
  <c r="L44" i="15" s="1"/>
  <c r="F176" i="30"/>
  <c r="J176" i="30" s="1"/>
  <c r="L176" i="30" s="1"/>
  <c r="G51" i="18" l="1"/>
  <c r="I51" i="18"/>
  <c r="E49" i="18"/>
  <c r="E50" i="18" s="1"/>
  <c r="E47" i="18"/>
  <c r="H28" i="18"/>
  <c r="H50" i="18" s="1"/>
  <c r="H49" i="18"/>
  <c r="H25" i="18"/>
  <c r="H47" i="18" s="1"/>
  <c r="F49" i="18"/>
  <c r="F28" i="18"/>
  <c r="F50" i="18" s="1"/>
  <c r="C50" i="18"/>
  <c r="C49" i="18"/>
  <c r="C47" i="18"/>
  <c r="C28" i="18"/>
  <c r="C27" i="18"/>
  <c r="C25" i="18"/>
  <c r="F66" i="17"/>
  <c r="F68" i="17"/>
  <c r="F69" i="17"/>
  <c r="F86" i="17"/>
  <c r="E88" i="17"/>
  <c r="E89" i="17" s="1"/>
  <c r="E86" i="17"/>
  <c r="E79" i="17"/>
  <c r="E45" i="17"/>
  <c r="E46" i="17" s="1"/>
  <c r="E43" i="17"/>
  <c r="F43" i="17" s="1"/>
  <c r="H69" i="17"/>
  <c r="H89" i="17" s="1"/>
  <c r="H68" i="17"/>
  <c r="H88" i="17" s="1"/>
  <c r="H66" i="17"/>
  <c r="H86" i="17" s="1"/>
  <c r="C89" i="17"/>
  <c r="C88" i="17"/>
  <c r="C86" i="17"/>
  <c r="C69" i="17"/>
  <c r="C68" i="17"/>
  <c r="C66" i="17"/>
  <c r="C46" i="17"/>
  <c r="C45" i="17"/>
  <c r="C43" i="17"/>
  <c r="C26" i="17"/>
  <c r="C25" i="17"/>
  <c r="C23" i="17"/>
  <c r="H28" i="30"/>
  <c r="H27" i="30"/>
  <c r="H25" i="30"/>
  <c r="F69" i="30"/>
  <c r="F71" i="30"/>
  <c r="F72" i="30"/>
  <c r="F115" i="30" s="1"/>
  <c r="C72" i="30"/>
  <c r="C71" i="30"/>
  <c r="C69" i="30"/>
  <c r="C115" i="30"/>
  <c r="C114" i="30"/>
  <c r="C112" i="30"/>
  <c r="C178" i="30"/>
  <c r="C175" i="30"/>
  <c r="C158" i="30"/>
  <c r="C157" i="30"/>
  <c r="C155" i="30"/>
  <c r="C135" i="30"/>
  <c r="C134" i="30"/>
  <c r="C132" i="30"/>
  <c r="C92" i="30"/>
  <c r="C91" i="30"/>
  <c r="C89" i="30"/>
  <c r="C48" i="30"/>
  <c r="C47" i="30"/>
  <c r="C45" i="30"/>
  <c r="C28" i="30"/>
  <c r="C27" i="30"/>
  <c r="C25" i="30"/>
  <c r="E89" i="15"/>
  <c r="E90" i="15" s="1"/>
  <c r="E87" i="15"/>
  <c r="E45" i="15"/>
  <c r="E46" i="15" s="1"/>
  <c r="E43" i="15"/>
  <c r="C46" i="15"/>
  <c r="C45" i="15"/>
  <c r="C43" i="15"/>
  <c r="F43" i="15"/>
  <c r="F87" i="15"/>
  <c r="H70" i="15"/>
  <c r="C70" i="15"/>
  <c r="H89" i="15"/>
  <c r="C69" i="15"/>
  <c r="H87" i="15"/>
  <c r="C67" i="15"/>
  <c r="H26" i="15"/>
  <c r="H25" i="15"/>
  <c r="H45" i="15" s="1"/>
  <c r="H23" i="15"/>
  <c r="H43" i="15" s="1"/>
  <c r="C26" i="15"/>
  <c r="C25" i="15"/>
  <c r="C23" i="15"/>
  <c r="C22" i="15"/>
  <c r="E42" i="15"/>
  <c r="C90" i="15"/>
  <c r="C89" i="15"/>
  <c r="C87" i="15"/>
  <c r="F89" i="17" l="1"/>
  <c r="F88" i="17"/>
  <c r="F45" i="17"/>
  <c r="J89" i="17"/>
  <c r="L89" i="17" s="1"/>
  <c r="F89" i="15"/>
  <c r="J89" i="15" s="1"/>
  <c r="L89" i="15" s="1"/>
  <c r="J87" i="15"/>
  <c r="L87" i="15" s="1"/>
  <c r="F45" i="15"/>
  <c r="J45" i="15" s="1"/>
  <c r="L45" i="15" s="1"/>
  <c r="J43" i="15"/>
  <c r="L43" i="15" s="1"/>
  <c r="H69" i="30"/>
  <c r="H112" i="30" s="1"/>
  <c r="H71" i="30"/>
  <c r="H114" i="30" s="1"/>
  <c r="H157" i="30" s="1"/>
  <c r="F114" i="30"/>
  <c r="J49" i="18"/>
  <c r="L49" i="18" s="1"/>
  <c r="J50" i="18"/>
  <c r="L50" i="18" s="1"/>
  <c r="J47" i="18"/>
  <c r="H72" i="30"/>
  <c r="H45" i="17"/>
  <c r="J86" i="17"/>
  <c r="L86" i="17" s="1"/>
  <c r="J88" i="17"/>
  <c r="L88" i="17" s="1"/>
  <c r="F46" i="17"/>
  <c r="H46" i="17"/>
  <c r="J46" i="17" s="1"/>
  <c r="L46" i="17" s="1"/>
  <c r="H43" i="17"/>
  <c r="F158" i="30"/>
  <c r="F112" i="30"/>
  <c r="H90" i="15"/>
  <c r="F90" i="15"/>
  <c r="H46" i="15"/>
  <c r="F46" i="15"/>
  <c r="J45" i="17" l="1"/>
  <c r="L45" i="17" s="1"/>
  <c r="H115" i="30"/>
  <c r="H158" i="30" s="1"/>
  <c r="F157" i="30"/>
  <c r="L47" i="18"/>
  <c r="J43" i="17"/>
  <c r="H155" i="30"/>
  <c r="F155" i="30"/>
  <c r="J90" i="15"/>
  <c r="J46" i="15"/>
  <c r="L43" i="17" l="1"/>
  <c r="L90" i="15"/>
  <c r="L46" i="15"/>
  <c r="E13" i="8" l="1"/>
  <c r="E13" i="7"/>
  <c r="E13" i="6"/>
  <c r="C4" i="2"/>
  <c r="F27" i="8" l="1"/>
  <c r="F26" i="8"/>
  <c r="F25" i="8"/>
  <c r="F25" i="7"/>
  <c r="F25" i="6"/>
  <c r="C18" i="7" l="1"/>
  <c r="E23" i="6"/>
  <c r="E22" i="6"/>
  <c r="E21" i="6"/>
  <c r="E20" i="6"/>
  <c r="E19" i="6"/>
  <c r="E18" i="6"/>
  <c r="E17" i="6"/>
  <c r="E26" i="5"/>
  <c r="E25" i="5"/>
  <c r="E24" i="5"/>
  <c r="E23" i="5"/>
  <c r="E22" i="5"/>
  <c r="E21" i="5"/>
  <c r="E20" i="5"/>
  <c r="E19" i="5"/>
  <c r="E18" i="5"/>
  <c r="E17" i="5"/>
  <c r="E42" i="18" l="1"/>
  <c r="E39" i="18"/>
  <c r="E38" i="18"/>
  <c r="E80" i="17"/>
  <c r="E81" i="17"/>
  <c r="E37" i="17"/>
  <c r="E38" i="17"/>
  <c r="E36" i="17"/>
  <c r="F19" i="17"/>
  <c r="E81" i="15"/>
  <c r="E82" i="15" s="1"/>
  <c r="E80" i="15"/>
  <c r="E38" i="15"/>
  <c r="E37" i="15"/>
  <c r="E36" i="15"/>
  <c r="F19" i="15"/>
  <c r="F21" i="30"/>
  <c r="J14" i="12"/>
  <c r="I14" i="12"/>
  <c r="H14" i="12"/>
  <c r="G14" i="12"/>
  <c r="F14" i="12"/>
  <c r="E14" i="12"/>
  <c r="J13" i="12"/>
  <c r="I13" i="12"/>
  <c r="H13" i="12"/>
  <c r="G13" i="12"/>
  <c r="F13" i="12"/>
  <c r="E13" i="12"/>
  <c r="J12" i="12"/>
  <c r="I12" i="12"/>
  <c r="H12" i="12"/>
  <c r="G12" i="12"/>
  <c r="F12" i="12"/>
  <c r="E12" i="12"/>
  <c r="J11" i="12"/>
  <c r="I11" i="12"/>
  <c r="H11" i="12"/>
  <c r="G11" i="12"/>
  <c r="F11" i="12"/>
  <c r="E11" i="12"/>
  <c r="F8" i="11"/>
  <c r="F8" i="1"/>
  <c r="E22" i="8" s="1"/>
  <c r="M17" i="4"/>
  <c r="L17" i="4"/>
  <c r="M15" i="4"/>
  <c r="M16" i="4"/>
  <c r="M14" i="4"/>
  <c r="E26" i="8" l="1"/>
  <c r="G26" i="8" s="1"/>
  <c r="I26" i="8" s="1"/>
  <c r="E28" i="8"/>
  <c r="G28" i="8" s="1"/>
  <c r="E27" i="8"/>
  <c r="G27" i="8" s="1"/>
  <c r="I27" i="8" s="1"/>
  <c r="E20" i="7"/>
  <c r="G25" i="5"/>
  <c r="E24" i="7"/>
  <c r="G24" i="7" s="1"/>
  <c r="E25" i="8"/>
  <c r="G25" i="8" s="1"/>
  <c r="N13" i="11" s="1"/>
  <c r="E21" i="8"/>
  <c r="E25" i="6"/>
  <c r="G25" i="6" s="1"/>
  <c r="G24" i="5"/>
  <c r="E24" i="6"/>
  <c r="G24" i="6" s="1"/>
  <c r="E23" i="7"/>
  <c r="E19" i="7"/>
  <c r="E24" i="8"/>
  <c r="G24" i="8" s="1"/>
  <c r="E20" i="8"/>
  <c r="E26" i="7"/>
  <c r="G26" i="7" s="1"/>
  <c r="E22" i="7"/>
  <c r="E23" i="8"/>
  <c r="E19" i="8"/>
  <c r="M18" i="4"/>
  <c r="E26" i="6"/>
  <c r="E25" i="7"/>
  <c r="G25" i="7" s="1"/>
  <c r="E21" i="7"/>
  <c r="M14" i="13" l="1"/>
  <c r="L15" i="4"/>
  <c r="L16" i="4"/>
  <c r="L14" i="4"/>
  <c r="L18" i="4" l="1"/>
  <c r="E46" i="18" l="1"/>
  <c r="F10" i="18"/>
  <c r="F10" i="17"/>
  <c r="F10" i="15"/>
  <c r="C100" i="30"/>
  <c r="F12" i="30"/>
  <c r="F31" i="30" s="1"/>
  <c r="N17" i="4"/>
  <c r="J15" i="4"/>
  <c r="J16" i="4"/>
  <c r="J17" i="4"/>
  <c r="J14" i="4"/>
  <c r="F15" i="4"/>
  <c r="F16" i="4"/>
  <c r="F17" i="4"/>
  <c r="F14" i="4"/>
  <c r="E15" i="4"/>
  <c r="E16" i="4"/>
  <c r="E17" i="4"/>
  <c r="E14" i="4"/>
  <c r="C6" i="18"/>
  <c r="F9" i="13" l="1"/>
  <c r="F22" i="8"/>
  <c r="F21" i="8"/>
  <c r="F19" i="8"/>
  <c r="F17" i="8"/>
  <c r="F20" i="8"/>
  <c r="E17" i="8"/>
  <c r="C18" i="8"/>
  <c r="F17" i="7"/>
  <c r="F19" i="7"/>
  <c r="F20" i="7"/>
  <c r="F21" i="7"/>
  <c r="F22" i="7"/>
  <c r="E17" i="7"/>
  <c r="F17" i="6"/>
  <c r="F19" i="6"/>
  <c r="F20" i="6"/>
  <c r="F21" i="6"/>
  <c r="F22" i="6"/>
  <c r="C18" i="6"/>
  <c r="H17" i="5"/>
  <c r="H18" i="5" s="1"/>
  <c r="C18" i="5"/>
  <c r="N15" i="4"/>
  <c r="N16" i="4"/>
  <c r="N14" i="4"/>
  <c r="F12" i="4"/>
  <c r="E18" i="8" l="1"/>
  <c r="G18" i="8" s="1"/>
  <c r="F13" i="11" s="1"/>
  <c r="Q13" i="11"/>
  <c r="P13" i="11"/>
  <c r="O13" i="11"/>
  <c r="L13" i="11"/>
  <c r="L14" i="13" s="1"/>
  <c r="E18" i="7"/>
  <c r="G18" i="7" s="1"/>
  <c r="F12" i="11" s="1"/>
  <c r="M12" i="11"/>
  <c r="M13" i="13" s="1"/>
  <c r="Q12" i="11"/>
  <c r="H19" i="17" s="1"/>
  <c r="L12" i="11"/>
  <c r="L13" i="13" s="1"/>
  <c r="G18" i="6"/>
  <c r="F11" i="11" s="1"/>
  <c r="M11" i="11"/>
  <c r="M12" i="13" s="1"/>
  <c r="L11" i="11"/>
  <c r="L12" i="13" s="1"/>
  <c r="G18" i="5"/>
  <c r="F10" i="11" s="1"/>
  <c r="L10" i="11"/>
  <c r="L11" i="13" s="1"/>
  <c r="M10" i="11"/>
  <c r="M11" i="13" s="1"/>
  <c r="N18" i="4"/>
  <c r="G21" i="8"/>
  <c r="F18" i="4"/>
  <c r="G26" i="6"/>
  <c r="Q11" i="11" s="1"/>
  <c r="H19" i="15" s="1"/>
  <c r="G22" i="7"/>
  <c r="G20" i="8"/>
  <c r="G21" i="7"/>
  <c r="I12" i="11" s="1"/>
  <c r="G23" i="8"/>
  <c r="G19" i="8"/>
  <c r="G26" i="5"/>
  <c r="Q10" i="11" s="1"/>
  <c r="H21" i="30" s="1"/>
  <c r="G20" i="7"/>
  <c r="H12" i="11" s="1"/>
  <c r="G22" i="8"/>
  <c r="J13" i="11" s="1"/>
  <c r="G23" i="7"/>
  <c r="K12" i="11" s="1"/>
  <c r="G19" i="7"/>
  <c r="G12" i="11" s="1"/>
  <c r="F8" i="29"/>
  <c r="E32" i="18"/>
  <c r="C32" i="18"/>
  <c r="C11" i="18"/>
  <c r="H18" i="18" s="1"/>
  <c r="H73" i="17"/>
  <c r="C73" i="17"/>
  <c r="C54" i="17"/>
  <c r="C30" i="17"/>
  <c r="C11" i="17"/>
  <c r="C74" i="15"/>
  <c r="E30" i="15"/>
  <c r="C30" i="15"/>
  <c r="C55" i="15"/>
  <c r="C11" i="15"/>
  <c r="C32" i="30"/>
  <c r="E76" i="30"/>
  <c r="C76" i="30"/>
  <c r="E119" i="30"/>
  <c r="C119" i="30"/>
  <c r="E162" i="30"/>
  <c r="H162" i="30" s="1"/>
  <c r="C162" i="30"/>
  <c r="C143" i="30"/>
  <c r="C57" i="30"/>
  <c r="C13" i="30"/>
  <c r="H19" i="18" l="1"/>
  <c r="H40" i="18" s="1"/>
  <c r="H20" i="18"/>
  <c r="H41" i="18" s="1"/>
  <c r="H21" i="18"/>
  <c r="H42" i="18" s="1"/>
  <c r="F20" i="18"/>
  <c r="F41" i="18" s="1"/>
  <c r="H17" i="18"/>
  <c r="H38" i="18" s="1"/>
  <c r="F19" i="18"/>
  <c r="F40" i="18" s="1"/>
  <c r="F21" i="18"/>
  <c r="F42" i="18" s="1"/>
  <c r="H39" i="18"/>
  <c r="F18" i="18"/>
  <c r="F39" i="18" s="1"/>
  <c r="F17" i="18"/>
  <c r="F38" i="18" s="1"/>
  <c r="H18" i="17"/>
  <c r="F17" i="17"/>
  <c r="H17" i="17"/>
  <c r="F18" i="17"/>
  <c r="F18" i="15"/>
  <c r="H18" i="15"/>
  <c r="F17" i="15"/>
  <c r="H17" i="15"/>
  <c r="F20" i="30"/>
  <c r="H20" i="30"/>
  <c r="F19" i="30"/>
  <c r="H19" i="30"/>
  <c r="I18" i="5"/>
  <c r="H63" i="15"/>
  <c r="H13" i="18"/>
  <c r="F12" i="18"/>
  <c r="F14" i="18"/>
  <c r="F16" i="18"/>
  <c r="H12" i="18"/>
  <c r="H14" i="18"/>
  <c r="H16" i="18"/>
  <c r="F11" i="18"/>
  <c r="F32" i="18" s="1"/>
  <c r="F13" i="18"/>
  <c r="F15" i="18"/>
  <c r="H12" i="17"/>
  <c r="H16" i="17"/>
  <c r="F12" i="17"/>
  <c r="F16" i="17"/>
  <c r="H15" i="17"/>
  <c r="F15" i="17"/>
  <c r="H13" i="17"/>
  <c r="F13" i="17"/>
  <c r="H14" i="17"/>
  <c r="F14" i="17"/>
  <c r="H11" i="17"/>
  <c r="H30" i="17" s="1"/>
  <c r="F11" i="17"/>
  <c r="F30" i="17" s="1"/>
  <c r="H11" i="15"/>
  <c r="F11" i="15"/>
  <c r="F55" i="15" s="1"/>
  <c r="F74" i="15" s="1"/>
  <c r="F15" i="15"/>
  <c r="F59" i="15" s="1"/>
  <c r="F63" i="15"/>
  <c r="F14" i="15"/>
  <c r="F58" i="15" s="1"/>
  <c r="F12" i="15"/>
  <c r="F56" i="15" s="1"/>
  <c r="F16" i="15"/>
  <c r="F60" i="15" s="1"/>
  <c r="F13" i="15"/>
  <c r="F57" i="15" s="1"/>
  <c r="H13" i="30"/>
  <c r="H32" i="30" s="1"/>
  <c r="F13" i="30"/>
  <c r="F57" i="30" s="1"/>
  <c r="F100" i="30" s="1"/>
  <c r="F119" i="30" s="1"/>
  <c r="F17" i="30"/>
  <c r="F61" i="30" s="1"/>
  <c r="F104" i="30" s="1"/>
  <c r="H65" i="30"/>
  <c r="H108" i="30" s="1"/>
  <c r="H151" i="30" s="1"/>
  <c r="F14" i="30"/>
  <c r="F58" i="30" s="1"/>
  <c r="F101" i="30" s="1"/>
  <c r="F15" i="30"/>
  <c r="F59" i="30" s="1"/>
  <c r="F102" i="30" s="1"/>
  <c r="F65" i="30"/>
  <c r="F108" i="30" s="1"/>
  <c r="F151" i="30" s="1"/>
  <c r="F18" i="30"/>
  <c r="F62" i="30" s="1"/>
  <c r="F105" i="30" s="1"/>
  <c r="F16" i="30"/>
  <c r="F60" i="30" s="1"/>
  <c r="F103" i="30" s="1"/>
  <c r="F162" i="30"/>
  <c r="J162" i="30" s="1"/>
  <c r="F73" i="17"/>
  <c r="J73" i="17" s="1"/>
  <c r="J40" i="18" l="1"/>
  <c r="L40" i="18" s="1"/>
  <c r="J41" i="18"/>
  <c r="L41" i="18" s="1"/>
  <c r="F62" i="15"/>
  <c r="F81" i="15" s="1"/>
  <c r="F37" i="15"/>
  <c r="J39" i="18"/>
  <c r="H36" i="15"/>
  <c r="H61" i="15"/>
  <c r="H80" i="15" s="1"/>
  <c r="J38" i="18"/>
  <c r="H62" i="15"/>
  <c r="H81" i="15" s="1"/>
  <c r="H37" i="15"/>
  <c r="F36" i="15"/>
  <c r="F61" i="15"/>
  <c r="F80" i="15" s="1"/>
  <c r="F37" i="17"/>
  <c r="F61" i="17"/>
  <c r="F80" i="17" s="1"/>
  <c r="H36" i="17"/>
  <c r="H60" i="17"/>
  <c r="H79" i="17" s="1"/>
  <c r="F36" i="17"/>
  <c r="F60" i="17"/>
  <c r="F79" i="17" s="1"/>
  <c r="H37" i="17"/>
  <c r="H61" i="17"/>
  <c r="H80" i="17" s="1"/>
  <c r="H63" i="30"/>
  <c r="H106" i="30" s="1"/>
  <c r="F63" i="30"/>
  <c r="F106" i="30" s="1"/>
  <c r="H64" i="30"/>
  <c r="H107" i="30" s="1"/>
  <c r="F64" i="30"/>
  <c r="F107" i="30" s="1"/>
  <c r="J30" i="17"/>
  <c r="F16" i="29" s="1"/>
  <c r="H11" i="18"/>
  <c r="H32" i="18" s="1"/>
  <c r="J32" i="18" s="1"/>
  <c r="F18" i="29" s="1"/>
  <c r="F30" i="15"/>
  <c r="H15" i="18"/>
  <c r="H36" i="18" s="1"/>
  <c r="H30" i="15"/>
  <c r="H55" i="15"/>
  <c r="H74" i="15" s="1"/>
  <c r="J74" i="15" s="1"/>
  <c r="H57" i="30"/>
  <c r="H100" i="30" s="1"/>
  <c r="H119" i="30" s="1"/>
  <c r="J119" i="30" s="1"/>
  <c r="L119" i="30" s="1"/>
  <c r="F32" i="30"/>
  <c r="L162" i="30"/>
  <c r="F13" i="29"/>
  <c r="L73" i="17"/>
  <c r="F17" i="29"/>
  <c r="J32" i="30" l="1"/>
  <c r="L32" i="30" s="1"/>
  <c r="J36" i="15"/>
  <c r="I14" i="29" s="1"/>
  <c r="J80" i="17"/>
  <c r="L80" i="17" s="1"/>
  <c r="J37" i="15"/>
  <c r="J14" i="29" s="1"/>
  <c r="J37" i="17"/>
  <c r="L37" i="17" s="1"/>
  <c r="J80" i="15"/>
  <c r="I15" i="29" s="1"/>
  <c r="J36" i="17"/>
  <c r="L36" i="17" s="1"/>
  <c r="H149" i="30"/>
  <c r="J81" i="15"/>
  <c r="L39" i="18"/>
  <c r="J18" i="29"/>
  <c r="J79" i="17"/>
  <c r="L38" i="18"/>
  <c r="I18" i="29"/>
  <c r="F149" i="30"/>
  <c r="L30" i="17"/>
  <c r="F150" i="30"/>
  <c r="H150" i="30"/>
  <c r="J30" i="15"/>
  <c r="L30" i="15" s="1"/>
  <c r="L32" i="18"/>
  <c r="F12" i="29"/>
  <c r="L74" i="15"/>
  <c r="F15" i="29"/>
  <c r="H76" i="30"/>
  <c r="F10" i="29"/>
  <c r="F76" i="30"/>
  <c r="F144" i="30"/>
  <c r="H24" i="18"/>
  <c r="H46" i="18" s="1"/>
  <c r="H51" i="18" s="1"/>
  <c r="F24" i="18"/>
  <c r="H22" i="17"/>
  <c r="H65" i="17" s="1"/>
  <c r="F22" i="17"/>
  <c r="F65" i="17" s="1"/>
  <c r="F55" i="17"/>
  <c r="F56" i="17"/>
  <c r="F57" i="17"/>
  <c r="F59" i="17"/>
  <c r="F29" i="17"/>
  <c r="H22" i="15"/>
  <c r="F22" i="15"/>
  <c r="F54" i="15"/>
  <c r="F73" i="15" s="1"/>
  <c r="H24" i="30"/>
  <c r="F24" i="30"/>
  <c r="F36" i="30"/>
  <c r="F148" i="30"/>
  <c r="N11" i="13"/>
  <c r="N12" i="13"/>
  <c r="H13" i="13"/>
  <c r="J13" i="13"/>
  <c r="N13" i="13"/>
  <c r="F12" i="13"/>
  <c r="F13" i="13"/>
  <c r="F14" i="13"/>
  <c r="F11" i="13"/>
  <c r="H23" i="8"/>
  <c r="H22" i="8"/>
  <c r="H24" i="8" s="1"/>
  <c r="H21" i="8"/>
  <c r="H20" i="8"/>
  <c r="H19" i="8"/>
  <c r="H17" i="8"/>
  <c r="H18" i="8" s="1"/>
  <c r="I18" i="8" s="1"/>
  <c r="H23" i="7"/>
  <c r="H24" i="7" s="1"/>
  <c r="H22" i="7"/>
  <c r="H21" i="7"/>
  <c r="H20" i="7"/>
  <c r="H19" i="7"/>
  <c r="H17" i="7"/>
  <c r="H18" i="7" s="1"/>
  <c r="I18" i="7" s="1"/>
  <c r="G17" i="7"/>
  <c r="E12" i="11" s="1"/>
  <c r="H23" i="5"/>
  <c r="H22" i="5"/>
  <c r="F22" i="5"/>
  <c r="H21" i="5"/>
  <c r="F21" i="5"/>
  <c r="H20" i="5"/>
  <c r="F20" i="5"/>
  <c r="H19" i="5"/>
  <c r="F19" i="5"/>
  <c r="F17" i="5"/>
  <c r="G17" i="6"/>
  <c r="E11" i="11" s="1"/>
  <c r="H23" i="6"/>
  <c r="H22" i="6"/>
  <c r="H21" i="6"/>
  <c r="H20" i="6"/>
  <c r="H19" i="6"/>
  <c r="H17" i="6"/>
  <c r="H18" i="6" s="1"/>
  <c r="I18" i="6" s="1"/>
  <c r="K17" i="4"/>
  <c r="I17" i="4"/>
  <c r="H17" i="4"/>
  <c r="G17" i="4"/>
  <c r="K16" i="4"/>
  <c r="I16" i="4"/>
  <c r="H16" i="4"/>
  <c r="G16" i="4"/>
  <c r="K15" i="4"/>
  <c r="I15" i="4"/>
  <c r="H15" i="4"/>
  <c r="G15" i="4"/>
  <c r="K14" i="4"/>
  <c r="I14" i="4"/>
  <c r="H14" i="4"/>
  <c r="G14" i="4"/>
  <c r="F66" i="15" l="1"/>
  <c r="F42" i="15"/>
  <c r="F47" i="15" s="1"/>
  <c r="H66" i="15"/>
  <c r="H42" i="15"/>
  <c r="H47" i="15" s="1"/>
  <c r="L36" i="15"/>
  <c r="L37" i="15"/>
  <c r="J17" i="29"/>
  <c r="I18" i="4"/>
  <c r="L80" i="15"/>
  <c r="J16" i="29"/>
  <c r="H25" i="7"/>
  <c r="I24" i="7"/>
  <c r="H24" i="6"/>
  <c r="H24" i="5"/>
  <c r="I16" i="29"/>
  <c r="L79" i="17"/>
  <c r="I17" i="29"/>
  <c r="L81" i="15"/>
  <c r="J15" i="29"/>
  <c r="H25" i="8"/>
  <c r="I24" i="8"/>
  <c r="N14" i="13"/>
  <c r="J14" i="13"/>
  <c r="I22" i="8"/>
  <c r="K18" i="4"/>
  <c r="F14" i="29"/>
  <c r="H10" i="17"/>
  <c r="E13" i="13"/>
  <c r="E12" i="13"/>
  <c r="H10" i="15"/>
  <c r="H54" i="15" s="1"/>
  <c r="J76" i="30"/>
  <c r="L76" i="30" s="1"/>
  <c r="F68" i="30"/>
  <c r="H68" i="30"/>
  <c r="F35" i="30"/>
  <c r="F163" i="30"/>
  <c r="E37" i="30"/>
  <c r="F32" i="15"/>
  <c r="I17" i="6"/>
  <c r="I17" i="7"/>
  <c r="O14" i="4"/>
  <c r="O15" i="4"/>
  <c r="O16" i="4"/>
  <c r="O17" i="4"/>
  <c r="F33" i="17"/>
  <c r="H18" i="4"/>
  <c r="G18" i="4"/>
  <c r="F46" i="18"/>
  <c r="F51" i="18" s="1"/>
  <c r="F34" i="17"/>
  <c r="F78" i="15"/>
  <c r="E167" i="30"/>
  <c r="E168" i="30" s="1"/>
  <c r="E169" i="30" s="1"/>
  <c r="H169" i="30" s="1"/>
  <c r="G17" i="8"/>
  <c r="F58" i="17"/>
  <c r="F77" i="17" s="1"/>
  <c r="G14" i="13"/>
  <c r="F53" i="17"/>
  <c r="F72" i="17" s="1"/>
  <c r="F121" i="30"/>
  <c r="F145" i="30"/>
  <c r="F164" i="30" s="1"/>
  <c r="F78" i="30"/>
  <c r="F56" i="30"/>
  <c r="F99" i="30" s="1"/>
  <c r="F146" i="30"/>
  <c r="F165" i="30" s="1"/>
  <c r="G20" i="5"/>
  <c r="G17" i="5"/>
  <c r="E10" i="11" s="1"/>
  <c r="E18" i="4"/>
  <c r="J18" i="4"/>
  <c r="I20" i="7"/>
  <c r="E35" i="17"/>
  <c r="F32" i="17"/>
  <c r="F75" i="17"/>
  <c r="E78" i="17"/>
  <c r="F74" i="17"/>
  <c r="F76" i="17"/>
  <c r="F31" i="17"/>
  <c r="F77" i="15"/>
  <c r="F31" i="15"/>
  <c r="E79" i="15"/>
  <c r="E35" i="15"/>
  <c r="F35" i="15" s="1"/>
  <c r="F76" i="15"/>
  <c r="F33" i="15"/>
  <c r="F29" i="15"/>
  <c r="F34" i="15"/>
  <c r="F75" i="15"/>
  <c r="E124" i="30"/>
  <c r="E125" i="30" s="1"/>
  <c r="F120" i="30"/>
  <c r="F77" i="30"/>
  <c r="F34" i="30"/>
  <c r="E81" i="30"/>
  <c r="F33" i="30"/>
  <c r="G22" i="6"/>
  <c r="H55" i="17"/>
  <c r="H74" i="17" s="1"/>
  <c r="G19" i="6"/>
  <c r="G11" i="11" s="1"/>
  <c r="G23" i="6"/>
  <c r="G20" i="6"/>
  <c r="G21" i="6"/>
  <c r="G19" i="5"/>
  <c r="G10" i="11" s="1"/>
  <c r="G23" i="5"/>
  <c r="G22" i="5"/>
  <c r="G21" i="5"/>
  <c r="F169" i="30" l="1"/>
  <c r="J169" i="30" s="1"/>
  <c r="H168" i="30"/>
  <c r="F168" i="30"/>
  <c r="E126" i="30"/>
  <c r="H125" i="30"/>
  <c r="F125" i="30"/>
  <c r="H26" i="7"/>
  <c r="I26" i="7" s="1"/>
  <c r="I25" i="7"/>
  <c r="H25" i="6"/>
  <c r="I24" i="6"/>
  <c r="H25" i="5"/>
  <c r="I24" i="5"/>
  <c r="I17" i="8"/>
  <c r="E13" i="11"/>
  <c r="K10" i="11"/>
  <c r="H18" i="30" s="1"/>
  <c r="H62" i="30" s="1"/>
  <c r="H105" i="30" s="1"/>
  <c r="K11" i="11"/>
  <c r="H16" i="15" s="1"/>
  <c r="H60" i="15" s="1"/>
  <c r="H11" i="11"/>
  <c r="H13" i="15" s="1"/>
  <c r="H57" i="15" s="1"/>
  <c r="I10" i="11"/>
  <c r="H16" i="30" s="1"/>
  <c r="H60" i="30" s="1"/>
  <c r="H103" i="30" s="1"/>
  <c r="I11" i="11"/>
  <c r="I12" i="13" s="1"/>
  <c r="H10" i="11"/>
  <c r="H15" i="30" s="1"/>
  <c r="H59" i="30" s="1"/>
  <c r="F37" i="30"/>
  <c r="E38" i="30"/>
  <c r="E84" i="30"/>
  <c r="E82" i="30"/>
  <c r="H28" i="8"/>
  <c r="I28" i="8" s="1"/>
  <c r="I25" i="8"/>
  <c r="O18" i="4"/>
  <c r="O16" i="13" s="1"/>
  <c r="F11" i="29"/>
  <c r="J12" i="13"/>
  <c r="H15" i="15"/>
  <c r="H59" i="15" s="1"/>
  <c r="I17" i="5"/>
  <c r="I22" i="5"/>
  <c r="J74" i="17"/>
  <c r="L74" i="17" s="1"/>
  <c r="F111" i="30"/>
  <c r="H111" i="30"/>
  <c r="E86" i="15"/>
  <c r="E174" i="30"/>
  <c r="E175" i="30" s="1"/>
  <c r="E177" i="30" s="1"/>
  <c r="E170" i="30"/>
  <c r="E44" i="30"/>
  <c r="E40" i="30"/>
  <c r="F167" i="30"/>
  <c r="F35" i="17"/>
  <c r="F84" i="30"/>
  <c r="H84" i="30"/>
  <c r="F124" i="30"/>
  <c r="E127" i="30"/>
  <c r="F79" i="15"/>
  <c r="E42" i="17"/>
  <c r="F42" i="17" s="1"/>
  <c r="F47" i="17" s="1"/>
  <c r="F78" i="17"/>
  <c r="J42" i="18"/>
  <c r="H14" i="30"/>
  <c r="H58" i="30" s="1"/>
  <c r="H101" i="30" s="1"/>
  <c r="H144" i="30" s="1"/>
  <c r="H163" i="30" s="1"/>
  <c r="J163" i="30" s="1"/>
  <c r="L163" i="30" s="1"/>
  <c r="H56" i="17"/>
  <c r="H75" i="17" s="1"/>
  <c r="J75" i="17" s="1"/>
  <c r="L75" i="17" s="1"/>
  <c r="I20" i="5"/>
  <c r="I20" i="8"/>
  <c r="I19" i="7"/>
  <c r="I21" i="6"/>
  <c r="I23" i="6"/>
  <c r="I19" i="8"/>
  <c r="H53" i="17"/>
  <c r="H72" i="17" s="1"/>
  <c r="E85" i="17"/>
  <c r="H85" i="17" s="1"/>
  <c r="H90" i="17" s="1"/>
  <c r="E131" i="30"/>
  <c r="F79" i="30"/>
  <c r="I19" i="6"/>
  <c r="I22" i="7"/>
  <c r="I22" i="6"/>
  <c r="H31" i="17"/>
  <c r="J31" i="17" s="1"/>
  <c r="L31" i="17" s="1"/>
  <c r="I21" i="7"/>
  <c r="I20" i="6"/>
  <c r="I23" i="7"/>
  <c r="G13" i="13"/>
  <c r="F122" i="30"/>
  <c r="F123" i="30"/>
  <c r="F147" i="30"/>
  <c r="F166" i="30" s="1"/>
  <c r="F80" i="30"/>
  <c r="F75" i="30"/>
  <c r="I19" i="5"/>
  <c r="I23" i="5"/>
  <c r="I21" i="5"/>
  <c r="I23" i="8"/>
  <c r="I21" i="8"/>
  <c r="H14" i="13"/>
  <c r="E88" i="30"/>
  <c r="F81" i="30"/>
  <c r="H177" i="30" l="1"/>
  <c r="F177" i="30"/>
  <c r="E46" i="30"/>
  <c r="E45" i="30"/>
  <c r="E90" i="30"/>
  <c r="E89" i="30"/>
  <c r="H88" i="30"/>
  <c r="E133" i="30"/>
  <c r="E132" i="30"/>
  <c r="E178" i="30"/>
  <c r="F175" i="30"/>
  <c r="H175" i="30"/>
  <c r="F88" i="30"/>
  <c r="F154" i="30"/>
  <c r="F174" i="30" s="1"/>
  <c r="F131" i="30"/>
  <c r="H154" i="30"/>
  <c r="H174" i="30" s="1"/>
  <c r="H131" i="30"/>
  <c r="J13" i="29"/>
  <c r="L169" i="30"/>
  <c r="J168" i="30"/>
  <c r="L168" i="30" s="1"/>
  <c r="J125" i="30"/>
  <c r="I12" i="29" s="1"/>
  <c r="H126" i="30"/>
  <c r="F126" i="30"/>
  <c r="H26" i="6"/>
  <c r="I26" i="6" s="1"/>
  <c r="I25" i="6"/>
  <c r="H26" i="5"/>
  <c r="I26" i="5" s="1"/>
  <c r="I25" i="5"/>
  <c r="H11" i="13"/>
  <c r="K12" i="13"/>
  <c r="H102" i="30"/>
  <c r="H121" i="30" s="1"/>
  <c r="J121" i="30" s="1"/>
  <c r="L121" i="30" s="1"/>
  <c r="H78" i="30"/>
  <c r="J78" i="30" s="1"/>
  <c r="L78" i="30" s="1"/>
  <c r="H14" i="15"/>
  <c r="H58" i="15" s="1"/>
  <c r="H77" i="15" s="1"/>
  <c r="J77" i="15" s="1"/>
  <c r="L77" i="15" s="1"/>
  <c r="E83" i="30"/>
  <c r="F82" i="30"/>
  <c r="H82" i="30"/>
  <c r="E39" i="30"/>
  <c r="H38" i="30"/>
  <c r="F38" i="30"/>
  <c r="H77" i="30"/>
  <c r="J77" i="30" s="1"/>
  <c r="L77" i="30" s="1"/>
  <c r="G11" i="13"/>
  <c r="G12" i="13"/>
  <c r="H12" i="15"/>
  <c r="H56" i="15" s="1"/>
  <c r="H75" i="15" s="1"/>
  <c r="J75" i="15" s="1"/>
  <c r="L75" i="15" s="1"/>
  <c r="H10" i="18"/>
  <c r="E14" i="13"/>
  <c r="J11" i="13"/>
  <c r="H17" i="30"/>
  <c r="H61" i="30" s="1"/>
  <c r="H104" i="30" s="1"/>
  <c r="E11" i="13"/>
  <c r="H12" i="30"/>
  <c r="H42" i="17"/>
  <c r="H47" i="17" s="1"/>
  <c r="F85" i="17"/>
  <c r="F90" i="17" s="1"/>
  <c r="J84" i="30"/>
  <c r="L84" i="30" s="1"/>
  <c r="H120" i="30"/>
  <c r="J120" i="30" s="1"/>
  <c r="L120" i="30" s="1"/>
  <c r="F38" i="15"/>
  <c r="F39" i="15" s="1"/>
  <c r="F49" i="15" s="1"/>
  <c r="H38" i="15"/>
  <c r="H81" i="17"/>
  <c r="F81" i="17"/>
  <c r="F82" i="17" s="1"/>
  <c r="H40" i="30"/>
  <c r="F40" i="30"/>
  <c r="H82" i="15"/>
  <c r="F82" i="15"/>
  <c r="F83" i="15" s="1"/>
  <c r="K18" i="29"/>
  <c r="L42" i="18"/>
  <c r="H170" i="30"/>
  <c r="F170" i="30"/>
  <c r="H127" i="30"/>
  <c r="F127" i="30"/>
  <c r="F38" i="17"/>
  <c r="F39" i="17" s="1"/>
  <c r="F49" i="17" s="1"/>
  <c r="H38" i="17"/>
  <c r="H44" i="30"/>
  <c r="F44" i="30"/>
  <c r="H86" i="15"/>
  <c r="H91" i="15" s="1"/>
  <c r="F86" i="15"/>
  <c r="F91" i="15" s="1"/>
  <c r="H33" i="30"/>
  <c r="J33" i="30" s="1"/>
  <c r="L33" i="30" s="1"/>
  <c r="I29" i="8"/>
  <c r="H32" i="17"/>
  <c r="J32" i="17" s="1"/>
  <c r="H79" i="15"/>
  <c r="J79" i="15" s="1"/>
  <c r="L79" i="15" s="1"/>
  <c r="H35" i="15"/>
  <c r="J35" i="15" s="1"/>
  <c r="L35" i="15" s="1"/>
  <c r="H34" i="30"/>
  <c r="J34" i="30" s="1"/>
  <c r="L34" i="30" s="1"/>
  <c r="I27" i="7"/>
  <c r="H29" i="17"/>
  <c r="J29" i="17" s="1"/>
  <c r="J72" i="17"/>
  <c r="H12" i="13"/>
  <c r="H29" i="15"/>
  <c r="H73" i="15"/>
  <c r="K13" i="13"/>
  <c r="I13" i="13"/>
  <c r="F118" i="30"/>
  <c r="F142" i="30"/>
  <c r="F161" i="30" s="1"/>
  <c r="I11" i="13"/>
  <c r="K11" i="13"/>
  <c r="I14" i="13"/>
  <c r="K14" i="13"/>
  <c r="J46" i="18"/>
  <c r="J85" i="17"/>
  <c r="J90" i="17" s="1"/>
  <c r="L90" i="17" s="1"/>
  <c r="J42" i="15"/>
  <c r="J47" i="15" s="1"/>
  <c r="L47" i="15" s="1"/>
  <c r="J175" i="30" l="1"/>
  <c r="L175" i="30" s="1"/>
  <c r="J177" i="30"/>
  <c r="L177" i="30" s="1"/>
  <c r="F178" i="30"/>
  <c r="F179" i="30" s="1"/>
  <c r="H178" i="30"/>
  <c r="J178" i="30" s="1"/>
  <c r="L178" i="30" s="1"/>
  <c r="E91" i="30"/>
  <c r="F89" i="30"/>
  <c r="H89" i="30"/>
  <c r="J89" i="30" s="1"/>
  <c r="L89" i="30" s="1"/>
  <c r="E134" i="30"/>
  <c r="F132" i="30"/>
  <c r="H132" i="30"/>
  <c r="F90" i="30"/>
  <c r="H90" i="30"/>
  <c r="J90" i="30" s="1"/>
  <c r="L90" i="30" s="1"/>
  <c r="F133" i="30"/>
  <c r="H133" i="30"/>
  <c r="F45" i="30"/>
  <c r="E47" i="30"/>
  <c r="H45" i="30"/>
  <c r="J88" i="30"/>
  <c r="H46" i="30"/>
  <c r="F46" i="30"/>
  <c r="L46" i="18"/>
  <c r="J51" i="18"/>
  <c r="L51" i="18" s="1"/>
  <c r="F93" i="15"/>
  <c r="J131" i="30"/>
  <c r="J174" i="30"/>
  <c r="I13" i="29"/>
  <c r="L125" i="30"/>
  <c r="J126" i="30"/>
  <c r="I27" i="5"/>
  <c r="I27" i="6"/>
  <c r="G11" i="29"/>
  <c r="H33" i="15"/>
  <c r="J33" i="15" s="1"/>
  <c r="L33" i="15" s="1"/>
  <c r="J38" i="30"/>
  <c r="J42" i="17"/>
  <c r="J47" i="17" s="1"/>
  <c r="H16" i="29" s="1"/>
  <c r="F92" i="17"/>
  <c r="J82" i="30"/>
  <c r="F83" i="30"/>
  <c r="F85" i="30" s="1"/>
  <c r="H83" i="30"/>
  <c r="H39" i="30"/>
  <c r="F39" i="30"/>
  <c r="F41" i="30" s="1"/>
  <c r="H36" i="30"/>
  <c r="J36" i="30" s="1"/>
  <c r="L36" i="30" s="1"/>
  <c r="H31" i="15"/>
  <c r="J31" i="15" s="1"/>
  <c r="L31" i="15" s="1"/>
  <c r="K11" i="29"/>
  <c r="J38" i="17"/>
  <c r="K16" i="29" s="1"/>
  <c r="J81" i="17"/>
  <c r="K17" i="29" s="1"/>
  <c r="J40" i="30"/>
  <c r="L40" i="30" s="1"/>
  <c r="O13" i="13"/>
  <c r="J38" i="15"/>
  <c r="L38" i="15" s="1"/>
  <c r="O12" i="13"/>
  <c r="O11" i="13"/>
  <c r="J44" i="30"/>
  <c r="J170" i="30"/>
  <c r="J82" i="15"/>
  <c r="J127" i="30"/>
  <c r="J86" i="15"/>
  <c r="J91" i="15" s="1"/>
  <c r="O14" i="13"/>
  <c r="H145" i="30"/>
  <c r="H164" i="30" s="1"/>
  <c r="J164" i="30" s="1"/>
  <c r="L164" i="30" s="1"/>
  <c r="F171" i="30"/>
  <c r="F128" i="30"/>
  <c r="E17" i="29"/>
  <c r="E16" i="29"/>
  <c r="J73" i="15"/>
  <c r="L72" i="17"/>
  <c r="L29" i="17"/>
  <c r="H33" i="17"/>
  <c r="H57" i="17"/>
  <c r="H76" i="17" s="1"/>
  <c r="H34" i="17"/>
  <c r="J34" i="17" s="1"/>
  <c r="L34" i="17" s="1"/>
  <c r="H58" i="17"/>
  <c r="H77" i="17" s="1"/>
  <c r="J77" i="17" s="1"/>
  <c r="L77" i="17" s="1"/>
  <c r="J29" i="15"/>
  <c r="H76" i="15"/>
  <c r="H32" i="15"/>
  <c r="J32" i="15" s="1"/>
  <c r="H59" i="17"/>
  <c r="H78" i="17" s="1"/>
  <c r="J78" i="17" s="1"/>
  <c r="L78" i="17" s="1"/>
  <c r="H35" i="17"/>
  <c r="J35" i="17" s="1"/>
  <c r="L35" i="17" s="1"/>
  <c r="H34" i="15"/>
  <c r="J34" i="15" s="1"/>
  <c r="L34" i="15" s="1"/>
  <c r="H78" i="15"/>
  <c r="J78" i="15" s="1"/>
  <c r="L78" i="15" s="1"/>
  <c r="H31" i="30"/>
  <c r="H56" i="30"/>
  <c r="H99" i="30" s="1"/>
  <c r="H35" i="30"/>
  <c r="H37" i="30"/>
  <c r="J37" i="30" s="1"/>
  <c r="L37" i="30" s="1"/>
  <c r="L32" i="17"/>
  <c r="L85" i="17"/>
  <c r="L42" i="17"/>
  <c r="L42" i="15"/>
  <c r="H14" i="29"/>
  <c r="H179" i="30" l="1"/>
  <c r="J133" i="30"/>
  <c r="L133" i="30" s="1"/>
  <c r="J132" i="30"/>
  <c r="L132" i="30" s="1"/>
  <c r="E92" i="30"/>
  <c r="F91" i="30"/>
  <c r="H91" i="30"/>
  <c r="J46" i="30"/>
  <c r="L46" i="30" s="1"/>
  <c r="J45" i="30"/>
  <c r="L45" i="30" s="1"/>
  <c r="E135" i="30"/>
  <c r="H134" i="30"/>
  <c r="F134" i="30"/>
  <c r="F181" i="30"/>
  <c r="L88" i="30"/>
  <c r="F47" i="30"/>
  <c r="E48" i="30"/>
  <c r="H47" i="30"/>
  <c r="J47" i="30" s="1"/>
  <c r="L47" i="30" s="1"/>
  <c r="L131" i="30"/>
  <c r="L174" i="30"/>
  <c r="J179" i="30"/>
  <c r="L179" i="30" s="1"/>
  <c r="L126" i="30"/>
  <c r="J12" i="29"/>
  <c r="L82" i="30"/>
  <c r="I11" i="29"/>
  <c r="L38" i="30"/>
  <c r="I10" i="29"/>
  <c r="J83" i="30"/>
  <c r="J39" i="30"/>
  <c r="L38" i="17"/>
  <c r="K10" i="29"/>
  <c r="L81" i="17"/>
  <c r="K14" i="29"/>
  <c r="L86" i="15"/>
  <c r="K15" i="29"/>
  <c r="L82" i="15"/>
  <c r="K13" i="29"/>
  <c r="L170" i="30"/>
  <c r="L44" i="30"/>
  <c r="K12" i="29"/>
  <c r="L127" i="30"/>
  <c r="J39" i="15"/>
  <c r="L39" i="15" s="1"/>
  <c r="H39" i="17"/>
  <c r="H49" i="17" s="1"/>
  <c r="O15" i="13"/>
  <c r="O17" i="13" s="1"/>
  <c r="O18" i="13" s="1"/>
  <c r="H83" i="15"/>
  <c r="H93" i="15" s="1"/>
  <c r="H82" i="17"/>
  <c r="H92" i="17" s="1"/>
  <c r="H39" i="15"/>
  <c r="H49" i="15" s="1"/>
  <c r="E15" i="29"/>
  <c r="L73" i="15"/>
  <c r="H18" i="29"/>
  <c r="H17" i="29"/>
  <c r="J31" i="30"/>
  <c r="L31" i="30" s="1"/>
  <c r="H41" i="30"/>
  <c r="J76" i="15"/>
  <c r="J83" i="15" s="1"/>
  <c r="L83" i="15" s="1"/>
  <c r="J33" i="17"/>
  <c r="J39" i="17" s="1"/>
  <c r="J76" i="17"/>
  <c r="J82" i="17" s="1"/>
  <c r="L82" i="17" s="1"/>
  <c r="H80" i="30"/>
  <c r="J80" i="30" s="1"/>
  <c r="L80" i="30" s="1"/>
  <c r="E14" i="29"/>
  <c r="L29" i="15"/>
  <c r="L32" i="15"/>
  <c r="G14" i="29"/>
  <c r="H75" i="30"/>
  <c r="H81" i="30"/>
  <c r="J81" i="30" s="1"/>
  <c r="L81" i="30" s="1"/>
  <c r="H79" i="30"/>
  <c r="J35" i="30"/>
  <c r="L47" i="17"/>
  <c r="F92" i="30" l="1"/>
  <c r="F93" i="30" s="1"/>
  <c r="F95" i="30" s="1"/>
  <c r="H92" i="30"/>
  <c r="F48" i="30"/>
  <c r="F49" i="30" s="1"/>
  <c r="H48" i="30"/>
  <c r="J48" i="30" s="1"/>
  <c r="L48" i="30" s="1"/>
  <c r="J134" i="30"/>
  <c r="F135" i="30"/>
  <c r="F136" i="30" s="1"/>
  <c r="F138" i="30" s="1"/>
  <c r="H135" i="30"/>
  <c r="H136" i="30" s="1"/>
  <c r="J91" i="30"/>
  <c r="L39" i="30"/>
  <c r="J10" i="29"/>
  <c r="L83" i="30"/>
  <c r="J11" i="29"/>
  <c r="H15" i="29"/>
  <c r="L91" i="15"/>
  <c r="H13" i="29"/>
  <c r="E10" i="29"/>
  <c r="J75" i="30"/>
  <c r="H85" i="30"/>
  <c r="L14" i="29"/>
  <c r="J41" i="30"/>
  <c r="J49" i="15"/>
  <c r="L49" i="15" s="1"/>
  <c r="M14" i="29" s="1"/>
  <c r="H147" i="30"/>
  <c r="H166" i="30" s="1"/>
  <c r="J166" i="30" s="1"/>
  <c r="L166" i="30" s="1"/>
  <c r="H123" i="30"/>
  <c r="J123" i="30" s="1"/>
  <c r="L123" i="30" s="1"/>
  <c r="L33" i="17"/>
  <c r="G16" i="29"/>
  <c r="L16" i="29" s="1"/>
  <c r="G17" i="29"/>
  <c r="L17" i="29" s="1"/>
  <c r="L76" i="17"/>
  <c r="L76" i="15"/>
  <c r="G15" i="29"/>
  <c r="H142" i="30"/>
  <c r="H161" i="30" s="1"/>
  <c r="H118" i="30"/>
  <c r="J79" i="30"/>
  <c r="H146" i="30"/>
  <c r="H165" i="30" s="1"/>
  <c r="H122" i="30"/>
  <c r="L35" i="30"/>
  <c r="G10" i="29"/>
  <c r="H148" i="30"/>
  <c r="H167" i="30" s="1"/>
  <c r="J167" i="30" s="1"/>
  <c r="L167" i="30" s="1"/>
  <c r="H124" i="30"/>
  <c r="J124" i="30" s="1"/>
  <c r="L124" i="30" s="1"/>
  <c r="J49" i="30" l="1"/>
  <c r="H10" i="29" s="1"/>
  <c r="H49" i="30"/>
  <c r="H51" i="30" s="1"/>
  <c r="F51" i="30"/>
  <c r="L49" i="30"/>
  <c r="J92" i="30"/>
  <c r="L92" i="30" s="1"/>
  <c r="H93" i="30"/>
  <c r="H95" i="30" s="1"/>
  <c r="L91" i="30"/>
  <c r="L134" i="30"/>
  <c r="J135" i="30"/>
  <c r="L135" i="30" s="1"/>
  <c r="L10" i="29"/>
  <c r="L15" i="29"/>
  <c r="J85" i="30"/>
  <c r="J161" i="30"/>
  <c r="H171" i="30"/>
  <c r="H181" i="30" s="1"/>
  <c r="L75" i="30"/>
  <c r="E11" i="29"/>
  <c r="J118" i="30"/>
  <c r="H128" i="30"/>
  <c r="H138" i="30" s="1"/>
  <c r="J92" i="17"/>
  <c r="L92" i="17" s="1"/>
  <c r="M17" i="29" s="1"/>
  <c r="L39" i="17"/>
  <c r="J49" i="17"/>
  <c r="L49" i="17" s="1"/>
  <c r="M16" i="29" s="1"/>
  <c r="J93" i="15"/>
  <c r="L93" i="15" s="1"/>
  <c r="M15" i="29" s="1"/>
  <c r="J165" i="30"/>
  <c r="L41" i="30"/>
  <c r="J51" i="30"/>
  <c r="J122" i="30"/>
  <c r="L79" i="30"/>
  <c r="J93" i="30" l="1"/>
  <c r="L51" i="30"/>
  <c r="M10" i="29" s="1"/>
  <c r="L93" i="30"/>
  <c r="H11" i="29"/>
  <c r="L11" i="29" s="1"/>
  <c r="J136" i="30"/>
  <c r="L85" i="30"/>
  <c r="J95" i="30"/>
  <c r="L95" i="30" s="1"/>
  <c r="M11" i="29" s="1"/>
  <c r="J171" i="30"/>
  <c r="L171" i="30" s="1"/>
  <c r="J128" i="30"/>
  <c r="L128" i="30" s="1"/>
  <c r="L161" i="30"/>
  <c r="E12" i="29"/>
  <c r="E13" i="29"/>
  <c r="L118" i="30"/>
  <c r="L122" i="30"/>
  <c r="G12" i="29"/>
  <c r="L165" i="30"/>
  <c r="G13" i="29"/>
  <c r="L136" i="30" l="1"/>
  <c r="H12" i="29"/>
  <c r="L12" i="29"/>
  <c r="L13" i="29"/>
  <c r="J181" i="30"/>
  <c r="L181" i="30" s="1"/>
  <c r="M13" i="29" s="1"/>
  <c r="J138" i="30"/>
  <c r="L138" i="30" s="1"/>
  <c r="M12" i="29" s="1"/>
  <c r="C12" i="2" l="1"/>
  <c r="C7" i="29" l="1"/>
  <c r="C6" i="17"/>
  <c r="C6" i="12"/>
  <c r="C6" i="11"/>
  <c r="C6" i="8"/>
  <c r="C6" i="7"/>
  <c r="C6" i="6"/>
  <c r="C6" i="5"/>
  <c r="H37" i="18" l="1"/>
  <c r="H35" i="18"/>
  <c r="H33" i="18"/>
  <c r="F37" i="18"/>
  <c r="F35" i="18"/>
  <c r="F33" i="18"/>
  <c r="F31" i="18"/>
  <c r="H34" i="18"/>
  <c r="H31" i="18"/>
  <c r="F34" i="18"/>
  <c r="F43" i="18" l="1"/>
  <c r="F53" i="18" s="1"/>
  <c r="H43" i="18"/>
  <c r="H53" i="18" s="1"/>
  <c r="J36" i="18"/>
  <c r="L36" i="18" s="1"/>
  <c r="J31" i="18"/>
  <c r="J33" i="18"/>
  <c r="J34" i="18"/>
  <c r="L34" i="18" s="1"/>
  <c r="J35" i="18"/>
  <c r="L35" i="18" s="1"/>
  <c r="J37" i="18"/>
  <c r="L37" i="18" s="1"/>
  <c r="E18" i="29" l="1"/>
  <c r="J43" i="18"/>
  <c r="L33" i="18"/>
  <c r="G18" i="29"/>
  <c r="L31" i="18"/>
  <c r="L18" i="29" l="1"/>
  <c r="J53" i="18"/>
  <c r="L53" i="18" s="1"/>
  <c r="M18" i="29" s="1"/>
  <c r="L43" i="18"/>
  <c r="C3" i="29" l="1"/>
  <c r="C3" i="30" l="1"/>
  <c r="C3" i="21"/>
  <c r="C3" i="22"/>
  <c r="C3" i="17"/>
  <c r="C3" i="18"/>
  <c r="C3" i="15"/>
  <c r="C3" i="2" l="1"/>
  <c r="C2" i="29" s="1"/>
  <c r="C2" i="30" l="1"/>
  <c r="C2" i="21"/>
  <c r="C2" i="22"/>
  <c r="C2" i="1"/>
  <c r="C2" i="17"/>
  <c r="C2" i="18"/>
  <c r="C2" i="15"/>
  <c r="C3" i="4"/>
  <c r="C3" i="12"/>
  <c r="C3" i="13"/>
  <c r="C3" i="7"/>
  <c r="C3" i="6"/>
  <c r="C3" i="8"/>
  <c r="C3" i="5"/>
  <c r="C3" i="11"/>
  <c r="C3" i="3"/>
  <c r="C2" i="11"/>
  <c r="C2" i="12"/>
  <c r="C2" i="8"/>
  <c r="C2" i="5"/>
  <c r="C2" i="6"/>
  <c r="C2" i="13"/>
  <c r="C2" i="7"/>
  <c r="C2" i="3"/>
  <c r="C3" i="1"/>
  <c r="C2" i="4"/>
</calcChain>
</file>

<file path=xl/sharedStrings.xml><?xml version="1.0" encoding="utf-8"?>
<sst xmlns="http://schemas.openxmlformats.org/spreadsheetml/2006/main" count="933" uniqueCount="156">
  <si>
    <t>Commodity</t>
  </si>
  <si>
    <t>Total</t>
  </si>
  <si>
    <t>Distributor Information</t>
  </si>
  <si>
    <t>Distributor Name</t>
  </si>
  <si>
    <t>GDP-IPI</t>
  </si>
  <si>
    <t>Less Productivity</t>
  </si>
  <si>
    <t>Less Stretch Factor</t>
  </si>
  <si>
    <t>Current Rate</t>
  </si>
  <si>
    <t>Price Cap</t>
  </si>
  <si>
    <t>Adjusted Rates</t>
  </si>
  <si>
    <t>Billing Determinants</t>
  </si>
  <si>
    <t>OEB Application Number</t>
  </si>
  <si>
    <t>Proposed Rate</t>
  </si>
  <si>
    <t>Customer</t>
  </si>
  <si>
    <t>Metric</t>
  </si>
  <si>
    <t>Total Delivery</t>
  </si>
  <si>
    <t>Change $</t>
  </si>
  <si>
    <t>Change %</t>
  </si>
  <si>
    <t>Rate 1 Delivery Bill Impact</t>
  </si>
  <si>
    <t>Current Distribution Tariff Sheet Rates</t>
  </si>
  <si>
    <t>Proposed Distribution Tariff Sheet Rates</t>
  </si>
  <si>
    <t>Current Rate Riders</t>
  </si>
  <si>
    <t>Rate Riders</t>
  </si>
  <si>
    <t>Delivery</t>
  </si>
  <si>
    <t>Total Rate Riders</t>
  </si>
  <si>
    <t>Total Bill Impact</t>
  </si>
  <si>
    <t>Change</t>
  </si>
  <si>
    <t>Summary of Bill Impacts</t>
  </si>
  <si>
    <t>Rate Class</t>
  </si>
  <si>
    <t>EPCOR Natural Gas Limited Partnership</t>
  </si>
  <si>
    <t>Volumetric Change</t>
  </si>
  <si>
    <t>Fixed Change</t>
  </si>
  <si>
    <t>Total Change %</t>
  </si>
  <si>
    <t>Revenue</t>
  </si>
  <si>
    <t>Proposed Revenue from Rates</t>
  </si>
  <si>
    <t>Proposed Revenue</t>
  </si>
  <si>
    <t>Current Revenue</t>
  </si>
  <si>
    <t>Base</t>
  </si>
  <si>
    <t>First 100 m3</t>
  </si>
  <si>
    <t>Firm Demand</t>
  </si>
  <si>
    <t>Rate 1</t>
  </si>
  <si>
    <t>Existing Residential</t>
  </si>
  <si>
    <t>New Residential</t>
  </si>
  <si>
    <t>Small Commercial</t>
  </si>
  <si>
    <t>Small Agricultural</t>
  </si>
  <si>
    <t>Rate 6</t>
  </si>
  <si>
    <t>Medium Commercial</t>
  </si>
  <si>
    <t>Large Commercial</t>
  </si>
  <si>
    <t>Rate 11</t>
  </si>
  <si>
    <t>Sample Dryer 1</t>
  </si>
  <si>
    <t>Sample Dryer 2</t>
  </si>
  <si>
    <t>Rate 16</t>
  </si>
  <si>
    <t>Contracted Firm Service</t>
  </si>
  <si>
    <t>General Firm Service</t>
  </si>
  <si>
    <t>Large Volume General Firm Service</t>
  </si>
  <si>
    <t>Large Volume Seasonal Service</t>
  </si>
  <si>
    <t>Total Revenue</t>
  </si>
  <si>
    <t>Rate 1 | General Firm Service</t>
  </si>
  <si>
    <t>Rate 6 | Large Volume General Firm Service</t>
  </si>
  <si>
    <t>Rate 11 | Large Volume Seasonal Service</t>
  </si>
  <si>
    <t>Rate 16 | Contracted Firm Service</t>
  </si>
  <si>
    <t>Rate 1 - Existing Residential</t>
  </si>
  <si>
    <t>Next 400 m3</t>
  </si>
  <si>
    <t>GT 500m3</t>
  </si>
  <si>
    <t>Contracted Demand</t>
  </si>
  <si>
    <t>Delay in Revenue Recovery Rate Rider</t>
  </si>
  <si>
    <t>Rate 1 - New Residential</t>
  </si>
  <si>
    <t>Rate 1 - Small Commercial</t>
  </si>
  <si>
    <t>Rate 1 - Small Agricultural</t>
  </si>
  <si>
    <t>Rate 6 - Medium Commercial</t>
  </si>
  <si>
    <t>First 1000 m3</t>
  </si>
  <si>
    <t>Next 6000 m3</t>
  </si>
  <si>
    <t>GT 7000m3</t>
  </si>
  <si>
    <t>All Volumes</t>
  </si>
  <si>
    <t>Forecasted Revenue from Current Rates</t>
  </si>
  <si>
    <t>cents / m3 volume</t>
  </si>
  <si>
    <t>cents / contracted demand / month</t>
  </si>
  <si>
    <t>Dec 31, 2028</t>
  </si>
  <si>
    <t>% Change</t>
  </si>
  <si>
    <t>Rate 11 - Large Seasonal Service Sample Dryer 1</t>
  </si>
  <si>
    <t>Rate 11 - Large Seasonal Service Sample Dryer 2</t>
  </si>
  <si>
    <t>Rate 16 - Contracted Demand</t>
  </si>
  <si>
    <t>Federal Carbon Charge</t>
  </si>
  <si>
    <t>Federal Carbon Charge Change</t>
  </si>
  <si>
    <t>Name for $1 Charge:</t>
  </si>
  <si>
    <t>Bill 32 Rate</t>
  </si>
  <si>
    <t>Tier 1</t>
  </si>
  <si>
    <t>Tier 2</t>
  </si>
  <si>
    <t>Tier 3</t>
  </si>
  <si>
    <t>G1.1 Rate 1 Bill Impact</t>
  </si>
  <si>
    <t>G1.2 Rate 6 Bill Impact</t>
  </si>
  <si>
    <t>Months / Year</t>
  </si>
  <si>
    <t>Description:</t>
  </si>
  <si>
    <t>Effective Until:</t>
  </si>
  <si>
    <t>Rate 16 Delivery Bill Impact</t>
  </si>
  <si>
    <t>($/year)</t>
  </si>
  <si>
    <t>Total Change</t>
  </si>
  <si>
    <t>(A)</t>
  </si>
  <si>
    <t>(A) Rates 1, 6, and 11 all charged on cents / m3 basis. Rate 16 billed on cents / m3 of contracted demand basis</t>
  </si>
  <si>
    <t>Transportation Charge From Dawn</t>
  </si>
  <si>
    <t>Transportation Charge From Parkway</t>
  </si>
  <si>
    <t>Upstream Recovery 
Charge</t>
  </si>
  <si>
    <t>Transportation &amp; 
Storage Charge</t>
  </si>
  <si>
    <t>Transportation Charge 
From Dawn</t>
  </si>
  <si>
    <t>Transportation Charge 
From Kirkwall</t>
  </si>
  <si>
    <t>(A) Transportation &amp; Storage for Rates 1, 6, and 11. Transportation only for Rate 16.</t>
  </si>
  <si>
    <t>Federal Carbon 
Charge</t>
  </si>
  <si>
    <t>$/month</t>
  </si>
  <si>
    <t>$/m3</t>
  </si>
  <si>
    <t>Units</t>
  </si>
  <si>
    <t>$/contracted demand m3</t>
  </si>
  <si>
    <t>Description</t>
  </si>
  <si>
    <t>cx's</t>
  </si>
  <si>
    <t>m3</t>
  </si>
  <si>
    <t>Unit</t>
  </si>
  <si>
    <t>cents / m3</t>
  </si>
  <si>
    <t>Rate 1 Incentive Rate Adjustment</t>
  </si>
  <si>
    <t>Rate 6 Incentive Rate Adjustment</t>
  </si>
  <si>
    <t>Incentive Rate Adjustment</t>
  </si>
  <si>
    <t>Rate 11 Incentive Rate Adjustment</t>
  </si>
  <si>
    <t>Rate 16 Incentive Rate Adjustment</t>
  </si>
  <si>
    <t xml:space="preserve"> $/month</t>
  </si>
  <si>
    <t>$ / month</t>
  </si>
  <si>
    <t>₵/m3</t>
  </si>
  <si>
    <t>Cents/contracted demand m3</t>
  </si>
  <si>
    <t>(A) Transportation &amp; Storage for Rates 1, 6, and 11. Transportation only (no seasonal storage) for Rate 16 from Dawn.</t>
  </si>
  <si>
    <t>Cents/m3</t>
  </si>
  <si>
    <t>₵ / contracted m3</t>
  </si>
  <si>
    <t>Gas Supply</t>
  </si>
  <si>
    <t>Contract Demand</t>
  </si>
  <si>
    <t>Delivery Charge</t>
  </si>
  <si>
    <t xml:space="preserve">Fixed </t>
  </si>
  <si>
    <t>Monthly Base</t>
  </si>
  <si>
    <r>
      <rPr>
        <b/>
        <sz val="9"/>
        <color theme="0"/>
        <rFont val="Calibri"/>
        <family val="2"/>
      </rPr>
      <t>₵</t>
    </r>
    <r>
      <rPr>
        <b/>
        <sz val="9"/>
        <color theme="0"/>
        <rFont val="Calibri"/>
        <family val="2"/>
        <scheme val="minor"/>
      </rPr>
      <t xml:space="preserve"> / m3</t>
    </r>
  </si>
  <si>
    <t>₵ /contracted m3</t>
  </si>
  <si>
    <t>₵  / m3</t>
  </si>
  <si>
    <t>Fixed Monthly</t>
  </si>
  <si>
    <t>Contract  Demand</t>
  </si>
  <si>
    <t>Delivery  Charge</t>
  </si>
  <si>
    <t>Fixed</t>
  </si>
  <si>
    <t>₵/contracted m3</t>
  </si>
  <si>
    <t>Contracted m3</t>
  </si>
  <si>
    <t>Contracted
Demand</t>
  </si>
  <si>
    <t>Rate 6 Delivery Bill Impact</t>
  </si>
  <si>
    <t>Rate 11 Delivery Bill Impact</t>
  </si>
  <si>
    <t>F1.3 Rate Riders</t>
  </si>
  <si>
    <t>Energy Content Variance Account (ECVA)</t>
  </si>
  <si>
    <t>Contribution in Aid of Construction Variance Account (CIACVA)</t>
  </si>
  <si>
    <t>External Funding Variance Account (EFVA)</t>
  </si>
  <si>
    <t>ECVA Rate Rider</t>
  </si>
  <si>
    <t>CIACVA Rate Rider</t>
  </si>
  <si>
    <t>EFVA Rate Rider</t>
  </si>
  <si>
    <t>EB-2022-0184  Exhibit A - 2023 Custom Incentive Application</t>
  </si>
  <si>
    <t>Cents/contracted demand m3/month</t>
  </si>
  <si>
    <t>Municipal Tax Variance Account</t>
  </si>
  <si>
    <t>MTVA Rate Rider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</si>
</sst>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(&quot;$&quot;* #,##0_);_(&quot;$&quot;* \(#,##0\);_(&quot;$&quot;* &quot;-&quot;_);_(@_)"/>
    <numFmt numFmtId="41" formatCode="_(* #,##0_);_(* \(#,##0\);_(* &quot;-&quot;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* #,##0_-;\-* #,##0_-;_-* &quot;-&quot;??_-;_-@_-"/>
    <numFmt numFmtId="167" formatCode="_-* #,##0.0000_-;\-* #,##0.0000_-;_-* &quot;-&quot;??_-;_-@_-"/>
    <numFmt numFmtId="168" formatCode="0.0%"/>
    <numFmt numFmtId="169" formatCode="#,##0.00000"/>
    <numFmt numFmtId="170" formatCode="#,##0.0000"/>
  </numFmts>
  <fonts count="3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4"/>
      <name val="Arial"/>
      <family val="2"/>
    </font>
    <font>
      <i/>
      <sz val="12"/>
      <color rgb="FF0070C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CC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0"/>
      <name val="Calibri"/>
      <family val="2"/>
    </font>
    <font>
      <b/>
      <sz val="16"/>
      <color theme="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lightGray">
        <fgColor auto="1"/>
        <bgColor auto="1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53">
    <xf numFmtId="4" fontId="0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70" fontId="26" fillId="36" borderId="1" applyNumberFormat="0"/>
    <xf numFmtId="0" fontId="5" fillId="0" borderId="0"/>
    <xf numFmtId="0" fontId="12" fillId="4" borderId="0">
      <alignment horizontal="center" vertical="center"/>
    </xf>
    <xf numFmtId="3" fontId="27" fillId="0" borderId="1" applyNumberFormat="0" applyBorder="0"/>
    <xf numFmtId="3" fontId="3" fillId="0" borderId="14" applyNumberFormat="0"/>
    <xf numFmtId="41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7" applyNumberFormat="0" applyAlignment="0" applyProtection="0"/>
    <xf numFmtId="0" fontId="21" fillId="9" borderId="8" applyNumberFormat="0" applyAlignment="0" applyProtection="0"/>
    <xf numFmtId="0" fontId="22" fillId="9" borderId="7" applyNumberFormat="0" applyAlignment="0" applyProtection="0"/>
    <xf numFmtId="0" fontId="23" fillId="0" borderId="9" applyNumberFormat="0" applyFill="0" applyAlignment="0" applyProtection="0"/>
    <xf numFmtId="0" fontId="24" fillId="10" borderId="10" applyNumberFormat="0" applyAlignment="0" applyProtection="0"/>
    <xf numFmtId="0" fontId="25" fillId="0" borderId="0" applyNumberFormat="0" applyFill="0" applyBorder="0" applyAlignment="0" applyProtection="0"/>
    <xf numFmtId="0" fontId="3" fillId="11" borderId="11" applyNumberFormat="0" applyFont="0" applyAlignment="0" applyProtection="0"/>
    <xf numFmtId="0" fontId="10" fillId="0" borderId="12" applyNumberFormat="0" applyFill="0" applyAlignment="0" applyProtection="0"/>
    <xf numFmtId="0" fontId="1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12" fillId="35" borderId="0" applyNumberFormat="0" applyBorder="0" applyAlignment="0" applyProtection="0"/>
    <xf numFmtId="1" fontId="28" fillId="0" borderId="0"/>
    <xf numFmtId="0" fontId="12" fillId="37" borderId="2">
      <alignment horizontal="center" vertical="center"/>
    </xf>
  </cellStyleXfs>
  <cellXfs count="122">
    <xf numFmtId="4" fontId="0" fillId="0" borderId="0" xfId="0"/>
    <xf numFmtId="4" fontId="0" fillId="0" borderId="13" xfId="0" applyBorder="1"/>
    <xf numFmtId="3" fontId="25" fillId="0" borderId="13" xfId="24" applyNumberFormat="1" applyBorder="1"/>
    <xf numFmtId="170" fontId="26" fillId="36" borderId="1" xfId="4"/>
    <xf numFmtId="4" fontId="26" fillId="36" borderId="1" xfId="4" applyNumberFormat="1"/>
    <xf numFmtId="0" fontId="12" fillId="4" borderId="0" xfId="6">
      <alignment horizontal="center" vertical="center"/>
    </xf>
    <xf numFmtId="0" fontId="26" fillId="36" borderId="1" xfId="4" applyNumberFormat="1"/>
    <xf numFmtId="0" fontId="5" fillId="0" borderId="0" xfId="5"/>
    <xf numFmtId="3" fontId="26" fillId="36" borderId="1" xfId="4" applyNumberFormat="1"/>
    <xf numFmtId="3" fontId="27" fillId="0" borderId="1" xfId="7" applyNumberFormat="1"/>
    <xf numFmtId="3" fontId="0" fillId="0" borderId="13" xfId="0" applyNumberFormat="1" applyBorder="1"/>
    <xf numFmtId="3" fontId="27" fillId="0" borderId="13" xfId="7" applyNumberFormat="1" applyBorder="1"/>
    <xf numFmtId="4" fontId="0" fillId="0" borderId="0" xfId="0"/>
    <xf numFmtId="4" fontId="0" fillId="0" borderId="0" xfId="0" applyProtection="1">
      <protection locked="0"/>
    </xf>
    <xf numFmtId="4" fontId="6" fillId="3" borderId="0" xfId="0" applyFont="1" applyFill="1" applyBorder="1" applyAlignment="1" applyProtection="1"/>
    <xf numFmtId="4" fontId="5" fillId="0" borderId="0" xfId="0" applyFont="1" applyProtection="1"/>
    <xf numFmtId="4" fontId="4" fillId="0" borderId="0" xfId="0" applyFont="1" applyProtection="1"/>
    <xf numFmtId="4" fontId="7" fillId="0" borderId="0" xfId="0" applyFont="1" applyProtection="1"/>
    <xf numFmtId="4" fontId="8" fillId="0" borderId="0" xfId="0" applyFont="1" applyProtection="1"/>
    <xf numFmtId="10" fontId="0" fillId="0" borderId="0" xfId="0" applyNumberFormat="1" applyProtection="1"/>
    <xf numFmtId="4" fontId="4" fillId="0" borderId="0" xfId="0" applyFont="1" applyProtection="1">
      <protection locked="0"/>
    </xf>
    <xf numFmtId="4" fontId="2" fillId="0" borderId="0" xfId="0" applyFont="1" applyProtection="1"/>
    <xf numFmtId="4" fontId="10" fillId="0" borderId="0" xfId="0" applyFont="1" applyProtection="1"/>
    <xf numFmtId="4" fontId="0" fillId="0" borderId="0" xfId="0" applyAlignment="1">
      <alignment horizontal="center"/>
    </xf>
    <xf numFmtId="4" fontId="0" fillId="0" borderId="0" xfId="0" applyAlignment="1" applyProtection="1">
      <alignment horizontal="right"/>
    </xf>
    <xf numFmtId="4" fontId="1" fillId="0" borderId="0" xfId="0" applyFont="1" applyAlignment="1" applyProtection="1">
      <alignment horizontal="left" indent="1"/>
    </xf>
    <xf numFmtId="4" fontId="1" fillId="0" borderId="0" xfId="0" applyFont="1" applyProtection="1"/>
    <xf numFmtId="4" fontId="1" fillId="0" borderId="0" xfId="0" applyFont="1" applyProtection="1">
      <protection locked="0"/>
    </xf>
    <xf numFmtId="39" fontId="1" fillId="0" borderId="0" xfId="0" applyNumberFormat="1" applyFont="1" applyProtection="1"/>
    <xf numFmtId="166" fontId="4" fillId="0" borderId="0" xfId="1" applyNumberFormat="1" applyFont="1" applyFill="1" applyProtection="1"/>
    <xf numFmtId="4" fontId="1" fillId="0" borderId="0" xfId="0" applyFont="1" applyAlignment="1" applyProtection="1">
      <alignment horizontal="center" wrapText="1"/>
    </xf>
    <xf numFmtId="4" fontId="4" fillId="0" borderId="0" xfId="0" applyFont="1" applyFill="1" applyProtection="1"/>
    <xf numFmtId="4" fontId="0" fillId="0" borderId="0" xfId="0" applyFill="1" applyProtection="1"/>
    <xf numFmtId="4" fontId="11" fillId="0" borderId="0" xfId="0" applyFont="1" applyProtection="1"/>
    <xf numFmtId="4" fontId="0" fillId="0" borderId="0" xfId="0" applyProtection="1"/>
    <xf numFmtId="4" fontId="0" fillId="0" borderId="0" xfId="0" applyFill="1" applyBorder="1" applyProtection="1"/>
    <xf numFmtId="165" fontId="9" fillId="0" borderId="0" xfId="0" applyNumberFormat="1" applyFont="1" applyFill="1" applyBorder="1" applyProtection="1"/>
    <xf numFmtId="4" fontId="1" fillId="0" borderId="0" xfId="0" applyFont="1" applyFill="1" applyProtection="1"/>
    <xf numFmtId="39" fontId="9" fillId="0" borderId="0" xfId="0" applyNumberFormat="1" applyFont="1" applyFill="1" applyBorder="1" applyProtection="1"/>
    <xf numFmtId="168" fontId="9" fillId="0" borderId="0" xfId="3" applyNumberFormat="1" applyFont="1" applyFill="1" applyBorder="1" applyAlignment="1" applyProtection="1">
      <alignment horizontal="center"/>
    </xf>
    <xf numFmtId="4" fontId="0" fillId="0" borderId="0" xfId="0" applyProtection="1"/>
    <xf numFmtId="4" fontId="0" fillId="0" borderId="0" xfId="0" applyNumberFormat="1"/>
    <xf numFmtId="169" fontId="0" fillId="0" borderId="0" xfId="0" applyNumberFormat="1"/>
    <xf numFmtId="4" fontId="0" fillId="0" borderId="1" xfId="0" applyBorder="1"/>
    <xf numFmtId="3" fontId="0" fillId="0" borderId="1" xfId="0" applyNumberFormat="1" applyBorder="1"/>
    <xf numFmtId="170" fontId="0" fillId="0" borderId="0" xfId="0" applyNumberFormat="1"/>
    <xf numFmtId="4" fontId="0" fillId="0" borderId="0" xfId="0" applyNumberFormat="1" applyProtection="1"/>
    <xf numFmtId="3" fontId="0" fillId="0" borderId="0" xfId="0" applyNumberFormat="1" applyProtection="1"/>
    <xf numFmtId="167" fontId="1" fillId="0" borderId="0" xfId="0" applyNumberFormat="1" applyFont="1" applyProtection="1"/>
    <xf numFmtId="10" fontId="0" fillId="0" borderId="0" xfId="0" applyNumberFormat="1"/>
    <xf numFmtId="4" fontId="0" fillId="2" borderId="1" xfId="0" applyFill="1" applyBorder="1"/>
    <xf numFmtId="3" fontId="3" fillId="0" borderId="14" xfId="8" applyNumberFormat="1"/>
    <xf numFmtId="4" fontId="0" fillId="0" borderId="0" xfId="0" quotePrefix="1"/>
    <xf numFmtId="170" fontId="26" fillId="36" borderId="1" xfId="4" applyNumberFormat="1"/>
    <xf numFmtId="10" fontId="26" fillId="36" borderId="1" xfId="4" applyNumberFormat="1"/>
    <xf numFmtId="10" fontId="0" fillId="0" borderId="0" xfId="3" applyFont="1"/>
    <xf numFmtId="3" fontId="0" fillId="0" borderId="0" xfId="0" applyNumberFormat="1"/>
    <xf numFmtId="3" fontId="25" fillId="0" borderId="0" xfId="24" applyNumberFormat="1"/>
    <xf numFmtId="4" fontId="27" fillId="0" borderId="0" xfId="7" applyNumberFormat="1" applyBorder="1" applyAlignment="1">
      <alignment horizontal="center"/>
    </xf>
    <xf numFmtId="10" fontId="0" fillId="0" borderId="0" xfId="0" applyNumberFormat="1" applyAlignment="1" applyProtection="1">
      <alignment horizontal="center"/>
    </xf>
    <xf numFmtId="4" fontId="0" fillId="0" borderId="0" xfId="0" applyNumberFormat="1" applyAlignment="1" applyProtection="1">
      <alignment horizontal="center"/>
    </xf>
    <xf numFmtId="10" fontId="26" fillId="36" borderId="1" xfId="4" applyNumberFormat="1" applyAlignment="1">
      <alignment horizontal="center"/>
    </xf>
    <xf numFmtId="170" fontId="0" fillId="0" borderId="0" xfId="0" applyNumberFormat="1" applyAlignment="1" applyProtection="1">
      <alignment horizontal="center"/>
    </xf>
    <xf numFmtId="3" fontId="27" fillId="0" borderId="0" xfId="7" applyNumberFormat="1" applyBorder="1"/>
    <xf numFmtId="3" fontId="25" fillId="0" borderId="0" xfId="24" applyNumberFormat="1" applyBorder="1"/>
    <xf numFmtId="0" fontId="12" fillId="4" borderId="0" xfId="6" applyAlignment="1">
      <alignment horizontal="right" vertical="center"/>
    </xf>
    <xf numFmtId="4" fontId="0" fillId="0" borderId="1" xfId="0" applyNumberFormat="1" applyBorder="1" applyAlignment="1">
      <alignment horizontal="center"/>
    </xf>
    <xf numFmtId="3" fontId="27" fillId="0" borderId="1" xfId="7" applyNumberFormat="1" applyBorder="1"/>
    <xf numFmtId="3" fontId="25" fillId="0" borderId="1" xfId="24" applyNumberFormat="1" applyBorder="1" applyAlignment="1">
      <alignment horizontal="right"/>
    </xf>
    <xf numFmtId="0" fontId="26" fillId="36" borderId="1" xfId="4" applyNumberFormat="1" applyAlignment="1">
      <alignment horizontal="center"/>
    </xf>
    <xf numFmtId="165" fontId="27" fillId="0" borderId="1" xfId="7" applyNumberFormat="1" applyBorder="1"/>
    <xf numFmtId="167" fontId="27" fillId="0" borderId="1" xfId="7" applyNumberFormat="1" applyBorder="1"/>
    <xf numFmtId="166" fontId="26" fillId="36" borderId="1" xfId="4" applyNumberFormat="1"/>
    <xf numFmtId="4" fontId="1" fillId="0" borderId="0" xfId="0" applyNumberFormat="1" applyFont="1" applyProtection="1"/>
    <xf numFmtId="165" fontId="3" fillId="0" borderId="14" xfId="8" applyNumberFormat="1"/>
    <xf numFmtId="168" fontId="3" fillId="0" borderId="14" xfId="8" applyNumberFormat="1"/>
    <xf numFmtId="39" fontId="3" fillId="0" borderId="14" xfId="8" applyNumberFormat="1"/>
    <xf numFmtId="1" fontId="28" fillId="0" borderId="0" xfId="51"/>
    <xf numFmtId="10" fontId="3" fillId="0" borderId="14" xfId="8" applyNumberFormat="1"/>
    <xf numFmtId="10" fontId="0" fillId="0" borderId="0" xfId="0" applyNumberFormat="1" applyAlignment="1">
      <alignment horizontal="right"/>
    </xf>
    <xf numFmtId="10" fontId="3" fillId="0" borderId="14" xfId="8" applyNumberFormat="1" applyAlignment="1">
      <alignment horizontal="right"/>
    </xf>
    <xf numFmtId="0" fontId="12" fillId="4" borderId="0" xfId="6" applyAlignment="1">
      <alignment horizontal="left" vertical="center"/>
    </xf>
    <xf numFmtId="4" fontId="3" fillId="0" borderId="14" xfId="8" applyNumberFormat="1"/>
    <xf numFmtId="166" fontId="26" fillId="36" borderId="3" xfId="4" applyNumberFormat="1" applyBorder="1"/>
    <xf numFmtId="0" fontId="12" fillId="37" borderId="2" xfId="52">
      <alignment horizontal="center" vertical="center"/>
    </xf>
    <xf numFmtId="0" fontId="12" fillId="4" borderId="0" xfId="6" applyAlignment="1">
      <alignment horizontal="center" vertical="center"/>
    </xf>
    <xf numFmtId="4" fontId="27" fillId="0" borderId="1" xfId="7" applyNumberFormat="1" applyBorder="1"/>
    <xf numFmtId="170" fontId="27" fillId="0" borderId="1" xfId="7" applyNumberFormat="1" applyBorder="1"/>
    <xf numFmtId="4" fontId="29" fillId="0" borderId="0" xfId="0" quotePrefix="1" applyFont="1" applyFill="1" applyBorder="1"/>
    <xf numFmtId="0" fontId="12" fillId="4" borderId="0" xfId="6" applyAlignment="1">
      <alignment horizontal="center" vertical="center" wrapText="1"/>
    </xf>
    <xf numFmtId="3" fontId="27" fillId="38" borderId="1" xfId="7" applyNumberFormat="1" applyFill="1"/>
    <xf numFmtId="3" fontId="27" fillId="38" borderId="13" xfId="7" applyNumberFormat="1" applyFill="1" applyBorder="1"/>
    <xf numFmtId="170" fontId="27" fillId="0" borderId="0" xfId="7" applyNumberFormat="1" applyBorder="1" applyAlignment="1">
      <alignment horizontal="center"/>
    </xf>
    <xf numFmtId="3" fontId="26" fillId="36" borderId="1" xfId="4" applyNumberFormat="1" applyAlignment="1">
      <alignment horizontal="right"/>
    </xf>
    <xf numFmtId="4" fontId="29" fillId="0" borderId="0" xfId="0" applyFont="1" applyProtection="1">
      <protection locked="0"/>
    </xf>
    <xf numFmtId="4" fontId="3" fillId="0" borderId="0" xfId="8" applyNumberFormat="1" applyBorder="1"/>
    <xf numFmtId="4" fontId="1" fillId="0" borderId="0" xfId="0" applyFont="1" applyAlignment="1" applyProtection="1">
      <alignment horizontal="center"/>
    </xf>
    <xf numFmtId="4" fontId="30" fillId="0" borderId="0" xfId="0" applyFont="1" applyAlignment="1">
      <alignment horizontal="center"/>
    </xf>
    <xf numFmtId="10" fontId="27" fillId="0" borderId="1" xfId="7" applyNumberFormat="1" applyBorder="1"/>
    <xf numFmtId="170" fontId="26" fillId="39" borderId="1" xfId="4" applyFill="1"/>
    <xf numFmtId="4" fontId="30" fillId="0" borderId="0" xfId="0" applyFont="1" applyProtection="1">
      <protection locked="0"/>
    </xf>
    <xf numFmtId="4" fontId="31" fillId="0" borderId="0" xfId="0" applyFont="1" applyAlignment="1" applyProtection="1">
      <alignment horizontal="left" indent="1"/>
    </xf>
    <xf numFmtId="4" fontId="31" fillId="0" borderId="0" xfId="0" applyFont="1" applyFill="1" applyBorder="1" applyAlignment="1" applyProtection="1">
      <alignment horizontal="left" indent="1"/>
    </xf>
    <xf numFmtId="170" fontId="26" fillId="39" borderId="1" xfId="4" applyNumberFormat="1" applyFill="1"/>
    <xf numFmtId="4" fontId="31" fillId="0" borderId="0" xfId="0" applyFont="1" applyAlignment="1" applyProtection="1">
      <alignment horizontal="center" vertical="center"/>
    </xf>
    <xf numFmtId="4" fontId="31" fillId="0" borderId="0" xfId="0" applyFont="1" applyFill="1" applyBorder="1" applyAlignment="1" applyProtection="1">
      <alignment horizontal="center" vertical="center"/>
    </xf>
    <xf numFmtId="4" fontId="10" fillId="4" borderId="0" xfId="0" applyFont="1" applyFill="1" applyProtection="1">
      <protection locked="0"/>
    </xf>
    <xf numFmtId="4" fontId="24" fillId="4" borderId="0" xfId="0" applyFont="1" applyFill="1" applyAlignment="1" applyProtection="1">
      <alignment horizontal="center"/>
      <protection locked="0"/>
    </xf>
    <xf numFmtId="0" fontId="24" fillId="4" borderId="0" xfId="6" applyFont="1" applyAlignment="1">
      <alignment horizontal="center" vertical="center" wrapText="1"/>
    </xf>
    <xf numFmtId="0" fontId="24" fillId="4" borderId="0" xfId="6" applyFont="1">
      <alignment horizontal="center" vertical="center"/>
    </xf>
    <xf numFmtId="0" fontId="24" fillId="4" borderId="1" xfId="6" applyFont="1" applyFill="1" applyBorder="1">
      <alignment horizontal="center" vertical="center"/>
    </xf>
    <xf numFmtId="0" fontId="32" fillId="4" borderId="0" xfId="6" applyFont="1">
      <alignment horizontal="center" vertical="center"/>
    </xf>
    <xf numFmtId="0" fontId="24" fillId="4" borderId="0" xfId="6" applyFont="1" applyAlignment="1">
      <alignment horizontal="center" vertical="center"/>
    </xf>
    <xf numFmtId="0" fontId="34" fillId="4" borderId="0" xfId="5" applyFont="1" applyFill="1"/>
    <xf numFmtId="4" fontId="24" fillId="4" borderId="0" xfId="0" applyFont="1" applyFill="1" applyProtection="1">
      <protection locked="0"/>
    </xf>
    <xf numFmtId="170" fontId="27" fillId="40" borderId="0" xfId="7" applyNumberFormat="1" applyFill="1" applyBorder="1" applyAlignment="1">
      <alignment horizontal="center"/>
    </xf>
    <xf numFmtId="0" fontId="24" fillId="4" borderId="0" xfId="6" applyFont="1" applyAlignment="1">
      <alignment horizontal="left" vertical="center"/>
    </xf>
    <xf numFmtId="10" fontId="27" fillId="0" borderId="0" xfId="7" applyNumberFormat="1" applyBorder="1"/>
    <xf numFmtId="4" fontId="0" fillId="0" borderId="0" xfId="0" applyAlignment="1">
      <alignment wrapText="1"/>
    </xf>
    <xf numFmtId="4" fontId="24" fillId="4" borderId="2" xfId="0" applyFont="1" applyFill="1" applyBorder="1" applyAlignment="1" applyProtection="1">
      <alignment horizontal="center"/>
      <protection locked="0"/>
    </xf>
    <xf numFmtId="4" fontId="24" fillId="4" borderId="0" xfId="0" applyFont="1" applyFill="1" applyAlignment="1" applyProtection="1">
      <alignment horizontal="center"/>
      <protection locked="0"/>
    </xf>
    <xf numFmtId="0" fontId="3" fillId="0" borderId="14" xfId="8" applyNumberFormat="1"/>
  </cellXfs>
  <cellStyles count="53">
    <cellStyle name="20% - Accent1" xfId="28" builtinId="30" hidden="1"/>
    <cellStyle name="20% - Accent2" xfId="32" builtinId="34" hidden="1"/>
    <cellStyle name="20% - Accent3" xfId="36" builtinId="38" hidden="1"/>
    <cellStyle name="20% - Accent4" xfId="40" builtinId="42" hidden="1"/>
    <cellStyle name="20% - Accent5" xfId="44" builtinId="46" hidden="1"/>
    <cellStyle name="20% - Accent6" xfId="48" builtinId="50" hidden="1"/>
    <cellStyle name="40% - Accent1" xfId="29" builtinId="31" hidden="1"/>
    <cellStyle name="40% - Accent2" xfId="33" builtinId="35" hidden="1"/>
    <cellStyle name="40% - Accent3" xfId="37" builtinId="39" hidden="1"/>
    <cellStyle name="40% - Accent4" xfId="41" builtinId="43" hidden="1"/>
    <cellStyle name="40% - Accent5" xfId="45" builtinId="47" hidden="1"/>
    <cellStyle name="40% - Accent6" xfId="49" builtinId="51" hidden="1"/>
    <cellStyle name="60% - Accent1" xfId="30" builtinId="32" hidden="1"/>
    <cellStyle name="60% - Accent2" xfId="34" builtinId="36" hidden="1"/>
    <cellStyle name="60% - Accent3" xfId="38" builtinId="40" hidden="1"/>
    <cellStyle name="60% - Accent4" xfId="42" builtinId="44" hidden="1"/>
    <cellStyle name="60% - Accent5" xfId="46" builtinId="48" hidden="1"/>
    <cellStyle name="60% - Accent6" xfId="50" builtinId="52" hidden="1"/>
    <cellStyle name="Accent1" xfId="27" builtinId="29" hidden="1"/>
    <cellStyle name="Accent2" xfId="31" builtinId="33" hidden="1"/>
    <cellStyle name="Accent3" xfId="35" builtinId="37" hidden="1"/>
    <cellStyle name="Accent4" xfId="39" builtinId="41" hidden="1"/>
    <cellStyle name="Accent5" xfId="43" builtinId="45" hidden="1"/>
    <cellStyle name="Accent6" xfId="47" builtinId="49" hidden="1"/>
    <cellStyle name="Bad" xfId="17" builtinId="27" hidden="1"/>
    <cellStyle name="Calculation" xfId="21" builtinId="22" hidden="1"/>
    <cellStyle name="Check Cell" xfId="23" builtinId="23" hidden="1"/>
    <cellStyle name="Comma" xfId="1" builtinId="3"/>
    <cellStyle name="Comma [0]" xfId="9" builtinId="6" hidden="1"/>
    <cellStyle name="Currency" xfId="2" builtinId="4" hidden="1"/>
    <cellStyle name="Currency [0]" xfId="10" builtinId="7" hidden="1"/>
    <cellStyle name="Good" xfId="16" builtinId="26" hidden="1"/>
    <cellStyle name="Header1" xfId="5"/>
    <cellStyle name="Header2" xfId="51"/>
    <cellStyle name="Heading 1" xfId="12" builtinId="16" hidden="1"/>
    <cellStyle name="Heading 2" xfId="13" builtinId="17" hidden="1"/>
    <cellStyle name="Heading 3" xfId="14" builtinId="18" hidden="1"/>
    <cellStyle name="Heading 4" xfId="15" builtinId="19" hidden="1"/>
    <cellStyle name="Input" xfId="19" builtinId="20" hidden="1"/>
    <cellStyle name="Input" xfId="4" builtinId="20" customBuiltin="1"/>
    <cellStyle name="Linked Cell" xfId="22" builtinId="24" hidden="1"/>
    <cellStyle name="Neutral" xfId="18" builtinId="28" hidden="1"/>
    <cellStyle name="Normal" xfId="0" builtinId="0" customBuiltin="1"/>
    <cellStyle name="Note" xfId="25" builtinId="10" hidden="1"/>
    <cellStyle name="Offsheet" xfId="7"/>
    <cellStyle name="Output" xfId="20" builtinId="21" hidden="1"/>
    <cellStyle name="Percent" xfId="3" builtinId="5" customBuiltin="1"/>
    <cellStyle name="Table Header" xfId="6"/>
    <cellStyle name="Table2 Header" xfId="52"/>
    <cellStyle name="Title" xfId="11" builtinId="15" hidden="1"/>
    <cellStyle name="Total" xfId="26" builtinId="25" hidden="1"/>
    <cellStyle name="Total - Vertical" xfId="8"/>
    <cellStyle name="Warning Text" xfId="24" builtinId="11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Relationship Id="rId27" Type="http://schemas.microsoft.com/office/2006/relationships/vbaProject" Target="vbaProject.bin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42"/>
  <sheetViews>
    <sheetView showGridLines="0" tabSelected="1" zoomScaleNormal="100" workbookViewId="0">
      <selection activeCell="C17" sqref="C17"/>
    </sheetView>
  </sheetViews>
  <sheetFormatPr defaultColWidth="0" defaultRowHeight="15" zeroHeight="1" x14ac:dyDescent="0.25"/>
  <cols>
    <col min="1" max="2" width="5.7109375" style="13" customWidth="1"/>
    <col min="3" max="3" width="55.7109375" style="13" customWidth="1"/>
    <col min="4" max="4" width="45.42578125" style="13" customWidth="1"/>
    <col min="5" max="5" width="2.7109375" style="13" customWidth="1"/>
    <col min="6" max="16383" width="0" style="13" hidden="1"/>
    <col min="16384" max="16384" width="15" style="13" customWidth="1"/>
  </cols>
  <sheetData>
    <row r="1" spans="1:4" x14ac:dyDescent="0.25">
      <c r="A1" s="34"/>
      <c r="B1" s="34"/>
      <c r="C1" s="34"/>
      <c r="D1" s="34"/>
    </row>
    <row r="2" spans="1:4" s="34" customFormat="1" x14ac:dyDescent="0.25"/>
    <row r="3" spans="1:4" s="34" customFormat="1" ht="18" x14ac:dyDescent="0.25">
      <c r="C3" s="14" t="str">
        <f xml:space="preserve"> "Name of LDC:       " &amp;D8</f>
        <v>Name of LDC:       EPCOR Natural Gas Limited Partnership</v>
      </c>
    </row>
    <row r="4" spans="1:4" s="34" customFormat="1" ht="18" x14ac:dyDescent="0.25">
      <c r="C4" s="14" t="str">
        <f xml:space="preserve"> "OEB Application Number:  " &amp; D9</f>
        <v>OEB Application Number:  EB-2022-0184  Exhibit A - 2023 Custom Incentive Application</v>
      </c>
    </row>
    <row r="5" spans="1:4" s="34" customFormat="1" x14ac:dyDescent="0.25"/>
    <row r="6" spans="1:4" s="34" customFormat="1" ht="20.25" x14ac:dyDescent="0.3">
      <c r="C6" s="7" t="s">
        <v>2</v>
      </c>
    </row>
    <row r="7" spans="1:4" s="34" customFormat="1" x14ac:dyDescent="0.25"/>
    <row r="8" spans="1:4" s="34" customFormat="1" ht="15.75" x14ac:dyDescent="0.25">
      <c r="C8" s="16" t="s">
        <v>3</v>
      </c>
      <c r="D8" s="6" t="s">
        <v>29</v>
      </c>
    </row>
    <row r="9" spans="1:4" s="34" customFormat="1" ht="15.75" x14ac:dyDescent="0.25">
      <c r="C9" s="31" t="s">
        <v>11</v>
      </c>
      <c r="D9" s="6" t="s">
        <v>152</v>
      </c>
    </row>
    <row r="10" spans="1:4" s="34" customFormat="1" x14ac:dyDescent="0.25">
      <c r="C10" s="32"/>
    </row>
    <row r="11" spans="1:4" s="34" customFormat="1" x14ac:dyDescent="0.25"/>
    <row r="12" spans="1:4" s="34" customFormat="1" x14ac:dyDescent="0.25">
      <c r="C12" s="34" t="str">
        <f ca="1">MID(CELL("filename",A1),FIND("]",CELL("filename",A1))+1,255)</f>
        <v>A1.1 Distributor Information</v>
      </c>
    </row>
    <row r="13" spans="1:4" s="34" customFormat="1" x14ac:dyDescent="0.25"/>
    <row r="14" spans="1:4" s="34" customFormat="1" x14ac:dyDescent="0.25">
      <c r="D14" s="22"/>
    </row>
    <row r="15" spans="1:4" s="34" customFormat="1" x14ac:dyDescent="0.25"/>
    <row r="16" spans="1:4" s="34" customFormat="1" x14ac:dyDescent="0.25"/>
    <row r="17" s="34" customFormat="1" x14ac:dyDescent="0.25"/>
    <row r="18" s="34" customFormat="1" hidden="1" x14ac:dyDescent="0.25"/>
    <row r="19" s="34" customFormat="1" hidden="1" x14ac:dyDescent="0.25"/>
    <row r="20" s="34" customFormat="1" hidden="1" x14ac:dyDescent="0.25"/>
    <row r="21" s="34" customFormat="1" hidden="1" x14ac:dyDescent="0.25"/>
    <row r="22" s="34" customFormat="1" hidden="1" x14ac:dyDescent="0.25"/>
    <row r="23" s="34" customFormat="1" hidden="1" x14ac:dyDescent="0.25"/>
    <row r="24" s="34" customFormat="1" hidden="1" x14ac:dyDescent="0.25"/>
    <row r="25" s="34" customFormat="1" hidden="1" x14ac:dyDescent="0.25"/>
    <row r="26" s="34" customFormat="1" hidden="1" x14ac:dyDescent="0.25"/>
    <row r="27" s="34" customFormat="1" hidden="1" x14ac:dyDescent="0.25"/>
    <row r="28" s="34" customFormat="1" hidden="1" x14ac:dyDescent="0.25"/>
    <row r="29" hidden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</sheetData>
  <sheetProtection algorithmName="SHA-512" hashValue="KD1s85Oo2VFU1e0/ILP/xmI8ZxwM2AJ3DeH0GXQep28La/Tbx4oZqN5UwJ/+C0e8xbTTTgIbhCKUG0lE3B1gRw==" saltValue="avy2bZuwf7gl+cS+4RZ+JA==" spinCount="100000" sheet="1" objects="1" scenarios="1"/>
  <pageMargins left="0.70866141732283505" right="0.70866141732283505" top="0.74803149606299202" bottom="0.74803149606299202" header="0.31496062992126" footer="0.31496062992126"/>
  <pageSetup scale="9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T14"/>
  <sheetViews>
    <sheetView showGridLines="0" zoomScale="90" zoomScaleNormal="90" workbookViewId="0">
      <selection activeCell="C17" sqref="C17"/>
    </sheetView>
  </sheetViews>
  <sheetFormatPr defaultColWidth="9.140625" defaultRowHeight="0" customHeight="1" zeroHeight="1" x14ac:dyDescent="0.25"/>
  <cols>
    <col min="1" max="1" width="2.42578125" style="13" customWidth="1"/>
    <col min="2" max="2" width="2" style="13" customWidth="1"/>
    <col min="3" max="3" width="13.140625" style="13" customWidth="1"/>
    <col min="4" max="4" width="34" style="13" customWidth="1"/>
    <col min="5" max="5" width="10.28515625" style="13" customWidth="1"/>
    <col min="6" max="6" width="13.28515625" style="13" customWidth="1"/>
    <col min="7" max="7" width="13.5703125" style="13" customWidth="1"/>
    <col min="8" max="8" width="13.7109375" style="13" customWidth="1"/>
    <col min="9" max="9" width="12.7109375" style="13" customWidth="1"/>
    <col min="10" max="10" width="20.85546875" style="13" customWidth="1"/>
    <col min="11" max="11" width="11.7109375" style="13" bestFit="1" customWidth="1"/>
    <col min="12" max="12" width="19.5703125" style="13" customWidth="1"/>
    <col min="13" max="13" width="21.42578125" style="13" customWidth="1"/>
    <col min="14" max="14" width="25.28515625" style="13" customWidth="1"/>
    <col min="15" max="16" width="23.140625" style="13" customWidth="1"/>
    <col min="17" max="17" width="17.7109375" style="13" customWidth="1"/>
    <col min="18" max="18" width="2.7109375" style="13" customWidth="1"/>
    <col min="19" max="19" width="11.42578125" style="13" hidden="1" customWidth="1"/>
    <col min="20" max="20" width="11.7109375" style="13" hidden="1" customWidth="1"/>
    <col min="21" max="16384" width="9.140625" style="13"/>
  </cols>
  <sheetData>
    <row r="1" spans="1:19" ht="15.75" x14ac:dyDescent="0.25">
      <c r="A1" s="34"/>
      <c r="B1" s="34"/>
      <c r="C1" s="17"/>
      <c r="D1" s="34"/>
      <c r="E1" s="34"/>
      <c r="F1" s="34"/>
      <c r="G1" s="34"/>
      <c r="H1" s="34"/>
      <c r="I1" s="34"/>
      <c r="J1" s="34"/>
      <c r="K1" s="34"/>
      <c r="L1" s="40"/>
      <c r="M1" s="40"/>
      <c r="N1" s="40"/>
      <c r="O1" s="40"/>
      <c r="P1" s="40"/>
      <c r="Q1" s="34"/>
      <c r="R1" s="34"/>
      <c r="S1" s="34"/>
    </row>
    <row r="2" spans="1:19" s="34" customFormat="1" ht="18" x14ac:dyDescent="0.25">
      <c r="C2" s="18" t="str">
        <f>'A1.1 Distributor Information'!C3</f>
        <v>Name of LDC:       EPCOR Natural Gas Limited Partnership</v>
      </c>
      <c r="L2" s="40"/>
      <c r="M2" s="40"/>
      <c r="N2" s="40"/>
      <c r="O2" s="40"/>
      <c r="P2" s="40"/>
    </row>
    <row r="3" spans="1:19" s="34" customFormat="1" ht="18" x14ac:dyDescent="0.25">
      <c r="C3" s="18" t="str">
        <f>'A1.1 Distributor Information'!C4</f>
        <v>OEB Application Number:  EB-2022-0184  Exhibit A - 2023 Custom Incentive Application</v>
      </c>
      <c r="L3" s="40"/>
      <c r="M3" s="40"/>
      <c r="N3" s="40"/>
      <c r="O3" s="40"/>
      <c r="P3" s="40"/>
    </row>
    <row r="4" spans="1:19" s="34" customFormat="1" ht="15" customHeight="1" x14ac:dyDescent="0.25">
      <c r="L4" s="40"/>
      <c r="M4" s="40"/>
      <c r="N4" s="40"/>
      <c r="O4" s="40"/>
      <c r="P4" s="40"/>
    </row>
    <row r="5" spans="1:19" s="34" customFormat="1" ht="20.25" x14ac:dyDescent="0.3">
      <c r="C5" s="7" t="s">
        <v>20</v>
      </c>
      <c r="L5" s="40"/>
      <c r="M5" s="40"/>
      <c r="N5" s="40"/>
      <c r="O5" s="40"/>
      <c r="P5" s="40"/>
    </row>
    <row r="6" spans="1:19" s="34" customFormat="1" ht="15" customHeight="1" x14ac:dyDescent="0.25">
      <c r="C6" s="34" t="str">
        <f ca="1">MID(CELL("filename",A1),FIND("]",CELL("filename",A1))+1,255)</f>
        <v xml:space="preserve">E1.1 Proposed Dist Rates </v>
      </c>
      <c r="L6" s="40"/>
      <c r="M6" s="40"/>
      <c r="N6" s="40"/>
      <c r="O6" s="40"/>
      <c r="P6" s="40"/>
    </row>
    <row r="7" spans="1:19" s="40" customFormat="1" ht="15" customHeight="1" x14ac:dyDescent="0.25"/>
    <row r="8" spans="1:19" s="40" customFormat="1" ht="51.75" customHeight="1" x14ac:dyDescent="0.25">
      <c r="C8" s="109" t="s">
        <v>28</v>
      </c>
      <c r="D8" s="109"/>
      <c r="E8" s="108" t="s">
        <v>132</v>
      </c>
      <c r="F8" s="109" t="str">
        <f>OneDollar</f>
        <v>Bill 32 Rate</v>
      </c>
      <c r="G8" s="109" t="s">
        <v>86</v>
      </c>
      <c r="H8" s="109" t="s">
        <v>87</v>
      </c>
      <c r="I8" s="109" t="s">
        <v>88</v>
      </c>
      <c r="J8" s="109" t="s">
        <v>129</v>
      </c>
      <c r="K8" s="108" t="s">
        <v>128</v>
      </c>
      <c r="L8" s="108" t="s">
        <v>101</v>
      </c>
      <c r="M8" s="108" t="s">
        <v>102</v>
      </c>
      <c r="N8" s="108" t="s">
        <v>103</v>
      </c>
      <c r="O8" s="108" t="s">
        <v>104</v>
      </c>
      <c r="P8" s="108" t="s">
        <v>100</v>
      </c>
      <c r="Q8" s="108" t="s">
        <v>82</v>
      </c>
    </row>
    <row r="9" spans="1:19" s="40" customFormat="1" ht="15" customHeight="1" x14ac:dyDescent="0.25">
      <c r="C9" s="109"/>
      <c r="D9" s="109"/>
      <c r="E9" s="112" t="s">
        <v>107</v>
      </c>
      <c r="F9" s="112" t="s">
        <v>107</v>
      </c>
      <c r="G9" s="111" t="s">
        <v>133</v>
      </c>
      <c r="H9" s="111" t="s">
        <v>133</v>
      </c>
      <c r="I9" s="111" t="s">
        <v>133</v>
      </c>
      <c r="J9" s="112" t="s">
        <v>140</v>
      </c>
      <c r="K9" s="112" t="s">
        <v>123</v>
      </c>
      <c r="L9" s="112" t="s">
        <v>97</v>
      </c>
      <c r="M9" s="111" t="s">
        <v>135</v>
      </c>
      <c r="N9" s="112" t="s">
        <v>134</v>
      </c>
      <c r="O9" s="112" t="s">
        <v>134</v>
      </c>
      <c r="P9" s="112" t="s">
        <v>134</v>
      </c>
      <c r="Q9" s="111" t="s">
        <v>133</v>
      </c>
    </row>
    <row r="10" spans="1:19" s="40" customFormat="1" ht="15" customHeight="1" x14ac:dyDescent="0.25">
      <c r="C10" s="43" t="s">
        <v>40</v>
      </c>
      <c r="D10" s="43" t="s">
        <v>53</v>
      </c>
      <c r="E10" s="86">
        <f>INDEX('D1.1 Rate 1 Adjustment'!$G$17:$G$26,MATCH(E$8,'D1.1 Rate 1 Adjustment'!$C$17:$C$26,0))</f>
        <v>26.774200801799996</v>
      </c>
      <c r="F10" s="86">
        <f>INDEX('D1.1 Rate 1 Adjustment'!$G$17:$G$26,MATCH(F$8,'D1.1 Rate 1 Adjustment'!$C$17:$C$26,0))</f>
        <v>1</v>
      </c>
      <c r="G10" s="87">
        <f>INDEX('D1.1 Rate 1 Adjustment'!$G$17:$G$26,MATCH(G$8,'D1.1 Rate 1 Adjustment'!$C$17:$C$26,0))</f>
        <v>28.686198617009993</v>
      </c>
      <c r="H10" s="87">
        <f>INDEX('D1.1 Rate 1 Adjustment'!$G$17:$G$26,MATCH(H$8,'D1.1 Rate 1 Adjustment'!$C$17:$C$26,0))</f>
        <v>28.121115503888991</v>
      </c>
      <c r="I10" s="87">
        <f>INDEX('D1.1 Rate 1 Adjustment'!$G$17:$G$26,MATCH(I$8,'D1.1 Rate 1 Adjustment'!$C$17:$C$26,0))</f>
        <v>27.290471368850998</v>
      </c>
      <c r="J10" s="103"/>
      <c r="K10" s="87">
        <f>INDEX('D1.1 Rate 1 Adjustment'!$G$17:$G$26,MATCH(K$8,'D1.1 Rate 1 Adjustment'!$C$17:$C$26,0))</f>
        <v>30.3706</v>
      </c>
      <c r="L10" s="87">
        <f>INDEX('D1.1 Rate 1 Adjustment'!$G$17:$G$26,MATCH(L$8,'D1.1 Rate 1 Adjustment'!$C$17:$C$26,0))</f>
        <v>1.474</v>
      </c>
      <c r="M10" s="87">
        <f>INDEX('D1.1 Rate 1 Adjustment'!$G$17:$G$26,MATCH(M$8,'D1.1 Rate 1 Adjustment'!$C$17:$C$26,0))</f>
        <v>2.6981999999999999</v>
      </c>
      <c r="N10" s="103"/>
      <c r="O10" s="103"/>
      <c r="P10" s="103"/>
      <c r="Q10" s="87">
        <f>INDEX('D1.1 Rate 1 Adjustment'!$G$17:$G$26,MATCH(Q$8,'D1.1 Rate 1 Adjustment'!$C$17:$C$26,0))</f>
        <v>9.7899999999999991</v>
      </c>
    </row>
    <row r="11" spans="1:19" s="40" customFormat="1" ht="15" customHeight="1" x14ac:dyDescent="0.25">
      <c r="C11" s="43" t="s">
        <v>45</v>
      </c>
      <c r="D11" s="43" t="s">
        <v>54</v>
      </c>
      <c r="E11" s="86">
        <f>INDEX('D1.2 Rate 6 Adjustment'!$G$17:$G$26,MATCH(E8,'D1.2 Rate 6 Adjustment'!$C$17:$C$26,0))</f>
        <v>109.20508977149997</v>
      </c>
      <c r="F11" s="86">
        <f>INDEX('D1.2 Rate 6 Adjustment'!$G$17:$G$26,MATCH(F8,'D1.2 Rate 6 Adjustment'!$C$17:$C$26,0))</f>
        <v>1</v>
      </c>
      <c r="G11" s="87">
        <f>INDEX('D1.2 Rate 6 Adjustment'!$G$17:$G$26,MATCH(G8,'D1.2 Rate 6 Adjustment'!$C$17:$C$26,0))</f>
        <v>26.463773780090996</v>
      </c>
      <c r="H11" s="87">
        <f>INDEX('D1.2 Rate 6 Adjustment'!$G$17:$G$26,MATCH(H8,'D1.2 Rate 6 Adjustment'!$C$17:$C$26,0))</f>
        <v>23.817406787729997</v>
      </c>
      <c r="I11" s="87">
        <f>INDEX('D1.2 Rate 6 Adjustment'!$G$17:$G$26,MATCH(I8,'D1.2 Rate 6 Adjustment'!$C$17:$C$26,0))</f>
        <v>22.626380663621998</v>
      </c>
      <c r="J11" s="103"/>
      <c r="K11" s="87">
        <f>INDEX('D1.2 Rate 6 Adjustment'!$G$17:$G$26,MATCH(K8,'D1.2 Rate 6 Adjustment'!$C$17:$C$26,0))</f>
        <v>30.3706</v>
      </c>
      <c r="L11" s="87">
        <f>INDEX('D1.2 Rate 6 Adjustment'!$G$17:$G$26,MATCH(L8,'D1.2 Rate 6 Adjustment'!$C$17:$C$26,0))</f>
        <v>2.92</v>
      </c>
      <c r="M11" s="87">
        <f>INDEX('D1.2 Rate 6 Adjustment'!$G$17:$G$26,MATCH(M8,'D1.2 Rate 6 Adjustment'!$C$17:$C$26,0))</f>
        <v>5.6413000000000002</v>
      </c>
      <c r="N11" s="103"/>
      <c r="O11" s="103"/>
      <c r="P11" s="103"/>
      <c r="Q11" s="87">
        <f>INDEX('D1.2 Rate 6 Adjustment'!$G$17:$G$26,MATCH(Q8,'D1.2 Rate 6 Adjustment'!$C$17:$C$26,0))</f>
        <v>9.7899999999999991</v>
      </c>
    </row>
    <row r="12" spans="1:19" s="40" customFormat="1" ht="15" customHeight="1" x14ac:dyDescent="0.25">
      <c r="C12" s="43" t="s">
        <v>48</v>
      </c>
      <c r="D12" s="43" t="s">
        <v>55</v>
      </c>
      <c r="E12" s="86">
        <f>INDEX('D1.3 Rate 11 Adjustment'!$G$17:$G$26,MATCH(E8,'D1.3 Rate 11 Adjustment'!$C$17:$C$26,0))</f>
        <v>218.39979389489994</v>
      </c>
      <c r="F12" s="86">
        <f>INDEX('D1.3 Rate 11 Adjustment'!$G$17:$G$26,MATCH(F8,'D1.3 Rate 11 Adjustment'!$C$17:$C$26,0))</f>
        <v>1</v>
      </c>
      <c r="G12" s="87">
        <f>INDEX('D1.3 Rate 11 Adjustment'!$G$17:$G$26,MATCH(G8,'D1.3 Rate 11 Adjustment'!$C$17:$C$26,0))</f>
        <v>16.438403812679997</v>
      </c>
      <c r="H12" s="87">
        <f>INDEX('D1.3 Rate 11 Adjustment'!$G$17:$G$26,MATCH(H8,'D1.3 Rate 11 Adjustment'!$C$17:$C$26,0))</f>
        <v>16.438403812679997</v>
      </c>
      <c r="I12" s="87">
        <f>INDEX('D1.3 Rate 11 Adjustment'!$G$17:$G$26,MATCH(I8,'D1.3 Rate 11 Adjustment'!$C$17:$C$26,0))</f>
        <v>16.438403812679997</v>
      </c>
      <c r="J12" s="103"/>
      <c r="K12" s="87">
        <f>INDEX('D1.3 Rate 11 Adjustment'!$G$17:$G$26,MATCH(K8,'D1.3 Rate 11 Adjustment'!$C$17:$C$26,0))</f>
        <v>30.3706</v>
      </c>
      <c r="L12" s="87">
        <f>INDEX('D1.3 Rate 11 Adjustment'!$G$17:$G$26,MATCH(L8,'D1.3 Rate 11 Adjustment'!$C$17:$C$26,0))</f>
        <v>3.5200000000000002E-2</v>
      </c>
      <c r="M12" s="87">
        <f>INDEX('D1.3 Rate 11 Adjustment'!$G$17:$G$26,MATCH(M8,'D1.3 Rate 11 Adjustment'!$C$17:$C$26,0))</f>
        <v>1.8166</v>
      </c>
      <c r="N12" s="103"/>
      <c r="O12" s="103"/>
      <c r="P12" s="103"/>
      <c r="Q12" s="87">
        <f>INDEX('D1.3 Rate 11 Adjustment'!$G$17:$G$26,MATCH(Q8,'D1.3 Rate 11 Adjustment'!$C$17:$C$26,0))</f>
        <v>9.7899999999999991</v>
      </c>
    </row>
    <row r="13" spans="1:19" s="40" customFormat="1" ht="15" customHeight="1" x14ac:dyDescent="0.25">
      <c r="C13" s="43" t="s">
        <v>51</v>
      </c>
      <c r="D13" s="43" t="s">
        <v>52</v>
      </c>
      <c r="E13" s="86">
        <f>INDEX('D1.4 Rate 16 Adjustment'!$G$17:$G$28,MATCH(E8,'D1.4 Rate 16 Adjustment'!$C$17:$C$28,0))</f>
        <v>1605.8808374624996</v>
      </c>
      <c r="F13" s="86">
        <f>INDEX('D1.4 Rate 16 Adjustment'!$G$17:$G$28,MATCH(F8,'D1.4 Rate 16 Adjustment'!$C$17:$C$28,0))</f>
        <v>1</v>
      </c>
      <c r="G13" s="103"/>
      <c r="H13" s="103"/>
      <c r="I13" s="103"/>
      <c r="J13" s="87">
        <f>INDEX('D1.4 Rate 16 Adjustment'!$G$17:$G$28,MATCH(J8,'D1.4 Rate 16 Adjustment'!$C$17:$C$28,0))</f>
        <v>109.53597651996597</v>
      </c>
      <c r="K13" s="103"/>
      <c r="L13" s="87">
        <f>INDEX('D1.4 Rate 16 Adjustment'!$G$17:$G$28,MATCH(L8,'D1.4 Rate 16 Adjustment'!$C$17:$C$28,0))</f>
        <v>14.243399999999999</v>
      </c>
      <c r="M13" s="103"/>
      <c r="N13" s="87">
        <f>'D1.4 Rate 16 Adjustment'!G25</f>
        <v>18.299900000000001</v>
      </c>
      <c r="O13" s="87">
        <f>INDEX('D1.4 Rate 16 Adjustment'!$G$17:$G$28,MATCH(O8,'D1.4 Rate 16 Adjustment'!$C$17:$C$28,0))</f>
        <v>11.848000000000001</v>
      </c>
      <c r="P13" s="87">
        <f>INDEX('D1.4 Rate 16 Adjustment'!$G$17:$G$28,MATCH(P8,'D1.4 Rate 16 Adjustment'!$C$17:$C$28,0))</f>
        <v>11.848000000000001</v>
      </c>
      <c r="Q13" s="87">
        <f>INDEX('D1.4 Rate 16 Adjustment'!$G$17:$G$28,MATCH(Q8,'D1.4 Rate 16 Adjustment'!$C$17:$C$28,0))</f>
        <v>9.7899999999999991</v>
      </c>
    </row>
    <row r="14" spans="1:19" s="40" customFormat="1" ht="15" customHeight="1" x14ac:dyDescent="0.25">
      <c r="C14" s="88" t="s">
        <v>98</v>
      </c>
    </row>
  </sheetData>
  <sheetProtection algorithmName="SHA-512" hashValue="RzIjl6hcr/L98uT6vbERNNJqsuCsuQj/16ihhEtieijgC9ickIesLQhcai8Bkhax1qDWc2HEtmD4NZmaRUQffw==" saltValue="Gq1RFVDedKtGkPAuPtNkiw==" spinCount="100000" sheet="1" objects="1" scenarios="1"/>
  <pageMargins left="0.70866141732283505" right="0.70866141732283505" top="0.74803149606299202" bottom="0.74803149606299202" header="0.31496062992126" footer="0.31496062992126"/>
  <pageSetup scale="4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N26"/>
  <sheetViews>
    <sheetView showGridLines="0" zoomScale="70" zoomScaleNormal="70" workbookViewId="0">
      <selection activeCell="C17" sqref="C17"/>
    </sheetView>
  </sheetViews>
  <sheetFormatPr defaultColWidth="0" defaultRowHeight="15" customHeight="1" zeroHeight="1" x14ac:dyDescent="0.25"/>
  <cols>
    <col min="1" max="2" width="5.5703125" style="13" customWidth="1"/>
    <col min="3" max="3" width="18.7109375" style="13" customWidth="1"/>
    <col min="4" max="4" width="49.42578125" style="13" customWidth="1"/>
    <col min="5" max="5" width="8.42578125" style="13" bestFit="1" customWidth="1"/>
    <col min="6" max="6" width="12.7109375" style="13" customWidth="1"/>
    <col min="7" max="7" width="10.5703125" style="13" bestFit="1" customWidth="1"/>
    <col min="8" max="8" width="11.28515625" style="13" bestFit="1" customWidth="1"/>
    <col min="9" max="9" width="15.85546875" style="13" bestFit="1" customWidth="1"/>
    <col min="10" max="10" width="11.5703125" style="13" bestFit="1" customWidth="1"/>
    <col min="11" max="11" width="10.5703125" style="13" bestFit="1" customWidth="1"/>
    <col min="12" max="12" width="11.5703125" style="13" hidden="1" customWidth="1"/>
    <col min="13" max="14" width="12.42578125" style="13" hidden="1" customWidth="1"/>
    <col min="15" max="16384" width="0" style="13" hidden="1"/>
  </cols>
  <sheetData>
    <row r="1" spans="1:14" ht="15.75" x14ac:dyDescent="0.25">
      <c r="A1" s="34"/>
      <c r="B1" s="34"/>
      <c r="C1" s="17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s="34" customFormat="1" ht="18" x14ac:dyDescent="0.25">
      <c r="C2" s="18" t="str">
        <f>'A1.1 Distributor Information'!C3</f>
        <v>Name of LDC:       EPCOR Natural Gas Limited Partnership</v>
      </c>
    </row>
    <row r="3" spans="1:14" s="34" customFormat="1" ht="18" x14ac:dyDescent="0.25">
      <c r="C3" s="18" t="str">
        <f>'A1.1 Distributor Information'!C4</f>
        <v>OEB Application Number:  EB-2022-0184  Exhibit A - 2023 Custom Incentive Application</v>
      </c>
    </row>
    <row r="4" spans="1:14" s="34" customFormat="1" ht="15" customHeight="1" x14ac:dyDescent="0.25"/>
    <row r="5" spans="1:14" s="34" customFormat="1" ht="20.25" x14ac:dyDescent="0.3">
      <c r="C5" s="7" t="s">
        <v>10</v>
      </c>
    </row>
    <row r="6" spans="1:14" s="34" customFormat="1" ht="15" customHeight="1" x14ac:dyDescent="0.25">
      <c r="C6" s="34" t="str">
        <f ca="1">MID(CELL("filename",A1),FIND("]",CELL("filename",A1))+1,255)</f>
        <v>E1.2 Billing Determinants</v>
      </c>
    </row>
    <row r="7" spans="1:14" s="34" customFormat="1" ht="15" customHeight="1" x14ac:dyDescent="0.25"/>
    <row r="8" spans="1:14" s="34" customFormat="1" ht="15" customHeight="1" x14ac:dyDescent="0.25"/>
    <row r="9" spans="1:14" s="34" customFormat="1" ht="15" customHeight="1" x14ac:dyDescent="0.25">
      <c r="C9" s="81" t="s">
        <v>28</v>
      </c>
      <c r="D9" s="81" t="s">
        <v>111</v>
      </c>
      <c r="E9" s="5" t="s">
        <v>37</v>
      </c>
      <c r="F9" s="5" t="s">
        <v>86</v>
      </c>
      <c r="G9" s="5" t="s">
        <v>87</v>
      </c>
      <c r="H9" s="5" t="s">
        <v>88</v>
      </c>
      <c r="I9" s="5" t="s">
        <v>39</v>
      </c>
      <c r="J9" s="5" t="s">
        <v>128</v>
      </c>
    </row>
    <row r="10" spans="1:14" s="40" customFormat="1" ht="15" customHeight="1" x14ac:dyDescent="0.25">
      <c r="C10" s="5"/>
      <c r="D10" s="5"/>
      <c r="E10" s="5" t="s">
        <v>112</v>
      </c>
      <c r="F10" s="5" t="s">
        <v>113</v>
      </c>
      <c r="G10" s="5" t="s">
        <v>113</v>
      </c>
      <c r="H10" s="5" t="s">
        <v>113</v>
      </c>
      <c r="I10" s="5" t="s">
        <v>141</v>
      </c>
      <c r="J10" s="5" t="s">
        <v>113</v>
      </c>
    </row>
    <row r="11" spans="1:14" s="34" customFormat="1" ht="15" customHeight="1" x14ac:dyDescent="0.25">
      <c r="C11" s="43" t="s">
        <v>40</v>
      </c>
      <c r="D11" s="43" t="s">
        <v>53</v>
      </c>
      <c r="E11" s="67">
        <f>'B1.2 Billing Determinants'!E9</f>
        <v>4887</v>
      </c>
      <c r="F11" s="67">
        <f>'B1.2 Billing Determinants'!F9</f>
        <v>3391849</v>
      </c>
      <c r="G11" s="67">
        <f>'B1.2 Billing Determinants'!G9</f>
        <v>1847677</v>
      </c>
      <c r="H11" s="67">
        <f>'B1.2 Billing Determinants'!H9</f>
        <v>263269</v>
      </c>
      <c r="I11" s="67">
        <f>'B1.2 Billing Determinants'!I9</f>
        <v>0</v>
      </c>
      <c r="J11" s="67">
        <f>'B1.2 Billing Determinants'!J9</f>
        <v>5502795</v>
      </c>
    </row>
    <row r="12" spans="1:14" s="34" customFormat="1" ht="15" customHeight="1" x14ac:dyDescent="0.25">
      <c r="C12" s="43" t="s">
        <v>45</v>
      </c>
      <c r="D12" s="43" t="s">
        <v>54</v>
      </c>
      <c r="E12" s="67">
        <f>'B1.2 Billing Determinants'!E10</f>
        <v>35</v>
      </c>
      <c r="F12" s="67">
        <f>'B1.2 Billing Determinants'!F10</f>
        <v>287896</v>
      </c>
      <c r="G12" s="67">
        <f>'B1.2 Billing Determinants'!G10</f>
        <v>903329</v>
      </c>
      <c r="H12" s="67">
        <f>'B1.2 Billing Determinants'!H10</f>
        <v>890107</v>
      </c>
      <c r="I12" s="67">
        <f>'B1.2 Billing Determinants'!I10</f>
        <v>0</v>
      </c>
      <c r="J12" s="67">
        <f>'B1.2 Billing Determinants'!J10</f>
        <v>2081331</v>
      </c>
    </row>
    <row r="13" spans="1:14" s="34" customFormat="1" ht="15" customHeight="1" x14ac:dyDescent="0.25">
      <c r="C13" s="43" t="s">
        <v>48</v>
      </c>
      <c r="D13" s="43" t="s">
        <v>55</v>
      </c>
      <c r="E13" s="67">
        <f>'B1.2 Billing Determinants'!E11</f>
        <v>7</v>
      </c>
      <c r="F13" s="67">
        <f>'B1.2 Billing Determinants'!F11</f>
        <v>0</v>
      </c>
      <c r="G13" s="67">
        <f>'B1.2 Billing Determinants'!G11</f>
        <v>0</v>
      </c>
      <c r="H13" s="67">
        <f>'B1.2 Billing Determinants'!H11</f>
        <v>1313149</v>
      </c>
      <c r="I13" s="67">
        <f>'B1.2 Billing Determinants'!I11</f>
        <v>0</v>
      </c>
      <c r="J13" s="67">
        <f>'B1.2 Billing Determinants'!J11</f>
        <v>1313149</v>
      </c>
    </row>
    <row r="14" spans="1:14" s="34" customFormat="1" ht="15" customHeight="1" x14ac:dyDescent="0.25">
      <c r="C14" s="43" t="s">
        <v>51</v>
      </c>
      <c r="D14" s="43" t="s">
        <v>52</v>
      </c>
      <c r="E14" s="67">
        <f>'B1.2 Billing Determinants'!E12</f>
        <v>3</v>
      </c>
      <c r="F14" s="67">
        <f>'B1.2 Billing Determinants'!F12</f>
        <v>0</v>
      </c>
      <c r="G14" s="67">
        <f>'B1.2 Billing Determinants'!G12</f>
        <v>0</v>
      </c>
      <c r="H14" s="67">
        <f>'B1.2 Billing Determinants'!H12</f>
        <v>0</v>
      </c>
      <c r="I14" s="67">
        <f>'B1.2 Billing Determinants'!I12</f>
        <v>95824</v>
      </c>
      <c r="J14" s="67">
        <f>'B1.2 Billing Determinants'!J12</f>
        <v>0</v>
      </c>
    </row>
    <row r="15" spans="1:14" s="34" customFormat="1" ht="15" customHeight="1" x14ac:dyDescent="0.25"/>
    <row r="16" spans="1:14" s="34" customFormat="1" ht="15" customHeight="1" x14ac:dyDescent="0.25"/>
    <row r="17" s="34" customFormat="1" ht="15" customHeight="1" x14ac:dyDescent="0.25"/>
    <row r="18" s="34" customFormat="1" ht="15" customHeight="1" x14ac:dyDescent="0.25"/>
    <row r="19" s="34" customFormat="1" ht="15" customHeight="1" x14ac:dyDescent="0.25"/>
    <row r="20" s="34" customFormat="1" ht="15" hidden="1" customHeight="1" x14ac:dyDescent="0.25"/>
    <row r="21" s="34" customFormat="1" ht="15" hidden="1" customHeight="1" x14ac:dyDescent="0.25"/>
    <row r="22" s="34" customFormat="1" ht="15" hidden="1" customHeight="1" x14ac:dyDescent="0.25"/>
    <row r="23" s="34" customFormat="1" ht="15" hidden="1" customHeight="1" x14ac:dyDescent="0.25"/>
    <row r="24" s="34" customFormat="1" ht="15" hidden="1" customHeight="1" x14ac:dyDescent="0.25"/>
    <row r="25" s="34" customFormat="1" ht="15" hidden="1" customHeight="1" x14ac:dyDescent="0.25"/>
    <row r="26" s="34" customFormat="1" ht="15" hidden="1" customHeight="1" x14ac:dyDescent="0.25"/>
  </sheetData>
  <sheetProtection algorithmName="SHA-512" hashValue="sDiHwLG1KQNoCz8XsuUV5l6aTygm6zEV4/5t5DNs50q6qL/fYj9QHQ466Kgck5uEr1vVOpP9TdB86cCHRqkc2w==" saltValue="HpeDaopj0PqoKdyo+LyNPg==" spinCount="100000" sheet="1" objects="1" scenarios="1"/>
  <pageMargins left="0.70866141732283505" right="0.70866141732283505" top="0.74803149606299202" bottom="0.74803149606299202" header="0.31496062992126" footer="0.31496062992126"/>
  <pageSetup scale="8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R22"/>
  <sheetViews>
    <sheetView showGridLines="0" zoomScale="85" zoomScaleNormal="85" workbookViewId="0">
      <selection activeCell="C17" sqref="C17"/>
    </sheetView>
  </sheetViews>
  <sheetFormatPr defaultColWidth="0" defaultRowHeight="15" customHeight="1" x14ac:dyDescent="0.25"/>
  <cols>
    <col min="1" max="2" width="6.42578125" style="13" customWidth="1"/>
    <col min="3" max="3" width="14.28515625" style="13" customWidth="1"/>
    <col min="4" max="4" width="37.140625" style="13" customWidth="1"/>
    <col min="5" max="5" width="11.5703125" style="13" bestFit="1" customWidth="1"/>
    <col min="6" max="6" width="12.7109375" style="13" customWidth="1"/>
    <col min="7" max="7" width="10.28515625" style="13" bestFit="1" customWidth="1"/>
    <col min="8" max="9" width="11.28515625" style="13" bestFit="1" customWidth="1"/>
    <col min="10" max="10" width="13.5703125" style="13" bestFit="1" customWidth="1"/>
    <col min="11" max="11" width="11.28515625" style="13" bestFit="1" customWidth="1"/>
    <col min="12" max="12" width="21.5703125" style="13" customWidth="1"/>
    <col min="13" max="13" width="20.5703125" style="13" customWidth="1"/>
    <col min="14" max="14" width="22.28515625" style="13" bestFit="1" customWidth="1"/>
    <col min="15" max="15" width="12.42578125" style="13" bestFit="1" customWidth="1"/>
    <col min="16" max="16" width="5.5703125" style="13" customWidth="1"/>
    <col min="17" max="17" width="12.42578125" style="13" hidden="1" customWidth="1"/>
    <col min="18" max="18" width="2.7109375" style="13" hidden="1" customWidth="1"/>
    <col min="19" max="16384" width="0" style="13" hidden="1"/>
  </cols>
  <sheetData>
    <row r="1" spans="1:17" ht="15.75" x14ac:dyDescent="0.25">
      <c r="A1" s="34"/>
      <c r="B1" s="34"/>
      <c r="C1" s="17"/>
      <c r="D1" s="34"/>
      <c r="E1" s="34"/>
      <c r="F1" s="34"/>
      <c r="G1" s="34"/>
      <c r="H1" s="34"/>
      <c r="I1" s="34"/>
      <c r="J1" s="34"/>
      <c r="K1" s="34"/>
      <c r="L1" s="40"/>
      <c r="M1" s="40"/>
      <c r="N1" s="34"/>
      <c r="O1" s="34"/>
      <c r="P1" s="34"/>
      <c r="Q1" s="34"/>
    </row>
    <row r="2" spans="1:17" s="34" customFormat="1" ht="18" x14ac:dyDescent="0.25">
      <c r="C2" s="18" t="str">
        <f>'A1.1 Distributor Information'!C3</f>
        <v>Name of LDC:       EPCOR Natural Gas Limited Partnership</v>
      </c>
      <c r="L2" s="40"/>
      <c r="M2" s="40"/>
    </row>
    <row r="3" spans="1:17" s="34" customFormat="1" ht="18" x14ac:dyDescent="0.25">
      <c r="C3" s="18" t="str">
        <f>'A1.1 Distributor Information'!C4</f>
        <v>OEB Application Number:  EB-2022-0184  Exhibit A - 2023 Custom Incentive Application</v>
      </c>
      <c r="L3" s="40"/>
      <c r="M3" s="40"/>
    </row>
    <row r="4" spans="1:17" s="34" customFormat="1" ht="15" customHeight="1" x14ac:dyDescent="0.25">
      <c r="L4" s="40"/>
      <c r="M4" s="40"/>
    </row>
    <row r="5" spans="1:17" s="34" customFormat="1" ht="20.25" x14ac:dyDescent="0.3">
      <c r="C5" s="7" t="s">
        <v>34</v>
      </c>
      <c r="L5" s="40"/>
      <c r="M5" s="40"/>
    </row>
    <row r="6" spans="1:17" s="34" customFormat="1" ht="15" customHeight="1" x14ac:dyDescent="0.25">
      <c r="L6" s="40"/>
      <c r="M6" s="40"/>
    </row>
    <row r="7" spans="1:17" s="40" customFormat="1" ht="15" customHeight="1" x14ac:dyDescent="0.25">
      <c r="C7" s="40" t="s">
        <v>91</v>
      </c>
      <c r="D7" s="69">
        <v>12</v>
      </c>
    </row>
    <row r="8" spans="1:17" s="40" customFormat="1" ht="15" customHeight="1" x14ac:dyDescent="0.25"/>
    <row r="9" spans="1:17" s="34" customFormat="1" ht="30" x14ac:dyDescent="0.25">
      <c r="C9" s="5" t="s">
        <v>28</v>
      </c>
      <c r="D9" s="5"/>
      <c r="E9" s="89" t="s">
        <v>132</v>
      </c>
      <c r="F9" s="5" t="str">
        <f>OneDollar</f>
        <v>Bill 32 Rate</v>
      </c>
      <c r="G9" s="5" t="s">
        <v>86</v>
      </c>
      <c r="H9" s="5" t="s">
        <v>87</v>
      </c>
      <c r="I9" s="5" t="s">
        <v>88</v>
      </c>
      <c r="J9" s="89" t="s">
        <v>142</v>
      </c>
      <c r="K9" s="5" t="s">
        <v>128</v>
      </c>
      <c r="L9" s="89" t="s">
        <v>101</v>
      </c>
      <c r="M9" s="89" t="s">
        <v>102</v>
      </c>
      <c r="N9" s="89" t="s">
        <v>106</v>
      </c>
      <c r="O9" s="85" t="s">
        <v>1</v>
      </c>
      <c r="P9" s="40"/>
      <c r="Q9" s="40"/>
    </row>
    <row r="10" spans="1:17" s="40" customFormat="1" ht="15" customHeight="1" x14ac:dyDescent="0.25">
      <c r="C10" s="5"/>
      <c r="D10" s="5"/>
      <c r="E10" s="5"/>
      <c r="F10" s="5"/>
      <c r="G10" s="5"/>
      <c r="H10" s="5"/>
      <c r="I10" s="5"/>
      <c r="J10" s="5"/>
      <c r="K10" s="5"/>
      <c r="L10" s="5"/>
      <c r="M10" s="5" t="s">
        <v>97</v>
      </c>
      <c r="N10" s="5"/>
      <c r="O10" s="65"/>
    </row>
    <row r="11" spans="1:17" s="34" customFormat="1" ht="15" customHeight="1" x14ac:dyDescent="0.25">
      <c r="C11" s="43" t="s">
        <v>40</v>
      </c>
      <c r="D11" s="43" t="s">
        <v>53</v>
      </c>
      <c r="E11" s="67">
        <f>'E1.1 Proposed Dist Rates '!E10*'E1.2 Billing Determinants'!E11*$D$7</f>
        <v>1570146.2318207589</v>
      </c>
      <c r="F11" s="67">
        <f>'E1.1 Proposed Dist Rates '!F10*'E1.2 Billing Determinants'!E11*$D$7</f>
        <v>58644</v>
      </c>
      <c r="G11" s="67">
        <f>'E1.1 Proposed Dist Rates '!G10*'E1.2 Billing Determinants'!F11/100</f>
        <v>972992.5409290673</v>
      </c>
      <c r="H11" s="67">
        <f>'E1.1 Proposed Dist Rates '!H10*'E1.2 Billing Determinants'!G11/100</f>
        <v>519587.38330879097</v>
      </c>
      <c r="I11" s="67">
        <f>'E1.1 Proposed Dist Rates '!I10*'E1.2 Billing Determinants'!H11/100</f>
        <v>71847.351068060336</v>
      </c>
      <c r="J11" s="67">
        <f>'E1.1 Proposed Dist Rates '!J10*'E1.2 Billing Determinants'!I11/100*$D$7</f>
        <v>0</v>
      </c>
      <c r="K11" s="67">
        <f>'E1.1 Proposed Dist Rates '!K10*'E1.2 Billing Determinants'!J11/100</f>
        <v>1671231.85827</v>
      </c>
      <c r="L11" s="67">
        <f>'E1.1 Proposed Dist Rates '!L10*'E1.2 Billing Determinants'!$J11/100</f>
        <v>81111.198300000004</v>
      </c>
      <c r="M11" s="67">
        <f>'E1.1 Proposed Dist Rates '!M10*'E1.2 Billing Determinants'!$J11/100</f>
        <v>148476.41469000001</v>
      </c>
      <c r="N11" s="67">
        <f>'E1.1 Proposed Dist Rates '!Q10*'E1.2 Billing Determinants'!J11/100</f>
        <v>538723.63049999997</v>
      </c>
      <c r="O11" s="44">
        <f>SUM(E11:N11)</f>
        <v>5632760.6088866778</v>
      </c>
      <c r="P11" s="40"/>
      <c r="Q11" s="40"/>
    </row>
    <row r="12" spans="1:17" s="34" customFormat="1" ht="15" customHeight="1" x14ac:dyDescent="0.25">
      <c r="C12" s="43" t="s">
        <v>45</v>
      </c>
      <c r="D12" s="43" t="s">
        <v>54</v>
      </c>
      <c r="E12" s="67">
        <f>'E1.1 Proposed Dist Rates '!E11*'E1.2 Billing Determinants'!E12*$D$7</f>
        <v>45866.137704029985</v>
      </c>
      <c r="F12" s="67">
        <f>'E1.1 Proposed Dist Rates '!F11*'E1.2 Billing Determinants'!E12*$D$7</f>
        <v>420</v>
      </c>
      <c r="G12" s="67">
        <f>'E1.1 Proposed Dist Rates '!G11*'E1.2 Billing Determinants'!F12/100</f>
        <v>76188.146161930781</v>
      </c>
      <c r="H12" s="67">
        <f>'E1.1 Proposed Dist Rates '!H11*'E1.2 Billing Determinants'!G12/100</f>
        <v>215149.54256153348</v>
      </c>
      <c r="I12" s="67">
        <f>'E1.1 Proposed Dist Rates '!I11*'E1.2 Billing Determinants'!H12/100</f>
        <v>201398.99813354586</v>
      </c>
      <c r="J12" s="67">
        <f>'E1.1 Proposed Dist Rates '!J11*'E1.2 Billing Determinants'!I12/100*$D$7</f>
        <v>0</v>
      </c>
      <c r="K12" s="67">
        <f>'E1.1 Proposed Dist Rates '!K11*'E1.2 Billing Determinants'!J12/100</f>
        <v>632112.71268600004</v>
      </c>
      <c r="L12" s="67">
        <f>'E1.1 Proposed Dist Rates '!L11*'E1.2 Billing Determinants'!$J12/100</f>
        <v>60774.865199999993</v>
      </c>
      <c r="M12" s="67">
        <f>'E1.1 Proposed Dist Rates '!M11*'E1.2 Billing Determinants'!$J12/100</f>
        <v>117414.125703</v>
      </c>
      <c r="N12" s="67">
        <f>'E1.1 Proposed Dist Rates '!Q11*'E1.2 Billing Determinants'!J12/100</f>
        <v>203762.30489999999</v>
      </c>
      <c r="O12" s="44">
        <f>SUM(E12:N12)</f>
        <v>1553086.8330500401</v>
      </c>
      <c r="P12" s="40"/>
      <c r="Q12" s="40"/>
    </row>
    <row r="13" spans="1:17" s="34" customFormat="1" ht="15" customHeight="1" x14ac:dyDescent="0.25">
      <c r="C13" s="43" t="s">
        <v>48</v>
      </c>
      <c r="D13" s="43" t="s">
        <v>55</v>
      </c>
      <c r="E13" s="67">
        <f>'E1.1 Proposed Dist Rates '!E12*'E1.2 Billing Determinants'!E13*$D$7</f>
        <v>18345.582687171598</v>
      </c>
      <c r="F13" s="67">
        <f>'E1.1 Proposed Dist Rates '!F12*'E1.2 Billing Determinants'!E13*$D$7</f>
        <v>84</v>
      </c>
      <c r="G13" s="67">
        <f>'E1.1 Proposed Dist Rates '!G12*'E1.2 Billing Determinants'!F13/100</f>
        <v>0</v>
      </c>
      <c r="H13" s="67">
        <f>'E1.1 Proposed Dist Rates '!H12*'E1.2 Billing Determinants'!G13/100</f>
        <v>0</v>
      </c>
      <c r="I13" s="67">
        <f>'E1.1 Proposed Dist Rates '!I12*'E1.2 Billing Determinants'!H13/100</f>
        <v>215860.73528216925</v>
      </c>
      <c r="J13" s="67">
        <f>'E1.1 Proposed Dist Rates '!J12*'E1.2 Billing Determinants'!I13/100*$D$7</f>
        <v>0</v>
      </c>
      <c r="K13" s="67">
        <f>'E1.1 Proposed Dist Rates '!K12*'E1.2 Billing Determinants'!J13/100</f>
        <v>398811.230194</v>
      </c>
      <c r="L13" s="67">
        <f>'E1.1 Proposed Dist Rates '!L12*'E1.2 Billing Determinants'!$J13/100</f>
        <v>462.22844800000007</v>
      </c>
      <c r="M13" s="67">
        <f>'E1.1 Proposed Dist Rates '!M12*'E1.2 Billing Determinants'!$J13/100</f>
        <v>23854.664734000002</v>
      </c>
      <c r="N13" s="67">
        <f>'E1.1 Proposed Dist Rates '!Q12*'E1.2 Billing Determinants'!J13/100</f>
        <v>128557.28709999999</v>
      </c>
      <c r="O13" s="44">
        <f>SUM(E13:N13)</f>
        <v>785975.72844534088</v>
      </c>
      <c r="P13" s="40"/>
      <c r="Q13" s="40"/>
    </row>
    <row r="14" spans="1:17" s="34" customFormat="1" ht="15" customHeight="1" thickBot="1" x14ac:dyDescent="0.3">
      <c r="C14" s="43" t="s">
        <v>51</v>
      </c>
      <c r="D14" s="43" t="s">
        <v>52</v>
      </c>
      <c r="E14" s="67">
        <f>'E1.1 Proposed Dist Rates '!E13*'E1.2 Billing Determinants'!E14*$D$7</f>
        <v>57811.710148649989</v>
      </c>
      <c r="F14" s="67">
        <f>'E1.1 Proposed Dist Rates '!F13*'E1.2 Billing Determinants'!E14*$D$7</f>
        <v>36</v>
      </c>
      <c r="G14" s="67">
        <f>'E1.1 Proposed Dist Rates '!G13*'E1.2 Billing Determinants'!F14/100</f>
        <v>0</v>
      </c>
      <c r="H14" s="67">
        <f>'E1.1 Proposed Dist Rates '!H13*'E1.2 Billing Determinants'!G14/100</f>
        <v>0</v>
      </c>
      <c r="I14" s="67">
        <f>'E1.1 Proposed Dist Rates '!I13*'E1.2 Billing Determinants'!H14/100</f>
        <v>0</v>
      </c>
      <c r="J14" s="67">
        <f>'E1.1 Proposed Dist Rates '!J13*'E1.2 Billing Determinants'!I14/100*$D$7</f>
        <v>1259541.0496859064</v>
      </c>
      <c r="K14" s="67">
        <f>'E1.1 Proposed Dist Rates '!K13*'E1.2 Billing Determinants'!J14/100</f>
        <v>0</v>
      </c>
      <c r="L14" s="67">
        <f>'E1.1 Proposed Dist Rates '!L13*'E1.2 Billing Determinants'!$I14/100*$D$7</f>
        <v>163783.14739199998</v>
      </c>
      <c r="M14" s="67">
        <f>'E1.1 Proposed Dist Rates '!N13*'E1.2 Billing Determinants'!$I14/100*$D$7</f>
        <v>210428.35411200003</v>
      </c>
      <c r="N14" s="68">
        <f>'E1.1 Proposed Dist Rates '!Q13*'E1.2 Billing Determinants'!I14/100*$D$7</f>
        <v>112574.03519999998</v>
      </c>
      <c r="O14" s="44">
        <f>SUM(E14:N14)</f>
        <v>1804174.2965385565</v>
      </c>
      <c r="P14" s="40"/>
      <c r="Q14" s="40"/>
    </row>
    <row r="15" spans="1:17" s="34" customFormat="1" ht="15" customHeight="1" thickTop="1" x14ac:dyDescent="0.25">
      <c r="C15" s="94" t="s">
        <v>125</v>
      </c>
      <c r="L15" s="40"/>
      <c r="M15" s="40"/>
      <c r="N15" s="34" t="s">
        <v>35</v>
      </c>
      <c r="O15" s="51">
        <f>SUM(O11:O14)</f>
        <v>9775997.4669206161</v>
      </c>
      <c r="P15" s="40"/>
      <c r="Q15" s="40"/>
    </row>
    <row r="16" spans="1:17" s="34" customFormat="1" ht="15" customHeight="1" thickBot="1" x14ac:dyDescent="0.3">
      <c r="L16" s="40"/>
      <c r="M16" s="40"/>
      <c r="N16" s="34" t="s">
        <v>36</v>
      </c>
      <c r="O16" s="47">
        <f>'B1.3 Current Rev From Rates'!O18</f>
        <v>9678075.3333505131</v>
      </c>
      <c r="P16" s="40"/>
      <c r="Q16" s="40"/>
    </row>
    <row r="17" spans="12:17" s="34" customFormat="1" ht="15" customHeight="1" thickTop="1" x14ac:dyDescent="0.25">
      <c r="L17" s="40"/>
      <c r="M17" s="40"/>
      <c r="N17" s="34" t="s">
        <v>26</v>
      </c>
      <c r="O17" s="51">
        <f>O15-O16</f>
        <v>97922.133570102975</v>
      </c>
      <c r="P17" s="40"/>
      <c r="Q17" s="40"/>
    </row>
    <row r="18" spans="12:17" s="34" customFormat="1" ht="15" customHeight="1" x14ac:dyDescent="0.25">
      <c r="L18" s="40"/>
      <c r="M18" s="40"/>
      <c r="N18" s="35" t="s">
        <v>78</v>
      </c>
      <c r="O18" s="19">
        <f>O17/O16</f>
        <v>1.0117934630314837E-2</v>
      </c>
      <c r="P18" s="40"/>
      <c r="Q18" s="40"/>
    </row>
    <row r="19" spans="12:17" s="34" customFormat="1" ht="15" customHeight="1" x14ac:dyDescent="0.25">
      <c r="L19" s="40"/>
      <c r="M19" s="40"/>
      <c r="P19" s="40"/>
      <c r="Q19" s="40"/>
    </row>
    <row r="20" spans="12:17" s="34" customFormat="1" ht="15" customHeight="1" x14ac:dyDescent="0.25">
      <c r="L20" s="40"/>
      <c r="M20" s="40"/>
    </row>
    <row r="21" spans="12:17" s="34" customFormat="1" ht="15" customHeight="1" x14ac:dyDescent="0.25">
      <c r="L21" s="40"/>
      <c r="M21" s="40"/>
    </row>
    <row r="22" spans="12:17" s="34" customFormat="1" ht="15" customHeight="1" x14ac:dyDescent="0.25">
      <c r="L22" s="40"/>
      <c r="M22" s="40"/>
    </row>
  </sheetData>
  <sheetProtection algorithmName="SHA-512" hashValue="4VeKB6IRdJ8thVhLCpzI2/ZR3u+peq5mpQri8j7kK0plAz9SYDikwabehSkVbxo+exduSkVOSaJUNTQrRZSP2g==" saltValue="PJFxyculSCDl7KXIoAuHpw==" spinCount="100000" sheet="1" objects="1" scenarios="1"/>
  <pageMargins left="0.70866141732283505" right="0.70866141732283505" top="0.74803149606299202" bottom="0.74803149606299202" header="0.31496062992126" footer="0.31496062992126"/>
  <pageSetup scale="5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O41"/>
  <sheetViews>
    <sheetView showGridLines="0" zoomScaleNormal="100" workbookViewId="0">
      <selection activeCell="C17" sqref="C17"/>
    </sheetView>
  </sheetViews>
  <sheetFormatPr defaultColWidth="0" defaultRowHeight="15" customHeight="1" x14ac:dyDescent="0.25"/>
  <cols>
    <col min="1" max="2" width="7.7109375" style="13" customWidth="1"/>
    <col min="3" max="3" width="55.7109375" style="13" customWidth="1"/>
    <col min="4" max="4" width="2.7109375" style="13" customWidth="1"/>
    <col min="5" max="5" width="48.42578125" style="13" customWidth="1"/>
    <col min="6" max="6" width="25.140625" style="13" customWidth="1"/>
    <col min="7" max="7" width="6.140625" style="13" customWidth="1"/>
    <col min="8" max="14" width="15.7109375" style="13" hidden="1" customWidth="1"/>
    <col min="15" max="15" width="2.7109375" style="13" hidden="1" customWidth="1"/>
    <col min="16" max="16384" width="9.140625" style="13" hidden="1"/>
  </cols>
  <sheetData>
    <row r="1" spans="1:7" ht="15.75" x14ac:dyDescent="0.25">
      <c r="A1" s="34"/>
      <c r="B1" s="34"/>
      <c r="C1" s="17"/>
      <c r="D1" s="34"/>
      <c r="E1" s="34"/>
      <c r="F1" s="34"/>
      <c r="G1" s="34"/>
    </row>
    <row r="2" spans="1:7" s="34" customFormat="1" ht="18" x14ac:dyDescent="0.25">
      <c r="C2" s="18" t="str">
        <f>'A1.1 Distributor Information'!C3</f>
        <v>Name of LDC:       EPCOR Natural Gas Limited Partnership</v>
      </c>
    </row>
    <row r="3" spans="1:7" s="34" customFormat="1" ht="18" x14ac:dyDescent="0.25">
      <c r="C3" s="18" t="str">
        <f>'A1.1 Distributor Information'!C4</f>
        <v>OEB Application Number:  EB-2022-0184  Exhibit A - 2023 Custom Incentive Application</v>
      </c>
    </row>
    <row r="4" spans="1:7" s="34" customFormat="1" ht="15" customHeight="1" x14ac:dyDescent="0.25">
      <c r="C4" s="40" t="s">
        <v>145</v>
      </c>
    </row>
    <row r="5" spans="1:7" s="40" customFormat="1" ht="15" customHeight="1" x14ac:dyDescent="0.25"/>
    <row r="6" spans="1:7" s="34" customFormat="1" ht="20.25" x14ac:dyDescent="0.3">
      <c r="C6" s="7" t="s">
        <v>65</v>
      </c>
    </row>
    <row r="7" spans="1:7" s="34" customFormat="1" ht="15" customHeight="1" x14ac:dyDescent="0.25">
      <c r="E7" s="24" t="s">
        <v>65</v>
      </c>
    </row>
    <row r="8" spans="1:7" s="34" customFormat="1" ht="15" customHeight="1" x14ac:dyDescent="0.25"/>
    <row r="9" spans="1:7" s="34" customFormat="1" ht="15" customHeight="1" x14ac:dyDescent="0.25">
      <c r="C9" s="40" t="s">
        <v>57</v>
      </c>
      <c r="D9" s="40"/>
      <c r="E9" s="53">
        <v>1.633</v>
      </c>
      <c r="F9" s="101" t="s">
        <v>126</v>
      </c>
    </row>
    <row r="10" spans="1:7" s="34" customFormat="1" ht="15" customHeight="1" x14ac:dyDescent="0.25">
      <c r="C10" s="40" t="s">
        <v>58</v>
      </c>
      <c r="D10" s="40"/>
      <c r="E10" s="53">
        <v>0.90900000000000003</v>
      </c>
      <c r="F10" s="101" t="s">
        <v>126</v>
      </c>
    </row>
    <row r="11" spans="1:7" s="34" customFormat="1" ht="15" customHeight="1" x14ac:dyDescent="0.25">
      <c r="C11" s="40" t="s">
        <v>59</v>
      </c>
      <c r="D11" s="40"/>
      <c r="E11" s="53">
        <v>0.5524</v>
      </c>
      <c r="F11" s="101" t="s">
        <v>126</v>
      </c>
    </row>
    <row r="12" spans="1:7" s="34" customFormat="1" ht="15" customHeight="1" x14ac:dyDescent="0.25">
      <c r="C12" s="40" t="s">
        <v>60</v>
      </c>
      <c r="D12" s="40"/>
      <c r="E12" s="53">
        <v>6.0100000000000001E-2</v>
      </c>
      <c r="F12" s="102" t="s">
        <v>153</v>
      </c>
    </row>
    <row r="13" spans="1:7" s="34" customFormat="1" ht="15" customHeight="1" x14ac:dyDescent="0.25"/>
    <row r="14" spans="1:7" s="34" customFormat="1" ht="15" customHeight="1" x14ac:dyDescent="0.25"/>
    <row r="15" spans="1:7" s="34" customFormat="1" ht="20.25" x14ac:dyDescent="0.3">
      <c r="C15" s="7" t="s">
        <v>146</v>
      </c>
      <c r="D15" s="40"/>
      <c r="E15" s="40"/>
      <c r="F15" s="40"/>
      <c r="G15" s="40"/>
    </row>
    <row r="16" spans="1:7" s="34" customFormat="1" ht="15" customHeight="1" x14ac:dyDescent="0.25">
      <c r="C16" s="40"/>
      <c r="D16" s="40"/>
      <c r="E16" s="24" t="s">
        <v>149</v>
      </c>
      <c r="F16" s="40"/>
      <c r="G16" s="40"/>
    </row>
    <row r="17" spans="3:7" s="34" customFormat="1" ht="15" customHeight="1" x14ac:dyDescent="0.25">
      <c r="C17" s="40"/>
      <c r="D17" s="40"/>
      <c r="E17" s="40"/>
      <c r="F17" s="40"/>
      <c r="G17" s="40"/>
    </row>
    <row r="18" spans="3:7" s="34" customFormat="1" ht="15" customHeight="1" x14ac:dyDescent="0.25">
      <c r="C18" s="40" t="s">
        <v>57</v>
      </c>
      <c r="D18" s="40"/>
      <c r="E18" s="53">
        <v>0.34370175899425925</v>
      </c>
      <c r="F18" s="101" t="s">
        <v>126</v>
      </c>
      <c r="G18" s="40"/>
    </row>
    <row r="19" spans="3:7" s="34" customFormat="1" ht="15" customHeight="1" x14ac:dyDescent="0.25">
      <c r="C19" s="40" t="s">
        <v>58</v>
      </c>
      <c r="D19" s="40"/>
      <c r="E19" s="53">
        <v>0.27783639709160213</v>
      </c>
      <c r="F19" s="101" t="s">
        <v>126</v>
      </c>
      <c r="G19" s="40"/>
    </row>
    <row r="20" spans="3:7" s="34" customFormat="1" ht="15" customHeight="1" x14ac:dyDescent="0.25">
      <c r="C20" s="40" t="s">
        <v>59</v>
      </c>
      <c r="D20" s="40"/>
      <c r="E20" s="53">
        <v>0.18567839639491462</v>
      </c>
      <c r="F20" s="101" t="s">
        <v>126</v>
      </c>
      <c r="G20" s="40"/>
    </row>
    <row r="21" spans="3:7" s="34" customFormat="1" ht="15" customHeight="1" x14ac:dyDescent="0.25">
      <c r="C21" s="40" t="s">
        <v>60</v>
      </c>
      <c r="D21" s="40"/>
      <c r="E21" s="53">
        <v>0</v>
      </c>
      <c r="F21" s="102" t="s">
        <v>124</v>
      </c>
      <c r="G21" s="40"/>
    </row>
    <row r="22" spans="3:7" s="34" customFormat="1" ht="15" customHeight="1" x14ac:dyDescent="0.25">
      <c r="C22" s="40"/>
      <c r="D22" s="40"/>
      <c r="E22" s="40"/>
      <c r="F22" s="40"/>
      <c r="G22" s="40"/>
    </row>
    <row r="23" spans="3:7" s="34" customFormat="1" ht="15" customHeight="1" x14ac:dyDescent="0.25"/>
    <row r="24" spans="3:7" s="34" customFormat="1" ht="20.25" x14ac:dyDescent="0.3">
      <c r="C24" s="7" t="s">
        <v>147</v>
      </c>
      <c r="D24" s="40"/>
      <c r="E24" s="40"/>
      <c r="F24" s="40"/>
      <c r="G24" s="40"/>
    </row>
    <row r="25" spans="3:7" s="34" customFormat="1" ht="15" customHeight="1" x14ac:dyDescent="0.25">
      <c r="C25" s="40"/>
      <c r="D25" s="40"/>
      <c r="E25" s="24" t="s">
        <v>150</v>
      </c>
      <c r="F25" s="40"/>
      <c r="G25" s="40"/>
    </row>
    <row r="26" spans="3:7" s="34" customFormat="1" ht="15" customHeight="1" x14ac:dyDescent="0.25">
      <c r="C26" s="40"/>
      <c r="D26" s="40"/>
      <c r="E26" s="40"/>
      <c r="F26" s="40"/>
      <c r="G26" s="40"/>
    </row>
    <row r="27" spans="3:7" ht="15" customHeight="1" x14ac:dyDescent="0.25">
      <c r="C27" s="40" t="s">
        <v>57</v>
      </c>
      <c r="D27" s="40"/>
      <c r="E27" s="53">
        <v>3.3388371724887351</v>
      </c>
      <c r="F27" s="101" t="s">
        <v>126</v>
      </c>
      <c r="G27" s="40"/>
    </row>
    <row r="28" spans="3:7" ht="15" customHeight="1" x14ac:dyDescent="0.25">
      <c r="C28" s="40" t="s">
        <v>58</v>
      </c>
      <c r="D28" s="40"/>
      <c r="E28" s="53">
        <v>3.1384513317011078</v>
      </c>
      <c r="F28" s="101" t="s">
        <v>126</v>
      </c>
      <c r="G28" s="40"/>
    </row>
    <row r="29" spans="3:7" ht="15" customHeight="1" x14ac:dyDescent="0.25">
      <c r="C29" s="40" t="s">
        <v>59</v>
      </c>
      <c r="D29" s="40"/>
      <c r="E29" s="53">
        <v>0.60738113261839544</v>
      </c>
      <c r="F29" s="101" t="s">
        <v>126</v>
      </c>
      <c r="G29" s="40"/>
    </row>
    <row r="30" spans="3:7" ht="15" customHeight="1" x14ac:dyDescent="0.25">
      <c r="C30" s="40" t="s">
        <v>60</v>
      </c>
      <c r="D30" s="40"/>
      <c r="E30" s="53">
        <v>4.531061257605967</v>
      </c>
      <c r="F30" s="102" t="s">
        <v>153</v>
      </c>
      <c r="G30" s="40"/>
    </row>
    <row r="31" spans="3:7" ht="15" customHeight="1" x14ac:dyDescent="0.25">
      <c r="C31" s="40"/>
      <c r="D31" s="40"/>
      <c r="E31" s="40"/>
      <c r="F31" s="40"/>
      <c r="G31" s="40"/>
    </row>
    <row r="33" spans="3:7" ht="20.25" x14ac:dyDescent="0.3">
      <c r="C33" s="7" t="s">
        <v>154</v>
      </c>
      <c r="D33" s="40"/>
      <c r="E33" s="40"/>
      <c r="F33" s="40"/>
      <c r="G33" s="40"/>
    </row>
    <row r="34" spans="3:7" ht="15" customHeight="1" x14ac:dyDescent="0.25">
      <c r="C34" s="40"/>
      <c r="D34" s="40"/>
      <c r="E34" s="24" t="s">
        <v>155</v>
      </c>
      <c r="F34" s="40"/>
      <c r="G34" s="40"/>
    </row>
    <row r="35" spans="3:7" ht="15" customHeight="1" x14ac:dyDescent="0.25">
      <c r="C35" s="40"/>
      <c r="D35" s="40"/>
      <c r="E35" s="40"/>
      <c r="F35" s="40"/>
      <c r="G35" s="40"/>
    </row>
    <row r="36" spans="3:7" ht="15" customHeight="1" x14ac:dyDescent="0.25">
      <c r="C36" s="40" t="s">
        <v>57</v>
      </c>
      <c r="D36" s="40"/>
      <c r="E36" s="53">
        <v>-3.0833729127550522</v>
      </c>
      <c r="F36" s="101" t="s">
        <v>126</v>
      </c>
      <c r="G36" s="40"/>
    </row>
    <row r="37" spans="3:7" ht="15" customHeight="1" x14ac:dyDescent="0.25">
      <c r="C37" s="40" t="s">
        <v>58</v>
      </c>
      <c r="D37" s="40"/>
      <c r="E37" s="53">
        <v>-2.8983191824697672</v>
      </c>
      <c r="F37" s="101" t="s">
        <v>126</v>
      </c>
      <c r="G37" s="40"/>
    </row>
    <row r="38" spans="3:7" ht="15" customHeight="1" x14ac:dyDescent="0.25">
      <c r="C38" s="40" t="s">
        <v>59</v>
      </c>
      <c r="D38" s="40"/>
      <c r="E38" s="53">
        <v>-0.56090861437189887</v>
      </c>
      <c r="F38" s="101" t="s">
        <v>126</v>
      </c>
      <c r="G38" s="40"/>
    </row>
    <row r="39" spans="3:7" ht="15" customHeight="1" x14ac:dyDescent="0.25">
      <c r="C39" s="40" t="s">
        <v>60</v>
      </c>
      <c r="D39" s="40"/>
      <c r="E39" s="53">
        <v>-4.1843764238800167</v>
      </c>
      <c r="F39" s="102" t="s">
        <v>153</v>
      </c>
      <c r="G39" s="40"/>
    </row>
    <row r="40" spans="3:7" ht="15" customHeight="1" x14ac:dyDescent="0.25">
      <c r="C40" s="40"/>
      <c r="D40" s="40"/>
      <c r="E40" s="40"/>
      <c r="F40" s="40"/>
      <c r="G40" s="40"/>
    </row>
    <row r="41" spans="3:7" ht="15" customHeight="1" x14ac:dyDescent="0.25">
      <c r="C41" s="40"/>
    </row>
  </sheetData>
  <sheetProtection algorithmName="SHA-512" hashValue="n5dSLqi35j8UPglDW098j8ujyaFRALgzW+dxrmUWofLcEwFnooQoNDpmK+CN92LHUYrtWE1+v5d+Cphc/khanA==" saltValue="kJeZXcYjPQDrFZunDVPapQ==" spinCount="100000" sheet="1" objects="1" scenarios="1"/>
  <pageMargins left="0.70866141732283505" right="0.70866141732283505" top="0.74803149606299202" bottom="0.74803149606299202" header="0.31496062992126" footer="0.31496062992126"/>
  <pageSetup scale="7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P186"/>
  <sheetViews>
    <sheetView showGridLines="0" zoomScale="70" zoomScaleNormal="70" workbookViewId="0">
      <selection activeCell="C17" sqref="C17"/>
    </sheetView>
  </sheetViews>
  <sheetFormatPr defaultColWidth="9.140625" defaultRowHeight="0" customHeight="1" zeroHeight="1" x14ac:dyDescent="0.25"/>
  <cols>
    <col min="1" max="2" width="4.42578125" style="27" customWidth="1"/>
    <col min="3" max="3" width="55.7109375" style="27" customWidth="1"/>
    <col min="4" max="4" width="2.7109375" style="13" customWidth="1"/>
    <col min="5" max="5" width="25.28515625" style="27" customWidth="1"/>
    <col min="6" max="6" width="18" style="27" customWidth="1"/>
    <col min="7" max="7" width="2.7109375" style="27" customWidth="1"/>
    <col min="8" max="8" width="16.5703125" style="27" bestFit="1" customWidth="1"/>
    <col min="9" max="9" width="2.7109375" style="27" customWidth="1"/>
    <col min="10" max="10" width="11" style="27" bestFit="1" customWidth="1"/>
    <col min="11" max="11" width="2.7109375" style="27" customWidth="1"/>
    <col min="12" max="12" width="11.7109375" style="27" bestFit="1" customWidth="1"/>
    <col min="13" max="13" width="2.7109375" style="27" customWidth="1"/>
    <col min="14" max="15" width="12.7109375" style="27" hidden="1" customWidth="1"/>
    <col min="16" max="16" width="2.7109375" style="27" hidden="1" customWidth="1"/>
    <col min="17" max="16384" width="9.140625" style="27"/>
  </cols>
  <sheetData>
    <row r="1" spans="1:12" ht="15" x14ac:dyDescent="0.2">
      <c r="A1" s="26"/>
      <c r="B1" s="26"/>
      <c r="C1" s="17"/>
      <c r="D1" s="26"/>
      <c r="E1" s="26"/>
      <c r="F1" s="26"/>
      <c r="G1" s="26"/>
      <c r="H1" s="26"/>
      <c r="I1" s="26"/>
      <c r="J1" s="26"/>
      <c r="K1" s="26"/>
      <c r="L1" s="26"/>
    </row>
    <row r="2" spans="1:12" s="26" customFormat="1" ht="18" x14ac:dyDescent="0.25">
      <c r="C2" s="18" t="str">
        <f>'A1.1 Distributor Information'!C3</f>
        <v>Name of LDC:       EPCOR Natural Gas Limited Partnership</v>
      </c>
    </row>
    <row r="3" spans="1:12" s="26" customFormat="1" ht="18" x14ac:dyDescent="0.25">
      <c r="C3" s="18" t="str">
        <f>'A1.1 Distributor Information'!C4</f>
        <v>OEB Application Number:  EB-2022-0184  Exhibit A - 2023 Custom Incentive Application</v>
      </c>
    </row>
    <row r="4" spans="1:12" s="26" customFormat="1" ht="15" x14ac:dyDescent="0.2"/>
    <row r="5" spans="1:12" s="26" customFormat="1" ht="20.25" x14ac:dyDescent="0.3">
      <c r="C5" s="15" t="s">
        <v>18</v>
      </c>
    </row>
    <row r="6" spans="1:12" s="26" customFormat="1" ht="15.75" x14ac:dyDescent="0.25">
      <c r="C6" s="33" t="s">
        <v>89</v>
      </c>
      <c r="F6" s="36"/>
      <c r="G6" s="37"/>
      <c r="H6" s="36"/>
      <c r="I6" s="37"/>
      <c r="J6" s="38"/>
      <c r="K6" s="37"/>
      <c r="L6" s="39"/>
    </row>
    <row r="7" spans="1:12" s="26" customFormat="1" ht="15.75" customHeight="1" x14ac:dyDescent="0.25">
      <c r="C7" s="33"/>
      <c r="D7" s="34"/>
    </row>
    <row r="8" spans="1:12" s="26" customFormat="1" ht="15.75" customHeight="1" x14ac:dyDescent="0.25">
      <c r="C8" s="6" t="s">
        <v>40</v>
      </c>
      <c r="D8" s="40"/>
    </row>
    <row r="9" spans="1:12" s="26" customFormat="1" ht="15.75" customHeight="1" x14ac:dyDescent="0.25">
      <c r="C9" s="33"/>
      <c r="D9" s="40"/>
    </row>
    <row r="10" spans="1:12" s="26" customFormat="1" ht="15.75" customHeight="1" x14ac:dyDescent="0.2">
      <c r="C10" s="116" t="s">
        <v>61</v>
      </c>
      <c r="D10" s="109"/>
      <c r="E10" s="112" t="s">
        <v>109</v>
      </c>
      <c r="F10" s="109" t="s">
        <v>7</v>
      </c>
      <c r="G10" s="109"/>
      <c r="H10" s="109" t="s">
        <v>12</v>
      </c>
      <c r="I10" s="109"/>
      <c r="J10" s="109"/>
      <c r="K10" s="109"/>
      <c r="L10" s="109"/>
    </row>
    <row r="11" spans="1:12" s="26" customFormat="1" ht="15.75" customHeight="1" x14ac:dyDescent="0.2">
      <c r="E11" s="96"/>
    </row>
    <row r="12" spans="1:12" s="26" customFormat="1" ht="15.75" customHeight="1" x14ac:dyDescent="0.25">
      <c r="C12" s="12" t="s">
        <v>13</v>
      </c>
      <c r="E12" s="97" t="s">
        <v>107</v>
      </c>
      <c r="F12" s="70">
        <f>INDEX('B1.1 Current Distribution Rates'!$E$10:$Q$13,MATCH($C$8,'B1.1 Current Distribution Rates'!$C$10:$C$13,0),COUNTA('G1.1 Rate 1 Bill Impact'!$C$12:C12))</f>
        <v>26.272397999999999</v>
      </c>
      <c r="H12" s="70">
        <f>INDEX('E1.1 Proposed Dist Rates '!$E$10:$Q$13,MATCH($C$8,'E1.1 Proposed Dist Rates '!$C$10:$C$13,0),COUNTA($C$12:C12))</f>
        <v>26.774200801799996</v>
      </c>
    </row>
    <row r="13" spans="1:12" s="26" customFormat="1" ht="15.75" customHeight="1" x14ac:dyDescent="0.25">
      <c r="C13" s="12" t="str">
        <f>OneDollar</f>
        <v>Bill 32 Rate</v>
      </c>
      <c r="E13" s="97" t="s">
        <v>107</v>
      </c>
      <c r="F13" s="70">
        <f>INDEX('B1.1 Current Distribution Rates'!$E$10:$Q$13,MATCH($C$8,'B1.1 Current Distribution Rates'!$C$10:$C$13,0),COUNTA('G1.1 Rate 1 Bill Impact'!$C$12:C13))</f>
        <v>1</v>
      </c>
      <c r="G13" s="48"/>
      <c r="H13" s="70">
        <f>INDEX('E1.1 Proposed Dist Rates '!$E$10:$Q$13,MATCH($C$8,'E1.1 Proposed Dist Rates '!$C$10:$C$13,0),COUNTA($C$12:C13))</f>
        <v>1</v>
      </c>
    </row>
    <row r="14" spans="1:12" s="26" customFormat="1" ht="15.75" customHeight="1" x14ac:dyDescent="0.25">
      <c r="C14" s="12" t="s">
        <v>38</v>
      </c>
      <c r="E14" s="97" t="s">
        <v>123</v>
      </c>
      <c r="F14" s="71">
        <f>INDEX('B1.1 Current Distribution Rates'!$E$10:$Q$13,MATCH($C$8,'B1.1 Current Distribution Rates'!$C$10:$C$13,0),COUNTA('G1.1 Rate 1 Bill Impact'!$C$12:C14))</f>
        <v>28.148561099999995</v>
      </c>
      <c r="G14" s="48"/>
      <c r="H14" s="71">
        <f>INDEX('E1.1 Proposed Dist Rates '!$E$10:$Q$13,MATCH($C$8,'E1.1 Proposed Dist Rates '!$C$10:$C$13,0),COUNTA($C$12:C14))</f>
        <v>28.686198617009993</v>
      </c>
    </row>
    <row r="15" spans="1:12" s="26" customFormat="1" ht="15.75" customHeight="1" x14ac:dyDescent="0.25">
      <c r="C15" s="12" t="s">
        <v>62</v>
      </c>
      <c r="E15" s="97" t="s">
        <v>123</v>
      </c>
      <c r="F15" s="71">
        <f>INDEX('B1.1 Current Distribution Rates'!$E$10:$Q$13,MATCH($C$8,'B1.1 Current Distribution Rates'!$C$10:$C$13,0),COUNTA('G1.1 Rate 1 Bill Impact'!$C$12:C15))</f>
        <v>27.594068789999994</v>
      </c>
      <c r="G15" s="48"/>
      <c r="H15" s="71">
        <f>INDEX('E1.1 Proposed Dist Rates '!$E$10:$Q$13,MATCH($C$8,'E1.1 Proposed Dist Rates '!$C$10:$C$13,0),COUNTA($C$12:C15))</f>
        <v>28.121115503888991</v>
      </c>
    </row>
    <row r="16" spans="1:12" s="26" customFormat="1" ht="15.75" customHeight="1" x14ac:dyDescent="0.25">
      <c r="C16" s="12" t="s">
        <v>63</v>
      </c>
      <c r="E16" s="97" t="s">
        <v>123</v>
      </c>
      <c r="F16" s="71">
        <f>INDEX('B1.1 Current Distribution Rates'!$E$10:$Q$13,MATCH($C$8,'B1.1 Current Distribution Rates'!$C$10:$C$13,0),COUNTA('G1.1 Rate 1 Bill Impact'!$C$12:C16))</f>
        <v>26.77899261</v>
      </c>
      <c r="G16" s="48"/>
      <c r="H16" s="71">
        <f>INDEX('E1.1 Proposed Dist Rates '!$E$10:$Q$13,MATCH($C$8,'E1.1 Proposed Dist Rates '!$C$10:$C$13,0),COUNTA($C$12:C16))</f>
        <v>27.290471368850998</v>
      </c>
    </row>
    <row r="17" spans="3:12" s="26" customFormat="1" ht="15.75" customHeight="1" x14ac:dyDescent="0.25">
      <c r="C17" s="12" t="s">
        <v>64</v>
      </c>
      <c r="E17" s="97" t="s">
        <v>127</v>
      </c>
      <c r="F17" s="71">
        <f>INDEX('B1.1 Current Distribution Rates'!$E$10:$Q$13,MATCH($C$8,'B1.1 Current Distribution Rates'!$C$10:$C$13,0),COUNTA('G1.1 Rate 1 Bill Impact'!$C$12:C17))</f>
        <v>0</v>
      </c>
      <c r="G17" s="48"/>
      <c r="H17" s="71">
        <f>INDEX('E1.1 Proposed Dist Rates '!$E$10:$Q$13,MATCH($C$8,'E1.1 Proposed Dist Rates '!$C$10:$C$13,0),COUNTA($C$12:C17))</f>
        <v>0</v>
      </c>
    </row>
    <row r="18" spans="3:12" s="26" customFormat="1" ht="15.75" customHeight="1" x14ac:dyDescent="0.25">
      <c r="C18" s="12" t="s">
        <v>128</v>
      </c>
      <c r="E18" s="97" t="s">
        <v>123</v>
      </c>
      <c r="F18" s="71">
        <f>INDEX('B1.1 Current Distribution Rates'!$E$10:$Q$13,MATCH($C$8,'B1.1 Current Distribution Rates'!$C$10:$C$13,0),COUNTA('G1.1 Rate 1 Bill Impact'!$C$12:C18))</f>
        <v>30.3706</v>
      </c>
      <c r="G18" s="48"/>
      <c r="H18" s="71">
        <f>INDEX('E1.1 Proposed Dist Rates '!$E$10:$Q$13,MATCH($C$8,'E1.1 Proposed Dist Rates '!$C$10:$C$13,0),COUNTA($C$12:C18))</f>
        <v>30.3706</v>
      </c>
    </row>
    <row r="19" spans="3:12" s="26" customFormat="1" ht="15.75" customHeight="1" x14ac:dyDescent="0.25">
      <c r="C19" s="12" t="s">
        <v>101</v>
      </c>
      <c r="E19" s="97" t="s">
        <v>108</v>
      </c>
      <c r="F19" s="71">
        <f>INDEX('B1.1 Current Distribution Rates'!$E$10:$Q$13,MATCH($C$8,'B1.1 Current Distribution Rates'!$C$10:$C$13,0),COUNTA('G1.1 Rate 1 Bill Impact'!$C$12:C19))</f>
        <v>1.474</v>
      </c>
      <c r="G19" s="48"/>
      <c r="H19" s="71">
        <f>INDEX('E1.1 Proposed Dist Rates '!$E$10:$Q$13,MATCH($C$8,'E1.1 Proposed Dist Rates '!$C$10:$C$13,0),COUNTA($C$12:C19))</f>
        <v>1.474</v>
      </c>
    </row>
    <row r="20" spans="3:12" s="26" customFormat="1" ht="15.75" customHeight="1" x14ac:dyDescent="0.25">
      <c r="C20" s="12" t="s">
        <v>102</v>
      </c>
      <c r="E20" s="97" t="s">
        <v>123</v>
      </c>
      <c r="F20" s="71">
        <f>INDEX('B1.1 Current Distribution Rates'!$E$10:$Q$13,MATCH($C$8,'B1.1 Current Distribution Rates'!$C$10:$C$13,0),COUNTA('G1.1 Rate 1 Bill Impact'!$C$12:C20))</f>
        <v>2.6981999999999999</v>
      </c>
      <c r="G20" s="48"/>
      <c r="H20" s="71">
        <f>INDEX('E1.1 Proposed Dist Rates '!$E$10:$Q$13,MATCH($C$8,'E1.1 Proposed Dist Rates '!$C$10:$C$13,0),COUNTA($C$12:C20))</f>
        <v>2.6981999999999999</v>
      </c>
    </row>
    <row r="21" spans="3:12" s="26" customFormat="1" ht="15.75" customHeight="1" x14ac:dyDescent="0.25">
      <c r="C21" s="12" t="s">
        <v>82</v>
      </c>
      <c r="E21" s="97" t="s">
        <v>123</v>
      </c>
      <c r="F21" s="71">
        <f>'B1.1 Current Distribution Rates'!Q10</f>
        <v>9.7899999999999991</v>
      </c>
      <c r="G21" s="48"/>
      <c r="H21" s="71">
        <f>'E1.1 Proposed Dist Rates '!Q10</f>
        <v>9.7899999999999991</v>
      </c>
    </row>
    <row r="22" spans="3:12" s="26" customFormat="1" ht="15.75" customHeight="1" x14ac:dyDescent="0.2">
      <c r="E22" s="97"/>
    </row>
    <row r="23" spans="3:12" s="26" customFormat="1" ht="15.75" customHeight="1" x14ac:dyDescent="0.25">
      <c r="C23" s="77" t="s">
        <v>22</v>
      </c>
      <c r="E23" s="96"/>
    </row>
    <row r="24" spans="3:12" s="26" customFormat="1" ht="15.75" customHeight="1" x14ac:dyDescent="0.25">
      <c r="C24" s="12" t="s">
        <v>65</v>
      </c>
      <c r="E24" s="97" t="s">
        <v>123</v>
      </c>
      <c r="F24" s="71">
        <f>'C1.1 Current Rate Riders'!E10</f>
        <v>1.633</v>
      </c>
      <c r="G24" s="48"/>
      <c r="H24" s="71">
        <f>'F1.3 Rate Riders'!E9</f>
        <v>1.633</v>
      </c>
    </row>
    <row r="25" spans="3:12" s="26" customFormat="1" ht="15.75" customHeight="1" x14ac:dyDescent="0.25">
      <c r="C25" s="12" t="str">
        <f>'F1.3 Rate Riders'!$E$16</f>
        <v>ECVA Rate Rider</v>
      </c>
      <c r="E25" s="97" t="s">
        <v>123</v>
      </c>
      <c r="F25" s="71">
        <f>'C1.1 Current Rate Riders'!E19</f>
        <v>0.14030000000000001</v>
      </c>
      <c r="G25" s="48"/>
      <c r="H25" s="71">
        <f>'F1.3 Rate Riders'!E18</f>
        <v>0.34370175899425925</v>
      </c>
    </row>
    <row r="26" spans="3:12" s="26" customFormat="1" ht="15.75" customHeight="1" x14ac:dyDescent="0.25">
      <c r="C26" s="12" t="str">
        <f>'C1.1 Current Rate Riders'!E35</f>
        <v>EFVA Rate Rider</v>
      </c>
      <c r="E26" s="97" t="s">
        <v>123</v>
      </c>
      <c r="F26" s="71">
        <f>'C1.1 Current Rate Riders'!E37</f>
        <v>0.51970000000000005</v>
      </c>
      <c r="G26" s="48"/>
      <c r="H26" s="71">
        <f>'F1.3 Rate Riders'!E26</f>
        <v>0</v>
      </c>
    </row>
    <row r="27" spans="3:12" s="26" customFormat="1" ht="15.75" customHeight="1" x14ac:dyDescent="0.25">
      <c r="C27" s="12" t="str">
        <f>'F1.3 Rate Riders'!$E$25</f>
        <v>CIACVA Rate Rider</v>
      </c>
      <c r="E27" s="97" t="s">
        <v>123</v>
      </c>
      <c r="F27" s="71">
        <f>'C1.1 Current Rate Riders'!E28</f>
        <v>0.54339999999999999</v>
      </c>
      <c r="G27" s="48"/>
      <c r="H27" s="71">
        <f>'F1.3 Rate Riders'!E27</f>
        <v>3.3388371724887351</v>
      </c>
    </row>
    <row r="28" spans="3:12" s="26" customFormat="1" ht="15.75" customHeight="1" x14ac:dyDescent="0.25">
      <c r="C28" s="12" t="str">
        <f>'F1.3 Rate Riders'!$E$34</f>
        <v>MTVA Rate Rider</v>
      </c>
      <c r="E28" s="97" t="s">
        <v>123</v>
      </c>
      <c r="F28" s="71">
        <v>0</v>
      </c>
      <c r="G28" s="48"/>
      <c r="H28" s="71">
        <f>'F1.3 Rate Riders'!E36</f>
        <v>-3.0833729127550522</v>
      </c>
    </row>
    <row r="29" spans="3:12" s="26" customFormat="1" ht="15.75" customHeight="1" x14ac:dyDescent="0.2"/>
    <row r="30" spans="3:12" s="26" customFormat="1" ht="15.75" customHeight="1" x14ac:dyDescent="0.25">
      <c r="C30" s="77" t="s">
        <v>23</v>
      </c>
      <c r="E30" s="84" t="s">
        <v>14</v>
      </c>
      <c r="F30" s="84" t="s">
        <v>7</v>
      </c>
      <c r="G30" s="84"/>
      <c r="H30" s="84" t="s">
        <v>12</v>
      </c>
      <c r="I30" s="84"/>
      <c r="J30" s="84" t="s">
        <v>16</v>
      </c>
      <c r="K30" s="84"/>
      <c r="L30" s="84" t="s">
        <v>17</v>
      </c>
    </row>
    <row r="31" spans="3:12" s="26" customFormat="1" ht="15.75" customHeight="1" x14ac:dyDescent="0.25">
      <c r="C31" s="12" t="s">
        <v>13</v>
      </c>
      <c r="E31" s="83">
        <v>12</v>
      </c>
      <c r="F31" s="41">
        <f>F12*$E31</f>
        <v>315.268776</v>
      </c>
      <c r="G31" s="73"/>
      <c r="H31" s="41">
        <f>H12*$E31</f>
        <v>321.29040962159996</v>
      </c>
      <c r="I31" s="73"/>
      <c r="J31" s="41">
        <f>H31-F31</f>
        <v>6.0216336215999604</v>
      </c>
      <c r="L31" s="79">
        <f>J31/F31</f>
        <v>1.9099999999999874E-2</v>
      </c>
    </row>
    <row r="32" spans="3:12" s="26" customFormat="1" ht="15.75" customHeight="1" x14ac:dyDescent="0.25">
      <c r="C32" s="12" t="str">
        <f>OneDollar</f>
        <v>Bill 32 Rate</v>
      </c>
      <c r="E32" s="72">
        <v>12</v>
      </c>
      <c r="F32" s="41">
        <f>F13*$E32</f>
        <v>12</v>
      </c>
      <c r="G32" s="73"/>
      <c r="H32" s="41">
        <f>H13*$E32</f>
        <v>12</v>
      </c>
      <c r="I32" s="73"/>
      <c r="J32" s="41">
        <f>H32-F32</f>
        <v>0</v>
      </c>
      <c r="L32" s="79">
        <f>J32/F32</f>
        <v>0</v>
      </c>
    </row>
    <row r="33" spans="3:12" s="26" customFormat="1" ht="15.75" customHeight="1" x14ac:dyDescent="0.25">
      <c r="C33" s="12" t="s">
        <v>38</v>
      </c>
      <c r="E33" s="72">
        <v>1001.3160527512506</v>
      </c>
      <c r="F33" s="41">
        <f t="shared" ref="F33:F40" si="0">F14*$E33/100</f>
        <v>281.85606091279396</v>
      </c>
      <c r="G33" s="73"/>
      <c r="H33" s="41">
        <f t="shared" ref="H33:H40" si="1">H14*$E33/100</f>
        <v>287.23951167622829</v>
      </c>
      <c r="I33" s="73"/>
      <c r="J33" s="41">
        <f t="shared" ref="J33:J40" si="2">H33-F33</f>
        <v>5.3834507634343254</v>
      </c>
      <c r="L33" s="79">
        <f t="shared" ref="L33:L40" si="3">J33/F33</f>
        <v>1.909999999999986E-2</v>
      </c>
    </row>
    <row r="34" spans="3:12" s="26" customFormat="1" ht="15.75" customHeight="1" x14ac:dyDescent="0.25">
      <c r="C34" s="12" t="s">
        <v>62</v>
      </c>
      <c r="E34" s="72">
        <v>1147.6839472487493</v>
      </c>
      <c r="F34" s="41">
        <f t="shared" si="0"/>
        <v>316.69269789560713</v>
      </c>
      <c r="G34" s="73"/>
      <c r="H34" s="41">
        <f t="shared" si="1"/>
        <v>322.74152842541321</v>
      </c>
      <c r="I34" s="73"/>
      <c r="J34" s="41">
        <f t="shared" si="2"/>
        <v>6.0488305298060823</v>
      </c>
      <c r="L34" s="79">
        <f t="shared" si="3"/>
        <v>1.9099999999999957E-2</v>
      </c>
    </row>
    <row r="35" spans="3:12" s="26" customFormat="1" ht="15.75" customHeight="1" x14ac:dyDescent="0.25">
      <c r="C35" s="12" t="s">
        <v>63</v>
      </c>
      <c r="E35" s="72">
        <v>0</v>
      </c>
      <c r="F35" s="41">
        <f t="shared" si="0"/>
        <v>0</v>
      </c>
      <c r="G35" s="73"/>
      <c r="H35" s="41">
        <f t="shared" si="1"/>
        <v>0</v>
      </c>
      <c r="I35" s="73"/>
      <c r="J35" s="41">
        <f t="shared" si="2"/>
        <v>0</v>
      </c>
      <c r="L35" s="79" t="e">
        <f t="shared" si="3"/>
        <v>#DIV/0!</v>
      </c>
    </row>
    <row r="36" spans="3:12" s="26" customFormat="1" ht="15.75" customHeight="1" thickBot="1" x14ac:dyDescent="0.3">
      <c r="C36" s="12" t="s">
        <v>64</v>
      </c>
      <c r="E36" s="72">
        <v>0</v>
      </c>
      <c r="F36" s="41">
        <f t="shared" si="0"/>
        <v>0</v>
      </c>
      <c r="G36" s="73"/>
      <c r="H36" s="41">
        <f t="shared" si="1"/>
        <v>0</v>
      </c>
      <c r="I36" s="73"/>
      <c r="J36" s="41">
        <f t="shared" si="2"/>
        <v>0</v>
      </c>
      <c r="L36" s="79" t="e">
        <f t="shared" si="3"/>
        <v>#DIV/0!</v>
      </c>
    </row>
    <row r="37" spans="3:12" s="26" customFormat="1" ht="15.75" customHeight="1" thickTop="1" x14ac:dyDescent="0.25">
      <c r="C37" s="12" t="s">
        <v>128</v>
      </c>
      <c r="E37" s="82">
        <f>SUM(E33:E36)</f>
        <v>2149</v>
      </c>
      <c r="F37" s="41">
        <f t="shared" si="0"/>
        <v>652.66419399999995</v>
      </c>
      <c r="G37" s="73"/>
      <c r="H37" s="41">
        <f t="shared" si="1"/>
        <v>652.66419399999995</v>
      </c>
      <c r="I37" s="73"/>
      <c r="J37" s="41">
        <f t="shared" si="2"/>
        <v>0</v>
      </c>
      <c r="L37" s="79">
        <f t="shared" si="3"/>
        <v>0</v>
      </c>
    </row>
    <row r="38" spans="3:12" s="26" customFormat="1" ht="15.75" customHeight="1" x14ac:dyDescent="0.25">
      <c r="C38" s="12" t="s">
        <v>101</v>
      </c>
      <c r="D38" s="12"/>
      <c r="E38" s="12">
        <f>E37</f>
        <v>2149</v>
      </c>
      <c r="F38" s="41">
        <f t="shared" si="0"/>
        <v>31.676259999999999</v>
      </c>
      <c r="G38" s="73"/>
      <c r="H38" s="41">
        <f t="shared" si="1"/>
        <v>31.676259999999999</v>
      </c>
      <c r="I38" s="73"/>
      <c r="J38" s="41">
        <f t="shared" si="2"/>
        <v>0</v>
      </c>
      <c r="L38" s="79">
        <f t="shared" si="3"/>
        <v>0</v>
      </c>
    </row>
    <row r="39" spans="3:12" s="26" customFormat="1" ht="15.75" customHeight="1" x14ac:dyDescent="0.25">
      <c r="C39" s="12" t="s">
        <v>102</v>
      </c>
      <c r="D39" s="12"/>
      <c r="E39" s="12">
        <f>E38</f>
        <v>2149</v>
      </c>
      <c r="F39" s="41">
        <f t="shared" si="0"/>
        <v>57.984318000000002</v>
      </c>
      <c r="G39" s="73"/>
      <c r="H39" s="41">
        <f t="shared" si="1"/>
        <v>57.984318000000002</v>
      </c>
      <c r="I39" s="73"/>
      <c r="J39" s="41">
        <f t="shared" si="2"/>
        <v>0</v>
      </c>
      <c r="L39" s="79">
        <f t="shared" si="3"/>
        <v>0</v>
      </c>
    </row>
    <row r="40" spans="3:12" s="26" customFormat="1" ht="15.75" customHeight="1" thickBot="1" x14ac:dyDescent="0.3">
      <c r="C40" s="12" t="s">
        <v>82</v>
      </c>
      <c r="E40" s="12">
        <f>E37</f>
        <v>2149</v>
      </c>
      <c r="F40" s="41">
        <f t="shared" si="0"/>
        <v>210.3871</v>
      </c>
      <c r="G40" s="73"/>
      <c r="H40" s="41">
        <f t="shared" si="1"/>
        <v>210.3871</v>
      </c>
      <c r="I40" s="73"/>
      <c r="J40" s="41">
        <f t="shared" si="2"/>
        <v>0</v>
      </c>
      <c r="L40" s="79">
        <f t="shared" si="3"/>
        <v>0</v>
      </c>
    </row>
    <row r="41" spans="3:12" s="26" customFormat="1" ht="15.75" customHeight="1" thickTop="1" x14ac:dyDescent="0.25">
      <c r="C41" s="77" t="s">
        <v>15</v>
      </c>
      <c r="F41" s="74">
        <f>SUM(F31:F40)</f>
        <v>1878.5294068084008</v>
      </c>
      <c r="H41" s="74">
        <f>SUM(H31:H40)</f>
        <v>1895.9833217232413</v>
      </c>
      <c r="J41" s="74">
        <f>SUM(J31:J40)</f>
        <v>17.453914914840368</v>
      </c>
      <c r="L41" s="80">
        <f>J41/F41</f>
        <v>9.2912652054217039E-3</v>
      </c>
    </row>
    <row r="42" spans="3:12" s="26" customFormat="1" ht="15.75" customHeight="1" x14ac:dyDescent="0.2"/>
    <row r="43" spans="3:12" s="26" customFormat="1" ht="15.75" customHeight="1" x14ac:dyDescent="0.25">
      <c r="C43" s="77" t="s">
        <v>22</v>
      </c>
      <c r="E43" s="84" t="s">
        <v>14</v>
      </c>
      <c r="F43" s="84" t="s">
        <v>7</v>
      </c>
      <c r="G43" s="84"/>
      <c r="H43" s="84" t="s">
        <v>12</v>
      </c>
      <c r="I43" s="84"/>
      <c r="J43" s="84" t="s">
        <v>16</v>
      </c>
      <c r="K43" s="84"/>
      <c r="L43" s="84" t="s">
        <v>17</v>
      </c>
    </row>
    <row r="44" spans="3:12" s="26" customFormat="1" ht="15.75" customHeight="1" x14ac:dyDescent="0.25">
      <c r="C44" s="12" t="s">
        <v>65</v>
      </c>
      <c r="E44" s="12">
        <f>E37</f>
        <v>2149</v>
      </c>
      <c r="F44" s="12">
        <f>$E44*F24/100</f>
        <v>35.093170000000001</v>
      </c>
      <c r="G44" s="28"/>
      <c r="H44" s="12">
        <f>$E44*H24/100</f>
        <v>35.093170000000001</v>
      </c>
      <c r="I44" s="28"/>
      <c r="J44" s="12">
        <f>H44-F44</f>
        <v>0</v>
      </c>
      <c r="L44" s="49">
        <f>J44/F44</f>
        <v>0</v>
      </c>
    </row>
    <row r="45" spans="3:12" s="26" customFormat="1" ht="15.75" customHeight="1" x14ac:dyDescent="0.25">
      <c r="C45" s="12" t="str">
        <f>'F1.3 Rate Riders'!$E$16</f>
        <v>ECVA Rate Rider</v>
      </c>
      <c r="E45" s="12">
        <f>E44</f>
        <v>2149</v>
      </c>
      <c r="F45" s="12">
        <f>$E45*F25/100</f>
        <v>3.015047</v>
      </c>
      <c r="G45" s="28"/>
      <c r="H45" s="12">
        <f>$E45*H25/100</f>
        <v>7.3861508007866314</v>
      </c>
      <c r="I45" s="28"/>
      <c r="J45" s="12">
        <f t="shared" ref="J45:J48" si="4">H45-F45</f>
        <v>4.3711038007866314</v>
      </c>
      <c r="L45" s="49">
        <f t="shared" ref="L45:L48" si="5">J45/F45</f>
        <v>1.4497630719476782</v>
      </c>
    </row>
    <row r="46" spans="3:12" s="26" customFormat="1" ht="15.75" customHeight="1" x14ac:dyDescent="0.25">
      <c r="C46" s="12" t="str">
        <f>'C1.1 Current Rate Riders'!E35</f>
        <v>EFVA Rate Rider</v>
      </c>
      <c r="E46" s="12">
        <f>E44</f>
        <v>2149</v>
      </c>
      <c r="F46" s="12">
        <f>$E46*F26/100</f>
        <v>11.168353000000002</v>
      </c>
      <c r="G46" s="28"/>
      <c r="H46" s="12">
        <f>$E46*H26/100</f>
        <v>0</v>
      </c>
      <c r="I46" s="28"/>
      <c r="J46" s="12">
        <f t="shared" ref="J46" si="6">H46-F46</f>
        <v>-11.168353000000002</v>
      </c>
      <c r="L46" s="49">
        <f t="shared" ref="L46" si="7">J46/F46</f>
        <v>-1</v>
      </c>
    </row>
    <row r="47" spans="3:12" s="26" customFormat="1" ht="15.75" customHeight="1" x14ac:dyDescent="0.25">
      <c r="C47" s="12" t="str">
        <f>'F1.3 Rate Riders'!$E$25</f>
        <v>CIACVA Rate Rider</v>
      </c>
      <c r="E47" s="12">
        <f>E45</f>
        <v>2149</v>
      </c>
      <c r="F47" s="12">
        <f>$E47*F27/100</f>
        <v>11.677665999999999</v>
      </c>
      <c r="G47" s="28"/>
      <c r="H47" s="12">
        <f>$E47*H27/100</f>
        <v>71.751610836782916</v>
      </c>
      <c r="I47" s="28"/>
      <c r="J47" s="12">
        <f t="shared" si="4"/>
        <v>60.073944836782914</v>
      </c>
      <c r="L47" s="49">
        <f t="shared" si="5"/>
        <v>5.1443451830856377</v>
      </c>
    </row>
    <row r="48" spans="3:12" s="26" customFormat="1" ht="15.75" customHeight="1" thickBot="1" x14ac:dyDescent="0.3">
      <c r="C48" s="12" t="str">
        <f>'F1.3 Rate Riders'!$E$34</f>
        <v>MTVA Rate Rider</v>
      </c>
      <c r="E48" s="12">
        <f t="shared" ref="E48" si="8">E47</f>
        <v>2149</v>
      </c>
      <c r="F48" s="12">
        <f>$E48*F28/100</f>
        <v>0</v>
      </c>
      <c r="G48" s="28"/>
      <c r="H48" s="12">
        <f>$E48*H28/100</f>
        <v>-66.261683895106074</v>
      </c>
      <c r="I48" s="28"/>
      <c r="J48" s="12">
        <f t="shared" si="4"/>
        <v>-66.261683895106074</v>
      </c>
      <c r="L48" s="49" t="e">
        <f t="shared" si="5"/>
        <v>#DIV/0!</v>
      </c>
    </row>
    <row r="49" spans="3:12" s="26" customFormat="1" ht="15.75" customHeight="1" thickTop="1" x14ac:dyDescent="0.25">
      <c r="C49" s="77" t="s">
        <v>24</v>
      </c>
      <c r="F49" s="76">
        <f>SUM(F44:F48)</f>
        <v>60.954236000000009</v>
      </c>
      <c r="H49" s="76">
        <f>SUM(H44:H48)</f>
        <v>47.969247742463466</v>
      </c>
      <c r="J49" s="76">
        <f>SUM(J44:J48)</f>
        <v>-12.984988257536529</v>
      </c>
      <c r="L49" s="78">
        <f>J49/F49</f>
        <v>-0.21302848021155621</v>
      </c>
    </row>
    <row r="50" spans="3:12" s="26" customFormat="1" ht="15.75" customHeight="1" thickBot="1" x14ac:dyDescent="0.25">
      <c r="C50" s="25"/>
    </row>
    <row r="51" spans="3:12" s="26" customFormat="1" ht="15.75" customHeight="1" thickTop="1" x14ac:dyDescent="0.25">
      <c r="C51" s="77" t="s">
        <v>25</v>
      </c>
      <c r="F51" s="74">
        <f>F41+F49</f>
        <v>1939.4836428084009</v>
      </c>
      <c r="H51" s="74">
        <f>H41+H49</f>
        <v>1943.9525694657048</v>
      </c>
      <c r="J51" s="74">
        <f>J41+J49</f>
        <v>4.4689266573038395</v>
      </c>
      <c r="L51" s="75">
        <f>J51/F51</f>
        <v>2.3041837315177188E-3</v>
      </c>
    </row>
    <row r="52" spans="3:12" s="26" customFormat="1" ht="15.75" customHeight="1" x14ac:dyDescent="0.25">
      <c r="C52" s="33"/>
      <c r="D52" s="40"/>
    </row>
    <row r="53" spans="3:12" s="26" customFormat="1" ht="15.75" customHeight="1" x14ac:dyDescent="0.25">
      <c r="C53" s="33"/>
      <c r="D53" s="40"/>
    </row>
    <row r="54" spans="3:12" s="26" customFormat="1" ht="15.75" customHeight="1" x14ac:dyDescent="0.2">
      <c r="C54" s="116" t="s">
        <v>66</v>
      </c>
      <c r="D54" s="109"/>
      <c r="E54" s="112" t="s">
        <v>109</v>
      </c>
      <c r="F54" s="109" t="s">
        <v>7</v>
      </c>
      <c r="G54" s="109"/>
      <c r="H54" s="109" t="s">
        <v>12</v>
      </c>
      <c r="I54" s="109"/>
      <c r="J54" s="109"/>
      <c r="K54" s="109"/>
      <c r="L54" s="109"/>
    </row>
    <row r="55" spans="3:12" s="26" customFormat="1" ht="15.75" customHeight="1" x14ac:dyDescent="0.2">
      <c r="E55" s="96"/>
    </row>
    <row r="56" spans="3:12" s="26" customFormat="1" ht="15.75" customHeight="1" x14ac:dyDescent="0.25">
      <c r="C56" s="12" t="s">
        <v>13</v>
      </c>
      <c r="E56" s="97" t="s">
        <v>107</v>
      </c>
      <c r="F56" s="12">
        <f t="shared" ref="F56:F65" si="9">F12</f>
        <v>26.272397999999999</v>
      </c>
      <c r="G56" s="12"/>
      <c r="H56" s="12">
        <f t="shared" ref="H56:H65" si="10">H12</f>
        <v>26.774200801799996</v>
      </c>
    </row>
    <row r="57" spans="3:12" s="26" customFormat="1" ht="15.75" customHeight="1" x14ac:dyDescent="0.25">
      <c r="C57" s="12" t="str">
        <f>OneDollar</f>
        <v>Bill 32 Rate</v>
      </c>
      <c r="E57" s="97" t="s">
        <v>107</v>
      </c>
      <c r="F57" s="12">
        <f t="shared" si="9"/>
        <v>1</v>
      </c>
      <c r="G57" s="12"/>
      <c r="H57" s="12">
        <f t="shared" si="10"/>
        <v>1</v>
      </c>
    </row>
    <row r="58" spans="3:12" s="26" customFormat="1" ht="15.75" customHeight="1" x14ac:dyDescent="0.25">
      <c r="C58" s="12" t="s">
        <v>38</v>
      </c>
      <c r="E58" s="97" t="s">
        <v>123</v>
      </c>
      <c r="F58" s="45">
        <f t="shared" si="9"/>
        <v>28.148561099999995</v>
      </c>
      <c r="G58" s="45"/>
      <c r="H58" s="45">
        <f t="shared" si="10"/>
        <v>28.686198617009993</v>
      </c>
    </row>
    <row r="59" spans="3:12" s="26" customFormat="1" ht="15.75" customHeight="1" x14ac:dyDescent="0.25">
      <c r="C59" s="12" t="s">
        <v>62</v>
      </c>
      <c r="E59" s="97" t="s">
        <v>123</v>
      </c>
      <c r="F59" s="45">
        <f t="shared" si="9"/>
        <v>27.594068789999994</v>
      </c>
      <c r="G59" s="45"/>
      <c r="H59" s="45">
        <f t="shared" si="10"/>
        <v>28.121115503888991</v>
      </c>
    </row>
    <row r="60" spans="3:12" s="26" customFormat="1" ht="15.75" customHeight="1" x14ac:dyDescent="0.25">
      <c r="C60" s="12" t="s">
        <v>63</v>
      </c>
      <c r="E60" s="97" t="s">
        <v>123</v>
      </c>
      <c r="F60" s="45">
        <f t="shared" si="9"/>
        <v>26.77899261</v>
      </c>
      <c r="G60" s="45"/>
      <c r="H60" s="45">
        <f t="shared" si="10"/>
        <v>27.290471368850998</v>
      </c>
    </row>
    <row r="61" spans="3:12" s="26" customFormat="1" ht="15.75" customHeight="1" x14ac:dyDescent="0.25">
      <c r="C61" s="12" t="s">
        <v>64</v>
      </c>
      <c r="E61" s="97" t="s">
        <v>127</v>
      </c>
      <c r="F61" s="45">
        <f t="shared" si="9"/>
        <v>0</v>
      </c>
      <c r="G61" s="45"/>
      <c r="H61" s="45">
        <f t="shared" si="10"/>
        <v>0</v>
      </c>
    </row>
    <row r="62" spans="3:12" s="26" customFormat="1" ht="15.75" customHeight="1" x14ac:dyDescent="0.25">
      <c r="C62" s="12" t="s">
        <v>128</v>
      </c>
      <c r="E62" s="97" t="s">
        <v>123</v>
      </c>
      <c r="F62" s="45">
        <f t="shared" si="9"/>
        <v>30.3706</v>
      </c>
      <c r="G62" s="45"/>
      <c r="H62" s="45">
        <f t="shared" si="10"/>
        <v>30.3706</v>
      </c>
    </row>
    <row r="63" spans="3:12" s="26" customFormat="1" ht="15.75" customHeight="1" x14ac:dyDescent="0.25">
      <c r="C63" s="12" t="s">
        <v>101</v>
      </c>
      <c r="E63" s="97" t="s">
        <v>123</v>
      </c>
      <c r="F63" s="45">
        <f t="shared" si="9"/>
        <v>1.474</v>
      </c>
      <c r="G63" s="45"/>
      <c r="H63" s="45">
        <f t="shared" si="10"/>
        <v>1.474</v>
      </c>
    </row>
    <row r="64" spans="3:12" s="26" customFormat="1" ht="15.75" customHeight="1" x14ac:dyDescent="0.25">
      <c r="C64" s="12" t="s">
        <v>102</v>
      </c>
      <c r="E64" s="97" t="s">
        <v>123</v>
      </c>
      <c r="F64" s="45">
        <f t="shared" si="9"/>
        <v>2.6981999999999999</v>
      </c>
      <c r="G64" s="45"/>
      <c r="H64" s="45">
        <f t="shared" si="10"/>
        <v>2.6981999999999999</v>
      </c>
    </row>
    <row r="65" spans="3:12" s="26" customFormat="1" ht="15.75" customHeight="1" x14ac:dyDescent="0.25">
      <c r="C65" s="12" t="s">
        <v>82</v>
      </c>
      <c r="E65" s="97" t="s">
        <v>123</v>
      </c>
      <c r="F65" s="45">
        <f t="shared" si="9"/>
        <v>9.7899999999999991</v>
      </c>
      <c r="G65" s="45"/>
      <c r="H65" s="45">
        <f t="shared" si="10"/>
        <v>9.7899999999999991</v>
      </c>
    </row>
    <row r="66" spans="3:12" s="26" customFormat="1" ht="15.75" customHeight="1" x14ac:dyDescent="0.2">
      <c r="E66" s="97"/>
    </row>
    <row r="67" spans="3:12" s="26" customFormat="1" ht="15.75" customHeight="1" x14ac:dyDescent="0.25">
      <c r="C67" s="77" t="s">
        <v>22</v>
      </c>
      <c r="E67" s="96"/>
    </row>
    <row r="68" spans="3:12" s="26" customFormat="1" ht="15.75" customHeight="1" x14ac:dyDescent="0.25">
      <c r="C68" s="12" t="s">
        <v>65</v>
      </c>
      <c r="E68" s="97" t="s">
        <v>123</v>
      </c>
      <c r="F68" s="45">
        <f>F24</f>
        <v>1.633</v>
      </c>
      <c r="G68" s="45"/>
      <c r="H68" s="45">
        <f>H24</f>
        <v>1.633</v>
      </c>
    </row>
    <row r="69" spans="3:12" s="26" customFormat="1" ht="15.75" customHeight="1" x14ac:dyDescent="0.25">
      <c r="C69" s="12" t="str">
        <f>'F1.3 Rate Riders'!$E$16</f>
        <v>ECVA Rate Rider</v>
      </c>
      <c r="E69" s="97" t="s">
        <v>123</v>
      </c>
      <c r="F69" s="45">
        <f>F25</f>
        <v>0.14030000000000001</v>
      </c>
      <c r="G69" s="45"/>
      <c r="H69" s="45">
        <f>H25</f>
        <v>0.34370175899425925</v>
      </c>
    </row>
    <row r="70" spans="3:12" s="26" customFormat="1" ht="15.75" customHeight="1" x14ac:dyDescent="0.25">
      <c r="C70" s="12" t="str">
        <f>C46</f>
        <v>EFVA Rate Rider</v>
      </c>
      <c r="E70" s="97" t="s">
        <v>123</v>
      </c>
      <c r="F70" s="45">
        <f>F26</f>
        <v>0.51970000000000005</v>
      </c>
      <c r="G70" s="45"/>
      <c r="H70" s="45">
        <f>H26</f>
        <v>0</v>
      </c>
    </row>
    <row r="71" spans="3:12" s="26" customFormat="1" ht="15.75" customHeight="1" x14ac:dyDescent="0.25">
      <c r="C71" s="12" t="str">
        <f>'F1.3 Rate Riders'!$E$25</f>
        <v>CIACVA Rate Rider</v>
      </c>
      <c r="E71" s="97" t="s">
        <v>123</v>
      </c>
      <c r="F71" s="45">
        <f>F27</f>
        <v>0.54339999999999999</v>
      </c>
      <c r="G71" s="45"/>
      <c r="H71" s="45">
        <f>H27</f>
        <v>3.3388371724887351</v>
      </c>
    </row>
    <row r="72" spans="3:12" s="26" customFormat="1" ht="15.75" customHeight="1" x14ac:dyDescent="0.25">
      <c r="C72" s="12" t="str">
        <f>'F1.3 Rate Riders'!$E$34</f>
        <v>MTVA Rate Rider</v>
      </c>
      <c r="E72" s="97" t="s">
        <v>123</v>
      </c>
      <c r="F72" s="45">
        <f>F28</f>
        <v>0</v>
      </c>
      <c r="G72" s="45"/>
      <c r="H72" s="45">
        <f>H28</f>
        <v>-3.0833729127550522</v>
      </c>
    </row>
    <row r="73" spans="3:12" s="26" customFormat="1" ht="15.75" customHeight="1" x14ac:dyDescent="0.2"/>
    <row r="74" spans="3:12" s="26" customFormat="1" ht="15.75" customHeight="1" x14ac:dyDescent="0.25">
      <c r="C74" s="77" t="s">
        <v>23</v>
      </c>
      <c r="E74" s="84" t="s">
        <v>14</v>
      </c>
      <c r="F74" s="84" t="s">
        <v>7</v>
      </c>
      <c r="G74" s="84"/>
      <c r="H74" s="84" t="s">
        <v>12</v>
      </c>
      <c r="I74" s="84"/>
      <c r="J74" s="84" t="s">
        <v>16</v>
      </c>
      <c r="K74" s="84"/>
      <c r="L74" s="84" t="s">
        <v>17</v>
      </c>
    </row>
    <row r="75" spans="3:12" s="26" customFormat="1" ht="15.75" customHeight="1" x14ac:dyDescent="0.25">
      <c r="C75" s="12" t="s">
        <v>13</v>
      </c>
      <c r="E75" s="72">
        <v>12</v>
      </c>
      <c r="F75" s="41">
        <f>F56*$E75</f>
        <v>315.268776</v>
      </c>
      <c r="G75" s="73"/>
      <c r="H75" s="41">
        <f>H56*$E75</f>
        <v>321.29040962159996</v>
      </c>
      <c r="I75" s="73"/>
      <c r="J75" s="41">
        <f>H75-F75</f>
        <v>6.0216336215999604</v>
      </c>
      <c r="L75" s="79">
        <f>J75/F75</f>
        <v>1.9099999999999874E-2</v>
      </c>
    </row>
    <row r="76" spans="3:12" s="26" customFormat="1" ht="15.75" customHeight="1" x14ac:dyDescent="0.25">
      <c r="C76" s="12" t="str">
        <f>OneDollar</f>
        <v>Bill 32 Rate</v>
      </c>
      <c r="E76" s="72">
        <f>E75</f>
        <v>12</v>
      </c>
      <c r="F76" s="41">
        <f>F57*$E76</f>
        <v>12</v>
      </c>
      <c r="G76" s="73"/>
      <c r="H76" s="41">
        <f>H57*$E76</f>
        <v>12</v>
      </c>
      <c r="I76" s="73"/>
      <c r="J76" s="41">
        <f>H76-F76</f>
        <v>0</v>
      </c>
      <c r="L76" s="79">
        <f>J76/F76</f>
        <v>0</v>
      </c>
    </row>
    <row r="77" spans="3:12" s="26" customFormat="1" ht="15.75" customHeight="1" x14ac:dyDescent="0.25">
      <c r="C77" s="12" t="s">
        <v>38</v>
      </c>
      <c r="E77" s="72">
        <v>993.12960436562071</v>
      </c>
      <c r="F77" s="41">
        <f t="shared" ref="F77:F84" si="11">F58*$E77/100</f>
        <v>279.55169348704499</v>
      </c>
      <c r="G77" s="73"/>
      <c r="H77" s="41">
        <f t="shared" ref="H77:H84" si="12">H58*$E77/100</f>
        <v>284.89113083264749</v>
      </c>
      <c r="I77" s="73"/>
      <c r="J77" s="41">
        <f t="shared" ref="J77:J84" si="13">H77-F77</f>
        <v>5.339437345602505</v>
      </c>
      <c r="L77" s="79">
        <f t="shared" ref="L77:L84" si="14">J77/F77</f>
        <v>1.9099999999999805E-2</v>
      </c>
    </row>
    <row r="78" spans="3:12" s="26" customFormat="1" ht="15.75" customHeight="1" x14ac:dyDescent="0.25">
      <c r="C78" s="12" t="s">
        <v>62</v>
      </c>
      <c r="E78" s="72">
        <v>1072.8703956343793</v>
      </c>
      <c r="F78" s="41">
        <f t="shared" si="11"/>
        <v>296.04859499889574</v>
      </c>
      <c r="G78" s="73"/>
      <c r="H78" s="41">
        <f t="shared" si="12"/>
        <v>301.70312316337458</v>
      </c>
      <c r="I78" s="73"/>
      <c r="J78" s="41">
        <f t="shared" si="13"/>
        <v>5.6545281644788474</v>
      </c>
      <c r="L78" s="79">
        <f t="shared" si="14"/>
        <v>1.9099999999999794E-2</v>
      </c>
    </row>
    <row r="79" spans="3:12" s="26" customFormat="1" ht="15.75" customHeight="1" x14ac:dyDescent="0.25">
      <c r="C79" s="12" t="s">
        <v>63</v>
      </c>
      <c r="E79" s="72">
        <v>0</v>
      </c>
      <c r="F79" s="41">
        <f t="shared" si="11"/>
        <v>0</v>
      </c>
      <c r="G79" s="73"/>
      <c r="H79" s="41">
        <f t="shared" si="12"/>
        <v>0</v>
      </c>
      <c r="I79" s="73"/>
      <c r="J79" s="41">
        <f t="shared" si="13"/>
        <v>0</v>
      </c>
      <c r="L79" s="79" t="e">
        <f t="shared" si="14"/>
        <v>#DIV/0!</v>
      </c>
    </row>
    <row r="80" spans="3:12" s="26" customFormat="1" ht="15.75" customHeight="1" thickBot="1" x14ac:dyDescent="0.3">
      <c r="C80" s="12" t="s">
        <v>64</v>
      </c>
      <c r="E80" s="72">
        <v>0</v>
      </c>
      <c r="F80" s="41">
        <f t="shared" si="11"/>
        <v>0</v>
      </c>
      <c r="G80" s="73"/>
      <c r="H80" s="41">
        <f t="shared" si="12"/>
        <v>0</v>
      </c>
      <c r="I80" s="73"/>
      <c r="J80" s="41">
        <f t="shared" si="13"/>
        <v>0</v>
      </c>
      <c r="L80" s="79" t="e">
        <f t="shared" si="14"/>
        <v>#DIV/0!</v>
      </c>
    </row>
    <row r="81" spans="3:12" s="26" customFormat="1" ht="15.75" customHeight="1" thickTop="1" x14ac:dyDescent="0.25">
      <c r="C81" s="12" t="s">
        <v>128</v>
      </c>
      <c r="E81" s="82">
        <f>SUM(E77:E80)</f>
        <v>2066</v>
      </c>
      <c r="F81" s="41">
        <f t="shared" si="11"/>
        <v>627.45659599999999</v>
      </c>
      <c r="G81" s="73"/>
      <c r="H81" s="41">
        <f t="shared" si="12"/>
        <v>627.45659599999999</v>
      </c>
      <c r="I81" s="73"/>
      <c r="J81" s="41">
        <f t="shared" si="13"/>
        <v>0</v>
      </c>
      <c r="L81" s="79">
        <f t="shared" si="14"/>
        <v>0</v>
      </c>
    </row>
    <row r="82" spans="3:12" s="26" customFormat="1" ht="15.75" customHeight="1" x14ac:dyDescent="0.25">
      <c r="C82" s="12" t="s">
        <v>101</v>
      </c>
      <c r="D82" s="12"/>
      <c r="E82" s="12">
        <f>E81</f>
        <v>2066</v>
      </c>
      <c r="F82" s="41">
        <f t="shared" si="11"/>
        <v>30.452840000000002</v>
      </c>
      <c r="G82" s="73"/>
      <c r="H82" s="41">
        <f t="shared" si="12"/>
        <v>30.452840000000002</v>
      </c>
      <c r="I82" s="73"/>
      <c r="J82" s="41">
        <f t="shared" si="13"/>
        <v>0</v>
      </c>
      <c r="L82" s="79">
        <f t="shared" si="14"/>
        <v>0</v>
      </c>
    </row>
    <row r="83" spans="3:12" s="26" customFormat="1" ht="15.75" customHeight="1" x14ac:dyDescent="0.25">
      <c r="C83" s="12" t="s">
        <v>102</v>
      </c>
      <c r="D83" s="12"/>
      <c r="E83" s="12">
        <f>E82</f>
        <v>2066</v>
      </c>
      <c r="F83" s="41">
        <f t="shared" si="11"/>
        <v>55.744812000000003</v>
      </c>
      <c r="G83" s="73"/>
      <c r="H83" s="41">
        <f t="shared" si="12"/>
        <v>55.744812000000003</v>
      </c>
      <c r="I83" s="73"/>
      <c r="J83" s="41">
        <f t="shared" si="13"/>
        <v>0</v>
      </c>
      <c r="L83" s="79">
        <f t="shared" si="14"/>
        <v>0</v>
      </c>
    </row>
    <row r="84" spans="3:12" s="26" customFormat="1" ht="15.75" customHeight="1" thickBot="1" x14ac:dyDescent="0.3">
      <c r="C84" s="12" t="s">
        <v>82</v>
      </c>
      <c r="E84" s="12">
        <f>E81</f>
        <v>2066</v>
      </c>
      <c r="F84" s="41">
        <f t="shared" si="11"/>
        <v>202.26139999999998</v>
      </c>
      <c r="G84" s="73"/>
      <c r="H84" s="41">
        <f t="shared" si="12"/>
        <v>202.26139999999998</v>
      </c>
      <c r="I84" s="73"/>
      <c r="J84" s="41">
        <f t="shared" si="13"/>
        <v>0</v>
      </c>
      <c r="L84" s="79">
        <f t="shared" si="14"/>
        <v>0</v>
      </c>
    </row>
    <row r="85" spans="3:12" s="26" customFormat="1" ht="15.75" customHeight="1" thickTop="1" x14ac:dyDescent="0.25">
      <c r="C85" s="77" t="s">
        <v>15</v>
      </c>
      <c r="F85" s="74">
        <f>SUM(F75:F84)</f>
        <v>1818.7847124859404</v>
      </c>
      <c r="H85" s="74">
        <f>SUM(H75:H84)</f>
        <v>1835.8003116176219</v>
      </c>
      <c r="J85" s="74">
        <f>SUM(J75:J84)</f>
        <v>17.015599131681313</v>
      </c>
      <c r="L85" s="80">
        <f>J85/F85</f>
        <v>9.3554773222302677E-3</v>
      </c>
    </row>
    <row r="86" spans="3:12" s="26" customFormat="1" ht="15.75" customHeight="1" x14ac:dyDescent="0.2"/>
    <row r="87" spans="3:12" s="26" customFormat="1" ht="15.75" customHeight="1" x14ac:dyDescent="0.25">
      <c r="C87" s="77" t="s">
        <v>22</v>
      </c>
      <c r="E87" s="84" t="s">
        <v>14</v>
      </c>
      <c r="F87" s="84" t="s">
        <v>7</v>
      </c>
      <c r="G87" s="84"/>
      <c r="H87" s="84" t="s">
        <v>12</v>
      </c>
      <c r="I87" s="84"/>
      <c r="J87" s="84" t="s">
        <v>16</v>
      </c>
      <c r="K87" s="84"/>
      <c r="L87" s="84" t="s">
        <v>17</v>
      </c>
    </row>
    <row r="88" spans="3:12" s="26" customFormat="1" ht="15.75" customHeight="1" x14ac:dyDescent="0.25">
      <c r="C88" s="12" t="s">
        <v>65</v>
      </c>
      <c r="E88" s="12">
        <f>E81</f>
        <v>2066</v>
      </c>
      <c r="F88" s="12">
        <f>$E88*F68/100</f>
        <v>33.737780000000001</v>
      </c>
      <c r="G88" s="28"/>
      <c r="H88" s="12">
        <f>$E88*H68/100</f>
        <v>33.737780000000001</v>
      </c>
      <c r="I88" s="28"/>
      <c r="J88" s="12">
        <f>H88-F88</f>
        <v>0</v>
      </c>
      <c r="L88" s="49">
        <f>J88/F88</f>
        <v>0</v>
      </c>
    </row>
    <row r="89" spans="3:12" s="26" customFormat="1" ht="15.75" customHeight="1" x14ac:dyDescent="0.25">
      <c r="C89" s="12" t="str">
        <f>'F1.3 Rate Riders'!$E$16</f>
        <v>ECVA Rate Rider</v>
      </c>
      <c r="E89" s="12">
        <f>E88</f>
        <v>2066</v>
      </c>
      <c r="F89" s="12">
        <f>$E89*F69/100</f>
        <v>2.8985980000000002</v>
      </c>
      <c r="G89" s="28"/>
      <c r="H89" s="12">
        <f>$E89*H69/100</f>
        <v>7.1008783408213958</v>
      </c>
      <c r="I89" s="28"/>
      <c r="J89" s="12">
        <f t="shared" ref="J89:J92" si="15">H89-F89</f>
        <v>4.202280340821396</v>
      </c>
      <c r="L89" s="49">
        <f t="shared" ref="L89:L92" si="16">J89/F89</f>
        <v>1.449763071947678</v>
      </c>
    </row>
    <row r="90" spans="3:12" s="26" customFormat="1" ht="15.75" customHeight="1" x14ac:dyDescent="0.25">
      <c r="C90" s="12" t="str">
        <f>C70</f>
        <v>EFVA Rate Rider</v>
      </c>
      <c r="E90" s="12">
        <f>E88</f>
        <v>2066</v>
      </c>
      <c r="F90" s="12">
        <f>$E90*F70/100</f>
        <v>10.737002</v>
      </c>
      <c r="G90" s="28"/>
      <c r="H90" s="12">
        <f>$E90*H70/100</f>
        <v>0</v>
      </c>
      <c r="I90" s="28"/>
      <c r="J90" s="12">
        <f t="shared" ref="J90" si="17">H90-F90</f>
        <v>-10.737002</v>
      </c>
      <c r="L90" s="49">
        <f t="shared" ref="L90" si="18">J90/F90</f>
        <v>-1</v>
      </c>
    </row>
    <row r="91" spans="3:12" s="26" customFormat="1" ht="15.75" customHeight="1" x14ac:dyDescent="0.25">
      <c r="C91" s="12" t="str">
        <f>'F1.3 Rate Riders'!$E$25</f>
        <v>CIACVA Rate Rider</v>
      </c>
      <c r="E91" s="12">
        <f>E89</f>
        <v>2066</v>
      </c>
      <c r="F91" s="12">
        <f>$E91*F71/100</f>
        <v>11.226643999999999</v>
      </c>
      <c r="G91" s="28"/>
      <c r="H91" s="12">
        <f>$E91*H71/100</f>
        <v>68.980375983617265</v>
      </c>
      <c r="I91" s="28"/>
      <c r="J91" s="12">
        <f t="shared" si="15"/>
        <v>57.753731983617264</v>
      </c>
      <c r="L91" s="49">
        <f t="shared" si="16"/>
        <v>5.1443451830856377</v>
      </c>
    </row>
    <row r="92" spans="3:12" s="26" customFormat="1" ht="15.75" customHeight="1" thickBot="1" x14ac:dyDescent="0.3">
      <c r="C92" s="12" t="str">
        <f>'F1.3 Rate Riders'!$E$34</f>
        <v>MTVA Rate Rider</v>
      </c>
      <c r="E92" s="12">
        <f t="shared" ref="E92" si="19">E91</f>
        <v>2066</v>
      </c>
      <c r="F92" s="12">
        <f>$E92*F72/100</f>
        <v>0</v>
      </c>
      <c r="G92" s="28"/>
      <c r="H92" s="12">
        <f>$E92*H72/100</f>
        <v>-63.702484377519376</v>
      </c>
      <c r="I92" s="28"/>
      <c r="J92" s="12">
        <f t="shared" si="15"/>
        <v>-63.702484377519376</v>
      </c>
      <c r="L92" s="49" t="e">
        <f t="shared" si="16"/>
        <v>#DIV/0!</v>
      </c>
    </row>
    <row r="93" spans="3:12" s="26" customFormat="1" ht="15.75" customHeight="1" thickTop="1" x14ac:dyDescent="0.25">
      <c r="C93" s="77" t="s">
        <v>24</v>
      </c>
      <c r="F93" s="76">
        <f>SUM(F88:F92)</f>
        <v>58.600023999999998</v>
      </c>
      <c r="H93" s="76">
        <f>SUM(H88:H92)</f>
        <v>46.116549946919285</v>
      </c>
      <c r="J93" s="76">
        <f>SUM(J88:J92)</f>
        <v>-12.48347405308072</v>
      </c>
      <c r="L93" s="78">
        <f>J93/F93</f>
        <v>-0.21302848021155624</v>
      </c>
    </row>
    <row r="94" spans="3:12" s="26" customFormat="1" ht="15.75" customHeight="1" thickBot="1" x14ac:dyDescent="0.25">
      <c r="C94" s="25"/>
    </row>
    <row r="95" spans="3:12" s="26" customFormat="1" ht="15.75" customHeight="1" thickTop="1" x14ac:dyDescent="0.25">
      <c r="C95" s="77" t="s">
        <v>25</v>
      </c>
      <c r="F95" s="74">
        <f>F85+F93</f>
        <v>1877.3847364859405</v>
      </c>
      <c r="H95" s="74">
        <f>H85+H93</f>
        <v>1881.9168615645413</v>
      </c>
      <c r="J95" s="74">
        <f>J85+J93</f>
        <v>4.5321250786005933</v>
      </c>
      <c r="L95" s="75">
        <f>J95/F95</f>
        <v>2.4140630263585474E-3</v>
      </c>
    </row>
    <row r="96" spans="3:12" s="26" customFormat="1" ht="15.75" customHeight="1" x14ac:dyDescent="0.25">
      <c r="C96" s="33"/>
      <c r="D96" s="40"/>
    </row>
    <row r="97" spans="3:12" s="26" customFormat="1" ht="15.75" customHeight="1" x14ac:dyDescent="0.2">
      <c r="C97" s="116" t="s">
        <v>67</v>
      </c>
      <c r="D97" s="109"/>
      <c r="E97" s="112" t="s">
        <v>109</v>
      </c>
      <c r="F97" s="109" t="s">
        <v>7</v>
      </c>
      <c r="G97" s="109"/>
      <c r="H97" s="109" t="s">
        <v>12</v>
      </c>
      <c r="I97" s="109"/>
      <c r="J97" s="109"/>
      <c r="K97" s="109"/>
      <c r="L97" s="109"/>
    </row>
    <row r="98" spans="3:12" s="26" customFormat="1" ht="15.75" customHeight="1" x14ac:dyDescent="0.2">
      <c r="E98" s="96"/>
    </row>
    <row r="99" spans="3:12" s="26" customFormat="1" ht="15.75" customHeight="1" x14ac:dyDescent="0.25">
      <c r="C99" s="12" t="s">
        <v>13</v>
      </c>
      <c r="E99" s="97" t="s">
        <v>107</v>
      </c>
      <c r="F99" s="12">
        <f t="shared" ref="F99:F108" si="20">F56</f>
        <v>26.272397999999999</v>
      </c>
      <c r="G99" s="12"/>
      <c r="H99" s="12">
        <f t="shared" ref="H99:H108" si="21">H56</f>
        <v>26.774200801799996</v>
      </c>
    </row>
    <row r="100" spans="3:12" s="26" customFormat="1" ht="15.75" customHeight="1" x14ac:dyDescent="0.25">
      <c r="C100" s="12" t="str">
        <f>OneDollar</f>
        <v>Bill 32 Rate</v>
      </c>
      <c r="E100" s="97" t="s">
        <v>107</v>
      </c>
      <c r="F100" s="12">
        <f t="shared" si="20"/>
        <v>1</v>
      </c>
      <c r="G100" s="12"/>
      <c r="H100" s="12">
        <f t="shared" si="21"/>
        <v>1</v>
      </c>
    </row>
    <row r="101" spans="3:12" s="26" customFormat="1" ht="15.75" customHeight="1" x14ac:dyDescent="0.25">
      <c r="C101" s="12" t="s">
        <v>38</v>
      </c>
      <c r="E101" s="97" t="s">
        <v>123</v>
      </c>
      <c r="F101" s="45">
        <f t="shared" si="20"/>
        <v>28.148561099999995</v>
      </c>
      <c r="G101" s="45"/>
      <c r="H101" s="45">
        <f t="shared" si="21"/>
        <v>28.686198617009993</v>
      </c>
    </row>
    <row r="102" spans="3:12" s="26" customFormat="1" ht="15.75" customHeight="1" x14ac:dyDescent="0.25">
      <c r="C102" s="12" t="s">
        <v>62</v>
      </c>
      <c r="E102" s="97" t="s">
        <v>123</v>
      </c>
      <c r="F102" s="45">
        <f t="shared" si="20"/>
        <v>27.594068789999994</v>
      </c>
      <c r="G102" s="45"/>
      <c r="H102" s="45">
        <f t="shared" si="21"/>
        <v>28.121115503888991</v>
      </c>
    </row>
    <row r="103" spans="3:12" s="26" customFormat="1" ht="15.75" customHeight="1" x14ac:dyDescent="0.25">
      <c r="C103" s="12" t="s">
        <v>63</v>
      </c>
      <c r="E103" s="97" t="s">
        <v>123</v>
      </c>
      <c r="F103" s="45">
        <f t="shared" si="20"/>
        <v>26.77899261</v>
      </c>
      <c r="G103" s="45"/>
      <c r="H103" s="45">
        <f t="shared" si="21"/>
        <v>27.290471368850998</v>
      </c>
    </row>
    <row r="104" spans="3:12" s="26" customFormat="1" ht="15.75" customHeight="1" x14ac:dyDescent="0.25">
      <c r="C104" s="12" t="s">
        <v>64</v>
      </c>
      <c r="E104" s="97" t="s">
        <v>127</v>
      </c>
      <c r="F104" s="45">
        <f t="shared" si="20"/>
        <v>0</v>
      </c>
      <c r="G104" s="45"/>
      <c r="H104" s="45">
        <f t="shared" si="21"/>
        <v>0</v>
      </c>
    </row>
    <row r="105" spans="3:12" s="26" customFormat="1" ht="15.75" customHeight="1" x14ac:dyDescent="0.25">
      <c r="C105" s="12" t="s">
        <v>128</v>
      </c>
      <c r="E105" s="97" t="s">
        <v>123</v>
      </c>
      <c r="F105" s="45">
        <f t="shared" si="20"/>
        <v>30.3706</v>
      </c>
      <c r="G105" s="45"/>
      <c r="H105" s="45">
        <f t="shared" si="21"/>
        <v>30.3706</v>
      </c>
    </row>
    <row r="106" spans="3:12" s="26" customFormat="1" ht="15.75" customHeight="1" x14ac:dyDescent="0.25">
      <c r="C106" s="12" t="s">
        <v>101</v>
      </c>
      <c r="E106" s="97" t="s">
        <v>123</v>
      </c>
      <c r="F106" s="45">
        <f t="shared" si="20"/>
        <v>1.474</v>
      </c>
      <c r="G106" s="45"/>
      <c r="H106" s="45">
        <f t="shared" si="21"/>
        <v>1.474</v>
      </c>
    </row>
    <row r="107" spans="3:12" s="26" customFormat="1" ht="15.75" customHeight="1" x14ac:dyDescent="0.25">
      <c r="C107" s="12" t="s">
        <v>102</v>
      </c>
      <c r="E107" s="97" t="s">
        <v>123</v>
      </c>
      <c r="F107" s="45">
        <f t="shared" si="20"/>
        <v>2.6981999999999999</v>
      </c>
      <c r="G107" s="45"/>
      <c r="H107" s="45">
        <f t="shared" si="21"/>
        <v>2.6981999999999999</v>
      </c>
    </row>
    <row r="108" spans="3:12" s="26" customFormat="1" ht="15.75" customHeight="1" x14ac:dyDescent="0.25">
      <c r="C108" s="12" t="s">
        <v>82</v>
      </c>
      <c r="E108" s="97" t="s">
        <v>123</v>
      </c>
      <c r="F108" s="45">
        <f t="shared" si="20"/>
        <v>9.7899999999999991</v>
      </c>
      <c r="G108" s="45"/>
      <c r="H108" s="45">
        <f t="shared" si="21"/>
        <v>9.7899999999999991</v>
      </c>
    </row>
    <row r="109" spans="3:12" s="26" customFormat="1" ht="15.75" customHeight="1" x14ac:dyDescent="0.2">
      <c r="E109" s="97"/>
    </row>
    <row r="110" spans="3:12" s="26" customFormat="1" ht="15.75" customHeight="1" x14ac:dyDescent="0.25">
      <c r="C110" s="77" t="s">
        <v>22</v>
      </c>
      <c r="E110" s="96"/>
    </row>
    <row r="111" spans="3:12" s="26" customFormat="1" ht="15.75" customHeight="1" x14ac:dyDescent="0.25">
      <c r="C111" s="12" t="s">
        <v>65</v>
      </c>
      <c r="E111" s="97" t="s">
        <v>123</v>
      </c>
      <c r="F111" s="45">
        <f>F68</f>
        <v>1.633</v>
      </c>
      <c r="G111" s="45"/>
      <c r="H111" s="45">
        <f>H68</f>
        <v>1.633</v>
      </c>
    </row>
    <row r="112" spans="3:12" s="26" customFormat="1" ht="15.75" customHeight="1" x14ac:dyDescent="0.25">
      <c r="C112" s="12" t="str">
        <f>'F1.3 Rate Riders'!$E$16</f>
        <v>ECVA Rate Rider</v>
      </c>
      <c r="E112" s="97" t="s">
        <v>123</v>
      </c>
      <c r="F112" s="45">
        <f>F69</f>
        <v>0.14030000000000001</v>
      </c>
      <c r="G112" s="45"/>
      <c r="H112" s="45">
        <f>H69</f>
        <v>0.34370175899425925</v>
      </c>
    </row>
    <row r="113" spans="3:12" s="26" customFormat="1" ht="15.75" customHeight="1" x14ac:dyDescent="0.25">
      <c r="C113" s="12" t="str">
        <f>C90</f>
        <v>EFVA Rate Rider</v>
      </c>
      <c r="E113" s="97" t="s">
        <v>123</v>
      </c>
      <c r="F113" s="45">
        <f>F70</f>
        <v>0.51970000000000005</v>
      </c>
      <c r="G113" s="45"/>
      <c r="H113" s="45">
        <f>H70</f>
        <v>0</v>
      </c>
    </row>
    <row r="114" spans="3:12" s="26" customFormat="1" ht="15.75" customHeight="1" x14ac:dyDescent="0.25">
      <c r="C114" s="12" t="str">
        <f>'F1.3 Rate Riders'!$E$25</f>
        <v>CIACVA Rate Rider</v>
      </c>
      <c r="E114" s="97" t="s">
        <v>123</v>
      </c>
      <c r="F114" s="45">
        <f>F71</f>
        <v>0.54339999999999999</v>
      </c>
      <c r="G114" s="45"/>
      <c r="H114" s="45">
        <f>H71</f>
        <v>3.3388371724887351</v>
      </c>
    </row>
    <row r="115" spans="3:12" s="26" customFormat="1" ht="15.75" customHeight="1" x14ac:dyDescent="0.25">
      <c r="C115" s="12" t="str">
        <f>'F1.3 Rate Riders'!$E$34</f>
        <v>MTVA Rate Rider</v>
      </c>
      <c r="E115" s="97" t="s">
        <v>123</v>
      </c>
      <c r="F115" s="45">
        <f>F72</f>
        <v>0</v>
      </c>
      <c r="G115" s="45"/>
      <c r="H115" s="45">
        <f>H72</f>
        <v>-3.0833729127550522</v>
      </c>
    </row>
    <row r="116" spans="3:12" s="26" customFormat="1" ht="15.75" customHeight="1" x14ac:dyDescent="0.2"/>
    <row r="117" spans="3:12" s="26" customFormat="1" ht="15.75" customHeight="1" x14ac:dyDescent="0.25">
      <c r="C117" s="77" t="s">
        <v>23</v>
      </c>
      <c r="E117" s="84" t="s">
        <v>14</v>
      </c>
      <c r="F117" s="84" t="s">
        <v>7</v>
      </c>
      <c r="G117" s="84"/>
      <c r="H117" s="84" t="s">
        <v>12</v>
      </c>
      <c r="I117" s="84"/>
      <c r="J117" s="84" t="s">
        <v>16</v>
      </c>
      <c r="K117" s="84"/>
      <c r="L117" s="84" t="s">
        <v>17</v>
      </c>
    </row>
    <row r="118" spans="3:12" s="26" customFormat="1" ht="15.75" customHeight="1" x14ac:dyDescent="0.25">
      <c r="C118" s="12" t="s">
        <v>13</v>
      </c>
      <c r="E118" s="72">
        <v>12</v>
      </c>
      <c r="F118" s="41">
        <f>F99*$E118</f>
        <v>315.268776</v>
      </c>
      <c r="G118" s="73"/>
      <c r="H118" s="41">
        <f>H99*$E118</f>
        <v>321.29040962159996</v>
      </c>
      <c r="I118" s="73"/>
      <c r="J118" s="41">
        <f>H118-F118</f>
        <v>6.0216336215999604</v>
      </c>
      <c r="L118" s="79">
        <f>J118/F118</f>
        <v>1.9099999999999874E-2</v>
      </c>
    </row>
    <row r="119" spans="3:12" s="26" customFormat="1" ht="15.75" customHeight="1" x14ac:dyDescent="0.25">
      <c r="C119" s="12" t="str">
        <f>OneDollar</f>
        <v>Bill 32 Rate</v>
      </c>
      <c r="E119" s="72">
        <f>E118</f>
        <v>12</v>
      </c>
      <c r="F119" s="41">
        <f>F100*$E119</f>
        <v>12</v>
      </c>
      <c r="G119" s="73"/>
      <c r="H119" s="41">
        <f>H100*$E119</f>
        <v>12</v>
      </c>
      <c r="I119" s="73"/>
      <c r="J119" s="41">
        <f>H119-F119</f>
        <v>0</v>
      </c>
      <c r="L119" s="79">
        <f>J119/F119</f>
        <v>0</v>
      </c>
    </row>
    <row r="120" spans="3:12" s="26" customFormat="1" ht="15.75" customHeight="1" x14ac:dyDescent="0.25">
      <c r="C120" s="12" t="s">
        <v>38</v>
      </c>
      <c r="E120" s="72">
        <v>1198.1709868121873</v>
      </c>
      <c r="F120" s="41">
        <f t="shared" ref="F120:F127" si="22">F101*$E120/100</f>
        <v>337.26789230530142</v>
      </c>
      <c r="G120" s="73"/>
      <c r="H120" s="41">
        <f t="shared" ref="H120:H127" si="23">H101*$E120/100</f>
        <v>343.70970904833268</v>
      </c>
      <c r="I120" s="73"/>
      <c r="J120" s="41">
        <f t="shared" ref="J120:J127" si="24">H120-F120</f>
        <v>6.4418167430312678</v>
      </c>
      <c r="L120" s="79">
        <f t="shared" ref="L120:L127" si="25">J120/F120</f>
        <v>1.9100000000000034E-2</v>
      </c>
    </row>
    <row r="121" spans="3:12" s="26" customFormat="1" ht="15.75" customHeight="1" x14ac:dyDescent="0.25">
      <c r="C121" s="12" t="s">
        <v>62</v>
      </c>
      <c r="E121" s="72">
        <v>2475.0040927694408</v>
      </c>
      <c r="F121" s="41">
        <f t="shared" si="22"/>
        <v>682.95433191411473</v>
      </c>
      <c r="G121" s="73"/>
      <c r="H121" s="41">
        <f t="shared" si="23"/>
        <v>695.99875965367437</v>
      </c>
      <c r="I121" s="73"/>
      <c r="J121" s="41">
        <f t="shared" si="24"/>
        <v>13.044427739559637</v>
      </c>
      <c r="L121" s="79">
        <f t="shared" si="25"/>
        <v>1.9100000000000068E-2</v>
      </c>
    </row>
    <row r="122" spans="3:12" s="26" customFormat="1" ht="15.75" customHeight="1" x14ac:dyDescent="0.25">
      <c r="C122" s="12" t="s">
        <v>63</v>
      </c>
      <c r="E122" s="72">
        <v>1019.8249204183721</v>
      </c>
      <c r="F122" s="41">
        <f t="shared" si="22"/>
        <v>273.09884007377428</v>
      </c>
      <c r="G122" s="73"/>
      <c r="H122" s="41">
        <f t="shared" si="23"/>
        <v>278.31502791918331</v>
      </c>
      <c r="I122" s="73"/>
      <c r="J122" s="41">
        <f t="shared" si="24"/>
        <v>5.2161878454090242</v>
      </c>
      <c r="L122" s="79">
        <f t="shared" si="25"/>
        <v>1.9099999999999763E-2</v>
      </c>
    </row>
    <row r="123" spans="3:12" s="26" customFormat="1" ht="15.75" customHeight="1" thickBot="1" x14ac:dyDescent="0.3">
      <c r="C123" s="12" t="s">
        <v>64</v>
      </c>
      <c r="E123" s="72">
        <v>0</v>
      </c>
      <c r="F123" s="41">
        <f t="shared" si="22"/>
        <v>0</v>
      </c>
      <c r="G123" s="73"/>
      <c r="H123" s="41">
        <f t="shared" si="23"/>
        <v>0</v>
      </c>
      <c r="I123" s="73"/>
      <c r="J123" s="41">
        <f t="shared" si="24"/>
        <v>0</v>
      </c>
      <c r="L123" s="79" t="e">
        <f t="shared" si="25"/>
        <v>#DIV/0!</v>
      </c>
    </row>
    <row r="124" spans="3:12" s="26" customFormat="1" ht="15.75" customHeight="1" thickTop="1" x14ac:dyDescent="0.25">
      <c r="C124" s="12" t="s">
        <v>128</v>
      </c>
      <c r="E124" s="82">
        <f>SUM(E120:E123)</f>
        <v>4693</v>
      </c>
      <c r="F124" s="41">
        <f t="shared" si="22"/>
        <v>1425.2922579999999</v>
      </c>
      <c r="G124" s="73"/>
      <c r="H124" s="41">
        <f t="shared" si="23"/>
        <v>1425.2922579999999</v>
      </c>
      <c r="I124" s="73"/>
      <c r="J124" s="41">
        <f t="shared" si="24"/>
        <v>0</v>
      </c>
      <c r="L124" s="79">
        <f t="shared" si="25"/>
        <v>0</v>
      </c>
    </row>
    <row r="125" spans="3:12" s="26" customFormat="1" ht="15.75" customHeight="1" x14ac:dyDescent="0.25">
      <c r="C125" s="12" t="s">
        <v>101</v>
      </c>
      <c r="D125" s="12"/>
      <c r="E125" s="12">
        <f>E124</f>
        <v>4693</v>
      </c>
      <c r="F125" s="41">
        <f t="shared" si="22"/>
        <v>69.174819999999997</v>
      </c>
      <c r="G125" s="73"/>
      <c r="H125" s="41">
        <f t="shared" si="23"/>
        <v>69.174819999999997</v>
      </c>
      <c r="I125" s="73"/>
      <c r="J125" s="41">
        <f t="shared" si="24"/>
        <v>0</v>
      </c>
      <c r="L125" s="79">
        <f t="shared" si="25"/>
        <v>0</v>
      </c>
    </row>
    <row r="126" spans="3:12" s="26" customFormat="1" ht="15.75" customHeight="1" x14ac:dyDescent="0.25">
      <c r="C126" s="12" t="s">
        <v>102</v>
      </c>
      <c r="D126" s="12"/>
      <c r="E126" s="12">
        <f>E125</f>
        <v>4693</v>
      </c>
      <c r="F126" s="41">
        <f t="shared" si="22"/>
        <v>126.626526</v>
      </c>
      <c r="G126" s="73"/>
      <c r="H126" s="41">
        <f t="shared" si="23"/>
        <v>126.626526</v>
      </c>
      <c r="I126" s="73"/>
      <c r="J126" s="41">
        <f t="shared" si="24"/>
        <v>0</v>
      </c>
      <c r="L126" s="79">
        <f t="shared" si="25"/>
        <v>0</v>
      </c>
    </row>
    <row r="127" spans="3:12" s="26" customFormat="1" ht="15.75" customHeight="1" thickBot="1" x14ac:dyDescent="0.3">
      <c r="C127" s="12" t="s">
        <v>82</v>
      </c>
      <c r="E127" s="12">
        <f>E124</f>
        <v>4693</v>
      </c>
      <c r="F127" s="41">
        <f t="shared" si="22"/>
        <v>459.44469999999995</v>
      </c>
      <c r="G127" s="73"/>
      <c r="H127" s="41">
        <f t="shared" si="23"/>
        <v>459.44469999999995</v>
      </c>
      <c r="I127" s="73"/>
      <c r="J127" s="41">
        <f t="shared" si="24"/>
        <v>0</v>
      </c>
      <c r="L127" s="79">
        <f t="shared" si="25"/>
        <v>0</v>
      </c>
    </row>
    <row r="128" spans="3:12" s="26" customFormat="1" ht="15.75" customHeight="1" thickTop="1" x14ac:dyDescent="0.25">
      <c r="C128" s="77" t="s">
        <v>15</v>
      </c>
      <c r="F128" s="74">
        <f>SUM(F118:F127)</f>
        <v>3701.1281442931904</v>
      </c>
      <c r="H128" s="74">
        <f>SUM(H118:H127)</f>
        <v>3731.8522102427905</v>
      </c>
      <c r="J128" s="74">
        <f>SUM(J118:J127)</f>
        <v>30.72406594959989</v>
      </c>
      <c r="L128" s="80">
        <f>J128/F128</f>
        <v>8.3012705185508528E-3</v>
      </c>
    </row>
    <row r="129" spans="3:12" s="26" customFormat="1" ht="15.75" customHeight="1" x14ac:dyDescent="0.2"/>
    <row r="130" spans="3:12" s="26" customFormat="1" ht="15.75" customHeight="1" x14ac:dyDescent="0.25">
      <c r="C130" s="77" t="s">
        <v>22</v>
      </c>
      <c r="E130" s="84" t="s">
        <v>14</v>
      </c>
      <c r="F130" s="84" t="s">
        <v>7</v>
      </c>
      <c r="G130" s="84"/>
      <c r="H130" s="84" t="s">
        <v>12</v>
      </c>
      <c r="I130" s="84"/>
      <c r="J130" s="84" t="s">
        <v>16</v>
      </c>
      <c r="K130" s="84"/>
      <c r="L130" s="84" t="s">
        <v>17</v>
      </c>
    </row>
    <row r="131" spans="3:12" s="26" customFormat="1" ht="15.75" customHeight="1" x14ac:dyDescent="0.25">
      <c r="C131" s="12" t="s">
        <v>65</v>
      </c>
      <c r="E131" s="12">
        <f>E124</f>
        <v>4693</v>
      </c>
      <c r="F131" s="12">
        <f>$E131*F111/100</f>
        <v>76.636690000000002</v>
      </c>
      <c r="G131" s="28"/>
      <c r="H131" s="12">
        <f>$E131*H111/100</f>
        <v>76.636690000000002</v>
      </c>
      <c r="I131" s="28"/>
      <c r="J131" s="12">
        <f>H131-F131</f>
        <v>0</v>
      </c>
      <c r="L131" s="49">
        <f>J131/F131</f>
        <v>0</v>
      </c>
    </row>
    <row r="132" spans="3:12" s="26" customFormat="1" ht="15.75" customHeight="1" x14ac:dyDescent="0.25">
      <c r="C132" s="12" t="str">
        <f>'F1.3 Rate Riders'!$E$16</f>
        <v>ECVA Rate Rider</v>
      </c>
      <c r="E132" s="12">
        <f>E131</f>
        <v>4693</v>
      </c>
      <c r="F132" s="12">
        <f>$E132*F112/100</f>
        <v>6.5842790000000004</v>
      </c>
      <c r="G132" s="28"/>
      <c r="H132" s="12">
        <f>$E132*H112/100</f>
        <v>16.129923549600587</v>
      </c>
      <c r="I132" s="28"/>
      <c r="J132" s="12">
        <f t="shared" ref="J132:J135" si="26">H132-F132</f>
        <v>9.5456445496005866</v>
      </c>
      <c r="L132" s="49">
        <f t="shared" ref="L132:L135" si="27">J132/F132</f>
        <v>1.4497630719476782</v>
      </c>
    </row>
    <row r="133" spans="3:12" s="26" customFormat="1" ht="15.75" customHeight="1" x14ac:dyDescent="0.25">
      <c r="C133" s="12" t="str">
        <f>C113</f>
        <v>EFVA Rate Rider</v>
      </c>
      <c r="E133" s="12">
        <f>E131</f>
        <v>4693</v>
      </c>
      <c r="F133" s="12">
        <f>$E133*F113/100</f>
        <v>24.389521000000006</v>
      </c>
      <c r="G133" s="28"/>
      <c r="H133" s="12">
        <f>$E133*H113/100</f>
        <v>0</v>
      </c>
      <c r="I133" s="28"/>
      <c r="J133" s="12">
        <f t="shared" ref="J133" si="28">H133-F133</f>
        <v>-24.389521000000006</v>
      </c>
      <c r="L133" s="49">
        <f t="shared" ref="L133" si="29">J133/F133</f>
        <v>-1</v>
      </c>
    </row>
    <row r="134" spans="3:12" s="26" customFormat="1" ht="15.75" customHeight="1" x14ac:dyDescent="0.25">
      <c r="C134" s="12" t="str">
        <f>'F1.3 Rate Riders'!$E$25</f>
        <v>CIACVA Rate Rider</v>
      </c>
      <c r="E134" s="12">
        <f>E132</f>
        <v>4693</v>
      </c>
      <c r="F134" s="12">
        <f>$E134*F114/100</f>
        <v>25.501761999999999</v>
      </c>
      <c r="G134" s="28"/>
      <c r="H134" s="12">
        <f>$E134*H114/100</f>
        <v>156.69162850489636</v>
      </c>
      <c r="I134" s="28"/>
      <c r="J134" s="12">
        <f t="shared" si="26"/>
        <v>131.18986650489637</v>
      </c>
      <c r="L134" s="49">
        <f t="shared" si="27"/>
        <v>5.1443451830856386</v>
      </c>
    </row>
    <row r="135" spans="3:12" s="26" customFormat="1" ht="15.75" customHeight="1" thickBot="1" x14ac:dyDescent="0.3">
      <c r="C135" s="12" t="str">
        <f>'F1.3 Rate Riders'!$E$34</f>
        <v>MTVA Rate Rider</v>
      </c>
      <c r="E135" s="12">
        <f t="shared" ref="E135" si="30">E134</f>
        <v>4693</v>
      </c>
      <c r="F135" s="12">
        <f>$E135*F115/100</f>
        <v>0</v>
      </c>
      <c r="G135" s="28"/>
      <c r="H135" s="12">
        <f>$E135*H115/100</f>
        <v>-144.70269079559461</v>
      </c>
      <c r="I135" s="28"/>
      <c r="J135" s="12">
        <f t="shared" si="26"/>
        <v>-144.70269079559461</v>
      </c>
      <c r="L135" s="49" t="e">
        <f t="shared" si="27"/>
        <v>#DIV/0!</v>
      </c>
    </row>
    <row r="136" spans="3:12" s="26" customFormat="1" ht="15.75" customHeight="1" thickTop="1" x14ac:dyDescent="0.25">
      <c r="C136" s="77" t="s">
        <v>24</v>
      </c>
      <c r="F136" s="76">
        <f>SUM(F131:F135)</f>
        <v>133.11225200000001</v>
      </c>
      <c r="H136" s="76">
        <f>SUM(H131:H135)</f>
        <v>104.75555125890236</v>
      </c>
      <c r="J136" s="76">
        <f>SUM(J131:J135)</f>
        <v>-28.356700741097654</v>
      </c>
      <c r="L136" s="78">
        <f>J136/F136</f>
        <v>-0.21302848021155596</v>
      </c>
    </row>
    <row r="137" spans="3:12" s="26" customFormat="1" ht="15.75" customHeight="1" thickBot="1" x14ac:dyDescent="0.25">
      <c r="C137" s="25"/>
    </row>
    <row r="138" spans="3:12" s="26" customFormat="1" ht="15.75" customHeight="1" thickTop="1" x14ac:dyDescent="0.25">
      <c r="C138" s="77" t="s">
        <v>25</v>
      </c>
      <c r="F138" s="74">
        <f>F128+F136</f>
        <v>3834.2403962931903</v>
      </c>
      <c r="H138" s="74">
        <f>H128+H136</f>
        <v>3836.6077615016929</v>
      </c>
      <c r="J138" s="74">
        <f>J128+J136</f>
        <v>2.3673652085022354</v>
      </c>
      <c r="L138" s="75">
        <f>J138/F138</f>
        <v>6.1742743381216299E-4</v>
      </c>
    </row>
    <row r="139" spans="3:12" s="26" customFormat="1" ht="15.75" customHeight="1" x14ac:dyDescent="0.25">
      <c r="C139" s="33"/>
      <c r="D139" s="40"/>
    </row>
    <row r="140" spans="3:12" s="26" customFormat="1" ht="15.75" customHeight="1" x14ac:dyDescent="0.2">
      <c r="C140" s="116" t="s">
        <v>68</v>
      </c>
      <c r="D140" s="109"/>
      <c r="E140" s="112" t="s">
        <v>109</v>
      </c>
      <c r="F140" s="109" t="s">
        <v>7</v>
      </c>
      <c r="G140" s="109"/>
      <c r="H140" s="109" t="s">
        <v>12</v>
      </c>
      <c r="I140" s="109"/>
      <c r="J140" s="109"/>
      <c r="K140" s="109"/>
      <c r="L140" s="109"/>
    </row>
    <row r="141" spans="3:12" s="26" customFormat="1" ht="15.75" customHeight="1" x14ac:dyDescent="0.2">
      <c r="E141" s="96"/>
    </row>
    <row r="142" spans="3:12" s="26" customFormat="1" ht="15.75" customHeight="1" x14ac:dyDescent="0.25">
      <c r="C142" s="12" t="s">
        <v>13</v>
      </c>
      <c r="E142" s="97" t="s">
        <v>107</v>
      </c>
      <c r="F142" s="12">
        <f>F99</f>
        <v>26.272397999999999</v>
      </c>
      <c r="G142" s="12"/>
      <c r="H142" s="12">
        <f>H99</f>
        <v>26.774200801799996</v>
      </c>
    </row>
    <row r="143" spans="3:12" s="26" customFormat="1" ht="15.75" customHeight="1" x14ac:dyDescent="0.25">
      <c r="C143" s="12" t="str">
        <f>OneDollar</f>
        <v>Bill 32 Rate</v>
      </c>
      <c r="E143" s="97" t="s">
        <v>107</v>
      </c>
      <c r="F143" s="12">
        <v>1</v>
      </c>
      <c r="G143" s="12"/>
      <c r="H143" s="12">
        <v>1</v>
      </c>
    </row>
    <row r="144" spans="3:12" s="26" customFormat="1" ht="15.75" customHeight="1" x14ac:dyDescent="0.25">
      <c r="C144" s="12" t="s">
        <v>38</v>
      </c>
      <c r="E144" s="97" t="s">
        <v>123</v>
      </c>
      <c r="F144" s="45">
        <f t="shared" ref="F144:F151" si="31">F101</f>
        <v>28.148561099999995</v>
      </c>
      <c r="G144" s="45"/>
      <c r="H144" s="45">
        <f t="shared" ref="H144:H151" si="32">H101</f>
        <v>28.686198617009993</v>
      </c>
    </row>
    <row r="145" spans="3:12" s="26" customFormat="1" ht="15.75" customHeight="1" x14ac:dyDescent="0.25">
      <c r="C145" s="12" t="s">
        <v>62</v>
      </c>
      <c r="E145" s="97" t="s">
        <v>123</v>
      </c>
      <c r="F145" s="45">
        <f t="shared" si="31"/>
        <v>27.594068789999994</v>
      </c>
      <c r="G145" s="45"/>
      <c r="H145" s="45">
        <f t="shared" si="32"/>
        <v>28.121115503888991</v>
      </c>
    </row>
    <row r="146" spans="3:12" s="26" customFormat="1" ht="15.75" customHeight="1" x14ac:dyDescent="0.25">
      <c r="C146" s="12" t="s">
        <v>63</v>
      </c>
      <c r="E146" s="97" t="s">
        <v>123</v>
      </c>
      <c r="F146" s="45">
        <f t="shared" si="31"/>
        <v>26.77899261</v>
      </c>
      <c r="G146" s="45"/>
      <c r="H146" s="45">
        <f t="shared" si="32"/>
        <v>27.290471368850998</v>
      </c>
    </row>
    <row r="147" spans="3:12" s="26" customFormat="1" ht="15.75" customHeight="1" x14ac:dyDescent="0.25">
      <c r="C147" s="12" t="s">
        <v>64</v>
      </c>
      <c r="E147" s="97" t="s">
        <v>127</v>
      </c>
      <c r="F147" s="45">
        <f t="shared" si="31"/>
        <v>0</v>
      </c>
      <c r="G147" s="45"/>
      <c r="H147" s="45">
        <f t="shared" si="32"/>
        <v>0</v>
      </c>
    </row>
    <row r="148" spans="3:12" s="26" customFormat="1" ht="15.75" customHeight="1" x14ac:dyDescent="0.25">
      <c r="C148" s="12" t="s">
        <v>128</v>
      </c>
      <c r="E148" s="97" t="s">
        <v>123</v>
      </c>
      <c r="F148" s="45">
        <f t="shared" si="31"/>
        <v>30.3706</v>
      </c>
      <c r="G148" s="45"/>
      <c r="H148" s="45">
        <f t="shared" si="32"/>
        <v>30.3706</v>
      </c>
    </row>
    <row r="149" spans="3:12" s="26" customFormat="1" ht="15.75" customHeight="1" x14ac:dyDescent="0.25">
      <c r="C149" s="12" t="s">
        <v>101</v>
      </c>
      <c r="E149" s="97" t="s">
        <v>123</v>
      </c>
      <c r="F149" s="45">
        <f t="shared" si="31"/>
        <v>1.474</v>
      </c>
      <c r="G149" s="45"/>
      <c r="H149" s="45">
        <f t="shared" si="32"/>
        <v>1.474</v>
      </c>
    </row>
    <row r="150" spans="3:12" s="26" customFormat="1" ht="15.75" customHeight="1" x14ac:dyDescent="0.25">
      <c r="C150" s="12" t="s">
        <v>102</v>
      </c>
      <c r="E150" s="97" t="s">
        <v>123</v>
      </c>
      <c r="F150" s="45">
        <f t="shared" si="31"/>
        <v>2.6981999999999999</v>
      </c>
      <c r="G150" s="45"/>
      <c r="H150" s="45">
        <f t="shared" si="32"/>
        <v>2.6981999999999999</v>
      </c>
    </row>
    <row r="151" spans="3:12" s="26" customFormat="1" ht="15.75" customHeight="1" x14ac:dyDescent="0.25">
      <c r="C151" s="12" t="s">
        <v>82</v>
      </c>
      <c r="E151" s="97" t="s">
        <v>123</v>
      </c>
      <c r="F151" s="45">
        <f t="shared" si="31"/>
        <v>9.7899999999999991</v>
      </c>
      <c r="G151" s="45"/>
      <c r="H151" s="45">
        <f t="shared" si="32"/>
        <v>9.7899999999999991</v>
      </c>
    </row>
    <row r="152" spans="3:12" s="26" customFormat="1" ht="15.75" customHeight="1" x14ac:dyDescent="0.2">
      <c r="E152" s="97"/>
    </row>
    <row r="153" spans="3:12" s="26" customFormat="1" ht="15.75" customHeight="1" x14ac:dyDescent="0.25">
      <c r="C153" s="77" t="s">
        <v>22</v>
      </c>
      <c r="E153" s="96"/>
    </row>
    <row r="154" spans="3:12" s="26" customFormat="1" ht="15.75" customHeight="1" x14ac:dyDescent="0.25">
      <c r="C154" s="12" t="s">
        <v>65</v>
      </c>
      <c r="E154" s="97" t="s">
        <v>123</v>
      </c>
      <c r="F154" s="45">
        <f>F111</f>
        <v>1.633</v>
      </c>
      <c r="G154" s="45"/>
      <c r="H154" s="45">
        <f>H111</f>
        <v>1.633</v>
      </c>
    </row>
    <row r="155" spans="3:12" s="26" customFormat="1" ht="15.75" customHeight="1" x14ac:dyDescent="0.25">
      <c r="C155" s="12" t="str">
        <f>'F1.3 Rate Riders'!$E$16</f>
        <v>ECVA Rate Rider</v>
      </c>
      <c r="E155" s="97" t="s">
        <v>123</v>
      </c>
      <c r="F155" s="45">
        <f>F112</f>
        <v>0.14030000000000001</v>
      </c>
      <c r="G155" s="45"/>
      <c r="H155" s="45">
        <f>H112</f>
        <v>0.34370175899425925</v>
      </c>
    </row>
    <row r="156" spans="3:12" s="26" customFormat="1" ht="15.75" customHeight="1" x14ac:dyDescent="0.25">
      <c r="C156" s="12" t="str">
        <f>C133</f>
        <v>EFVA Rate Rider</v>
      </c>
      <c r="E156" s="97" t="s">
        <v>123</v>
      </c>
      <c r="F156" s="45">
        <f>F113</f>
        <v>0.51970000000000005</v>
      </c>
      <c r="G156" s="45"/>
      <c r="H156" s="45">
        <f>H113</f>
        <v>0</v>
      </c>
    </row>
    <row r="157" spans="3:12" s="26" customFormat="1" ht="15.75" customHeight="1" x14ac:dyDescent="0.25">
      <c r="C157" s="12" t="str">
        <f>'F1.3 Rate Riders'!$E$25</f>
        <v>CIACVA Rate Rider</v>
      </c>
      <c r="E157" s="97" t="s">
        <v>123</v>
      </c>
      <c r="F157" s="45">
        <f>F114</f>
        <v>0.54339999999999999</v>
      </c>
      <c r="G157" s="45"/>
      <c r="H157" s="45">
        <f>H114</f>
        <v>3.3388371724887351</v>
      </c>
    </row>
    <row r="158" spans="3:12" s="26" customFormat="1" ht="15.75" customHeight="1" x14ac:dyDescent="0.25">
      <c r="C158" s="12" t="str">
        <f>'F1.3 Rate Riders'!$E$34</f>
        <v>MTVA Rate Rider</v>
      </c>
      <c r="E158" s="97" t="s">
        <v>123</v>
      </c>
      <c r="F158" s="45">
        <f>F115</f>
        <v>0</v>
      </c>
      <c r="G158" s="45"/>
      <c r="H158" s="45">
        <f>H115</f>
        <v>-3.0833729127550522</v>
      </c>
    </row>
    <row r="159" spans="3:12" s="26" customFormat="1" ht="15.75" customHeight="1" x14ac:dyDescent="0.2"/>
    <row r="160" spans="3:12" s="26" customFormat="1" ht="15.75" customHeight="1" x14ac:dyDescent="0.25">
      <c r="C160" s="77" t="s">
        <v>23</v>
      </c>
      <c r="E160" s="84" t="s">
        <v>14</v>
      </c>
      <c r="F160" s="84" t="s">
        <v>7</v>
      </c>
      <c r="G160" s="84"/>
      <c r="H160" s="84" t="s">
        <v>12</v>
      </c>
      <c r="I160" s="84"/>
      <c r="J160" s="84" t="s">
        <v>16</v>
      </c>
      <c r="K160" s="84"/>
      <c r="L160" s="84" t="s">
        <v>17</v>
      </c>
    </row>
    <row r="161" spans="3:12" s="26" customFormat="1" ht="15.75" customHeight="1" x14ac:dyDescent="0.25">
      <c r="C161" s="12" t="s">
        <v>13</v>
      </c>
      <c r="E161" s="72">
        <v>12</v>
      </c>
      <c r="F161" s="41">
        <f>F142*$E161</f>
        <v>315.268776</v>
      </c>
      <c r="G161" s="73"/>
      <c r="H161" s="41">
        <f>H142*$E161</f>
        <v>321.29040962159996</v>
      </c>
      <c r="I161" s="73"/>
      <c r="J161" s="41">
        <f>H161-F161</f>
        <v>6.0216336215999604</v>
      </c>
      <c r="L161" s="79">
        <f>J161/F161</f>
        <v>1.9099999999999874E-2</v>
      </c>
    </row>
    <row r="162" spans="3:12" s="26" customFormat="1" ht="15.75" customHeight="1" x14ac:dyDescent="0.25">
      <c r="C162" s="12" t="str">
        <f>OneDollar</f>
        <v>Bill 32 Rate</v>
      </c>
      <c r="E162" s="72">
        <f>E161</f>
        <v>12</v>
      </c>
      <c r="F162" s="41">
        <f>F143*$E162</f>
        <v>12</v>
      </c>
      <c r="G162" s="73"/>
      <c r="H162" s="41">
        <f>H143*$E162</f>
        <v>12</v>
      </c>
      <c r="I162" s="73"/>
      <c r="J162" s="41">
        <f>H162-F162</f>
        <v>0</v>
      </c>
      <c r="L162" s="79">
        <f>J162/F162</f>
        <v>0</v>
      </c>
    </row>
    <row r="163" spans="3:12" s="26" customFormat="1" ht="15.75" customHeight="1" x14ac:dyDescent="0.25">
      <c r="C163" s="12" t="s">
        <v>38</v>
      </c>
      <c r="E163" s="72">
        <v>1198.7357889949976</v>
      </c>
      <c r="F163" s="41">
        <f t="shared" ref="F163:F170" si="33">F144*$E163/100</f>
        <v>337.42687599282391</v>
      </c>
      <c r="G163" s="73"/>
      <c r="H163" s="41">
        <f t="shared" ref="H163:H170" si="34">H144*$E163/100</f>
        <v>343.87172932428689</v>
      </c>
      <c r="I163" s="73"/>
      <c r="J163" s="41">
        <f t="shared" ref="J163:J170" si="35">H163-F163</f>
        <v>6.4448533314629799</v>
      </c>
      <c r="L163" s="79">
        <f t="shared" ref="L163:L170" si="36">J163/F163</f>
        <v>1.9100000000000127E-2</v>
      </c>
    </row>
    <row r="164" spans="3:12" s="26" customFormat="1" ht="15.75" customHeight="1" x14ac:dyDescent="0.25">
      <c r="C164" s="12" t="s">
        <v>62</v>
      </c>
      <c r="E164" s="72">
        <v>2484.0654843110506</v>
      </c>
      <c r="F164" s="41">
        <f t="shared" si="33"/>
        <v>685.45473852943769</v>
      </c>
      <c r="G164" s="73"/>
      <c r="H164" s="41">
        <f t="shared" si="34"/>
        <v>698.54692403535</v>
      </c>
      <c r="I164" s="73"/>
      <c r="J164" s="41">
        <f t="shared" si="35"/>
        <v>13.092185505912312</v>
      </c>
      <c r="L164" s="79">
        <f t="shared" si="36"/>
        <v>1.9100000000000075E-2</v>
      </c>
    </row>
    <row r="165" spans="3:12" s="26" customFormat="1" ht="15.75" customHeight="1" x14ac:dyDescent="0.25">
      <c r="C165" s="12" t="s">
        <v>63</v>
      </c>
      <c r="E165" s="72">
        <v>1037.1987266939518</v>
      </c>
      <c r="F165" s="41">
        <f t="shared" si="33"/>
        <v>277.75137037238744</v>
      </c>
      <c r="G165" s="73"/>
      <c r="H165" s="41">
        <f t="shared" si="34"/>
        <v>283.05642154650002</v>
      </c>
      <c r="I165" s="73"/>
      <c r="J165" s="41">
        <f t="shared" si="35"/>
        <v>5.3050511741125774</v>
      </c>
      <c r="L165" s="79">
        <f t="shared" si="36"/>
        <v>1.9099999999999919E-2</v>
      </c>
    </row>
    <row r="166" spans="3:12" s="26" customFormat="1" ht="15.75" customHeight="1" thickBot="1" x14ac:dyDescent="0.3">
      <c r="C166" s="12" t="s">
        <v>64</v>
      </c>
      <c r="E166" s="72">
        <v>0</v>
      </c>
      <c r="F166" s="41">
        <f t="shared" si="33"/>
        <v>0</v>
      </c>
      <c r="G166" s="73"/>
      <c r="H166" s="41">
        <f t="shared" si="34"/>
        <v>0</v>
      </c>
      <c r="I166" s="73"/>
      <c r="J166" s="41">
        <f t="shared" si="35"/>
        <v>0</v>
      </c>
      <c r="L166" s="79" t="e">
        <f t="shared" si="36"/>
        <v>#DIV/0!</v>
      </c>
    </row>
    <row r="167" spans="3:12" s="26" customFormat="1" ht="15.75" customHeight="1" thickTop="1" x14ac:dyDescent="0.25">
      <c r="C167" s="12" t="s">
        <v>0</v>
      </c>
      <c r="E167" s="82">
        <f>SUM(E163:E166)</f>
        <v>4720</v>
      </c>
      <c r="F167" s="41">
        <f t="shared" si="33"/>
        <v>1433.4923199999998</v>
      </c>
      <c r="G167" s="73"/>
      <c r="H167" s="41">
        <f t="shared" si="34"/>
        <v>1433.4923199999998</v>
      </c>
      <c r="I167" s="73"/>
      <c r="J167" s="41">
        <f t="shared" si="35"/>
        <v>0</v>
      </c>
      <c r="L167" s="79">
        <f t="shared" si="36"/>
        <v>0</v>
      </c>
    </row>
    <row r="168" spans="3:12" s="26" customFormat="1" ht="15.75" customHeight="1" x14ac:dyDescent="0.25">
      <c r="C168" s="12" t="s">
        <v>101</v>
      </c>
      <c r="D168" s="12"/>
      <c r="E168" s="12">
        <f>E167</f>
        <v>4720</v>
      </c>
      <c r="F168" s="41">
        <f t="shared" si="33"/>
        <v>69.572800000000001</v>
      </c>
      <c r="G168" s="73"/>
      <c r="H168" s="41">
        <f t="shared" si="34"/>
        <v>69.572800000000001</v>
      </c>
      <c r="I168" s="73"/>
      <c r="J168" s="41">
        <f t="shared" si="35"/>
        <v>0</v>
      </c>
      <c r="L168" s="79">
        <f t="shared" si="36"/>
        <v>0</v>
      </c>
    </row>
    <row r="169" spans="3:12" s="26" customFormat="1" ht="15.75" customHeight="1" x14ac:dyDescent="0.25">
      <c r="C169" s="12" t="s">
        <v>102</v>
      </c>
      <c r="D169" s="12"/>
      <c r="E169" s="12">
        <f>E168</f>
        <v>4720</v>
      </c>
      <c r="F169" s="41">
        <f t="shared" si="33"/>
        <v>127.35503999999999</v>
      </c>
      <c r="G169" s="73"/>
      <c r="H169" s="41">
        <f t="shared" si="34"/>
        <v>127.35503999999999</v>
      </c>
      <c r="I169" s="73"/>
      <c r="J169" s="41">
        <f t="shared" si="35"/>
        <v>0</v>
      </c>
      <c r="L169" s="79">
        <f t="shared" si="36"/>
        <v>0</v>
      </c>
    </row>
    <row r="170" spans="3:12" s="26" customFormat="1" ht="15.75" customHeight="1" thickBot="1" x14ac:dyDescent="0.3">
      <c r="C170" s="12" t="s">
        <v>82</v>
      </c>
      <c r="E170" s="12">
        <f>E167</f>
        <v>4720</v>
      </c>
      <c r="F170" s="41">
        <f t="shared" si="33"/>
        <v>462.08799999999997</v>
      </c>
      <c r="G170" s="73"/>
      <c r="H170" s="41">
        <f t="shared" si="34"/>
        <v>462.08799999999997</v>
      </c>
      <c r="I170" s="73"/>
      <c r="J170" s="41">
        <f t="shared" si="35"/>
        <v>0</v>
      </c>
      <c r="L170" s="79">
        <f t="shared" si="36"/>
        <v>0</v>
      </c>
    </row>
    <row r="171" spans="3:12" s="26" customFormat="1" ht="15.75" customHeight="1" thickTop="1" x14ac:dyDescent="0.25">
      <c r="C171" s="77" t="s">
        <v>15</v>
      </c>
      <c r="F171" s="74">
        <f>SUM(F161:F170)</f>
        <v>3720.4099208946491</v>
      </c>
      <c r="H171" s="74">
        <f>SUM(H161:H170)</f>
        <v>3751.2736445277369</v>
      </c>
      <c r="J171" s="74">
        <f>SUM(J161:J170)</f>
        <v>30.86372363308783</v>
      </c>
      <c r="L171" s="80">
        <f>J171/F171</f>
        <v>8.2957857573033277E-3</v>
      </c>
    </row>
    <row r="172" spans="3:12" s="26" customFormat="1" ht="15.75" customHeight="1" x14ac:dyDescent="0.2"/>
    <row r="173" spans="3:12" s="26" customFormat="1" ht="15.75" customHeight="1" x14ac:dyDescent="0.25">
      <c r="C173" s="77" t="s">
        <v>22</v>
      </c>
      <c r="E173" s="84" t="s">
        <v>14</v>
      </c>
      <c r="F173" s="84" t="s">
        <v>7</v>
      </c>
      <c r="G173" s="84"/>
      <c r="H173" s="84" t="s">
        <v>12</v>
      </c>
      <c r="I173" s="84"/>
      <c r="J173" s="84" t="s">
        <v>16</v>
      </c>
      <c r="K173" s="84"/>
      <c r="L173" s="84" t="s">
        <v>17</v>
      </c>
    </row>
    <row r="174" spans="3:12" s="26" customFormat="1" ht="15.75" customHeight="1" x14ac:dyDescent="0.25">
      <c r="C174" s="12" t="s">
        <v>65</v>
      </c>
      <c r="E174" s="12">
        <f>E167</f>
        <v>4720</v>
      </c>
      <c r="F174" s="12">
        <f>$E174*F154/100</f>
        <v>77.077600000000004</v>
      </c>
      <c r="G174" s="28"/>
      <c r="H174" s="12">
        <f>$E174*H154/100</f>
        <v>77.077600000000004</v>
      </c>
      <c r="I174" s="28"/>
      <c r="J174" s="12">
        <f>H174-F174</f>
        <v>0</v>
      </c>
      <c r="L174" s="49">
        <f>J174/F174</f>
        <v>0</v>
      </c>
    </row>
    <row r="175" spans="3:12" s="26" customFormat="1" ht="15.75" customHeight="1" x14ac:dyDescent="0.25">
      <c r="C175" s="12" t="str">
        <f>'F1.3 Rate Riders'!$E$16</f>
        <v>ECVA Rate Rider</v>
      </c>
      <c r="E175" s="12">
        <f>E174</f>
        <v>4720</v>
      </c>
      <c r="F175" s="12">
        <f>$E175*F155/100</f>
        <v>6.62216</v>
      </c>
      <c r="G175" s="28"/>
      <c r="H175" s="12">
        <f>$E175*H155/100</f>
        <v>16.222723024529035</v>
      </c>
      <c r="I175" s="28"/>
      <c r="J175" s="12">
        <f t="shared" ref="J175:J178" si="37">H175-F175</f>
        <v>9.6005630245290341</v>
      </c>
      <c r="L175" s="49">
        <f t="shared" ref="L175:L178" si="38">J175/F175</f>
        <v>1.4497630719476777</v>
      </c>
    </row>
    <row r="176" spans="3:12" s="26" customFormat="1" ht="15.75" customHeight="1" x14ac:dyDescent="0.25">
      <c r="C176" s="12" t="str">
        <f>C156</f>
        <v>EFVA Rate Rider</v>
      </c>
      <c r="E176" s="12">
        <f t="shared" ref="E176:E177" si="39">E174</f>
        <v>4720</v>
      </c>
      <c r="F176" s="12">
        <f t="shared" ref="F176:F177" si="40">$E176*F156/100</f>
        <v>24.529840000000004</v>
      </c>
      <c r="G176" s="28"/>
      <c r="H176" s="12">
        <f t="shared" ref="H176:H177" si="41">$E176*H156/100</f>
        <v>0</v>
      </c>
      <c r="I176" s="28"/>
      <c r="J176" s="12">
        <f t="shared" ref="J176" si="42">H176-F176</f>
        <v>-24.529840000000004</v>
      </c>
      <c r="L176" s="49">
        <f t="shared" ref="L176" si="43">J176/F176</f>
        <v>-1</v>
      </c>
    </row>
    <row r="177" spans="3:12" s="26" customFormat="1" ht="15.75" customHeight="1" x14ac:dyDescent="0.25">
      <c r="C177" s="12" t="str">
        <f>'F1.3 Rate Riders'!$E$25</f>
        <v>CIACVA Rate Rider</v>
      </c>
      <c r="E177" s="12">
        <f t="shared" si="39"/>
        <v>4720</v>
      </c>
      <c r="F177" s="12">
        <f t="shared" si="40"/>
        <v>25.648479999999999</v>
      </c>
      <c r="G177" s="28"/>
      <c r="H177" s="12">
        <f t="shared" si="41"/>
        <v>157.59311454146828</v>
      </c>
      <c r="I177" s="28"/>
      <c r="J177" s="12">
        <f t="shared" si="37"/>
        <v>131.94463454146828</v>
      </c>
      <c r="L177" s="49">
        <f t="shared" si="38"/>
        <v>5.1443451830856359</v>
      </c>
    </row>
    <row r="178" spans="3:12" s="26" customFormat="1" ht="15.75" customHeight="1" thickBot="1" x14ac:dyDescent="0.3">
      <c r="C178" s="12" t="str">
        <f>'F1.3 Rate Riders'!$E$34</f>
        <v>MTVA Rate Rider</v>
      </c>
      <c r="E178" s="12">
        <f>E177</f>
        <v>4720</v>
      </c>
      <c r="F178" s="12">
        <f>$E178*F158/100</f>
        <v>0</v>
      </c>
      <c r="G178" s="28"/>
      <c r="H178" s="12">
        <f>$E178*H158/100</f>
        <v>-145.53520148203847</v>
      </c>
      <c r="I178" s="28"/>
      <c r="J178" s="12">
        <f t="shared" si="37"/>
        <v>-145.53520148203847</v>
      </c>
      <c r="L178" s="49" t="e">
        <f t="shared" si="38"/>
        <v>#DIV/0!</v>
      </c>
    </row>
    <row r="179" spans="3:12" s="26" customFormat="1" ht="15.75" customHeight="1" thickTop="1" x14ac:dyDescent="0.25">
      <c r="C179" s="77" t="s">
        <v>24</v>
      </c>
      <c r="F179" s="76">
        <f>SUM(F174:F178)</f>
        <v>133.87808000000001</v>
      </c>
      <c r="H179" s="76">
        <f>SUM(H174:H178)</f>
        <v>105.35823608395884</v>
      </c>
      <c r="J179" s="76">
        <f>SUM(J174:J178)</f>
        <v>-28.519843916041168</v>
      </c>
      <c r="L179" s="78">
        <f>J179/F179</f>
        <v>-0.2130284802115564</v>
      </c>
    </row>
    <row r="180" spans="3:12" s="26" customFormat="1" ht="15.75" customHeight="1" thickBot="1" x14ac:dyDescent="0.25">
      <c r="C180" s="25"/>
    </row>
    <row r="181" spans="3:12" s="26" customFormat="1" ht="15.75" customHeight="1" thickTop="1" x14ac:dyDescent="0.25">
      <c r="C181" s="77" t="s">
        <v>25</v>
      </c>
      <c r="F181" s="74">
        <f>F171+F179</f>
        <v>3854.288000894649</v>
      </c>
      <c r="H181" s="74">
        <f>H171+H179</f>
        <v>3856.6318806116956</v>
      </c>
      <c r="J181" s="74">
        <f>J171+J179</f>
        <v>2.3438797170466614</v>
      </c>
      <c r="L181" s="75">
        <f>J181/F181</f>
        <v>6.0812261992425191E-4</v>
      </c>
    </row>
    <row r="182" spans="3:12" s="26" customFormat="1" ht="15.75" customHeight="1" x14ac:dyDescent="0.25">
      <c r="C182" s="33"/>
      <c r="D182" s="40"/>
    </row>
    <row r="183" spans="3:12" s="26" customFormat="1" ht="15.75" customHeight="1" x14ac:dyDescent="0.25">
      <c r="C183" s="33"/>
      <c r="D183" s="40"/>
    </row>
    <row r="184" spans="3:12" s="26" customFormat="1" ht="15.75" customHeight="1" x14ac:dyDescent="0.25">
      <c r="C184" s="33"/>
      <c r="D184" s="40"/>
    </row>
    <row r="185" spans="3:12" s="26" customFormat="1" ht="15.75" customHeight="1" x14ac:dyDescent="0.25">
      <c r="C185" s="33"/>
      <c r="D185" s="40"/>
    </row>
    <row r="186" spans="3:12" s="26" customFormat="1" ht="15.75" customHeight="1" x14ac:dyDescent="0.25">
      <c r="C186" s="33"/>
      <c r="D186" s="40"/>
    </row>
  </sheetData>
  <sheetProtection algorithmName="SHA-512" hashValue="lRJRhfoWUoaS/02Xht5dd6QIt1d+5czM5qgaZy/IDoTbXrq0qGJJfd8qBpFg340ly6rB0y39qa+aPlt12AeM6g==" saltValue="dJGVmwC/DdDBa6X1NBEWVg==" spinCount="100000" sheet="1" objects="1" scenarios="1"/>
  <pageMargins left="0.70866141732283505" right="0.70866141732283505" top="0.74803149606299202" bottom="0.74803149606299202" header="0.31496062992126" footer="0.31496062992126"/>
  <pageSetup scale="34" fitToHeight="2" orientation="landscape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'B1.1 Current Distribution Rates'!$C$10:$C$13</xm:f>
          </x14:formula1>
          <xm:sqref>C8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P226"/>
  <sheetViews>
    <sheetView showGridLines="0" topLeftCell="A64" zoomScale="70" zoomScaleNormal="70" workbookViewId="0">
      <selection activeCell="C17" sqref="C17"/>
    </sheetView>
  </sheetViews>
  <sheetFormatPr defaultColWidth="0" defaultRowHeight="15.75" customHeight="1" x14ac:dyDescent="0.25"/>
  <cols>
    <col min="1" max="2" width="4" style="20" customWidth="1"/>
    <col min="3" max="3" width="55.7109375" style="20" customWidth="1"/>
    <col min="4" max="4" width="2.7109375" style="13" customWidth="1"/>
    <col min="5" max="5" width="22.28515625" style="20" customWidth="1"/>
    <col min="6" max="6" width="14.28515625" style="20" bestFit="1" customWidth="1"/>
    <col min="7" max="7" width="2.7109375" style="20" customWidth="1"/>
    <col min="8" max="8" width="16.5703125" style="20" bestFit="1" customWidth="1"/>
    <col min="9" max="9" width="2.7109375" style="20" customWidth="1"/>
    <col min="10" max="10" width="11" style="20" bestFit="1" customWidth="1"/>
    <col min="11" max="11" width="2.7109375" style="20" customWidth="1"/>
    <col min="12" max="12" width="11.7109375" style="20" bestFit="1" customWidth="1"/>
    <col min="13" max="13" width="2.7109375" style="20" customWidth="1"/>
    <col min="14" max="15" width="12.7109375" style="20" hidden="1" customWidth="1"/>
    <col min="16" max="16" width="2.7109375" style="20" hidden="1" customWidth="1"/>
    <col min="17" max="16384" width="0" style="20" hidden="1"/>
  </cols>
  <sheetData>
    <row r="1" spans="1:12" ht="15" x14ac:dyDescent="0.2">
      <c r="A1" s="16"/>
      <c r="B1" s="16"/>
      <c r="C1" s="17"/>
      <c r="D1" s="16"/>
      <c r="E1" s="16"/>
      <c r="F1" s="16"/>
      <c r="G1" s="16"/>
      <c r="H1" s="16"/>
      <c r="I1" s="16"/>
      <c r="J1" s="16"/>
      <c r="K1" s="16"/>
      <c r="L1" s="16"/>
    </row>
    <row r="2" spans="1:12" s="16" customFormat="1" ht="18" x14ac:dyDescent="0.25">
      <c r="C2" s="18" t="str">
        <f>'A1.1 Distributor Information'!C3</f>
        <v>Name of LDC:       EPCOR Natural Gas Limited Partnership</v>
      </c>
    </row>
    <row r="3" spans="1:12" s="16" customFormat="1" ht="18" x14ac:dyDescent="0.25">
      <c r="C3" s="18" t="str">
        <f>'A1.1 Distributor Information'!C4</f>
        <v>OEB Application Number:  EB-2022-0184  Exhibit A - 2023 Custom Incentive Application</v>
      </c>
    </row>
    <row r="4" spans="1:12" s="16" customFormat="1" ht="15" x14ac:dyDescent="0.2"/>
    <row r="5" spans="1:12" s="16" customFormat="1" ht="20.25" x14ac:dyDescent="0.3">
      <c r="C5" s="7" t="s">
        <v>143</v>
      </c>
    </row>
    <row r="6" spans="1:12" s="16" customFormat="1" ht="15.75" customHeight="1" x14ac:dyDescent="0.25">
      <c r="C6" s="33" t="s">
        <v>90</v>
      </c>
      <c r="D6" s="34"/>
    </row>
    <row r="7" spans="1:12" s="26" customFormat="1" ht="15.75" customHeight="1" x14ac:dyDescent="0.25">
      <c r="C7" s="33"/>
      <c r="D7" s="40"/>
    </row>
    <row r="8" spans="1:12" s="26" customFormat="1" ht="15.75" customHeight="1" x14ac:dyDescent="0.2">
      <c r="C8" s="81" t="s">
        <v>69</v>
      </c>
      <c r="D8" s="5"/>
      <c r="E8" s="85" t="s">
        <v>109</v>
      </c>
      <c r="F8" s="5" t="s">
        <v>7</v>
      </c>
      <c r="G8" s="5"/>
      <c r="H8" s="5" t="s">
        <v>12</v>
      </c>
      <c r="I8" s="5"/>
      <c r="J8" s="5"/>
      <c r="K8" s="5"/>
      <c r="L8" s="5"/>
    </row>
    <row r="9" spans="1:12" s="26" customFormat="1" ht="15.75" customHeight="1" x14ac:dyDescent="0.2">
      <c r="E9" s="96"/>
    </row>
    <row r="10" spans="1:12" s="26" customFormat="1" ht="15.75" customHeight="1" x14ac:dyDescent="0.25">
      <c r="C10" s="12" t="s">
        <v>13</v>
      </c>
      <c r="E10" s="97" t="s">
        <v>107</v>
      </c>
      <c r="F10" s="70">
        <f>INDEX('B1.1 Current Distribution Rates'!$E$10:$Q$13,2,COUNTA($C$10:C10))</f>
        <v>107.15836499999999</v>
      </c>
      <c r="H10" s="70">
        <f>INDEX('E1.1 Proposed Dist Rates '!$E$10:$Q$13,2,COUNTA($C$10:C10))</f>
        <v>109.20508977149997</v>
      </c>
    </row>
    <row r="11" spans="1:12" s="26" customFormat="1" ht="15.75" customHeight="1" x14ac:dyDescent="0.25">
      <c r="C11" s="12" t="str">
        <f>OneDollar</f>
        <v>Bill 32 Rate</v>
      </c>
      <c r="E11" s="97" t="s">
        <v>107</v>
      </c>
      <c r="F11" s="70">
        <f>INDEX('B1.1 Current Distribution Rates'!$E$10:$Q$13,2,COUNTA($C$10:C11))</f>
        <v>1</v>
      </c>
      <c r="G11" s="48"/>
      <c r="H11" s="70">
        <f>INDEX('E1.1 Proposed Dist Rates '!$E$10:$Q$13,2,COUNTA($C$10:C11))</f>
        <v>1</v>
      </c>
    </row>
    <row r="12" spans="1:12" s="26" customFormat="1" ht="15.75" customHeight="1" x14ac:dyDescent="0.25">
      <c r="C12" s="12" t="s">
        <v>70</v>
      </c>
      <c r="E12" s="97" t="s">
        <v>123</v>
      </c>
      <c r="F12" s="71">
        <f>INDEX('B1.1 Current Distribution Rates'!$E$10:$Q$13,2,COUNTA($C$10:C12))</f>
        <v>25.967789009999997</v>
      </c>
      <c r="G12" s="48"/>
      <c r="H12" s="71">
        <f>INDEX('E1.1 Proposed Dist Rates '!$E$10:$Q$13,2,COUNTA($C$10:C12))</f>
        <v>26.463773780090996</v>
      </c>
    </row>
    <row r="13" spans="1:12" s="26" customFormat="1" ht="15.75" customHeight="1" x14ac:dyDescent="0.25">
      <c r="C13" s="12" t="s">
        <v>71</v>
      </c>
      <c r="E13" s="97" t="s">
        <v>123</v>
      </c>
      <c r="F13" s="71">
        <f>INDEX('B1.1 Current Distribution Rates'!$E$10:$Q$13,2,COUNTA($C$10:C13))</f>
        <v>23.371020299999998</v>
      </c>
      <c r="G13" s="48"/>
      <c r="H13" s="71">
        <f>INDEX('E1.1 Proposed Dist Rates '!$E$10:$Q$13,2,COUNTA($C$10:C13))</f>
        <v>23.817406787729997</v>
      </c>
    </row>
    <row r="14" spans="1:12" s="26" customFormat="1" ht="15.75" customHeight="1" x14ac:dyDescent="0.25">
      <c r="C14" s="12" t="s">
        <v>72</v>
      </c>
      <c r="E14" s="97" t="s">
        <v>123</v>
      </c>
      <c r="F14" s="71">
        <f>INDEX('B1.1 Current Distribution Rates'!$E$10:$Q$13,2,COUNTA($C$10:C14))</f>
        <v>22.202316419999999</v>
      </c>
      <c r="G14" s="48"/>
      <c r="H14" s="71">
        <f>INDEX('E1.1 Proposed Dist Rates '!$E$10:$Q$13,2,COUNTA($C$10:C14))</f>
        <v>22.626380663621998</v>
      </c>
    </row>
    <row r="15" spans="1:12" s="26" customFormat="1" ht="15.75" customHeight="1" x14ac:dyDescent="0.25">
      <c r="C15" s="12" t="s">
        <v>64</v>
      </c>
      <c r="E15" s="97" t="s">
        <v>127</v>
      </c>
      <c r="F15" s="71">
        <f>INDEX('B1.1 Current Distribution Rates'!$E$10:$Q$13,2,COUNTA($C$10:C15))</f>
        <v>0</v>
      </c>
      <c r="G15" s="48"/>
      <c r="H15" s="71">
        <f>INDEX('E1.1 Proposed Dist Rates '!$E$10:$Q$13,2,COUNTA($C$10:C15))</f>
        <v>0</v>
      </c>
    </row>
    <row r="16" spans="1:12" s="26" customFormat="1" ht="15.75" customHeight="1" x14ac:dyDescent="0.25">
      <c r="C16" s="12" t="s">
        <v>128</v>
      </c>
      <c r="E16" s="97" t="s">
        <v>123</v>
      </c>
      <c r="F16" s="71">
        <f>INDEX('B1.1 Current Distribution Rates'!$E$10:$Q$13,2,COUNTA($C$10:C16))</f>
        <v>30.3706</v>
      </c>
      <c r="G16" s="48"/>
      <c r="H16" s="71">
        <f>INDEX('E1.1 Proposed Dist Rates '!$E$10:$Q$13,2,COUNTA($C$10:C16))</f>
        <v>30.3706</v>
      </c>
    </row>
    <row r="17" spans="3:12" s="26" customFormat="1" ht="15.75" customHeight="1" x14ac:dyDescent="0.25">
      <c r="C17" s="12" t="s">
        <v>101</v>
      </c>
      <c r="E17" s="97" t="s">
        <v>123</v>
      </c>
      <c r="F17" s="71">
        <f>INDEX('B1.1 Current Distribution Rates'!$E$10:$Q$13,2,COUNTA($C$10:C17))</f>
        <v>2.92</v>
      </c>
      <c r="G17" s="48"/>
      <c r="H17" s="71">
        <f>INDEX('E1.1 Proposed Dist Rates '!$E$10:$Q$13,2,COUNTA($C$10:C17))</f>
        <v>2.92</v>
      </c>
    </row>
    <row r="18" spans="3:12" s="26" customFormat="1" ht="15.75" customHeight="1" x14ac:dyDescent="0.25">
      <c r="C18" s="12" t="s">
        <v>102</v>
      </c>
      <c r="E18" s="97" t="s">
        <v>123</v>
      </c>
      <c r="F18" s="71">
        <f>INDEX('B1.1 Current Distribution Rates'!$E$10:$Q$13,2,COUNTA($C$10:C18))</f>
        <v>5.6413000000000002</v>
      </c>
      <c r="G18" s="48"/>
      <c r="H18" s="71">
        <f>INDEX('E1.1 Proposed Dist Rates '!$E$10:$Q$13,2,COUNTA($C$10:C18))</f>
        <v>5.6413000000000002</v>
      </c>
    </row>
    <row r="19" spans="3:12" s="26" customFormat="1" ht="15.75" customHeight="1" x14ac:dyDescent="0.25">
      <c r="C19" s="12" t="s">
        <v>82</v>
      </c>
      <c r="E19" s="97" t="s">
        <v>123</v>
      </c>
      <c r="F19" s="71">
        <f>'B1.1 Current Distribution Rates'!Q11</f>
        <v>9.7899999999999991</v>
      </c>
      <c r="G19" s="48"/>
      <c r="H19" s="71">
        <f>'E1.1 Proposed Dist Rates '!Q11</f>
        <v>9.7899999999999991</v>
      </c>
    </row>
    <row r="20" spans="3:12" s="26" customFormat="1" ht="15.75" customHeight="1" x14ac:dyDescent="0.2">
      <c r="E20" s="97"/>
    </row>
    <row r="21" spans="3:12" s="26" customFormat="1" ht="15.75" customHeight="1" x14ac:dyDescent="0.25">
      <c r="C21" s="77" t="s">
        <v>22</v>
      </c>
      <c r="E21" s="96"/>
    </row>
    <row r="22" spans="3:12" s="26" customFormat="1" ht="15.75" customHeight="1" x14ac:dyDescent="0.25">
      <c r="C22" s="12" t="str">
        <f>'F1.3 Rate Riders'!$E$7</f>
        <v>Delay in Revenue Recovery Rate Rider</v>
      </c>
      <c r="E22" s="97" t="s">
        <v>123</v>
      </c>
      <c r="F22" s="71">
        <f>'C1.1 Current Rate Riders'!E11</f>
        <v>0.90900000000000003</v>
      </c>
      <c r="G22" s="48"/>
      <c r="H22" s="71">
        <f>'F1.3 Rate Riders'!E10</f>
        <v>0.90900000000000003</v>
      </c>
    </row>
    <row r="23" spans="3:12" s="26" customFormat="1" ht="15.75" customHeight="1" x14ac:dyDescent="0.25">
      <c r="C23" s="12" t="str">
        <f>'F1.3 Rate Riders'!$E$16</f>
        <v>ECVA Rate Rider</v>
      </c>
      <c r="E23" s="97"/>
      <c r="F23" s="71">
        <f>'C1.1 Current Rate Riders'!E20</f>
        <v>0.14030000000000001</v>
      </c>
      <c r="G23" s="48"/>
      <c r="H23" s="71">
        <f>'F1.3 Rate Riders'!$E$19</f>
        <v>0.27783639709160213</v>
      </c>
    </row>
    <row r="24" spans="3:12" s="26" customFormat="1" ht="15.75" customHeight="1" x14ac:dyDescent="0.25">
      <c r="C24" s="12" t="str">
        <f>'C1.1 Current Rate Riders'!E35</f>
        <v>EFVA Rate Rider</v>
      </c>
      <c r="E24" s="97"/>
      <c r="F24" s="71">
        <f>'C1.1 Current Rate Riders'!E38</f>
        <v>0.66080000000000005</v>
      </c>
      <c r="G24" s="48"/>
      <c r="H24" s="71">
        <v>0</v>
      </c>
    </row>
    <row r="25" spans="3:12" s="26" customFormat="1" ht="15.75" customHeight="1" x14ac:dyDescent="0.25">
      <c r="C25" s="12" t="str">
        <f>'F1.3 Rate Riders'!$E$25</f>
        <v>CIACVA Rate Rider</v>
      </c>
      <c r="E25" s="97"/>
      <c r="F25" s="71">
        <f>'C1.1 Current Rate Riders'!E29</f>
        <v>0.71350000000000002</v>
      </c>
      <c r="G25" s="48"/>
      <c r="H25" s="71">
        <f>'F1.3 Rate Riders'!$E$28</f>
        <v>3.1384513317011078</v>
      </c>
    </row>
    <row r="26" spans="3:12" s="26" customFormat="1" ht="15.75" customHeight="1" x14ac:dyDescent="0.25">
      <c r="C26" s="12" t="str">
        <f>'F1.3 Rate Riders'!$E$34</f>
        <v>MTVA Rate Rider</v>
      </c>
      <c r="F26" s="71">
        <v>0</v>
      </c>
      <c r="H26" s="71">
        <f>'F1.3 Rate Riders'!$E$37</f>
        <v>-2.8983191824697672</v>
      </c>
    </row>
    <row r="27" spans="3:12" s="26" customFormat="1" ht="15.75" customHeight="1" x14ac:dyDescent="0.2"/>
    <row r="28" spans="3:12" s="26" customFormat="1" ht="15.75" customHeight="1" x14ac:dyDescent="0.25">
      <c r="C28" s="77" t="s">
        <v>23</v>
      </c>
      <c r="E28" s="84" t="s">
        <v>14</v>
      </c>
      <c r="F28" s="84" t="s">
        <v>7</v>
      </c>
      <c r="G28" s="84"/>
      <c r="H28" s="84" t="s">
        <v>12</v>
      </c>
      <c r="I28" s="84"/>
      <c r="J28" s="84" t="s">
        <v>16</v>
      </c>
      <c r="K28" s="84"/>
      <c r="L28" s="84" t="s">
        <v>17</v>
      </c>
    </row>
    <row r="29" spans="3:12" s="26" customFormat="1" ht="15.75" customHeight="1" x14ac:dyDescent="0.25">
      <c r="C29" s="12" t="s">
        <v>13</v>
      </c>
      <c r="E29" s="72">
        <v>12</v>
      </c>
      <c r="F29" s="12">
        <f>F10*$E29</f>
        <v>1285.9003799999998</v>
      </c>
      <c r="G29" s="12"/>
      <c r="H29" s="12">
        <f>H10*$E29</f>
        <v>1310.4610772579997</v>
      </c>
      <c r="I29" s="12"/>
      <c r="J29" s="12">
        <f t="shared" ref="J29:J38" si="0">H29-F29</f>
        <v>24.560697257999891</v>
      </c>
      <c r="K29" s="12"/>
      <c r="L29" s="55">
        <f t="shared" ref="L29:L39" si="1">J29/F29</f>
        <v>1.9099999999999919E-2</v>
      </c>
    </row>
    <row r="30" spans="3:12" s="26" customFormat="1" ht="15.75" customHeight="1" x14ac:dyDescent="0.25">
      <c r="C30" s="12" t="str">
        <f>OneDollar</f>
        <v>Bill 32 Rate</v>
      </c>
      <c r="E30" s="72">
        <f>E29</f>
        <v>12</v>
      </c>
      <c r="F30" s="12">
        <f>E30*F11</f>
        <v>12</v>
      </c>
      <c r="G30" s="12"/>
      <c r="H30" s="12">
        <f>E30*H11</f>
        <v>12</v>
      </c>
      <c r="I30" s="12"/>
      <c r="J30" s="12">
        <f t="shared" si="0"/>
        <v>0</v>
      </c>
      <c r="K30" s="12"/>
      <c r="L30" s="55">
        <f t="shared" si="1"/>
        <v>0</v>
      </c>
    </row>
    <row r="31" spans="3:12" s="26" customFormat="1" ht="15.75" customHeight="1" x14ac:dyDescent="0.25">
      <c r="C31" s="12" t="s">
        <v>70</v>
      </c>
      <c r="E31" s="72">
        <v>9831.5433379437527</v>
      </c>
      <c r="F31" s="12">
        <f t="shared" ref="F31:F38" si="2">F12*$E31/100</f>
        <v>2553.0344304239447</v>
      </c>
      <c r="G31" s="12"/>
      <c r="H31" s="12">
        <f t="shared" ref="H31:H38" si="3">H12*$E31/100</f>
        <v>2601.7973880450418</v>
      </c>
      <c r="I31" s="12"/>
      <c r="J31" s="12">
        <f t="shared" si="0"/>
        <v>48.76295762109703</v>
      </c>
      <c r="K31" s="12"/>
      <c r="L31" s="55">
        <f t="shared" si="1"/>
        <v>1.9099999999999877E-2</v>
      </c>
    </row>
    <row r="32" spans="3:12" s="26" customFormat="1" ht="15.75" customHeight="1" x14ac:dyDescent="0.25">
      <c r="C32" s="12" t="s">
        <v>71</v>
      </c>
      <c r="E32" s="72">
        <v>17101.456662056247</v>
      </c>
      <c r="F32" s="12">
        <f t="shared" si="2"/>
        <v>3996.7849080848678</v>
      </c>
      <c r="G32" s="12"/>
      <c r="H32" s="12">
        <f t="shared" si="3"/>
        <v>4073.1234998292884</v>
      </c>
      <c r="I32" s="12"/>
      <c r="J32" s="12">
        <f t="shared" si="0"/>
        <v>76.338591744420683</v>
      </c>
      <c r="K32" s="12"/>
      <c r="L32" s="55">
        <f t="shared" si="1"/>
        <v>1.9099999999999926E-2</v>
      </c>
    </row>
    <row r="33" spans="3:12" s="26" customFormat="1" ht="15.75" customHeight="1" x14ac:dyDescent="0.25">
      <c r="C33" s="12" t="s">
        <v>72</v>
      </c>
      <c r="E33" s="72">
        <v>0</v>
      </c>
      <c r="F33" s="12">
        <f t="shared" si="2"/>
        <v>0</v>
      </c>
      <c r="G33" s="12"/>
      <c r="H33" s="12">
        <f t="shared" si="3"/>
        <v>0</v>
      </c>
      <c r="I33" s="12"/>
      <c r="J33" s="12">
        <f t="shared" si="0"/>
        <v>0</v>
      </c>
      <c r="K33" s="12"/>
      <c r="L33" s="55" t="e">
        <f t="shared" si="1"/>
        <v>#DIV/0!</v>
      </c>
    </row>
    <row r="34" spans="3:12" s="26" customFormat="1" ht="15.75" customHeight="1" thickBot="1" x14ac:dyDescent="0.3">
      <c r="C34" s="12" t="s">
        <v>64</v>
      </c>
      <c r="E34" s="72">
        <v>0</v>
      </c>
      <c r="F34" s="12">
        <f t="shared" si="2"/>
        <v>0</v>
      </c>
      <c r="G34" s="12"/>
      <c r="H34" s="12">
        <f t="shared" si="3"/>
        <v>0</v>
      </c>
      <c r="I34" s="12"/>
      <c r="J34" s="12">
        <f t="shared" si="0"/>
        <v>0</v>
      </c>
      <c r="K34" s="12"/>
      <c r="L34" s="55" t="e">
        <f t="shared" si="1"/>
        <v>#DIV/0!</v>
      </c>
    </row>
    <row r="35" spans="3:12" s="26" customFormat="1" ht="15.75" customHeight="1" thickTop="1" x14ac:dyDescent="0.25">
      <c r="C35" s="12" t="s">
        <v>128</v>
      </c>
      <c r="E35" s="82">
        <f>SUM(E31:E34)</f>
        <v>26933</v>
      </c>
      <c r="F35" s="12">
        <f t="shared" si="2"/>
        <v>8179.7136979999996</v>
      </c>
      <c r="G35" s="12"/>
      <c r="H35" s="12">
        <f t="shared" si="3"/>
        <v>8179.7136979999996</v>
      </c>
      <c r="I35" s="12"/>
      <c r="J35" s="12">
        <f t="shared" si="0"/>
        <v>0</v>
      </c>
      <c r="K35" s="12"/>
      <c r="L35" s="55">
        <f t="shared" si="1"/>
        <v>0</v>
      </c>
    </row>
    <row r="36" spans="3:12" s="26" customFormat="1" ht="15.75" customHeight="1" x14ac:dyDescent="0.25">
      <c r="C36" s="12" t="s">
        <v>101</v>
      </c>
      <c r="E36" s="95">
        <f>E35</f>
        <v>26933</v>
      </c>
      <c r="F36" s="12">
        <f t="shared" si="2"/>
        <v>786.44360000000006</v>
      </c>
      <c r="G36" s="12"/>
      <c r="H36" s="12">
        <f t="shared" si="3"/>
        <v>786.44360000000006</v>
      </c>
      <c r="I36" s="12"/>
      <c r="J36" s="12">
        <f t="shared" si="0"/>
        <v>0</v>
      </c>
      <c r="K36" s="12"/>
      <c r="L36" s="55">
        <f t="shared" si="1"/>
        <v>0</v>
      </c>
    </row>
    <row r="37" spans="3:12" s="26" customFormat="1" ht="15.75" customHeight="1" x14ac:dyDescent="0.25">
      <c r="C37" s="12" t="s">
        <v>102</v>
      </c>
      <c r="E37" s="95">
        <f>E36</f>
        <v>26933</v>
      </c>
      <c r="F37" s="12">
        <f t="shared" si="2"/>
        <v>1519.3713290000001</v>
      </c>
      <c r="G37" s="12"/>
      <c r="H37" s="12">
        <f t="shared" si="3"/>
        <v>1519.3713290000001</v>
      </c>
      <c r="I37" s="12"/>
      <c r="J37" s="12">
        <f t="shared" si="0"/>
        <v>0</v>
      </c>
      <c r="K37" s="12"/>
      <c r="L37" s="55">
        <f t="shared" si="1"/>
        <v>0</v>
      </c>
    </row>
    <row r="38" spans="3:12" s="26" customFormat="1" ht="15.75" customHeight="1" thickBot="1" x14ac:dyDescent="0.3">
      <c r="C38" s="12" t="s">
        <v>82</v>
      </c>
      <c r="E38" s="95">
        <f>E37</f>
        <v>26933</v>
      </c>
      <c r="F38" s="12">
        <f t="shared" si="2"/>
        <v>2636.7406999999994</v>
      </c>
      <c r="G38" s="12"/>
      <c r="H38" s="12">
        <f t="shared" si="3"/>
        <v>2636.7406999999994</v>
      </c>
      <c r="I38" s="12"/>
      <c r="J38" s="12">
        <f t="shared" si="0"/>
        <v>0</v>
      </c>
      <c r="K38" s="12"/>
      <c r="L38" s="55">
        <f t="shared" si="1"/>
        <v>0</v>
      </c>
    </row>
    <row r="39" spans="3:12" s="26" customFormat="1" ht="15.75" customHeight="1" thickTop="1" x14ac:dyDescent="0.25">
      <c r="C39" s="77" t="s">
        <v>15</v>
      </c>
      <c r="F39" s="74">
        <f>SUM(F29:F38)</f>
        <v>20969.98904550881</v>
      </c>
      <c r="H39" s="74">
        <f>SUM(H29:H38)</f>
        <v>21119.65129213233</v>
      </c>
      <c r="J39" s="74">
        <f>SUM(J29:J38)</f>
        <v>149.6622466235176</v>
      </c>
      <c r="L39" s="78">
        <f t="shared" si="1"/>
        <v>7.13697304746905E-3</v>
      </c>
    </row>
    <row r="40" spans="3:12" s="26" customFormat="1" ht="15.75" customHeight="1" x14ac:dyDescent="0.2"/>
    <row r="41" spans="3:12" s="26" customFormat="1" ht="15.75" customHeight="1" x14ac:dyDescent="0.25">
      <c r="C41" s="77" t="s">
        <v>22</v>
      </c>
      <c r="E41" s="84" t="s">
        <v>14</v>
      </c>
      <c r="F41" s="84" t="s">
        <v>7</v>
      </c>
      <c r="G41" s="84"/>
      <c r="H41" s="84" t="s">
        <v>12</v>
      </c>
      <c r="I41" s="84"/>
      <c r="J41" s="84" t="s">
        <v>16</v>
      </c>
      <c r="K41" s="84"/>
      <c r="L41" s="84" t="s">
        <v>17</v>
      </c>
    </row>
    <row r="42" spans="3:12" s="26" customFormat="1" ht="15.75" customHeight="1" x14ac:dyDescent="0.25">
      <c r="C42" s="12" t="s">
        <v>65</v>
      </c>
      <c r="E42" s="12">
        <f>E35</f>
        <v>26933</v>
      </c>
      <c r="F42" s="12">
        <f>$E42*F22/100</f>
        <v>244.82097000000002</v>
      </c>
      <c r="G42" s="12"/>
      <c r="H42" s="12">
        <f>$E42*H22/100</f>
        <v>244.82097000000002</v>
      </c>
      <c r="I42" s="12"/>
      <c r="J42" s="12">
        <f>H42-F42</f>
        <v>0</v>
      </c>
      <c r="K42" s="12"/>
      <c r="L42" s="55">
        <f>J42/F42</f>
        <v>0</v>
      </c>
    </row>
    <row r="43" spans="3:12" s="26" customFormat="1" ht="15.75" customHeight="1" x14ac:dyDescent="0.25">
      <c r="C43" s="12" t="str">
        <f>'F1.3 Rate Riders'!$E$16</f>
        <v>ECVA Rate Rider</v>
      </c>
      <c r="E43" s="12">
        <f>E42</f>
        <v>26933</v>
      </c>
      <c r="F43" s="12">
        <f>$E43*F23/100</f>
        <v>37.786999000000002</v>
      </c>
      <c r="G43" s="12"/>
      <c r="H43" s="12">
        <f>$E43*H23/100</f>
        <v>74.829676828681201</v>
      </c>
      <c r="I43" s="12"/>
      <c r="J43" s="12">
        <f t="shared" ref="J43:J46" si="4">H43-F43</f>
        <v>37.0426778286812</v>
      </c>
      <c r="K43" s="12"/>
      <c r="L43" s="55">
        <f>J43/F43</f>
        <v>0.98030218882111275</v>
      </c>
    </row>
    <row r="44" spans="3:12" s="26" customFormat="1" ht="15.75" customHeight="1" x14ac:dyDescent="0.25">
      <c r="C44" s="12" t="str">
        <f>C24</f>
        <v>EFVA Rate Rider</v>
      </c>
      <c r="E44" s="12">
        <f>E42</f>
        <v>26933</v>
      </c>
      <c r="F44" s="12">
        <f>$E44*F24/100</f>
        <v>177.97326400000003</v>
      </c>
      <c r="G44" s="12"/>
      <c r="H44" s="12">
        <f>$E44*H24/100</f>
        <v>0</v>
      </c>
      <c r="I44" s="12"/>
      <c r="J44" s="12">
        <f t="shared" ref="J44" si="5">H44-F44</f>
        <v>-177.97326400000003</v>
      </c>
      <c r="K44" s="12"/>
      <c r="L44" s="55">
        <f t="shared" ref="L44" si="6">J44/F44</f>
        <v>-1</v>
      </c>
    </row>
    <row r="45" spans="3:12" s="26" customFormat="1" ht="15.75" customHeight="1" x14ac:dyDescent="0.25">
      <c r="C45" s="12" t="str">
        <f>'F1.3 Rate Riders'!$E$25</f>
        <v>CIACVA Rate Rider</v>
      </c>
      <c r="E45" s="12">
        <f>E43</f>
        <v>26933</v>
      </c>
      <c r="F45" s="12">
        <f>$E45*F25/100</f>
        <v>192.16695500000003</v>
      </c>
      <c r="G45" s="12"/>
      <c r="H45" s="12">
        <f>$E45*H25/100</f>
        <v>845.27909716705938</v>
      </c>
      <c r="I45" s="12"/>
      <c r="J45" s="12">
        <f t="shared" si="4"/>
        <v>653.11214216705935</v>
      </c>
      <c r="K45" s="12"/>
      <c r="L45" s="55">
        <f t="shared" ref="L45:L46" si="7">J45/F45</f>
        <v>3.3986704018235563</v>
      </c>
    </row>
    <row r="46" spans="3:12" s="26" customFormat="1" ht="15.75" customHeight="1" thickBot="1" x14ac:dyDescent="0.3">
      <c r="C46" s="12" t="str">
        <f>'F1.3 Rate Riders'!$E$34</f>
        <v>MTVA Rate Rider</v>
      </c>
      <c r="E46" s="12">
        <f t="shared" ref="E46" si="8">E45</f>
        <v>26933</v>
      </c>
      <c r="F46" s="12">
        <f>$E46*F26/100</f>
        <v>0</v>
      </c>
      <c r="G46" s="12"/>
      <c r="H46" s="12">
        <f>$E46*H26/100</f>
        <v>-780.60430541458231</v>
      </c>
      <c r="I46" s="12"/>
      <c r="J46" s="12">
        <f t="shared" si="4"/>
        <v>-780.60430541458231</v>
      </c>
      <c r="K46" s="12"/>
      <c r="L46" s="55" t="e">
        <f t="shared" si="7"/>
        <v>#DIV/0!</v>
      </c>
    </row>
    <row r="47" spans="3:12" s="26" customFormat="1" ht="15.75" customHeight="1" thickTop="1" x14ac:dyDescent="0.25">
      <c r="C47" s="77" t="s">
        <v>24</v>
      </c>
      <c r="F47" s="74">
        <f>SUM(F42:F46)</f>
        <v>652.74818800000003</v>
      </c>
      <c r="H47" s="74">
        <f>SUM(H42:H46)</f>
        <v>384.32543858115832</v>
      </c>
      <c r="J47" s="74">
        <f>SUM(J42:J46)</f>
        <v>-268.42274941884182</v>
      </c>
      <c r="L47" s="78">
        <f>J47/F47</f>
        <v>-0.41121944779545189</v>
      </c>
    </row>
    <row r="48" spans="3:12" s="26" customFormat="1" ht="15.75" customHeight="1" thickBot="1" x14ac:dyDescent="0.25">
      <c r="C48" s="25"/>
    </row>
    <row r="49" spans="3:12" s="26" customFormat="1" ht="15.75" customHeight="1" thickTop="1" x14ac:dyDescent="0.25">
      <c r="C49" s="77" t="s">
        <v>25</v>
      </c>
      <c r="F49" s="74">
        <f>F39+F47</f>
        <v>21622.737233508811</v>
      </c>
      <c r="H49" s="74">
        <f>H39+H47</f>
        <v>21503.97673071349</v>
      </c>
      <c r="J49" s="74">
        <f>J39+J47</f>
        <v>-118.76050279532421</v>
      </c>
      <c r="L49" s="78">
        <f>J49/F49</f>
        <v>-5.4923898631705501E-3</v>
      </c>
    </row>
    <row r="50" spans="3:12" s="26" customFormat="1" ht="15.75" customHeight="1" x14ac:dyDescent="0.25">
      <c r="C50" s="33"/>
      <c r="D50" s="40"/>
    </row>
    <row r="51" spans="3:12" s="26" customFormat="1" ht="15.75" customHeight="1" x14ac:dyDescent="0.25">
      <c r="C51" s="33"/>
      <c r="D51" s="40"/>
    </row>
    <row r="52" spans="3:12" s="26" customFormat="1" ht="15.75" customHeight="1" x14ac:dyDescent="0.2">
      <c r="C52" s="81" t="s">
        <v>69</v>
      </c>
      <c r="D52" s="5"/>
      <c r="E52" s="85" t="s">
        <v>109</v>
      </c>
      <c r="F52" s="5" t="s">
        <v>7</v>
      </c>
      <c r="G52" s="5"/>
      <c r="H52" s="5" t="s">
        <v>12</v>
      </c>
      <c r="I52" s="5"/>
      <c r="J52" s="5"/>
      <c r="K52" s="5"/>
      <c r="L52" s="5"/>
    </row>
    <row r="53" spans="3:12" s="26" customFormat="1" ht="15.75" customHeight="1" x14ac:dyDescent="0.2">
      <c r="E53" s="96"/>
    </row>
    <row r="54" spans="3:12" s="26" customFormat="1" ht="15.75" customHeight="1" x14ac:dyDescent="0.25">
      <c r="C54" s="12" t="s">
        <v>13</v>
      </c>
      <c r="E54" s="97" t="s">
        <v>107</v>
      </c>
      <c r="F54" s="12">
        <f t="shared" ref="F54:F63" si="9">F10</f>
        <v>107.15836499999999</v>
      </c>
      <c r="G54" s="12"/>
      <c r="H54" s="12">
        <f t="shared" ref="H54:H63" si="10">H10</f>
        <v>109.20508977149997</v>
      </c>
    </row>
    <row r="55" spans="3:12" s="26" customFormat="1" ht="15.75" customHeight="1" x14ac:dyDescent="0.25">
      <c r="C55" s="12" t="str">
        <f>OneDollar</f>
        <v>Bill 32 Rate</v>
      </c>
      <c r="E55" s="97" t="s">
        <v>107</v>
      </c>
      <c r="F55" s="12">
        <f t="shared" si="9"/>
        <v>1</v>
      </c>
      <c r="G55" s="12"/>
      <c r="H55" s="12">
        <f t="shared" si="10"/>
        <v>1</v>
      </c>
    </row>
    <row r="56" spans="3:12" s="26" customFormat="1" ht="15.75" customHeight="1" x14ac:dyDescent="0.25">
      <c r="C56" s="12" t="s">
        <v>70</v>
      </c>
      <c r="E56" s="97" t="s">
        <v>123</v>
      </c>
      <c r="F56" s="45">
        <f t="shared" si="9"/>
        <v>25.967789009999997</v>
      </c>
      <c r="G56" s="45"/>
      <c r="H56" s="45">
        <f t="shared" si="10"/>
        <v>26.463773780090996</v>
      </c>
    </row>
    <row r="57" spans="3:12" s="26" customFormat="1" ht="15.75" customHeight="1" x14ac:dyDescent="0.25">
      <c r="C57" s="12" t="s">
        <v>71</v>
      </c>
      <c r="E57" s="97" t="s">
        <v>123</v>
      </c>
      <c r="F57" s="45">
        <f t="shared" si="9"/>
        <v>23.371020299999998</v>
      </c>
      <c r="G57" s="45"/>
      <c r="H57" s="45">
        <f t="shared" si="10"/>
        <v>23.817406787729997</v>
      </c>
    </row>
    <row r="58" spans="3:12" s="26" customFormat="1" ht="15.75" customHeight="1" x14ac:dyDescent="0.25">
      <c r="C58" s="12" t="s">
        <v>72</v>
      </c>
      <c r="E58" s="97" t="s">
        <v>123</v>
      </c>
      <c r="F58" s="45">
        <f t="shared" si="9"/>
        <v>22.202316419999999</v>
      </c>
      <c r="G58" s="45"/>
      <c r="H58" s="45">
        <f t="shared" si="10"/>
        <v>22.626380663621998</v>
      </c>
    </row>
    <row r="59" spans="3:12" s="26" customFormat="1" ht="15.75" customHeight="1" x14ac:dyDescent="0.25">
      <c r="C59" s="12" t="s">
        <v>64</v>
      </c>
      <c r="E59" s="97" t="s">
        <v>127</v>
      </c>
      <c r="F59" s="45">
        <f t="shared" si="9"/>
        <v>0</v>
      </c>
      <c r="G59" s="45"/>
      <c r="H59" s="45">
        <f t="shared" si="10"/>
        <v>0</v>
      </c>
    </row>
    <row r="60" spans="3:12" s="26" customFormat="1" ht="15.75" customHeight="1" x14ac:dyDescent="0.25">
      <c r="C60" s="12" t="s">
        <v>128</v>
      </c>
      <c r="E60" s="97" t="s">
        <v>123</v>
      </c>
      <c r="F60" s="45">
        <f t="shared" si="9"/>
        <v>30.3706</v>
      </c>
      <c r="G60" s="45"/>
      <c r="H60" s="45">
        <f t="shared" si="10"/>
        <v>30.3706</v>
      </c>
    </row>
    <row r="61" spans="3:12" s="26" customFormat="1" ht="15.75" customHeight="1" x14ac:dyDescent="0.25">
      <c r="C61" s="12" t="s">
        <v>101</v>
      </c>
      <c r="E61" s="97" t="s">
        <v>123</v>
      </c>
      <c r="F61" s="45">
        <f t="shared" si="9"/>
        <v>2.92</v>
      </c>
      <c r="G61" s="45"/>
      <c r="H61" s="45">
        <f t="shared" si="10"/>
        <v>2.92</v>
      </c>
    </row>
    <row r="62" spans="3:12" s="26" customFormat="1" ht="15.75" customHeight="1" x14ac:dyDescent="0.25">
      <c r="C62" s="12" t="s">
        <v>102</v>
      </c>
      <c r="E62" s="97" t="s">
        <v>123</v>
      </c>
      <c r="F62" s="45">
        <f t="shared" si="9"/>
        <v>5.6413000000000002</v>
      </c>
      <c r="G62" s="45"/>
      <c r="H62" s="45">
        <f t="shared" si="10"/>
        <v>5.6413000000000002</v>
      </c>
    </row>
    <row r="63" spans="3:12" s="26" customFormat="1" ht="15.75" customHeight="1" x14ac:dyDescent="0.25">
      <c r="C63" s="12" t="s">
        <v>82</v>
      </c>
      <c r="E63" s="97" t="s">
        <v>123</v>
      </c>
      <c r="F63" s="45">
        <f t="shared" si="9"/>
        <v>9.7899999999999991</v>
      </c>
      <c r="G63" s="45"/>
      <c r="H63" s="45">
        <f t="shared" si="10"/>
        <v>9.7899999999999991</v>
      </c>
    </row>
    <row r="64" spans="3:12" s="26" customFormat="1" ht="15.75" customHeight="1" x14ac:dyDescent="0.25">
      <c r="E64" s="97"/>
      <c r="F64" s="45"/>
      <c r="G64" s="45"/>
      <c r="H64" s="45"/>
    </row>
    <row r="65" spans="3:12" s="26" customFormat="1" ht="15.75" customHeight="1" x14ac:dyDescent="0.25">
      <c r="C65" s="77" t="s">
        <v>22</v>
      </c>
      <c r="E65" s="96"/>
      <c r="F65" s="45"/>
      <c r="G65" s="45"/>
      <c r="H65" s="45"/>
    </row>
    <row r="66" spans="3:12" s="26" customFormat="1" ht="15.75" customHeight="1" x14ac:dyDescent="0.25">
      <c r="C66" s="12" t="s">
        <v>65</v>
      </c>
      <c r="E66" s="97" t="s">
        <v>123</v>
      </c>
      <c r="F66" s="45">
        <f>F22</f>
        <v>0.90900000000000003</v>
      </c>
      <c r="G66" s="45"/>
      <c r="H66" s="45">
        <f>H22</f>
        <v>0.90900000000000003</v>
      </c>
    </row>
    <row r="67" spans="3:12" s="26" customFormat="1" ht="15.75" customHeight="1" x14ac:dyDescent="0.25">
      <c r="C67" s="12" t="str">
        <f>'F1.3 Rate Riders'!$E$16</f>
        <v>ECVA Rate Rider</v>
      </c>
      <c r="E67" s="97"/>
      <c r="F67" s="45">
        <f t="shared" ref="F67:F70" si="11">F23</f>
        <v>0.14030000000000001</v>
      </c>
      <c r="G67" s="45"/>
      <c r="H67" s="45">
        <f>'F1.3 Rate Riders'!E19</f>
        <v>0.27783639709160213</v>
      </c>
    </row>
    <row r="68" spans="3:12" s="26" customFormat="1" ht="15.75" customHeight="1" x14ac:dyDescent="0.25">
      <c r="C68" s="12" t="str">
        <f>C44</f>
        <v>EFVA Rate Rider</v>
      </c>
      <c r="E68" s="97"/>
      <c r="F68" s="45">
        <f t="shared" si="11"/>
        <v>0.66080000000000005</v>
      </c>
      <c r="G68" s="45"/>
      <c r="H68" s="45">
        <v>0</v>
      </c>
    </row>
    <row r="69" spans="3:12" s="26" customFormat="1" ht="15.75" customHeight="1" x14ac:dyDescent="0.25">
      <c r="C69" s="12" t="str">
        <f>'F1.3 Rate Riders'!$E$25</f>
        <v>CIACVA Rate Rider</v>
      </c>
      <c r="E69" s="97"/>
      <c r="F69" s="45">
        <f t="shared" si="11"/>
        <v>0.71350000000000002</v>
      </c>
      <c r="G69" s="45"/>
      <c r="H69" s="45">
        <f>'F1.3 Rate Riders'!E28</f>
        <v>3.1384513317011078</v>
      </c>
    </row>
    <row r="70" spans="3:12" s="26" customFormat="1" ht="15.75" customHeight="1" x14ac:dyDescent="0.25">
      <c r="C70" s="12" t="str">
        <f>'F1.3 Rate Riders'!$E$34</f>
        <v>MTVA Rate Rider</v>
      </c>
      <c r="F70" s="45">
        <f t="shared" si="11"/>
        <v>0</v>
      </c>
      <c r="G70" s="45"/>
      <c r="H70" s="45">
        <f>'F1.3 Rate Riders'!$E$37</f>
        <v>-2.8983191824697672</v>
      </c>
    </row>
    <row r="71" spans="3:12" s="26" customFormat="1" ht="15.75" customHeight="1" x14ac:dyDescent="0.2"/>
    <row r="72" spans="3:12" s="26" customFormat="1" ht="15.75" customHeight="1" x14ac:dyDescent="0.25">
      <c r="C72" s="77" t="s">
        <v>23</v>
      </c>
      <c r="E72" s="84" t="s">
        <v>14</v>
      </c>
      <c r="F72" s="84" t="s">
        <v>7</v>
      </c>
      <c r="G72" s="84"/>
      <c r="H72" s="84" t="s">
        <v>12</v>
      </c>
      <c r="I72" s="84"/>
      <c r="J72" s="84" t="s">
        <v>16</v>
      </c>
      <c r="K72" s="84"/>
      <c r="L72" s="84" t="s">
        <v>17</v>
      </c>
    </row>
    <row r="73" spans="3:12" s="26" customFormat="1" ht="15.75" customHeight="1" x14ac:dyDescent="0.25">
      <c r="C73" s="12" t="s">
        <v>13</v>
      </c>
      <c r="E73" s="72">
        <v>12</v>
      </c>
      <c r="F73" s="12">
        <f>F54*$E73</f>
        <v>1285.9003799999998</v>
      </c>
      <c r="G73" s="12"/>
      <c r="H73" s="12">
        <f>H54*$E73</f>
        <v>1310.4610772579997</v>
      </c>
      <c r="I73" s="12"/>
      <c r="J73" s="12">
        <f>H73-F73</f>
        <v>24.560697257999891</v>
      </c>
      <c r="K73" s="12"/>
      <c r="L73" s="55">
        <f>J73/F73</f>
        <v>1.9099999999999919E-2</v>
      </c>
    </row>
    <row r="74" spans="3:12" s="26" customFormat="1" ht="15.75" customHeight="1" x14ac:dyDescent="0.25">
      <c r="C74" s="12" t="str">
        <f>OneDollar</f>
        <v>Bill 32 Rate</v>
      </c>
      <c r="E74" s="72">
        <v>12</v>
      </c>
      <c r="F74" s="12">
        <f>E74*F55</f>
        <v>12</v>
      </c>
      <c r="G74" s="12"/>
      <c r="H74" s="12">
        <f>E74*H55</f>
        <v>12</v>
      </c>
      <c r="I74" s="12"/>
      <c r="J74" s="12">
        <f>H74-F74</f>
        <v>0</v>
      </c>
      <c r="K74" s="12"/>
      <c r="L74" s="55">
        <f>J74/F74</f>
        <v>0</v>
      </c>
    </row>
    <row r="75" spans="3:12" s="26" customFormat="1" ht="15.75" customHeight="1" x14ac:dyDescent="0.25">
      <c r="C75" s="12" t="s">
        <v>70</v>
      </c>
      <c r="E75" s="72">
        <v>11715.326187183033</v>
      </c>
      <c r="F75" s="12">
        <f t="shared" ref="F75:F82" si="12">F56*$E75/100</f>
        <v>3042.2111861209669</v>
      </c>
      <c r="G75" s="12"/>
      <c r="H75" s="12">
        <f t="shared" ref="H75:H82" si="13">H56*$E75/100</f>
        <v>3100.3174197758776</v>
      </c>
      <c r="I75" s="12"/>
      <c r="J75" s="12">
        <f t="shared" ref="J75:J82" si="14">H75-F75</f>
        <v>58.106233654910739</v>
      </c>
      <c r="K75" s="12"/>
      <c r="L75" s="55">
        <f t="shared" ref="L75:L82" si="15">J75/F75</f>
        <v>1.9100000000000089E-2</v>
      </c>
    </row>
    <row r="76" spans="3:12" s="26" customFormat="1" ht="15.75" customHeight="1" x14ac:dyDescent="0.25">
      <c r="C76" s="12" t="s">
        <v>71</v>
      </c>
      <c r="E76" s="72">
        <v>40792.718418626093</v>
      </c>
      <c r="F76" s="12">
        <f t="shared" si="12"/>
        <v>9533.6745025389428</v>
      </c>
      <c r="G76" s="12"/>
      <c r="H76" s="12">
        <f t="shared" si="13"/>
        <v>9715.7676855374357</v>
      </c>
      <c r="I76" s="12"/>
      <c r="J76" s="12">
        <f t="shared" si="14"/>
        <v>182.09318299849292</v>
      </c>
      <c r="K76" s="12"/>
      <c r="L76" s="55">
        <f t="shared" si="15"/>
        <v>1.9099999999999909E-2</v>
      </c>
    </row>
    <row r="77" spans="3:12" s="26" customFormat="1" ht="15.75" customHeight="1" x14ac:dyDescent="0.25">
      <c r="C77" s="12" t="s">
        <v>72</v>
      </c>
      <c r="E77" s="72">
        <v>23176.955394190867</v>
      </c>
      <c r="F77" s="12">
        <f t="shared" si="12"/>
        <v>5145.8209731405141</v>
      </c>
      <c r="G77" s="12"/>
      <c r="H77" s="12">
        <f t="shared" si="13"/>
        <v>5244.1061537274973</v>
      </c>
      <c r="I77" s="12"/>
      <c r="J77" s="12">
        <f t="shared" si="14"/>
        <v>98.285180586983188</v>
      </c>
      <c r="K77" s="12"/>
      <c r="L77" s="55">
        <f t="shared" si="15"/>
        <v>1.9099999999999877E-2</v>
      </c>
    </row>
    <row r="78" spans="3:12" s="26" customFormat="1" ht="15.75" customHeight="1" thickBot="1" x14ac:dyDescent="0.3">
      <c r="C78" s="12" t="s">
        <v>64</v>
      </c>
      <c r="E78" s="72">
        <v>0</v>
      </c>
      <c r="F78" s="12">
        <f t="shared" si="12"/>
        <v>0</v>
      </c>
      <c r="G78" s="12"/>
      <c r="H78" s="12">
        <f t="shared" si="13"/>
        <v>0</v>
      </c>
      <c r="I78" s="12"/>
      <c r="J78" s="12">
        <f t="shared" si="14"/>
        <v>0</v>
      </c>
      <c r="K78" s="12"/>
      <c r="L78" s="55" t="e">
        <f t="shared" si="15"/>
        <v>#DIV/0!</v>
      </c>
    </row>
    <row r="79" spans="3:12" s="26" customFormat="1" ht="15.75" customHeight="1" thickTop="1" x14ac:dyDescent="0.25">
      <c r="C79" s="12" t="s">
        <v>128</v>
      </c>
      <c r="E79" s="82">
        <f>SUM(E75:E78)</f>
        <v>75685</v>
      </c>
      <c r="F79" s="12">
        <f t="shared" si="12"/>
        <v>22985.98861</v>
      </c>
      <c r="G79" s="12"/>
      <c r="H79" s="12">
        <f t="shared" si="13"/>
        <v>22985.98861</v>
      </c>
      <c r="I79" s="12"/>
      <c r="J79" s="12">
        <f t="shared" si="14"/>
        <v>0</v>
      </c>
      <c r="K79" s="12"/>
      <c r="L79" s="55">
        <f t="shared" si="15"/>
        <v>0</v>
      </c>
    </row>
    <row r="80" spans="3:12" s="26" customFormat="1" ht="15.75" customHeight="1" x14ac:dyDescent="0.25">
      <c r="C80" s="12" t="s">
        <v>101</v>
      </c>
      <c r="E80" s="95">
        <f>E79</f>
        <v>75685</v>
      </c>
      <c r="F80" s="12">
        <f t="shared" si="12"/>
        <v>2210.002</v>
      </c>
      <c r="G80" s="12"/>
      <c r="H80" s="12">
        <f t="shared" si="13"/>
        <v>2210.002</v>
      </c>
      <c r="I80" s="12"/>
      <c r="J80" s="12">
        <f t="shared" si="14"/>
        <v>0</v>
      </c>
      <c r="K80" s="12"/>
      <c r="L80" s="55">
        <f t="shared" si="15"/>
        <v>0</v>
      </c>
    </row>
    <row r="81" spans="3:12" s="26" customFormat="1" ht="15.75" customHeight="1" x14ac:dyDescent="0.25">
      <c r="C81" s="12" t="s">
        <v>102</v>
      </c>
      <c r="E81" s="95">
        <f>E80</f>
        <v>75685</v>
      </c>
      <c r="F81" s="12">
        <f t="shared" si="12"/>
        <v>4269.6179050000001</v>
      </c>
      <c r="G81" s="12"/>
      <c r="H81" s="12">
        <f t="shared" si="13"/>
        <v>4269.6179050000001</v>
      </c>
      <c r="I81" s="12"/>
      <c r="J81" s="12">
        <f t="shared" si="14"/>
        <v>0</v>
      </c>
      <c r="K81" s="12"/>
      <c r="L81" s="55">
        <f t="shared" si="15"/>
        <v>0</v>
      </c>
    </row>
    <row r="82" spans="3:12" s="26" customFormat="1" ht="15.75" customHeight="1" thickBot="1" x14ac:dyDescent="0.3">
      <c r="C82" s="12" t="s">
        <v>82</v>
      </c>
      <c r="E82" s="95">
        <f>E81</f>
        <v>75685</v>
      </c>
      <c r="F82" s="12">
        <f t="shared" si="12"/>
        <v>7409.5614999999989</v>
      </c>
      <c r="G82" s="12"/>
      <c r="H82" s="12">
        <f t="shared" si="13"/>
        <v>7409.5614999999989</v>
      </c>
      <c r="I82" s="12"/>
      <c r="J82" s="12">
        <f t="shared" si="14"/>
        <v>0</v>
      </c>
      <c r="K82" s="12"/>
      <c r="L82" s="55">
        <f t="shared" si="15"/>
        <v>0</v>
      </c>
    </row>
    <row r="83" spans="3:12" s="26" customFormat="1" ht="15.75" customHeight="1" thickTop="1" x14ac:dyDescent="0.25">
      <c r="C83" s="77" t="s">
        <v>15</v>
      </c>
      <c r="F83" s="74">
        <f>SUM(F73:F82)</f>
        <v>55894.77705680042</v>
      </c>
      <c r="H83" s="74">
        <f>SUM(H73:H82)</f>
        <v>56257.822351298804</v>
      </c>
      <c r="J83" s="74">
        <f>SUM(J73:J82)</f>
        <v>363.04529449838674</v>
      </c>
      <c r="L83" s="78">
        <f>J83/F83</f>
        <v>6.4951559629526593E-3</v>
      </c>
    </row>
    <row r="84" spans="3:12" s="26" customFormat="1" ht="15.75" customHeight="1" x14ac:dyDescent="0.2"/>
    <row r="85" spans="3:12" s="26" customFormat="1" ht="15.75" customHeight="1" x14ac:dyDescent="0.25">
      <c r="C85" s="77" t="s">
        <v>22</v>
      </c>
      <c r="E85" s="84" t="s">
        <v>14</v>
      </c>
      <c r="F85" s="84" t="s">
        <v>7</v>
      </c>
      <c r="G85" s="84"/>
      <c r="H85" s="84" t="s">
        <v>12</v>
      </c>
      <c r="I85" s="84"/>
      <c r="J85" s="84" t="s">
        <v>16</v>
      </c>
      <c r="K85" s="84"/>
      <c r="L85" s="84" t="s">
        <v>17</v>
      </c>
    </row>
    <row r="86" spans="3:12" s="26" customFormat="1" ht="15.75" customHeight="1" x14ac:dyDescent="0.25">
      <c r="C86" s="12" t="s">
        <v>65</v>
      </c>
      <c r="E86" s="12">
        <f>E79</f>
        <v>75685</v>
      </c>
      <c r="F86" s="12">
        <f>$E86*F66/100</f>
        <v>687.97665000000006</v>
      </c>
      <c r="G86" s="12"/>
      <c r="H86" s="12">
        <f>$E86*H66/100</f>
        <v>687.97665000000006</v>
      </c>
      <c r="I86" s="12"/>
      <c r="J86" s="12">
        <f>H86-F86</f>
        <v>0</v>
      </c>
      <c r="K86" s="12"/>
      <c r="L86" s="55">
        <f>J86/F86</f>
        <v>0</v>
      </c>
    </row>
    <row r="87" spans="3:12" s="26" customFormat="1" ht="15.75" customHeight="1" x14ac:dyDescent="0.25">
      <c r="C87" s="12" t="str">
        <f>'F1.3 Rate Riders'!E16</f>
        <v>ECVA Rate Rider</v>
      </c>
      <c r="E87" s="12">
        <f>E86</f>
        <v>75685</v>
      </c>
      <c r="F87" s="12">
        <f>$E87*F67/100</f>
        <v>106.18605500000001</v>
      </c>
      <c r="G87" s="12"/>
      <c r="H87" s="12">
        <f>$E87*H67/100</f>
        <v>210.28047713877905</v>
      </c>
      <c r="I87" s="12"/>
      <c r="J87" s="12">
        <f t="shared" ref="J87:J90" si="16">H87-F87</f>
        <v>104.09442213877904</v>
      </c>
      <c r="K87" s="12"/>
      <c r="L87" s="55">
        <f t="shared" ref="L87:L90" si="17">J87/F87</f>
        <v>0.98030218882111242</v>
      </c>
    </row>
    <row r="88" spans="3:12" s="26" customFormat="1" ht="15.75" customHeight="1" x14ac:dyDescent="0.25">
      <c r="C88" s="12" t="str">
        <f>C68</f>
        <v>EFVA Rate Rider</v>
      </c>
      <c r="E88" s="12">
        <f>E86</f>
        <v>75685</v>
      </c>
      <c r="F88" s="12">
        <f>$E88*F68/100</f>
        <v>500.12648000000002</v>
      </c>
      <c r="G88" s="12"/>
      <c r="H88" s="12">
        <f>$E88*H68/100</f>
        <v>0</v>
      </c>
      <c r="I88" s="12"/>
      <c r="J88" s="12">
        <f t="shared" ref="J88" si="18">H88-F88</f>
        <v>-500.12648000000002</v>
      </c>
      <c r="K88" s="12"/>
      <c r="L88" s="55">
        <f t="shared" ref="L88" si="19">J88/F88</f>
        <v>-1</v>
      </c>
    </row>
    <row r="89" spans="3:12" s="26" customFormat="1" ht="15.75" customHeight="1" x14ac:dyDescent="0.25">
      <c r="C89" s="12" t="str">
        <f>'F1.3 Rate Riders'!E25</f>
        <v>CIACVA Rate Rider</v>
      </c>
      <c r="E89" s="12">
        <f>E87</f>
        <v>75685</v>
      </c>
      <c r="F89" s="12">
        <f>$E89*F69/100</f>
        <v>540.01247499999999</v>
      </c>
      <c r="G89" s="12"/>
      <c r="H89" s="12">
        <f>$E89*H69/100</f>
        <v>2375.3368903979836</v>
      </c>
      <c r="I89" s="12"/>
      <c r="J89" s="12">
        <f t="shared" si="16"/>
        <v>1835.3244153979836</v>
      </c>
      <c r="K89" s="12"/>
      <c r="L89" s="55">
        <f t="shared" si="17"/>
        <v>3.3986704018235572</v>
      </c>
    </row>
    <row r="90" spans="3:12" s="26" customFormat="1" ht="15.75" customHeight="1" thickBot="1" x14ac:dyDescent="0.3">
      <c r="C90" s="12" t="str">
        <f>'F1.3 Rate Riders'!E34</f>
        <v>MTVA Rate Rider</v>
      </c>
      <c r="E90" s="12">
        <f t="shared" ref="E90" si="20">E89</f>
        <v>75685</v>
      </c>
      <c r="F90" s="12">
        <f>$E90*F70/100</f>
        <v>0</v>
      </c>
      <c r="G90" s="12"/>
      <c r="H90" s="12">
        <f>$E90*H70/100</f>
        <v>-2193.592873252243</v>
      </c>
      <c r="I90" s="12"/>
      <c r="J90" s="12">
        <f t="shared" si="16"/>
        <v>-2193.592873252243</v>
      </c>
      <c r="K90" s="12"/>
      <c r="L90" s="55" t="e">
        <f t="shared" si="17"/>
        <v>#DIV/0!</v>
      </c>
    </row>
    <row r="91" spans="3:12" s="26" customFormat="1" ht="15.75" customHeight="1" thickTop="1" x14ac:dyDescent="0.25">
      <c r="C91" s="77" t="s">
        <v>24</v>
      </c>
      <c r="F91" s="74">
        <f>SUM(F86:F90)</f>
        <v>1834.3016600000001</v>
      </c>
      <c r="H91" s="74">
        <f>SUM(H86:H90)</f>
        <v>1080.0011442845198</v>
      </c>
      <c r="J91" s="74">
        <f>SUM(J86:J90)</f>
        <v>-754.30051571548029</v>
      </c>
      <c r="L91" s="78">
        <f>J91/F91</f>
        <v>-0.41121944779545161</v>
      </c>
    </row>
    <row r="92" spans="3:12" s="26" customFormat="1" ht="15.75" customHeight="1" thickBot="1" x14ac:dyDescent="0.25">
      <c r="C92" s="25"/>
    </row>
    <row r="93" spans="3:12" s="26" customFormat="1" ht="15.75" customHeight="1" thickTop="1" x14ac:dyDescent="0.25">
      <c r="C93" s="77" t="s">
        <v>25</v>
      </c>
      <c r="F93" s="74">
        <f>F83+F91</f>
        <v>57729.078716800417</v>
      </c>
      <c r="H93" s="74">
        <f>H83+H91</f>
        <v>57337.823495583325</v>
      </c>
      <c r="J93" s="74">
        <f>J83+J91</f>
        <v>-391.25522121709355</v>
      </c>
      <c r="L93" s="78">
        <f>J93/F93</f>
        <v>-6.7774374702298818E-3</v>
      </c>
    </row>
    <row r="94" spans="3:12" s="16" customFormat="1" ht="15.75" customHeight="1" x14ac:dyDescent="0.25">
      <c r="C94" s="33"/>
      <c r="D94" s="40"/>
    </row>
    <row r="95" spans="3:12" s="16" customFormat="1" ht="15.75" customHeight="1" x14ac:dyDescent="0.25">
      <c r="C95" s="33"/>
      <c r="D95" s="40"/>
    </row>
    <row r="96" spans="3:12" s="16" customFormat="1" ht="15.75" customHeight="1" x14ac:dyDescent="0.25">
      <c r="C96" s="33"/>
      <c r="D96" s="40"/>
    </row>
    <row r="97" spans="3:4" s="16" customFormat="1" ht="15.75" customHeight="1" x14ac:dyDescent="0.25">
      <c r="C97" s="33"/>
      <c r="D97" s="40"/>
    </row>
    <row r="98" spans="3:4" s="16" customFormat="1" ht="15.75" customHeight="1" x14ac:dyDescent="0.25">
      <c r="C98" s="33"/>
      <c r="D98" s="40"/>
    </row>
    <row r="99" spans="3:4" s="16" customFormat="1" ht="15.75" customHeight="1" x14ac:dyDescent="0.25">
      <c r="C99" s="33"/>
      <c r="D99" s="40"/>
    </row>
    <row r="100" spans="3:4" s="16" customFormat="1" ht="15.75" customHeight="1" x14ac:dyDescent="0.25">
      <c r="C100" s="33"/>
      <c r="D100" s="40"/>
    </row>
    <row r="101" spans="3:4" s="16" customFormat="1" ht="15.75" customHeight="1" x14ac:dyDescent="0.25">
      <c r="C101" s="33"/>
      <c r="D101" s="40"/>
    </row>
    <row r="102" spans="3:4" s="16" customFormat="1" ht="15.75" customHeight="1" x14ac:dyDescent="0.25">
      <c r="C102" s="33"/>
      <c r="D102" s="40"/>
    </row>
    <row r="103" spans="3:4" s="16" customFormat="1" ht="15.75" customHeight="1" x14ac:dyDescent="0.25">
      <c r="C103" s="33"/>
      <c r="D103" s="40"/>
    </row>
    <row r="104" spans="3:4" s="16" customFormat="1" ht="15.75" customHeight="1" x14ac:dyDescent="0.25">
      <c r="C104" s="33"/>
      <c r="D104" s="40"/>
    </row>
    <row r="105" spans="3:4" s="16" customFormat="1" ht="15.75" customHeight="1" x14ac:dyDescent="0.25">
      <c r="C105" s="33"/>
      <c r="D105" s="40"/>
    </row>
    <row r="106" spans="3:4" s="16" customFormat="1" ht="15.75" customHeight="1" x14ac:dyDescent="0.25">
      <c r="C106" s="33"/>
      <c r="D106" s="40"/>
    </row>
    <row r="107" spans="3:4" s="16" customFormat="1" ht="15.75" customHeight="1" x14ac:dyDescent="0.25">
      <c r="C107" s="33"/>
      <c r="D107" s="40"/>
    </row>
    <row r="108" spans="3:4" s="16" customFormat="1" ht="15.75" customHeight="1" x14ac:dyDescent="0.25">
      <c r="C108" s="33"/>
      <c r="D108" s="40"/>
    </row>
    <row r="109" spans="3:4" s="16" customFormat="1" ht="15.75" customHeight="1" x14ac:dyDescent="0.25">
      <c r="C109" s="33"/>
      <c r="D109" s="40"/>
    </row>
    <row r="110" spans="3:4" s="16" customFormat="1" ht="15.75" customHeight="1" x14ac:dyDescent="0.25">
      <c r="C110" s="33"/>
      <c r="D110" s="40"/>
    </row>
    <row r="111" spans="3:4" s="16" customFormat="1" ht="15.75" customHeight="1" x14ac:dyDescent="0.25">
      <c r="C111" s="33"/>
      <c r="D111" s="40"/>
    </row>
    <row r="112" spans="3:4" s="16" customFormat="1" ht="15.75" customHeight="1" x14ac:dyDescent="0.25">
      <c r="C112" s="33"/>
      <c r="D112" s="40"/>
    </row>
    <row r="113" spans="3:4" s="16" customFormat="1" ht="15.75" customHeight="1" x14ac:dyDescent="0.25">
      <c r="C113" s="33"/>
      <c r="D113" s="40"/>
    </row>
    <row r="114" spans="3:4" s="16" customFormat="1" ht="15.75" customHeight="1" x14ac:dyDescent="0.25">
      <c r="C114" s="33"/>
      <c r="D114" s="40"/>
    </row>
    <row r="115" spans="3:4" s="16" customFormat="1" ht="15.75" customHeight="1" x14ac:dyDescent="0.25">
      <c r="C115" s="33"/>
      <c r="D115" s="40"/>
    </row>
    <row r="116" spans="3:4" s="16" customFormat="1" ht="15.75" customHeight="1" x14ac:dyDescent="0.25">
      <c r="C116" s="33"/>
      <c r="D116" s="40"/>
    </row>
    <row r="117" spans="3:4" s="16" customFormat="1" ht="15.75" customHeight="1" x14ac:dyDescent="0.25">
      <c r="C117" s="33"/>
      <c r="D117" s="40"/>
    </row>
    <row r="118" spans="3:4" s="16" customFormat="1" ht="15.75" customHeight="1" x14ac:dyDescent="0.25">
      <c r="C118" s="33"/>
      <c r="D118" s="40"/>
    </row>
    <row r="119" spans="3:4" s="16" customFormat="1" ht="15.75" customHeight="1" x14ac:dyDescent="0.25">
      <c r="C119" s="33"/>
      <c r="D119" s="40"/>
    </row>
    <row r="120" spans="3:4" s="16" customFormat="1" ht="15.75" customHeight="1" x14ac:dyDescent="0.25">
      <c r="C120" s="33"/>
      <c r="D120" s="40"/>
    </row>
    <row r="121" spans="3:4" s="16" customFormat="1" ht="15.75" customHeight="1" x14ac:dyDescent="0.25">
      <c r="C121" s="33"/>
      <c r="D121" s="40"/>
    </row>
    <row r="122" spans="3:4" s="16" customFormat="1" ht="15.75" customHeight="1" x14ac:dyDescent="0.25">
      <c r="C122" s="33"/>
      <c r="D122" s="40"/>
    </row>
    <row r="123" spans="3:4" s="16" customFormat="1" ht="15.75" customHeight="1" x14ac:dyDescent="0.25">
      <c r="C123" s="33"/>
      <c r="D123" s="40"/>
    </row>
    <row r="124" spans="3:4" s="16" customFormat="1" ht="15.75" customHeight="1" x14ac:dyDescent="0.25">
      <c r="C124" s="33"/>
      <c r="D124" s="40"/>
    </row>
    <row r="125" spans="3:4" s="16" customFormat="1" ht="15.75" customHeight="1" x14ac:dyDescent="0.25">
      <c r="C125" s="33"/>
      <c r="D125" s="40"/>
    </row>
    <row r="126" spans="3:4" s="16" customFormat="1" ht="15.75" customHeight="1" x14ac:dyDescent="0.25">
      <c r="C126" s="33"/>
      <c r="D126" s="40"/>
    </row>
    <row r="127" spans="3:4" s="16" customFormat="1" ht="15.75" customHeight="1" x14ac:dyDescent="0.25">
      <c r="C127" s="33"/>
      <c r="D127" s="40"/>
    </row>
    <row r="128" spans="3:4" s="16" customFormat="1" ht="15.75" customHeight="1" x14ac:dyDescent="0.25">
      <c r="C128" s="33"/>
      <c r="D128" s="40"/>
    </row>
    <row r="129" spans="3:4" s="16" customFormat="1" ht="15.75" customHeight="1" x14ac:dyDescent="0.25">
      <c r="C129" s="33"/>
      <c r="D129" s="40"/>
    </row>
    <row r="130" spans="3:4" s="16" customFormat="1" ht="15.75" customHeight="1" x14ac:dyDescent="0.25">
      <c r="C130" s="33"/>
      <c r="D130" s="40"/>
    </row>
    <row r="131" spans="3:4" s="16" customFormat="1" ht="15.75" customHeight="1" x14ac:dyDescent="0.25">
      <c r="C131" s="33"/>
      <c r="D131" s="40"/>
    </row>
    <row r="132" spans="3:4" s="16" customFormat="1" ht="15.75" customHeight="1" x14ac:dyDescent="0.25">
      <c r="C132" s="33"/>
      <c r="D132" s="40"/>
    </row>
    <row r="133" spans="3:4" s="16" customFormat="1" ht="15.75" customHeight="1" x14ac:dyDescent="0.25">
      <c r="C133" s="33"/>
      <c r="D133" s="40"/>
    </row>
    <row r="134" spans="3:4" s="16" customFormat="1" ht="15.75" customHeight="1" x14ac:dyDescent="0.25">
      <c r="C134" s="33"/>
      <c r="D134" s="40"/>
    </row>
    <row r="135" spans="3:4" s="16" customFormat="1" ht="15.75" customHeight="1" x14ac:dyDescent="0.25">
      <c r="C135" s="33"/>
      <c r="D135" s="40"/>
    </row>
    <row r="136" spans="3:4" s="16" customFormat="1" ht="15.75" customHeight="1" x14ac:dyDescent="0.25">
      <c r="C136" s="33"/>
      <c r="D136" s="40"/>
    </row>
    <row r="137" spans="3:4" s="16" customFormat="1" ht="15.75" customHeight="1" x14ac:dyDescent="0.25">
      <c r="C137" s="33"/>
      <c r="D137" s="40"/>
    </row>
    <row r="138" spans="3:4" s="16" customFormat="1" ht="15.75" customHeight="1" x14ac:dyDescent="0.25">
      <c r="C138" s="33"/>
      <c r="D138" s="40"/>
    </row>
    <row r="139" spans="3:4" s="16" customFormat="1" ht="15.75" customHeight="1" x14ac:dyDescent="0.25">
      <c r="C139" s="33"/>
      <c r="D139" s="40"/>
    </row>
    <row r="140" spans="3:4" s="16" customFormat="1" ht="15.75" customHeight="1" x14ac:dyDescent="0.25">
      <c r="C140" s="33"/>
      <c r="D140" s="40"/>
    </row>
    <row r="141" spans="3:4" s="16" customFormat="1" ht="15.75" customHeight="1" x14ac:dyDescent="0.25">
      <c r="C141" s="33"/>
      <c r="D141" s="40"/>
    </row>
    <row r="142" spans="3:4" s="16" customFormat="1" ht="15.75" customHeight="1" x14ac:dyDescent="0.25">
      <c r="C142" s="33"/>
      <c r="D142" s="40"/>
    </row>
    <row r="143" spans="3:4" s="16" customFormat="1" ht="15.75" customHeight="1" x14ac:dyDescent="0.25">
      <c r="C143" s="33"/>
      <c r="D143" s="40"/>
    </row>
    <row r="144" spans="3:4" s="16" customFormat="1" ht="15.75" customHeight="1" x14ac:dyDescent="0.25">
      <c r="C144" s="33"/>
      <c r="D144" s="40"/>
    </row>
    <row r="145" spans="3:4" s="16" customFormat="1" ht="15.75" customHeight="1" x14ac:dyDescent="0.25">
      <c r="C145" s="33"/>
      <c r="D145" s="40"/>
    </row>
    <row r="146" spans="3:4" s="16" customFormat="1" ht="15.75" customHeight="1" x14ac:dyDescent="0.25">
      <c r="C146" s="33"/>
      <c r="D146" s="40"/>
    </row>
    <row r="147" spans="3:4" s="16" customFormat="1" ht="15.75" customHeight="1" x14ac:dyDescent="0.25">
      <c r="C147" s="33"/>
      <c r="D147" s="40"/>
    </row>
    <row r="148" spans="3:4" s="16" customFormat="1" ht="15.75" customHeight="1" x14ac:dyDescent="0.25">
      <c r="C148" s="33"/>
      <c r="D148" s="40"/>
    </row>
    <row r="149" spans="3:4" s="16" customFormat="1" ht="15.75" customHeight="1" x14ac:dyDescent="0.25">
      <c r="C149" s="33"/>
      <c r="D149" s="40"/>
    </row>
    <row r="150" spans="3:4" s="16" customFormat="1" ht="15.75" customHeight="1" x14ac:dyDescent="0.25">
      <c r="C150" s="33"/>
      <c r="D150" s="40"/>
    </row>
    <row r="151" spans="3:4" s="16" customFormat="1" ht="15.75" customHeight="1" x14ac:dyDescent="0.25">
      <c r="C151" s="33"/>
      <c r="D151" s="40"/>
    </row>
    <row r="152" spans="3:4" s="16" customFormat="1" ht="15.75" customHeight="1" x14ac:dyDescent="0.25">
      <c r="C152" s="33"/>
      <c r="D152" s="40"/>
    </row>
    <row r="153" spans="3:4" s="16" customFormat="1" ht="15.75" customHeight="1" x14ac:dyDescent="0.25">
      <c r="C153" s="33"/>
      <c r="D153" s="40"/>
    </row>
    <row r="154" spans="3:4" s="16" customFormat="1" ht="15.75" customHeight="1" x14ac:dyDescent="0.25">
      <c r="C154" s="33"/>
      <c r="D154" s="40"/>
    </row>
    <row r="155" spans="3:4" s="16" customFormat="1" ht="15.75" customHeight="1" x14ac:dyDescent="0.25">
      <c r="C155" s="33"/>
      <c r="D155" s="40"/>
    </row>
    <row r="156" spans="3:4" s="16" customFormat="1" ht="15.75" customHeight="1" x14ac:dyDescent="0.25">
      <c r="C156" s="33"/>
      <c r="D156" s="40"/>
    </row>
    <row r="157" spans="3:4" s="16" customFormat="1" ht="15.75" customHeight="1" x14ac:dyDescent="0.25">
      <c r="C157" s="33"/>
      <c r="D157" s="40"/>
    </row>
    <row r="158" spans="3:4" s="16" customFormat="1" ht="15.75" customHeight="1" x14ac:dyDescent="0.25">
      <c r="C158" s="33"/>
      <c r="D158" s="40"/>
    </row>
    <row r="159" spans="3:4" s="16" customFormat="1" ht="15.75" customHeight="1" x14ac:dyDescent="0.25">
      <c r="C159" s="33"/>
      <c r="D159" s="40"/>
    </row>
    <row r="160" spans="3:4" s="16" customFormat="1" ht="15.75" customHeight="1" x14ac:dyDescent="0.25">
      <c r="C160" s="33"/>
      <c r="D160" s="40"/>
    </row>
    <row r="161" spans="3:4" s="16" customFormat="1" ht="15.75" customHeight="1" x14ac:dyDescent="0.25">
      <c r="C161" s="33"/>
      <c r="D161" s="40"/>
    </row>
    <row r="162" spans="3:4" s="16" customFormat="1" ht="15.75" customHeight="1" x14ac:dyDescent="0.25">
      <c r="C162" s="33"/>
      <c r="D162" s="40"/>
    </row>
    <row r="163" spans="3:4" s="16" customFormat="1" ht="15.75" customHeight="1" x14ac:dyDescent="0.25">
      <c r="C163" s="33"/>
      <c r="D163" s="40"/>
    </row>
    <row r="164" spans="3:4" s="16" customFormat="1" ht="15.75" customHeight="1" x14ac:dyDescent="0.25">
      <c r="C164" s="33"/>
      <c r="D164" s="40"/>
    </row>
    <row r="165" spans="3:4" s="16" customFormat="1" ht="15.75" customHeight="1" x14ac:dyDescent="0.25">
      <c r="C165" s="33"/>
      <c r="D165" s="40"/>
    </row>
    <row r="166" spans="3:4" s="16" customFormat="1" ht="15.75" customHeight="1" x14ac:dyDescent="0.25">
      <c r="C166" s="33"/>
      <c r="D166" s="40"/>
    </row>
    <row r="167" spans="3:4" s="16" customFormat="1" ht="15.75" customHeight="1" x14ac:dyDescent="0.25">
      <c r="C167" s="33"/>
      <c r="D167" s="40"/>
    </row>
    <row r="168" spans="3:4" s="16" customFormat="1" ht="15.75" customHeight="1" x14ac:dyDescent="0.25">
      <c r="C168" s="33"/>
      <c r="D168" s="40"/>
    </row>
    <row r="169" spans="3:4" s="16" customFormat="1" ht="15.75" customHeight="1" x14ac:dyDescent="0.25">
      <c r="C169" s="33"/>
      <c r="D169" s="40"/>
    </row>
    <row r="170" spans="3:4" s="16" customFormat="1" ht="15.75" customHeight="1" x14ac:dyDescent="0.25">
      <c r="C170" s="33"/>
      <c r="D170" s="40"/>
    </row>
    <row r="171" spans="3:4" s="16" customFormat="1" ht="15.75" customHeight="1" x14ac:dyDescent="0.25">
      <c r="C171" s="33"/>
      <c r="D171" s="40"/>
    </row>
    <row r="172" spans="3:4" s="16" customFormat="1" ht="15.75" customHeight="1" x14ac:dyDescent="0.25">
      <c r="C172" s="33"/>
      <c r="D172" s="40"/>
    </row>
    <row r="173" spans="3:4" s="16" customFormat="1" ht="15.75" customHeight="1" x14ac:dyDescent="0.25">
      <c r="C173" s="33"/>
      <c r="D173" s="40"/>
    </row>
    <row r="174" spans="3:4" s="16" customFormat="1" ht="15.75" customHeight="1" x14ac:dyDescent="0.25">
      <c r="C174" s="33"/>
      <c r="D174" s="40"/>
    </row>
    <row r="175" spans="3:4" s="16" customFormat="1" ht="15.75" customHeight="1" x14ac:dyDescent="0.25">
      <c r="C175" s="33"/>
      <c r="D175" s="40"/>
    </row>
    <row r="176" spans="3:4" s="16" customFormat="1" ht="15.75" customHeight="1" x14ac:dyDescent="0.25">
      <c r="C176" s="33"/>
      <c r="D176" s="40"/>
    </row>
    <row r="177" spans="3:4" s="16" customFormat="1" ht="15.75" customHeight="1" x14ac:dyDescent="0.25">
      <c r="C177" s="33"/>
      <c r="D177" s="40"/>
    </row>
    <row r="178" spans="3:4" s="16" customFormat="1" ht="15.75" customHeight="1" x14ac:dyDescent="0.25">
      <c r="C178" s="33"/>
      <c r="D178" s="40"/>
    </row>
    <row r="179" spans="3:4" s="16" customFormat="1" ht="15.75" customHeight="1" x14ac:dyDescent="0.25">
      <c r="C179" s="33"/>
      <c r="D179" s="40"/>
    </row>
    <row r="180" spans="3:4" s="16" customFormat="1" ht="15.75" customHeight="1" x14ac:dyDescent="0.25">
      <c r="C180" s="33"/>
      <c r="D180" s="40"/>
    </row>
    <row r="181" spans="3:4" s="16" customFormat="1" ht="15.75" customHeight="1" x14ac:dyDescent="0.25">
      <c r="C181" s="33"/>
      <c r="D181" s="40"/>
    </row>
    <row r="182" spans="3:4" s="16" customFormat="1" ht="15.75" customHeight="1" x14ac:dyDescent="0.25">
      <c r="C182" s="33"/>
      <c r="D182" s="40"/>
    </row>
    <row r="183" spans="3:4" s="16" customFormat="1" ht="15.75" customHeight="1" x14ac:dyDescent="0.25">
      <c r="C183" s="33"/>
      <c r="D183" s="40"/>
    </row>
    <row r="184" spans="3:4" s="16" customFormat="1" ht="15.75" customHeight="1" x14ac:dyDescent="0.25">
      <c r="C184" s="33"/>
      <c r="D184" s="40"/>
    </row>
    <row r="185" spans="3:4" s="16" customFormat="1" ht="15.75" customHeight="1" x14ac:dyDescent="0.25">
      <c r="C185" s="33"/>
      <c r="D185" s="40"/>
    </row>
    <row r="186" spans="3:4" s="16" customFormat="1" ht="15.75" customHeight="1" x14ac:dyDescent="0.25">
      <c r="C186" s="33"/>
      <c r="D186" s="40"/>
    </row>
    <row r="187" spans="3:4" s="16" customFormat="1" ht="15.75" customHeight="1" x14ac:dyDescent="0.25">
      <c r="C187" s="33"/>
      <c r="D187" s="40"/>
    </row>
    <row r="188" spans="3:4" s="16" customFormat="1" ht="15.75" customHeight="1" x14ac:dyDescent="0.25">
      <c r="C188" s="33"/>
      <c r="D188" s="40"/>
    </row>
    <row r="189" spans="3:4" s="16" customFormat="1" ht="15.75" customHeight="1" x14ac:dyDescent="0.25">
      <c r="C189" s="33"/>
      <c r="D189" s="40"/>
    </row>
    <row r="190" spans="3:4" s="16" customFormat="1" ht="15.75" customHeight="1" x14ac:dyDescent="0.25">
      <c r="C190" s="33"/>
      <c r="D190" s="40"/>
    </row>
    <row r="191" spans="3:4" s="16" customFormat="1" ht="15.75" customHeight="1" x14ac:dyDescent="0.25">
      <c r="C191" s="33"/>
      <c r="D191" s="40"/>
    </row>
    <row r="192" spans="3:4" s="16" customFormat="1" ht="15.75" customHeight="1" x14ac:dyDescent="0.25">
      <c r="C192" s="33"/>
      <c r="D192" s="40"/>
    </row>
    <row r="193" spans="3:5" s="16" customFormat="1" ht="15.75" customHeight="1" x14ac:dyDescent="0.25">
      <c r="C193" s="33"/>
      <c r="D193" s="40"/>
    </row>
    <row r="194" spans="3:5" s="16" customFormat="1" ht="15.75" customHeight="1" x14ac:dyDescent="0.25">
      <c r="C194" s="33"/>
      <c r="D194" s="40"/>
    </row>
    <row r="195" spans="3:5" s="16" customFormat="1" ht="15.75" customHeight="1" x14ac:dyDescent="0.25">
      <c r="C195" s="33"/>
      <c r="D195" s="40"/>
    </row>
    <row r="196" spans="3:5" s="16" customFormat="1" ht="15.75" customHeight="1" x14ac:dyDescent="0.25">
      <c r="C196" s="33"/>
      <c r="D196" s="40"/>
    </row>
    <row r="197" spans="3:5" s="16" customFormat="1" ht="15.75" customHeight="1" x14ac:dyDescent="0.25">
      <c r="C197" s="33"/>
      <c r="D197" s="40"/>
    </row>
    <row r="198" spans="3:5" s="16" customFormat="1" ht="15.75" customHeight="1" x14ac:dyDescent="0.25">
      <c r="C198" s="33"/>
      <c r="D198" s="40"/>
    </row>
    <row r="199" spans="3:5" s="16" customFormat="1" ht="15.75" customHeight="1" x14ac:dyDescent="0.25">
      <c r="C199" s="33"/>
      <c r="D199" s="40"/>
    </row>
    <row r="200" spans="3:5" s="16" customFormat="1" ht="15.75" customHeight="1" x14ac:dyDescent="0.25">
      <c r="C200" s="33"/>
      <c r="D200" s="40"/>
    </row>
    <row r="201" spans="3:5" s="16" customFormat="1" ht="15.75" customHeight="1" x14ac:dyDescent="0.25">
      <c r="C201" s="33"/>
      <c r="D201" s="40"/>
    </row>
    <row r="202" spans="3:5" s="16" customFormat="1" ht="15.75" customHeight="1" x14ac:dyDescent="0.25">
      <c r="C202" s="33"/>
      <c r="D202" s="40"/>
    </row>
    <row r="203" spans="3:5" s="16" customFormat="1" ht="15.75" customHeight="1" x14ac:dyDescent="0.25">
      <c r="D203" s="34"/>
    </row>
    <row r="204" spans="3:5" s="16" customFormat="1" ht="15.75" customHeight="1" x14ac:dyDescent="0.25">
      <c r="D204" s="34"/>
    </row>
    <row r="205" spans="3:5" s="16" customFormat="1" ht="15.75" customHeight="1" x14ac:dyDescent="0.25">
      <c r="D205" s="34"/>
    </row>
    <row r="206" spans="3:5" s="16" customFormat="1" ht="15.75" customHeight="1" x14ac:dyDescent="0.2">
      <c r="E206" s="29"/>
    </row>
    <row r="207" spans="3:5" s="16" customFormat="1" ht="15.75" customHeight="1" x14ac:dyDescent="0.2">
      <c r="C207" s="21"/>
      <c r="E207" s="29"/>
    </row>
    <row r="208" spans="3:5" s="16" customFormat="1" ht="15.75" customHeight="1" x14ac:dyDescent="0.25">
      <c r="D208" s="34"/>
    </row>
    <row r="209" spans="4:4" s="16" customFormat="1" ht="15.75" customHeight="1" x14ac:dyDescent="0.25">
      <c r="D209" s="34"/>
    </row>
    <row r="210" spans="4:4" s="16" customFormat="1" ht="15.75" customHeight="1" x14ac:dyDescent="0.25">
      <c r="D210" s="34"/>
    </row>
    <row r="211" spans="4:4" s="16" customFormat="1" ht="15.75" customHeight="1" x14ac:dyDescent="0.25">
      <c r="D211" s="34"/>
    </row>
    <row r="212" spans="4:4" s="16" customFormat="1" ht="15.75" customHeight="1" x14ac:dyDescent="0.25">
      <c r="D212" s="34"/>
    </row>
    <row r="213" spans="4:4" s="16" customFormat="1" ht="15.75" customHeight="1" x14ac:dyDescent="0.25">
      <c r="D213" s="34"/>
    </row>
    <row r="214" spans="4:4" s="16" customFormat="1" ht="15.75" customHeight="1" x14ac:dyDescent="0.25">
      <c r="D214" s="34"/>
    </row>
    <row r="215" spans="4:4" s="16" customFormat="1" ht="15.75" customHeight="1" x14ac:dyDescent="0.25">
      <c r="D215" s="34"/>
    </row>
    <row r="216" spans="4:4" s="16" customFormat="1" ht="15.75" customHeight="1" x14ac:dyDescent="0.25">
      <c r="D216" s="34"/>
    </row>
    <row r="217" spans="4:4" s="16" customFormat="1" ht="15.75" customHeight="1" x14ac:dyDescent="0.25">
      <c r="D217" s="34"/>
    </row>
    <row r="218" spans="4:4" s="16" customFormat="1" ht="15.75" customHeight="1" x14ac:dyDescent="0.25">
      <c r="D218" s="34"/>
    </row>
    <row r="219" spans="4:4" s="16" customFormat="1" ht="15.75" customHeight="1" x14ac:dyDescent="0.25">
      <c r="D219" s="34"/>
    </row>
    <row r="220" spans="4:4" s="16" customFormat="1" ht="15.75" customHeight="1" x14ac:dyDescent="0.25">
      <c r="D220" s="34"/>
    </row>
    <row r="221" spans="4:4" s="16" customFormat="1" ht="15.75" customHeight="1" x14ac:dyDescent="0.25">
      <c r="D221" s="34"/>
    </row>
    <row r="222" spans="4:4" s="16" customFormat="1" ht="15.75" customHeight="1" x14ac:dyDescent="0.25">
      <c r="D222" s="34"/>
    </row>
    <row r="223" spans="4:4" s="16" customFormat="1" ht="15.75" customHeight="1" x14ac:dyDescent="0.25">
      <c r="D223" s="34"/>
    </row>
    <row r="224" spans="4:4" s="16" customFormat="1" ht="15.75" customHeight="1" x14ac:dyDescent="0.25">
      <c r="D224" s="34"/>
    </row>
    <row r="225" spans="4:4" s="16" customFormat="1" ht="15.75" customHeight="1" x14ac:dyDescent="0.25">
      <c r="D225" s="34"/>
    </row>
    <row r="226" spans="4:4" s="16" customFormat="1" ht="15.75" customHeight="1" x14ac:dyDescent="0.25">
      <c r="D226" s="34"/>
    </row>
  </sheetData>
  <sheetProtection algorithmName="SHA-512" hashValue="Beh625WMym1bXGts27seSNNHjPIPIsczNKpgdTQUCPI+BJLEGWIr7d4+fAH9E7Hvyk0iNNPZvub8uH9QYtv8ew==" saltValue="zTxttdZ2pMZRG/15yQBfPA==" spinCount="100000" sheet="1" selectLockedCells="1" selectUnlockedCells="1"/>
  <pageMargins left="0.70866141732283505" right="0.70866141732283505" top="0.74803149606299202" bottom="0.74803149606299202" header="0.31496062992126" footer="0.31496062992126"/>
  <pageSetup scale="3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P140"/>
  <sheetViews>
    <sheetView showGridLines="0" topLeftCell="A55" zoomScale="70" zoomScaleNormal="70" workbookViewId="0">
      <selection activeCell="C17" sqref="C17"/>
    </sheetView>
  </sheetViews>
  <sheetFormatPr defaultColWidth="0" defaultRowHeight="15.75" customHeight="1" x14ac:dyDescent="0.25"/>
  <cols>
    <col min="1" max="2" width="5.42578125" style="20" customWidth="1"/>
    <col min="3" max="3" width="65.7109375" style="20" customWidth="1"/>
    <col min="4" max="4" width="2.7109375" style="13" customWidth="1"/>
    <col min="5" max="5" width="21.42578125" style="20" customWidth="1"/>
    <col min="6" max="6" width="14" style="20" bestFit="1" customWidth="1"/>
    <col min="7" max="7" width="2.7109375" style="20" customWidth="1"/>
    <col min="8" max="8" width="16.5703125" style="20" bestFit="1" customWidth="1"/>
    <col min="9" max="9" width="2.7109375" style="20" customWidth="1"/>
    <col min="10" max="10" width="15.140625" style="20" customWidth="1"/>
    <col min="11" max="11" width="2.7109375" style="20" customWidth="1"/>
    <col min="12" max="12" width="11.7109375" style="20" bestFit="1" customWidth="1"/>
    <col min="13" max="13" width="2.7109375" style="20" customWidth="1"/>
    <col min="14" max="15" width="12.7109375" style="20" hidden="1" customWidth="1"/>
    <col min="16" max="16" width="2.7109375" style="20" hidden="1" customWidth="1"/>
    <col min="17" max="16384" width="0" style="20" hidden="1"/>
  </cols>
  <sheetData>
    <row r="1" spans="1:12" ht="15" x14ac:dyDescent="0.2">
      <c r="A1" s="16"/>
      <c r="B1" s="16"/>
      <c r="C1" s="17"/>
      <c r="D1" s="16"/>
      <c r="E1" s="16"/>
      <c r="F1" s="16"/>
      <c r="G1" s="16"/>
      <c r="H1" s="16"/>
      <c r="I1" s="16"/>
      <c r="J1" s="16"/>
      <c r="K1" s="16"/>
      <c r="L1" s="16"/>
    </row>
    <row r="2" spans="1:12" s="16" customFormat="1" ht="18" x14ac:dyDescent="0.25">
      <c r="C2" s="18" t="str">
        <f>'A1.1 Distributor Information'!C3</f>
        <v>Name of LDC:       EPCOR Natural Gas Limited Partnership</v>
      </c>
    </row>
    <row r="3" spans="1:12" s="16" customFormat="1" ht="18" x14ac:dyDescent="0.25">
      <c r="C3" s="18" t="str">
        <f>'A1.1 Distributor Information'!C4</f>
        <v>OEB Application Number:  EB-2022-0184  Exhibit A - 2023 Custom Incentive Application</v>
      </c>
    </row>
    <row r="4" spans="1:12" s="16" customFormat="1" ht="15" x14ac:dyDescent="0.2"/>
    <row r="5" spans="1:12" s="16" customFormat="1" ht="20.25" x14ac:dyDescent="0.3">
      <c r="C5" s="7" t="s">
        <v>144</v>
      </c>
    </row>
    <row r="6" spans="1:12" s="16" customFormat="1" ht="15.75" customHeight="1" x14ac:dyDescent="0.25">
      <c r="C6" s="33" t="str">
        <f ca="1">MID(CELL("filename",A1),FIND("]",CELL("filename",A1))+1,255)</f>
        <v>G1.3 Rate 11 Bill Impact</v>
      </c>
      <c r="D6" s="34"/>
    </row>
    <row r="7" spans="1:12" s="16" customFormat="1" ht="15.75" customHeight="1" x14ac:dyDescent="0.25">
      <c r="D7" s="34"/>
    </row>
    <row r="8" spans="1:12" s="16" customFormat="1" ht="15" x14ac:dyDescent="0.2">
      <c r="C8" s="81" t="s">
        <v>79</v>
      </c>
      <c r="D8" s="5"/>
      <c r="E8" s="85" t="s">
        <v>109</v>
      </c>
      <c r="F8" s="5" t="s">
        <v>7</v>
      </c>
      <c r="G8" s="5"/>
      <c r="H8" s="5" t="s">
        <v>12</v>
      </c>
      <c r="I8" s="5"/>
      <c r="J8" s="5"/>
      <c r="K8" s="5"/>
      <c r="L8" s="5"/>
    </row>
    <row r="9" spans="1:12" s="16" customFormat="1" ht="15.75" customHeight="1" x14ac:dyDescent="0.2">
      <c r="C9" s="26"/>
      <c r="D9" s="26"/>
      <c r="E9" s="96"/>
      <c r="F9" s="26"/>
      <c r="G9" s="26"/>
      <c r="H9" s="26"/>
      <c r="I9" s="26"/>
      <c r="J9" s="26"/>
      <c r="K9" s="26"/>
      <c r="L9" s="26"/>
    </row>
    <row r="10" spans="1:12" s="16" customFormat="1" ht="15.75" customHeight="1" x14ac:dyDescent="0.25">
      <c r="C10" s="12" t="s">
        <v>13</v>
      </c>
      <c r="D10" s="26"/>
      <c r="E10" s="97" t="s">
        <v>107</v>
      </c>
      <c r="F10" s="70">
        <f>INDEX('B1.1 Current Distribution Rates'!$E$10:$Q$13,3,COUNTA($C10:C$10))</f>
        <v>214.30653899999996</v>
      </c>
      <c r="G10" s="26"/>
      <c r="H10" s="70">
        <f>INDEX('E1.1 Proposed Dist Rates '!$E$10:$Q$13,3,COUNTA($C10:C$10))</f>
        <v>218.39979389489994</v>
      </c>
      <c r="I10" s="26"/>
      <c r="J10" s="26"/>
      <c r="K10" s="26"/>
      <c r="L10" s="26"/>
    </row>
    <row r="11" spans="1:12" s="16" customFormat="1" ht="15.75" customHeight="1" x14ac:dyDescent="0.25">
      <c r="C11" s="12" t="str">
        <f>OneDollar</f>
        <v>Bill 32 Rate</v>
      </c>
      <c r="D11" s="26"/>
      <c r="E11" s="97" t="s">
        <v>107</v>
      </c>
      <c r="F11" s="70">
        <f>INDEX('B1.1 Current Distribution Rates'!$E$10:$Q$13,3,COUNTA($C$10:C11))</f>
        <v>1</v>
      </c>
      <c r="G11" s="48"/>
      <c r="H11" s="70">
        <f>INDEX('E1.1 Proposed Dist Rates '!$E$10:$Q$13,3,COUNTA($C$10:C11))</f>
        <v>1</v>
      </c>
      <c r="I11" s="26"/>
      <c r="J11" s="26"/>
      <c r="K11" s="26"/>
      <c r="L11" s="26"/>
    </row>
    <row r="12" spans="1:12" s="16" customFormat="1" ht="15.75" customHeight="1" x14ac:dyDescent="0.25">
      <c r="C12" s="12" t="s">
        <v>73</v>
      </c>
      <c r="D12" s="26"/>
      <c r="E12" s="97" t="s">
        <v>123</v>
      </c>
      <c r="F12" s="71">
        <f>INDEX('B1.1 Current Distribution Rates'!$E$10:$Q$13,3,COUNTA($C$10:C12))</f>
        <v>16.130314799999997</v>
      </c>
      <c r="G12" s="48"/>
      <c r="H12" s="71">
        <f>INDEX('E1.1 Proposed Dist Rates '!$E$10:$Q$13,3,COUNTA($C$10:C12))</f>
        <v>16.438403812679997</v>
      </c>
      <c r="I12" s="26"/>
      <c r="J12" s="26"/>
      <c r="K12" s="26"/>
      <c r="L12" s="26"/>
    </row>
    <row r="13" spans="1:12" s="16" customFormat="1" ht="15.75" customHeight="1" x14ac:dyDescent="0.25">
      <c r="C13" s="12" t="s">
        <v>87</v>
      </c>
      <c r="D13" s="26"/>
      <c r="E13" s="97" t="s">
        <v>123</v>
      </c>
      <c r="F13" s="71">
        <f>INDEX('B1.1 Current Distribution Rates'!$E$10:$Q$13,3,COUNTA($C$10:C13))</f>
        <v>16.130314799999997</v>
      </c>
      <c r="G13" s="48"/>
      <c r="H13" s="71">
        <f>INDEX('E1.1 Proposed Dist Rates '!$E$10:$Q$13,3,COUNTA($C$10:C13))</f>
        <v>16.438403812679997</v>
      </c>
      <c r="I13" s="26"/>
      <c r="J13" s="26"/>
      <c r="K13" s="26"/>
      <c r="L13" s="26"/>
    </row>
    <row r="14" spans="1:12" s="16" customFormat="1" ht="15.75" customHeight="1" x14ac:dyDescent="0.25">
      <c r="C14" s="12" t="s">
        <v>88</v>
      </c>
      <c r="D14" s="26"/>
      <c r="E14" s="97" t="s">
        <v>123</v>
      </c>
      <c r="F14" s="71">
        <f>INDEX('B1.1 Current Distribution Rates'!$E$10:$Q$13,3,COUNTA($C$10:C14))</f>
        <v>16.130314799999997</v>
      </c>
      <c r="G14" s="48"/>
      <c r="H14" s="71">
        <f>INDEX('E1.1 Proposed Dist Rates '!$E$10:$Q$13,3,COUNTA($C$10:C14))</f>
        <v>16.438403812679997</v>
      </c>
      <c r="I14" s="26"/>
      <c r="J14" s="26"/>
      <c r="K14" s="26"/>
      <c r="L14" s="26"/>
    </row>
    <row r="15" spans="1:12" s="16" customFormat="1" ht="15.75" customHeight="1" x14ac:dyDescent="0.25">
      <c r="C15" s="12" t="s">
        <v>64</v>
      </c>
      <c r="D15" s="26"/>
      <c r="E15" s="97" t="s">
        <v>127</v>
      </c>
      <c r="F15" s="71">
        <f>INDEX('B1.1 Current Distribution Rates'!$E$10:$Q$13,3,COUNTA($C$10:C15))</f>
        <v>0</v>
      </c>
      <c r="G15" s="48"/>
      <c r="H15" s="71">
        <f>INDEX('E1.1 Proposed Dist Rates '!$E$10:$Q$13,3,COUNTA($C$10:C15))</f>
        <v>0</v>
      </c>
      <c r="I15" s="26"/>
      <c r="J15" s="26"/>
      <c r="K15" s="26"/>
      <c r="L15" s="26"/>
    </row>
    <row r="16" spans="1:12" s="16" customFormat="1" ht="15.75" customHeight="1" x14ac:dyDescent="0.25">
      <c r="C16" s="12" t="s">
        <v>128</v>
      </c>
      <c r="D16" s="26"/>
      <c r="E16" s="97" t="s">
        <v>123</v>
      </c>
      <c r="F16" s="71">
        <f>INDEX('B1.1 Current Distribution Rates'!$E$10:$Q$13,3,COUNTA($C$10:C16))</f>
        <v>30.3706</v>
      </c>
      <c r="G16" s="48"/>
      <c r="H16" s="71">
        <f>INDEX('E1.1 Proposed Dist Rates '!$E$10:$Q$13,3,COUNTA($C$10:C16))</f>
        <v>30.3706</v>
      </c>
      <c r="I16" s="26"/>
      <c r="J16" s="26"/>
      <c r="K16" s="26"/>
      <c r="L16" s="26"/>
    </row>
    <row r="17" spans="3:12" s="16" customFormat="1" ht="15.75" customHeight="1" x14ac:dyDescent="0.25">
      <c r="C17" s="12" t="s">
        <v>101</v>
      </c>
      <c r="D17" s="26"/>
      <c r="E17" s="97" t="s">
        <v>123</v>
      </c>
      <c r="F17" s="71">
        <f>INDEX('B1.1 Current Distribution Rates'!$E$10:$Q$13,3,COUNTA($C$10:C17))</f>
        <v>3.5200000000000002E-2</v>
      </c>
      <c r="G17" s="48"/>
      <c r="H17" s="71">
        <f>INDEX('E1.1 Proposed Dist Rates '!$E$10:$Q$13,3,COUNTA($C$10:C17))</f>
        <v>3.5200000000000002E-2</v>
      </c>
      <c r="I17" s="26"/>
      <c r="J17" s="26"/>
      <c r="K17" s="26"/>
      <c r="L17" s="26"/>
    </row>
    <row r="18" spans="3:12" s="16" customFormat="1" ht="15.75" customHeight="1" x14ac:dyDescent="0.25">
      <c r="C18" s="12" t="s">
        <v>102</v>
      </c>
      <c r="D18" s="26"/>
      <c r="E18" s="97" t="s">
        <v>123</v>
      </c>
      <c r="F18" s="71">
        <f>INDEX('B1.1 Current Distribution Rates'!$E$10:$Q$13,3,COUNTA($C$10:C18))</f>
        <v>1.8166</v>
      </c>
      <c r="G18" s="48"/>
      <c r="H18" s="71">
        <f>INDEX('E1.1 Proposed Dist Rates '!$E$10:$Q$13,3,COUNTA($C$10:C18))</f>
        <v>1.8166</v>
      </c>
      <c r="I18" s="26"/>
      <c r="J18" s="26"/>
      <c r="K18" s="26"/>
      <c r="L18" s="26"/>
    </row>
    <row r="19" spans="3:12" s="16" customFormat="1" ht="15.75" customHeight="1" x14ac:dyDescent="0.25">
      <c r="C19" s="12" t="s">
        <v>82</v>
      </c>
      <c r="D19" s="26"/>
      <c r="E19" s="97" t="s">
        <v>123</v>
      </c>
      <c r="F19" s="71">
        <f>'B1.1 Current Distribution Rates'!Q12</f>
        <v>9.7899999999999991</v>
      </c>
      <c r="G19" s="48"/>
      <c r="H19" s="71">
        <f>'E1.1 Proposed Dist Rates '!Q12</f>
        <v>9.7899999999999991</v>
      </c>
      <c r="I19" s="26"/>
      <c r="J19" s="26"/>
      <c r="K19" s="26"/>
      <c r="L19" s="26"/>
    </row>
    <row r="20" spans="3:12" s="16" customFormat="1" ht="15.75" customHeight="1" x14ac:dyDescent="0.2">
      <c r="C20" s="26"/>
      <c r="D20" s="26"/>
      <c r="E20" s="97"/>
      <c r="F20" s="26"/>
      <c r="G20" s="26"/>
      <c r="H20" s="26"/>
      <c r="I20" s="26"/>
      <c r="J20" s="26"/>
      <c r="K20" s="26"/>
      <c r="L20" s="26"/>
    </row>
    <row r="21" spans="3:12" s="16" customFormat="1" ht="15.75" customHeight="1" x14ac:dyDescent="0.25">
      <c r="C21" s="77" t="s">
        <v>22</v>
      </c>
      <c r="D21" s="26"/>
      <c r="E21" s="96"/>
      <c r="F21" s="26"/>
      <c r="G21" s="26"/>
      <c r="H21" s="26"/>
      <c r="I21" s="26"/>
      <c r="J21" s="26"/>
      <c r="K21" s="26"/>
      <c r="L21" s="26"/>
    </row>
    <row r="22" spans="3:12" s="16" customFormat="1" ht="15.75" customHeight="1" x14ac:dyDescent="0.25">
      <c r="C22" s="12" t="s">
        <v>65</v>
      </c>
      <c r="D22" s="26"/>
      <c r="E22" s="97" t="s">
        <v>123</v>
      </c>
      <c r="F22" s="71">
        <f>'C1.1 Current Rate Riders'!E12</f>
        <v>0.5524</v>
      </c>
      <c r="G22" s="48"/>
      <c r="H22" s="71">
        <f>'F1.3 Rate Riders'!E11</f>
        <v>0.5524</v>
      </c>
      <c r="I22" s="26"/>
      <c r="J22" s="26"/>
      <c r="K22" s="26"/>
      <c r="L22" s="26"/>
    </row>
    <row r="23" spans="3:12" s="16" customFormat="1" ht="15.75" customHeight="1" x14ac:dyDescent="0.25">
      <c r="C23" s="12" t="str">
        <f>'F1.3 Rate Riders'!$E$16</f>
        <v>ECVA Rate Rider</v>
      </c>
      <c r="D23" s="26"/>
      <c r="E23" s="97" t="s">
        <v>123</v>
      </c>
      <c r="F23" s="71">
        <f>'C1.1 Current Rate Riders'!E21</f>
        <v>0.14030000000000001</v>
      </c>
      <c r="G23" s="48"/>
      <c r="H23" s="71">
        <f>'F1.3 Rate Riders'!E20</f>
        <v>0.18567839639491462</v>
      </c>
      <c r="I23" s="26"/>
      <c r="J23" s="26"/>
      <c r="K23" s="26"/>
      <c r="L23" s="26"/>
    </row>
    <row r="24" spans="3:12" s="16" customFormat="1" ht="15.75" customHeight="1" x14ac:dyDescent="0.25">
      <c r="C24" s="12" t="str">
        <f>'C1.1 Current Rate Riders'!E35</f>
        <v>EFVA Rate Rider</v>
      </c>
      <c r="D24" s="26"/>
      <c r="E24" s="97" t="s">
        <v>123</v>
      </c>
      <c r="F24" s="71">
        <f>'C1.1 Current Rate Riders'!E39</f>
        <v>0.1075</v>
      </c>
      <c r="G24" s="48"/>
      <c r="H24" s="71">
        <v>0</v>
      </c>
      <c r="I24" s="26"/>
      <c r="J24" s="26"/>
      <c r="K24" s="26"/>
      <c r="L24" s="26"/>
    </row>
    <row r="25" spans="3:12" s="16" customFormat="1" ht="15.75" customHeight="1" x14ac:dyDescent="0.25">
      <c r="C25" s="12" t="str">
        <f>'F1.3 Rate Riders'!$E$25</f>
        <v>CIACVA Rate Rider</v>
      </c>
      <c r="D25" s="26"/>
      <c r="E25" s="97" t="s">
        <v>123</v>
      </c>
      <c r="F25" s="71">
        <f>'C1.1 Current Rate Riders'!E30</f>
        <v>9.9199999999999997E-2</v>
      </c>
      <c r="G25" s="48"/>
      <c r="H25" s="71">
        <f>'F1.3 Rate Riders'!E30</f>
        <v>4.531061257605967</v>
      </c>
      <c r="I25" s="26"/>
      <c r="J25" s="26"/>
      <c r="K25" s="26"/>
      <c r="L25" s="26"/>
    </row>
    <row r="26" spans="3:12" s="16" customFormat="1" ht="15.75" customHeight="1" x14ac:dyDescent="0.25">
      <c r="C26" s="12" t="str">
        <f>'F1.3 Rate Riders'!$E$34</f>
        <v>MTVA Rate Rider</v>
      </c>
      <c r="D26" s="26"/>
      <c r="E26" s="97" t="s">
        <v>123</v>
      </c>
      <c r="F26" s="71">
        <v>0</v>
      </c>
      <c r="G26" s="48"/>
      <c r="H26" s="71">
        <f>'F1.3 Rate Riders'!E39</f>
        <v>-4.1843764238800167</v>
      </c>
      <c r="I26" s="26"/>
      <c r="J26" s="26"/>
      <c r="K26" s="26"/>
      <c r="L26" s="26"/>
    </row>
    <row r="27" spans="3:12" s="16" customFormat="1" ht="15.75" customHeight="1" x14ac:dyDescent="0.2">
      <c r="C27" s="26"/>
      <c r="D27" s="26"/>
      <c r="E27" s="26"/>
      <c r="F27" s="26"/>
      <c r="G27" s="26"/>
      <c r="H27" s="26"/>
      <c r="I27" s="26"/>
      <c r="J27" s="26"/>
      <c r="K27" s="26"/>
      <c r="L27" s="26"/>
    </row>
    <row r="28" spans="3:12" s="16" customFormat="1" ht="15.75" customHeight="1" x14ac:dyDescent="0.25">
      <c r="C28" s="77" t="s">
        <v>23</v>
      </c>
      <c r="D28" s="26"/>
      <c r="E28" s="84" t="s">
        <v>14</v>
      </c>
      <c r="F28" s="84" t="s">
        <v>7</v>
      </c>
      <c r="G28" s="84"/>
      <c r="H28" s="84" t="s">
        <v>12</v>
      </c>
      <c r="I28" s="84"/>
      <c r="J28" s="84" t="s">
        <v>16</v>
      </c>
      <c r="K28" s="84"/>
      <c r="L28" s="84" t="s">
        <v>17</v>
      </c>
    </row>
    <row r="29" spans="3:12" s="16" customFormat="1" ht="15.75" customHeight="1" x14ac:dyDescent="0.25">
      <c r="C29" s="12" t="s">
        <v>13</v>
      </c>
      <c r="D29" s="26"/>
      <c r="E29" s="72">
        <v>12</v>
      </c>
      <c r="F29" s="12">
        <f>F10*$E29</f>
        <v>2571.6784679999996</v>
      </c>
      <c r="G29" s="12"/>
      <c r="H29" s="12">
        <f>H10*$E29</f>
        <v>2620.7975267387992</v>
      </c>
      <c r="I29" s="12"/>
      <c r="J29" s="12">
        <f t="shared" ref="J29:J38" si="0">H29-F29</f>
        <v>49.119058738799595</v>
      </c>
      <c r="K29" s="12"/>
      <c r="L29" s="55">
        <f t="shared" ref="L29:L39" si="1">J29/F29</f>
        <v>1.9099999999999846E-2</v>
      </c>
    </row>
    <row r="30" spans="3:12" s="16" customFormat="1" ht="15.75" customHeight="1" x14ac:dyDescent="0.25">
      <c r="C30" s="12" t="str">
        <f>OneDollar</f>
        <v>Bill 32 Rate</v>
      </c>
      <c r="D30" s="26"/>
      <c r="E30" s="72">
        <v>12</v>
      </c>
      <c r="F30" s="12">
        <f>$E30*F11</f>
        <v>12</v>
      </c>
      <c r="G30" s="12"/>
      <c r="H30" s="12">
        <f>$E30*H11</f>
        <v>12</v>
      </c>
      <c r="I30" s="12"/>
      <c r="J30" s="12">
        <f t="shared" si="0"/>
        <v>0</v>
      </c>
      <c r="K30" s="12"/>
      <c r="L30" s="55">
        <f t="shared" si="1"/>
        <v>0</v>
      </c>
    </row>
    <row r="31" spans="3:12" s="16" customFormat="1" ht="15.75" customHeight="1" x14ac:dyDescent="0.25">
      <c r="C31" s="12" t="s">
        <v>73</v>
      </c>
      <c r="D31" s="26"/>
      <c r="E31" s="72">
        <v>101499.48573593894</v>
      </c>
      <c r="F31" s="12">
        <f t="shared" ref="F31:F37" si="2">F12*$E31/100</f>
        <v>16372.186569588044</v>
      </c>
      <c r="G31" s="12"/>
      <c r="H31" s="12">
        <f t="shared" ref="H31:H37" si="3">H12*$E31/100</f>
        <v>16684.895333067176</v>
      </c>
      <c r="I31" s="12"/>
      <c r="J31" s="12">
        <f t="shared" si="0"/>
        <v>312.70876347913145</v>
      </c>
      <c r="K31" s="12"/>
      <c r="L31" s="55">
        <f t="shared" si="1"/>
        <v>1.9099999999999989E-2</v>
      </c>
    </row>
    <row r="32" spans="3:12" s="16" customFormat="1" ht="15.75" customHeight="1" x14ac:dyDescent="0.25">
      <c r="C32" s="12" t="s">
        <v>87</v>
      </c>
      <c r="D32" s="26"/>
      <c r="E32" s="72">
        <v>0</v>
      </c>
      <c r="F32" s="12">
        <f t="shared" si="2"/>
        <v>0</v>
      </c>
      <c r="G32" s="12"/>
      <c r="H32" s="12">
        <f t="shared" si="3"/>
        <v>0</v>
      </c>
      <c r="I32" s="12"/>
      <c r="J32" s="12">
        <f t="shared" si="0"/>
        <v>0</v>
      </c>
      <c r="K32" s="12"/>
      <c r="L32" s="55" t="e">
        <f t="shared" si="1"/>
        <v>#DIV/0!</v>
      </c>
    </row>
    <row r="33" spans="3:12" s="16" customFormat="1" ht="15.75" customHeight="1" x14ac:dyDescent="0.25">
      <c r="C33" s="12" t="s">
        <v>88</v>
      </c>
      <c r="D33" s="26"/>
      <c r="E33" s="72">
        <v>0</v>
      </c>
      <c r="F33" s="12">
        <f t="shared" si="2"/>
        <v>0</v>
      </c>
      <c r="G33" s="12"/>
      <c r="H33" s="12">
        <f t="shared" si="3"/>
        <v>0</v>
      </c>
      <c r="I33" s="12"/>
      <c r="J33" s="12">
        <f t="shared" si="0"/>
        <v>0</v>
      </c>
      <c r="K33" s="12"/>
      <c r="L33" s="55" t="e">
        <f t="shared" si="1"/>
        <v>#DIV/0!</v>
      </c>
    </row>
    <row r="34" spans="3:12" s="16" customFormat="1" ht="15.75" customHeight="1" thickBot="1" x14ac:dyDescent="0.3">
      <c r="C34" s="12" t="s">
        <v>64</v>
      </c>
      <c r="D34" s="26"/>
      <c r="E34" s="72">
        <v>0</v>
      </c>
      <c r="F34" s="12">
        <f t="shared" si="2"/>
        <v>0</v>
      </c>
      <c r="G34" s="12"/>
      <c r="H34" s="12">
        <f t="shared" si="3"/>
        <v>0</v>
      </c>
      <c r="I34" s="12"/>
      <c r="J34" s="12">
        <f t="shared" si="0"/>
        <v>0</v>
      </c>
      <c r="K34" s="12"/>
      <c r="L34" s="55" t="e">
        <f t="shared" si="1"/>
        <v>#DIV/0!</v>
      </c>
    </row>
    <row r="35" spans="3:12" s="16" customFormat="1" ht="15.75" customHeight="1" thickTop="1" x14ac:dyDescent="0.25">
      <c r="C35" s="12" t="s">
        <v>128</v>
      </c>
      <c r="D35" s="26"/>
      <c r="E35" s="82">
        <f>SUM(E31:E34)</f>
        <v>101499.48573593894</v>
      </c>
      <c r="F35" s="12">
        <f t="shared" si="2"/>
        <v>30826.002814919073</v>
      </c>
      <c r="G35" s="12"/>
      <c r="H35" s="12">
        <f t="shared" si="3"/>
        <v>30826.002814919073</v>
      </c>
      <c r="I35" s="12"/>
      <c r="J35" s="12">
        <f t="shared" si="0"/>
        <v>0</v>
      </c>
      <c r="K35" s="12"/>
      <c r="L35" s="55">
        <f t="shared" si="1"/>
        <v>0</v>
      </c>
    </row>
    <row r="36" spans="3:12" s="16" customFormat="1" ht="15.75" customHeight="1" x14ac:dyDescent="0.25">
      <c r="C36" s="12" t="s">
        <v>101</v>
      </c>
      <c r="D36" s="26"/>
      <c r="E36" s="95">
        <f>E35</f>
        <v>101499.48573593894</v>
      </c>
      <c r="F36" s="12">
        <f t="shared" si="2"/>
        <v>35.727818979050511</v>
      </c>
      <c r="G36" s="12"/>
      <c r="H36" s="12">
        <f t="shared" si="3"/>
        <v>35.727818979050511</v>
      </c>
      <c r="I36" s="12"/>
      <c r="J36" s="12">
        <f t="shared" si="0"/>
        <v>0</v>
      </c>
      <c r="K36" s="12"/>
      <c r="L36" s="55">
        <f t="shared" si="1"/>
        <v>0</v>
      </c>
    </row>
    <row r="37" spans="3:12" s="16" customFormat="1" ht="15.75" customHeight="1" x14ac:dyDescent="0.25">
      <c r="C37" s="12" t="s">
        <v>102</v>
      </c>
      <c r="D37" s="26"/>
      <c r="E37" s="95">
        <f>E36</f>
        <v>101499.48573593894</v>
      </c>
      <c r="F37" s="12">
        <f t="shared" si="2"/>
        <v>1843.8396578790669</v>
      </c>
      <c r="G37" s="12"/>
      <c r="H37" s="12">
        <f t="shared" si="3"/>
        <v>1843.8396578790669</v>
      </c>
      <c r="I37" s="12"/>
      <c r="J37" s="12">
        <f t="shared" si="0"/>
        <v>0</v>
      </c>
      <c r="K37" s="12"/>
      <c r="L37" s="55">
        <f t="shared" si="1"/>
        <v>0</v>
      </c>
    </row>
    <row r="38" spans="3:12" s="16" customFormat="1" ht="15.75" customHeight="1" thickBot="1" x14ac:dyDescent="0.3">
      <c r="C38" s="12" t="s">
        <v>82</v>
      </c>
      <c r="D38" s="26"/>
      <c r="E38" s="95">
        <f>E37</f>
        <v>101499.48573593894</v>
      </c>
      <c r="F38" s="12">
        <f>$E38*F19/100</f>
        <v>9936.7996535484217</v>
      </c>
      <c r="G38" s="12"/>
      <c r="H38" s="12">
        <f>$E38*H19/100</f>
        <v>9936.7996535484217</v>
      </c>
      <c r="I38" s="12"/>
      <c r="J38" s="12">
        <f t="shared" si="0"/>
        <v>0</v>
      </c>
      <c r="K38" s="12"/>
      <c r="L38" s="55">
        <f t="shared" si="1"/>
        <v>0</v>
      </c>
    </row>
    <row r="39" spans="3:12" s="16" customFormat="1" ht="15.75" customHeight="1" thickTop="1" x14ac:dyDescent="0.25">
      <c r="C39" s="77" t="s">
        <v>15</v>
      </c>
      <c r="D39" s="26"/>
      <c r="E39" s="26"/>
      <c r="F39" s="74">
        <f>SUM(F29:F38)</f>
        <v>61598.234982913651</v>
      </c>
      <c r="G39" s="26"/>
      <c r="H39" s="74">
        <f>SUM(H29:H38)</f>
        <v>61960.062805131587</v>
      </c>
      <c r="I39" s="26"/>
      <c r="J39" s="74">
        <f>SUM(J29:J38)</f>
        <v>361.82782221793104</v>
      </c>
      <c r="K39" s="26"/>
      <c r="L39" s="78">
        <f t="shared" si="1"/>
        <v>5.8739965896473529E-3</v>
      </c>
    </row>
    <row r="40" spans="3:12" s="16" customFormat="1" ht="15.75" customHeight="1" x14ac:dyDescent="0.2">
      <c r="C40" s="26"/>
      <c r="D40" s="26"/>
      <c r="E40" s="26"/>
      <c r="F40" s="26"/>
      <c r="G40" s="26"/>
      <c r="H40" s="26"/>
      <c r="I40" s="26"/>
      <c r="J40" s="26"/>
      <c r="K40" s="26"/>
      <c r="L40" s="26"/>
    </row>
    <row r="41" spans="3:12" s="16" customFormat="1" ht="15.75" customHeight="1" x14ac:dyDescent="0.25">
      <c r="C41" s="77" t="s">
        <v>22</v>
      </c>
      <c r="D41" s="26"/>
      <c r="E41" s="84" t="s">
        <v>14</v>
      </c>
      <c r="F41" s="84" t="s">
        <v>7</v>
      </c>
      <c r="G41" s="84"/>
      <c r="H41" s="84" t="s">
        <v>12</v>
      </c>
      <c r="I41" s="84"/>
      <c r="J41" s="84" t="s">
        <v>16</v>
      </c>
      <c r="K41" s="84"/>
      <c r="L41" s="84" t="s">
        <v>17</v>
      </c>
    </row>
    <row r="42" spans="3:12" s="16" customFormat="1" ht="15.75" customHeight="1" x14ac:dyDescent="0.25">
      <c r="C42" s="12" t="s">
        <v>65</v>
      </c>
      <c r="D42" s="26"/>
      <c r="E42" s="12">
        <f>E35</f>
        <v>101499.48573593894</v>
      </c>
      <c r="F42" s="12">
        <f>$E42*F22/100</f>
        <v>560.68315920532677</v>
      </c>
      <c r="G42" s="12"/>
      <c r="H42" s="12">
        <f>$E42*H22/100</f>
        <v>560.68315920532677</v>
      </c>
      <c r="I42" s="12"/>
      <c r="J42" s="12">
        <f>H42-F42</f>
        <v>0</v>
      </c>
      <c r="K42" s="12"/>
      <c r="L42" s="55">
        <f>J42/F42</f>
        <v>0</v>
      </c>
    </row>
    <row r="43" spans="3:12" s="16" customFormat="1" ht="15.75" customHeight="1" x14ac:dyDescent="0.25">
      <c r="C43" s="12" t="str">
        <f>'F1.3 Rate Riders'!$E$16</f>
        <v>ECVA Rate Rider</v>
      </c>
      <c r="D43" s="26"/>
      <c r="E43" s="12">
        <f>E42</f>
        <v>101499.48573593894</v>
      </c>
      <c r="F43" s="12">
        <f>$E43*F23/100</f>
        <v>142.40377848752235</v>
      </c>
      <c r="G43" s="12"/>
      <c r="H43" s="12">
        <f>$E43*H23/100</f>
        <v>188.46261746357652</v>
      </c>
      <c r="I43" s="12"/>
      <c r="J43" s="12">
        <f t="shared" ref="J43:J46" si="4">H43-F43</f>
        <v>46.058838976054176</v>
      </c>
      <c r="K43" s="12"/>
      <c r="L43" s="55">
        <f t="shared" ref="L43:L46" si="5">J43/F43</f>
        <v>0.3234383207050221</v>
      </c>
    </row>
    <row r="44" spans="3:12" s="16" customFormat="1" ht="15.75" customHeight="1" x14ac:dyDescent="0.25">
      <c r="C44" s="12" t="str">
        <f>C24</f>
        <v>EFVA Rate Rider</v>
      </c>
      <c r="D44" s="26"/>
      <c r="E44" s="12">
        <f>E42</f>
        <v>101499.48573593894</v>
      </c>
      <c r="F44" s="12">
        <f>$E44*F24/100</f>
        <v>109.11194716613436</v>
      </c>
      <c r="G44" s="12"/>
      <c r="H44" s="12">
        <f>$E44*H24/100</f>
        <v>0</v>
      </c>
      <c r="I44" s="12"/>
      <c r="J44" s="12">
        <f t="shared" ref="J44" si="6">H44-F44</f>
        <v>-109.11194716613436</v>
      </c>
      <c r="K44" s="12"/>
      <c r="L44" s="55">
        <f t="shared" ref="L44" si="7">J44/F44</f>
        <v>-1</v>
      </c>
    </row>
    <row r="45" spans="3:12" s="16" customFormat="1" ht="15.75" customHeight="1" x14ac:dyDescent="0.25">
      <c r="C45" s="12" t="str">
        <f>'F1.3 Rate Riders'!$E$25</f>
        <v>CIACVA Rate Rider</v>
      </c>
      <c r="D45" s="26"/>
      <c r="E45" s="12">
        <f>E43</f>
        <v>101499.48573593894</v>
      </c>
      <c r="F45" s="12">
        <f>$E45*F25/100</f>
        <v>100.68748985005142</v>
      </c>
      <c r="G45" s="12"/>
      <c r="H45" s="12">
        <f>$E45*H25/100</f>
        <v>4599.0038748504239</v>
      </c>
      <c r="I45" s="12"/>
      <c r="J45" s="12">
        <f t="shared" si="4"/>
        <v>4498.3163850003721</v>
      </c>
      <c r="K45" s="12"/>
      <c r="L45" s="55">
        <f t="shared" si="5"/>
        <v>44.676020741995636</v>
      </c>
    </row>
    <row r="46" spans="3:12" s="16" customFormat="1" ht="15.75" customHeight="1" thickBot="1" x14ac:dyDescent="0.3">
      <c r="C46" s="12" t="str">
        <f>'F1.3 Rate Riders'!$E$34</f>
        <v>MTVA Rate Rider</v>
      </c>
      <c r="D46" s="26"/>
      <c r="E46" s="12">
        <f t="shared" ref="E46" si="8">E45</f>
        <v>101499.48573593894</v>
      </c>
      <c r="F46" s="12">
        <f>$E46*F26/100</f>
        <v>0</v>
      </c>
      <c r="G46" s="12"/>
      <c r="H46" s="12">
        <f>$E46*H26/100</f>
        <v>-4247.1205514940903</v>
      </c>
      <c r="I46" s="12"/>
      <c r="J46" s="12">
        <f t="shared" si="4"/>
        <v>-4247.1205514940903</v>
      </c>
      <c r="K46" s="12"/>
      <c r="L46" s="55" t="e">
        <f t="shared" si="5"/>
        <v>#DIV/0!</v>
      </c>
    </row>
    <row r="47" spans="3:12" s="16" customFormat="1" ht="15.75" customHeight="1" thickTop="1" x14ac:dyDescent="0.25">
      <c r="C47" s="77" t="s">
        <v>24</v>
      </c>
      <c r="D47" s="26"/>
      <c r="E47" s="26"/>
      <c r="F47" s="74">
        <f>SUM(F42:F46)</f>
        <v>912.88637470903484</v>
      </c>
      <c r="G47" s="26"/>
      <c r="H47" s="74">
        <f t="shared" ref="H47:J47" si="9">SUM(H42:H46)</f>
        <v>1101.0291000252373</v>
      </c>
      <c r="I47" s="26"/>
      <c r="J47" s="74">
        <f t="shared" si="9"/>
        <v>188.1427253162019</v>
      </c>
      <c r="K47" s="26"/>
      <c r="L47" s="78">
        <f>J47/F47</f>
        <v>0.2060965422735867</v>
      </c>
    </row>
    <row r="48" spans="3:12" s="16" customFormat="1" ht="15.75" customHeight="1" thickBot="1" x14ac:dyDescent="0.25">
      <c r="C48" s="25"/>
      <c r="D48" s="26"/>
      <c r="E48" s="26"/>
      <c r="F48" s="26"/>
      <c r="G48" s="26"/>
      <c r="H48" s="26"/>
      <c r="I48" s="26"/>
      <c r="J48" s="26"/>
      <c r="K48" s="26"/>
      <c r="L48" s="26"/>
    </row>
    <row r="49" spans="3:12" s="16" customFormat="1" ht="15.75" customHeight="1" thickTop="1" x14ac:dyDescent="0.25">
      <c r="C49" s="77" t="s">
        <v>25</v>
      </c>
      <c r="D49" s="26"/>
      <c r="E49" s="26"/>
      <c r="F49" s="74">
        <f>F39+F47</f>
        <v>62511.121357622687</v>
      </c>
      <c r="G49" s="26"/>
      <c r="H49" s="74">
        <f>H39+H47</f>
        <v>63061.091905156827</v>
      </c>
      <c r="I49" s="26"/>
      <c r="J49" s="74">
        <f>J39+J47</f>
        <v>549.97054753413295</v>
      </c>
      <c r="K49" s="26"/>
      <c r="L49" s="78">
        <f>J49/F49</f>
        <v>8.7979632358181781E-3</v>
      </c>
    </row>
    <row r="50" spans="3:12" s="16" customFormat="1" ht="15.75" customHeight="1" x14ac:dyDescent="0.25">
      <c r="D50" s="40"/>
    </row>
    <row r="51" spans="3:12" s="16" customFormat="1" ht="15" x14ac:dyDescent="0.2">
      <c r="C51" s="81" t="s">
        <v>80</v>
      </c>
      <c r="D51" s="5"/>
      <c r="E51" s="85" t="s">
        <v>109</v>
      </c>
      <c r="F51" s="5" t="s">
        <v>7</v>
      </c>
      <c r="G51" s="5"/>
      <c r="H51" s="5" t="s">
        <v>12</v>
      </c>
      <c r="I51" s="5"/>
      <c r="J51" s="5"/>
      <c r="K51" s="5"/>
      <c r="L51" s="5"/>
    </row>
    <row r="52" spans="3:12" s="16" customFormat="1" ht="15.75" customHeight="1" x14ac:dyDescent="0.2">
      <c r="C52" s="26"/>
      <c r="D52" s="26"/>
      <c r="E52" s="96"/>
      <c r="F52" s="26"/>
      <c r="G52" s="26"/>
      <c r="H52" s="26"/>
      <c r="I52" s="26"/>
      <c r="J52" s="26"/>
      <c r="K52" s="26"/>
      <c r="L52" s="26"/>
    </row>
    <row r="53" spans="3:12" s="16" customFormat="1" ht="15.75" customHeight="1" x14ac:dyDescent="0.25">
      <c r="C53" s="12" t="s">
        <v>13</v>
      </c>
      <c r="D53" s="26"/>
      <c r="E53" s="97" t="s">
        <v>107</v>
      </c>
      <c r="F53" s="12">
        <f>F10</f>
        <v>214.30653899999996</v>
      </c>
      <c r="G53" s="12"/>
      <c r="H53" s="12">
        <f>H10</f>
        <v>218.39979389489994</v>
      </c>
      <c r="I53" s="26"/>
      <c r="J53" s="26"/>
      <c r="K53" s="26"/>
      <c r="L53" s="26"/>
    </row>
    <row r="54" spans="3:12" s="16" customFormat="1" ht="15.75" customHeight="1" x14ac:dyDescent="0.25">
      <c r="C54" s="12" t="str">
        <f>OneDollar</f>
        <v>Bill 32 Rate</v>
      </c>
      <c r="D54" s="26"/>
      <c r="E54" s="97" t="s">
        <v>107</v>
      </c>
      <c r="F54" s="12">
        <v>1</v>
      </c>
      <c r="G54" s="12"/>
      <c r="H54" s="12">
        <v>1</v>
      </c>
      <c r="I54" s="26"/>
      <c r="J54" s="26"/>
      <c r="K54" s="26"/>
      <c r="L54" s="26"/>
    </row>
    <row r="55" spans="3:12" s="16" customFormat="1" ht="15.75" customHeight="1" x14ac:dyDescent="0.25">
      <c r="C55" s="12" t="s">
        <v>73</v>
      </c>
      <c r="D55" s="26"/>
      <c r="E55" s="97" t="s">
        <v>123</v>
      </c>
      <c r="F55" s="45">
        <f t="shared" ref="F55:F61" si="10">F12</f>
        <v>16.130314799999997</v>
      </c>
      <c r="G55" s="45"/>
      <c r="H55" s="45">
        <f t="shared" ref="H55:H61" si="11">H12</f>
        <v>16.438403812679997</v>
      </c>
      <c r="I55" s="26"/>
      <c r="J55" s="26"/>
      <c r="K55" s="26"/>
      <c r="L55" s="26"/>
    </row>
    <row r="56" spans="3:12" s="16" customFormat="1" ht="15.75" customHeight="1" x14ac:dyDescent="0.25">
      <c r="C56" s="12" t="s">
        <v>87</v>
      </c>
      <c r="D56" s="26"/>
      <c r="E56" s="97" t="s">
        <v>123</v>
      </c>
      <c r="F56" s="45">
        <f t="shared" si="10"/>
        <v>16.130314799999997</v>
      </c>
      <c r="G56" s="45"/>
      <c r="H56" s="45">
        <f t="shared" si="11"/>
        <v>16.438403812679997</v>
      </c>
      <c r="I56" s="26"/>
      <c r="J56" s="26"/>
      <c r="K56" s="26"/>
      <c r="L56" s="26"/>
    </row>
    <row r="57" spans="3:12" s="16" customFormat="1" ht="15.75" customHeight="1" x14ac:dyDescent="0.25">
      <c r="C57" s="12" t="s">
        <v>88</v>
      </c>
      <c r="D57" s="26"/>
      <c r="E57" s="97" t="s">
        <v>123</v>
      </c>
      <c r="F57" s="45">
        <f t="shared" si="10"/>
        <v>16.130314799999997</v>
      </c>
      <c r="G57" s="45"/>
      <c r="H57" s="45">
        <f t="shared" si="11"/>
        <v>16.438403812679997</v>
      </c>
      <c r="I57" s="26"/>
      <c r="J57" s="26"/>
      <c r="K57" s="26"/>
      <c r="L57" s="26"/>
    </row>
    <row r="58" spans="3:12" s="16" customFormat="1" ht="15.75" customHeight="1" x14ac:dyDescent="0.25">
      <c r="C58" s="12" t="s">
        <v>64</v>
      </c>
      <c r="D58" s="26"/>
      <c r="E58" s="97" t="s">
        <v>127</v>
      </c>
      <c r="F58" s="45">
        <f t="shared" si="10"/>
        <v>0</v>
      </c>
      <c r="G58" s="45"/>
      <c r="H58" s="45">
        <f t="shared" si="11"/>
        <v>0</v>
      </c>
      <c r="I58" s="26"/>
      <c r="J58" s="26"/>
      <c r="K58" s="26"/>
      <c r="L58" s="26"/>
    </row>
    <row r="59" spans="3:12" s="16" customFormat="1" ht="15.75" customHeight="1" x14ac:dyDescent="0.25">
      <c r="C59" s="12" t="s">
        <v>128</v>
      </c>
      <c r="D59" s="26"/>
      <c r="E59" s="97" t="s">
        <v>123</v>
      </c>
      <c r="F59" s="45">
        <f t="shared" si="10"/>
        <v>30.3706</v>
      </c>
      <c r="G59" s="45"/>
      <c r="H59" s="45">
        <f t="shared" si="11"/>
        <v>30.3706</v>
      </c>
      <c r="I59" s="26"/>
      <c r="J59" s="26"/>
      <c r="K59" s="26"/>
      <c r="L59" s="26"/>
    </row>
    <row r="60" spans="3:12" s="16" customFormat="1" ht="15.75" customHeight="1" x14ac:dyDescent="0.25">
      <c r="C60" s="12" t="s">
        <v>101</v>
      </c>
      <c r="D60" s="26"/>
      <c r="E60" s="97" t="s">
        <v>123</v>
      </c>
      <c r="F60" s="45">
        <f t="shared" si="10"/>
        <v>3.5200000000000002E-2</v>
      </c>
      <c r="G60" s="45"/>
      <c r="H60" s="45">
        <f t="shared" si="11"/>
        <v>3.5200000000000002E-2</v>
      </c>
      <c r="I60" s="26"/>
      <c r="J60" s="26"/>
      <c r="K60" s="26"/>
      <c r="L60" s="26"/>
    </row>
    <row r="61" spans="3:12" s="16" customFormat="1" ht="15.75" customHeight="1" x14ac:dyDescent="0.25">
      <c r="C61" s="12" t="s">
        <v>102</v>
      </c>
      <c r="D61" s="26"/>
      <c r="E61" s="97" t="s">
        <v>123</v>
      </c>
      <c r="F61" s="45">
        <f t="shared" si="10"/>
        <v>1.8166</v>
      </c>
      <c r="G61" s="45"/>
      <c r="H61" s="45">
        <f t="shared" si="11"/>
        <v>1.8166</v>
      </c>
      <c r="I61" s="26"/>
      <c r="J61" s="26"/>
      <c r="K61" s="26"/>
      <c r="L61" s="26"/>
    </row>
    <row r="62" spans="3:12" s="16" customFormat="1" ht="15.75" customHeight="1" x14ac:dyDescent="0.25">
      <c r="C62" s="12" t="s">
        <v>82</v>
      </c>
      <c r="D62" s="26"/>
      <c r="E62" s="97" t="s">
        <v>123</v>
      </c>
      <c r="F62" s="45">
        <v>3.91</v>
      </c>
      <c r="G62" s="45"/>
      <c r="H62" s="45">
        <v>3.91</v>
      </c>
      <c r="I62" s="26"/>
      <c r="J62" s="26"/>
      <c r="K62" s="26"/>
      <c r="L62" s="26"/>
    </row>
    <row r="63" spans="3:12" s="16" customFormat="1" ht="15.75" customHeight="1" x14ac:dyDescent="0.25">
      <c r="C63" s="26"/>
      <c r="D63" s="26"/>
      <c r="E63" s="97"/>
      <c r="F63" s="45"/>
      <c r="G63" s="45"/>
      <c r="H63" s="45"/>
      <c r="I63" s="26"/>
      <c r="J63" s="26"/>
      <c r="K63" s="26"/>
      <c r="L63" s="26"/>
    </row>
    <row r="64" spans="3:12" s="16" customFormat="1" ht="15.75" customHeight="1" x14ac:dyDescent="0.25">
      <c r="C64" s="77" t="s">
        <v>22</v>
      </c>
      <c r="D64" s="26"/>
      <c r="E64" s="96"/>
      <c r="F64" s="45"/>
      <c r="G64" s="45"/>
      <c r="H64" s="45"/>
      <c r="I64" s="26"/>
      <c r="J64" s="26"/>
      <c r="K64" s="26"/>
      <c r="L64" s="26"/>
    </row>
    <row r="65" spans="3:12" s="16" customFormat="1" ht="15.75" customHeight="1" x14ac:dyDescent="0.25">
      <c r="C65" s="12" t="s">
        <v>65</v>
      </c>
      <c r="D65" s="26"/>
      <c r="E65" s="97" t="s">
        <v>123</v>
      </c>
      <c r="F65" s="45">
        <f>F22</f>
        <v>0.5524</v>
      </c>
      <c r="G65" s="45"/>
      <c r="H65" s="45">
        <f>H22</f>
        <v>0.5524</v>
      </c>
      <c r="I65" s="26"/>
      <c r="J65" s="26"/>
      <c r="K65" s="26"/>
      <c r="L65" s="26"/>
    </row>
    <row r="66" spans="3:12" s="16" customFormat="1" ht="15.75" customHeight="1" x14ac:dyDescent="0.25">
      <c r="C66" s="12" t="str">
        <f>'F1.3 Rate Riders'!$E$16</f>
        <v>ECVA Rate Rider</v>
      </c>
      <c r="D66" s="26"/>
      <c r="E66" s="97" t="s">
        <v>123</v>
      </c>
      <c r="F66" s="45">
        <f>F23</f>
        <v>0.14030000000000001</v>
      </c>
      <c r="G66" s="45"/>
      <c r="H66" s="45">
        <f>H23</f>
        <v>0.18567839639491462</v>
      </c>
      <c r="I66" s="26"/>
      <c r="J66" s="26"/>
      <c r="K66" s="26"/>
      <c r="L66" s="26"/>
    </row>
    <row r="67" spans="3:12" s="16" customFormat="1" ht="15.75" customHeight="1" x14ac:dyDescent="0.25">
      <c r="C67" s="12" t="str">
        <f>C44</f>
        <v>EFVA Rate Rider</v>
      </c>
      <c r="D67" s="26"/>
      <c r="E67" s="97" t="s">
        <v>123</v>
      </c>
      <c r="F67" s="45">
        <f>F24</f>
        <v>0.1075</v>
      </c>
      <c r="G67" s="45"/>
      <c r="H67" s="45">
        <f>H24</f>
        <v>0</v>
      </c>
      <c r="I67" s="26"/>
      <c r="J67" s="26"/>
      <c r="K67" s="26"/>
      <c r="L67" s="26"/>
    </row>
    <row r="68" spans="3:12" s="16" customFormat="1" ht="15.75" customHeight="1" x14ac:dyDescent="0.25">
      <c r="C68" s="12" t="str">
        <f>'F1.3 Rate Riders'!$E$25</f>
        <v>CIACVA Rate Rider</v>
      </c>
      <c r="D68" s="26"/>
      <c r="E68" s="97" t="s">
        <v>123</v>
      </c>
      <c r="F68" s="45">
        <f>F25</f>
        <v>9.9199999999999997E-2</v>
      </c>
      <c r="G68" s="45"/>
      <c r="H68" s="45">
        <f>H25</f>
        <v>4.531061257605967</v>
      </c>
      <c r="I68" s="26"/>
      <c r="J68" s="26"/>
      <c r="K68" s="26"/>
      <c r="L68" s="26"/>
    </row>
    <row r="69" spans="3:12" s="16" customFormat="1" ht="15.75" customHeight="1" x14ac:dyDescent="0.25">
      <c r="C69" s="12" t="str">
        <f>'F1.3 Rate Riders'!$E$34</f>
        <v>MTVA Rate Rider</v>
      </c>
      <c r="D69" s="26"/>
      <c r="E69" s="97" t="s">
        <v>123</v>
      </c>
      <c r="F69" s="45">
        <f>F26</f>
        <v>0</v>
      </c>
      <c r="G69" s="45"/>
      <c r="H69" s="45">
        <f>H26</f>
        <v>-4.1843764238800167</v>
      </c>
      <c r="I69" s="26"/>
      <c r="J69" s="26"/>
      <c r="K69" s="26"/>
      <c r="L69" s="26"/>
    </row>
    <row r="70" spans="3:12" s="16" customFormat="1" ht="15.75" customHeight="1" x14ac:dyDescent="0.2">
      <c r="C70" s="26"/>
      <c r="D70" s="26"/>
      <c r="E70" s="26"/>
      <c r="F70" s="26"/>
      <c r="G70" s="26"/>
      <c r="H70" s="26"/>
      <c r="I70" s="26"/>
      <c r="J70" s="26"/>
      <c r="K70" s="26"/>
      <c r="L70" s="26"/>
    </row>
    <row r="71" spans="3:12" s="16" customFormat="1" ht="15.75" customHeight="1" x14ac:dyDescent="0.25">
      <c r="C71" s="77" t="s">
        <v>23</v>
      </c>
      <c r="D71" s="26"/>
      <c r="E71" s="84" t="s">
        <v>14</v>
      </c>
      <c r="F71" s="84" t="s">
        <v>7</v>
      </c>
      <c r="G71" s="84"/>
      <c r="H71" s="84" t="s">
        <v>12</v>
      </c>
      <c r="I71" s="84"/>
      <c r="J71" s="84" t="s">
        <v>16</v>
      </c>
      <c r="K71" s="84"/>
      <c r="L71" s="84" t="s">
        <v>17</v>
      </c>
    </row>
    <row r="72" spans="3:12" s="16" customFormat="1" ht="15.75" customHeight="1" x14ac:dyDescent="0.25">
      <c r="C72" s="12" t="s">
        <v>13</v>
      </c>
      <c r="D72" s="26"/>
      <c r="E72" s="72">
        <v>12</v>
      </c>
      <c r="F72" s="12">
        <f>F53*$E72</f>
        <v>2571.6784679999996</v>
      </c>
      <c r="G72" s="12"/>
      <c r="H72" s="12">
        <f>H53*$E72</f>
        <v>2620.7975267387992</v>
      </c>
      <c r="I72" s="12"/>
      <c r="J72" s="12">
        <f>H72-F72</f>
        <v>49.119058738799595</v>
      </c>
      <c r="K72" s="12"/>
      <c r="L72" s="55">
        <f>J72/F72</f>
        <v>1.9099999999999846E-2</v>
      </c>
    </row>
    <row r="73" spans="3:12" s="16" customFormat="1" ht="15.75" customHeight="1" x14ac:dyDescent="0.25">
      <c r="C73" s="12" t="str">
        <f>OneDollar</f>
        <v>Bill 32 Rate</v>
      </c>
      <c r="D73" s="26"/>
      <c r="E73" s="72">
        <v>12</v>
      </c>
      <c r="F73" s="12">
        <f>$E73*F54</f>
        <v>12</v>
      </c>
      <c r="G73" s="12"/>
      <c r="H73" s="12">
        <f>$E73*H54</f>
        <v>12</v>
      </c>
      <c r="I73" s="12"/>
      <c r="J73" s="12">
        <f>H73-F73</f>
        <v>0</v>
      </c>
      <c r="K73" s="12"/>
      <c r="L73" s="55">
        <f>J73/F73</f>
        <v>0</v>
      </c>
    </row>
    <row r="74" spans="3:12" s="16" customFormat="1" ht="15.75" customHeight="1" x14ac:dyDescent="0.25">
      <c r="C74" s="12" t="s">
        <v>73</v>
      </c>
      <c r="D74" s="26"/>
      <c r="E74" s="72">
        <v>338331.61911979644</v>
      </c>
      <c r="F74" s="12">
        <f t="shared" ref="F74:F80" si="12">F55*$E74/100</f>
        <v>54573.955231960143</v>
      </c>
      <c r="G74" s="12"/>
      <c r="H74" s="12">
        <f t="shared" ref="H74:H80" si="13">H55*$E74/100</f>
        <v>55616.317776890581</v>
      </c>
      <c r="I74" s="12"/>
      <c r="J74" s="12">
        <f t="shared" ref="J74:J81" si="14">H74-F74</f>
        <v>1042.3625449304382</v>
      </c>
      <c r="K74" s="12"/>
      <c r="L74" s="55">
        <f t="shared" ref="L74:L81" si="15">J74/F74</f>
        <v>1.9099999999999989E-2</v>
      </c>
    </row>
    <row r="75" spans="3:12" s="16" customFormat="1" ht="15.75" customHeight="1" x14ac:dyDescent="0.25">
      <c r="C75" s="12" t="s">
        <v>87</v>
      </c>
      <c r="D75" s="26"/>
      <c r="E75" s="72">
        <v>0</v>
      </c>
      <c r="F75" s="12">
        <f t="shared" si="12"/>
        <v>0</v>
      </c>
      <c r="G75" s="12"/>
      <c r="H75" s="12">
        <f t="shared" si="13"/>
        <v>0</v>
      </c>
      <c r="I75" s="12"/>
      <c r="J75" s="12">
        <f t="shared" si="14"/>
        <v>0</v>
      </c>
      <c r="K75" s="12"/>
      <c r="L75" s="55" t="e">
        <f t="shared" si="15"/>
        <v>#DIV/0!</v>
      </c>
    </row>
    <row r="76" spans="3:12" s="16" customFormat="1" ht="15.75" customHeight="1" x14ac:dyDescent="0.25">
      <c r="C76" s="12" t="s">
        <v>88</v>
      </c>
      <c r="D76" s="26"/>
      <c r="E76" s="72">
        <v>0</v>
      </c>
      <c r="F76" s="12">
        <f t="shared" si="12"/>
        <v>0</v>
      </c>
      <c r="G76" s="12"/>
      <c r="H76" s="12">
        <f t="shared" si="13"/>
        <v>0</v>
      </c>
      <c r="I76" s="12"/>
      <c r="J76" s="12">
        <f t="shared" si="14"/>
        <v>0</v>
      </c>
      <c r="K76" s="12"/>
      <c r="L76" s="55" t="e">
        <f t="shared" si="15"/>
        <v>#DIV/0!</v>
      </c>
    </row>
    <row r="77" spans="3:12" s="16" customFormat="1" ht="15.75" customHeight="1" thickBot="1" x14ac:dyDescent="0.3">
      <c r="C77" s="12" t="s">
        <v>64</v>
      </c>
      <c r="D77" s="26"/>
      <c r="E77" s="72">
        <v>0</v>
      </c>
      <c r="F77" s="12">
        <f t="shared" si="12"/>
        <v>0</v>
      </c>
      <c r="G77" s="12"/>
      <c r="H77" s="12">
        <f t="shared" si="13"/>
        <v>0</v>
      </c>
      <c r="I77" s="12"/>
      <c r="J77" s="12">
        <f t="shared" si="14"/>
        <v>0</v>
      </c>
      <c r="K77" s="12"/>
      <c r="L77" s="55" t="e">
        <f t="shared" si="15"/>
        <v>#DIV/0!</v>
      </c>
    </row>
    <row r="78" spans="3:12" s="16" customFormat="1" ht="15.75" customHeight="1" thickTop="1" x14ac:dyDescent="0.25">
      <c r="C78" s="12" t="s">
        <v>128</v>
      </c>
      <c r="D78" s="26"/>
      <c r="E78" s="82">
        <f>SUM(E74:E77)</f>
        <v>338331.61911979644</v>
      </c>
      <c r="F78" s="12">
        <f t="shared" si="12"/>
        <v>102753.3427163969</v>
      </c>
      <c r="G78" s="12"/>
      <c r="H78" s="12">
        <f t="shared" si="13"/>
        <v>102753.3427163969</v>
      </c>
      <c r="I78" s="12"/>
      <c r="J78" s="12">
        <f t="shared" si="14"/>
        <v>0</v>
      </c>
      <c r="K78" s="12"/>
      <c r="L78" s="55">
        <f t="shared" si="15"/>
        <v>0</v>
      </c>
    </row>
    <row r="79" spans="3:12" s="16" customFormat="1" ht="15.75" customHeight="1" x14ac:dyDescent="0.25">
      <c r="C79" s="12" t="s">
        <v>101</v>
      </c>
      <c r="D79" s="26"/>
      <c r="E79" s="95">
        <f>E78</f>
        <v>338331.61911979644</v>
      </c>
      <c r="F79" s="12">
        <f t="shared" si="12"/>
        <v>119.09272993016835</v>
      </c>
      <c r="G79" s="12"/>
      <c r="H79" s="12">
        <f t="shared" si="13"/>
        <v>119.09272993016835</v>
      </c>
      <c r="I79" s="12"/>
      <c r="J79" s="12">
        <f t="shared" si="14"/>
        <v>0</v>
      </c>
      <c r="K79" s="12"/>
      <c r="L79" s="55">
        <f t="shared" si="15"/>
        <v>0</v>
      </c>
    </row>
    <row r="80" spans="3:12" s="16" customFormat="1" ht="15.75" customHeight="1" x14ac:dyDescent="0.25">
      <c r="C80" s="12" t="s">
        <v>102</v>
      </c>
      <c r="D80" s="26"/>
      <c r="E80" s="95">
        <f>E79</f>
        <v>338331.61911979644</v>
      </c>
      <c r="F80" s="12">
        <f t="shared" si="12"/>
        <v>6146.1321929302221</v>
      </c>
      <c r="G80" s="12"/>
      <c r="H80" s="12">
        <f t="shared" si="13"/>
        <v>6146.1321929302221</v>
      </c>
      <c r="I80" s="12"/>
      <c r="J80" s="12">
        <f t="shared" si="14"/>
        <v>0</v>
      </c>
      <c r="K80" s="12"/>
      <c r="L80" s="55">
        <f t="shared" si="15"/>
        <v>0</v>
      </c>
    </row>
    <row r="81" spans="3:12" s="16" customFormat="1" ht="15.75" customHeight="1" thickBot="1" x14ac:dyDescent="0.3">
      <c r="C81" s="12" t="s">
        <v>82</v>
      </c>
      <c r="D81" s="26"/>
      <c r="E81" s="95">
        <f>E80</f>
        <v>338331.61911979644</v>
      </c>
      <c r="F81" s="12">
        <f>$E81*F62/100</f>
        <v>13228.766307584041</v>
      </c>
      <c r="G81" s="12"/>
      <c r="H81" s="12">
        <f>$E81*H62/100</f>
        <v>13228.766307584041</v>
      </c>
      <c r="I81" s="12"/>
      <c r="J81" s="12">
        <f t="shared" si="14"/>
        <v>0</v>
      </c>
      <c r="K81" s="12"/>
      <c r="L81" s="55">
        <f t="shared" si="15"/>
        <v>0</v>
      </c>
    </row>
    <row r="82" spans="3:12" s="16" customFormat="1" ht="15.75" customHeight="1" thickTop="1" x14ac:dyDescent="0.25">
      <c r="C82" s="77" t="s">
        <v>15</v>
      </c>
      <c r="D82" s="26"/>
      <c r="E82" s="26"/>
      <c r="F82" s="74">
        <f>SUM(F72:F81)</f>
        <v>179404.96764680147</v>
      </c>
      <c r="G82" s="26"/>
      <c r="H82" s="74">
        <f>SUM(H72:H81)</f>
        <v>180496.4492504707</v>
      </c>
      <c r="I82" s="26"/>
      <c r="J82" s="74">
        <f>SUM(J72:J81)</f>
        <v>1091.4816036692378</v>
      </c>
      <c r="K82" s="26"/>
      <c r="L82" s="78">
        <f>J82/F82</f>
        <v>6.0838984448750707E-3</v>
      </c>
    </row>
    <row r="83" spans="3:12" s="16" customFormat="1" ht="15.75" customHeight="1" x14ac:dyDescent="0.2">
      <c r="C83" s="26"/>
      <c r="D83" s="26"/>
      <c r="E83" s="26"/>
      <c r="F83" s="26"/>
      <c r="G83" s="26"/>
      <c r="H83" s="26"/>
      <c r="I83" s="26"/>
      <c r="J83" s="26"/>
      <c r="K83" s="26"/>
      <c r="L83" s="26"/>
    </row>
    <row r="84" spans="3:12" s="16" customFormat="1" ht="15.75" customHeight="1" x14ac:dyDescent="0.25">
      <c r="C84" s="77" t="s">
        <v>22</v>
      </c>
      <c r="D84" s="26"/>
      <c r="E84" s="84" t="s">
        <v>14</v>
      </c>
      <c r="F84" s="84" t="s">
        <v>7</v>
      </c>
      <c r="G84" s="84"/>
      <c r="H84" s="84" t="s">
        <v>12</v>
      </c>
      <c r="I84" s="84"/>
      <c r="J84" s="84" t="s">
        <v>16</v>
      </c>
      <c r="K84" s="84"/>
      <c r="L84" s="84" t="s">
        <v>17</v>
      </c>
    </row>
    <row r="85" spans="3:12" s="16" customFormat="1" ht="15.75" customHeight="1" x14ac:dyDescent="0.25">
      <c r="C85" s="12" t="s">
        <v>65</v>
      </c>
      <c r="D85" s="26"/>
      <c r="E85" s="12">
        <f>E78</f>
        <v>338331.61911979644</v>
      </c>
      <c r="F85" s="12">
        <f>$E85*F65/100</f>
        <v>1868.9438640177555</v>
      </c>
      <c r="G85" s="12"/>
      <c r="H85" s="12">
        <f>$E85*H65/100</f>
        <v>1868.9438640177555</v>
      </c>
      <c r="I85" s="12"/>
      <c r="J85" s="12">
        <f>H85-F85</f>
        <v>0</v>
      </c>
      <c r="K85" s="12"/>
      <c r="L85" s="55">
        <f>J85/F85</f>
        <v>0</v>
      </c>
    </row>
    <row r="86" spans="3:12" s="16" customFormat="1" ht="15.75" customHeight="1" x14ac:dyDescent="0.25">
      <c r="C86" s="12" t="str">
        <f>'F1.3 Rate Riders'!$E$16</f>
        <v>ECVA Rate Rider</v>
      </c>
      <c r="D86" s="26"/>
      <c r="E86" s="12">
        <f>E85</f>
        <v>338331.61911979644</v>
      </c>
      <c r="F86" s="12">
        <f>$E86*F66/100</f>
        <v>474.67926162507445</v>
      </c>
      <c r="G86" s="12"/>
      <c r="H86" s="12">
        <f>$E86*H66/100</f>
        <v>628.20872487858844</v>
      </c>
      <c r="I86" s="12"/>
      <c r="J86" s="12">
        <f t="shared" ref="J86:J89" si="16">H86-F86</f>
        <v>153.529463253514</v>
      </c>
      <c r="K86" s="12"/>
      <c r="L86" s="55">
        <f t="shared" ref="L86:L89" si="17">J86/F86</f>
        <v>0.32343832070502226</v>
      </c>
    </row>
    <row r="87" spans="3:12" s="16" customFormat="1" ht="15.75" customHeight="1" x14ac:dyDescent="0.25">
      <c r="C87" s="12" t="str">
        <f>C67</f>
        <v>EFVA Rate Rider</v>
      </c>
      <c r="D87" s="26"/>
      <c r="E87" s="12">
        <f>E85</f>
        <v>338331.61911979644</v>
      </c>
      <c r="F87" s="12">
        <f>$E87*F67/100</f>
        <v>363.70649055378118</v>
      </c>
      <c r="G87" s="12"/>
      <c r="H87" s="12">
        <f>$E87*H67/100</f>
        <v>0</v>
      </c>
      <c r="I87" s="12"/>
      <c r="J87" s="12">
        <f t="shared" ref="J87" si="18">H87-F87</f>
        <v>-363.70649055378118</v>
      </c>
      <c r="K87" s="12"/>
      <c r="L87" s="55">
        <f t="shared" ref="L87" si="19">J87/F87</f>
        <v>-1</v>
      </c>
    </row>
    <row r="88" spans="3:12" s="16" customFormat="1" ht="15.75" customHeight="1" x14ac:dyDescent="0.25">
      <c r="C88" s="12" t="str">
        <f>'F1.3 Rate Riders'!$E$25</f>
        <v>CIACVA Rate Rider</v>
      </c>
      <c r="D88" s="26"/>
      <c r="E88" s="12">
        <f>E86</f>
        <v>338331.61911979644</v>
      </c>
      <c r="F88" s="12">
        <f>$E88*F68/100</f>
        <v>335.62496616683808</v>
      </c>
      <c r="G88" s="12"/>
      <c r="H88" s="12">
        <f>$E88*H68/100</f>
        <v>15330.01291616808</v>
      </c>
      <c r="I88" s="12"/>
      <c r="J88" s="12">
        <f t="shared" si="16"/>
        <v>14994.387950001241</v>
      </c>
      <c r="K88" s="12"/>
      <c r="L88" s="55">
        <f t="shared" si="17"/>
        <v>44.676020741995636</v>
      </c>
    </row>
    <row r="89" spans="3:12" s="16" customFormat="1" ht="15.75" customHeight="1" thickBot="1" x14ac:dyDescent="0.3">
      <c r="C89" s="12" t="str">
        <f>'F1.3 Rate Riders'!$E$34</f>
        <v>MTVA Rate Rider</v>
      </c>
      <c r="D89" s="26"/>
      <c r="E89" s="12">
        <f t="shared" ref="E89" si="20">E88</f>
        <v>338331.61911979644</v>
      </c>
      <c r="F89" s="12">
        <f>$E89*F69/100</f>
        <v>0</v>
      </c>
      <c r="G89" s="12"/>
      <c r="H89" s="12">
        <f>$E89*H69/100</f>
        <v>-14157.068504980298</v>
      </c>
      <c r="I89" s="12"/>
      <c r="J89" s="12">
        <f t="shared" si="16"/>
        <v>-14157.068504980298</v>
      </c>
      <c r="K89" s="12"/>
      <c r="L89" s="55" t="e">
        <f t="shared" si="17"/>
        <v>#DIV/0!</v>
      </c>
    </row>
    <row r="90" spans="3:12" s="16" customFormat="1" ht="15.75" customHeight="1" thickTop="1" x14ac:dyDescent="0.25">
      <c r="C90" s="77" t="s">
        <v>24</v>
      </c>
      <c r="D90" s="26"/>
      <c r="E90" s="26"/>
      <c r="F90" s="74">
        <f>SUM(F85:F89)</f>
        <v>3042.9545823634494</v>
      </c>
      <c r="G90" s="26"/>
      <c r="H90" s="74">
        <f t="shared" ref="H90" si="21">SUM(H85:H89)</f>
        <v>3670.0970000841244</v>
      </c>
      <c r="I90" s="26"/>
      <c r="J90" s="74">
        <f t="shared" ref="J90" si="22">SUM(J85:J89)</f>
        <v>627.14241772067544</v>
      </c>
      <c r="K90" s="26"/>
      <c r="L90" s="78">
        <f>J90/F90</f>
        <v>0.20609654227358751</v>
      </c>
    </row>
    <row r="91" spans="3:12" s="16" customFormat="1" ht="15.75" customHeight="1" thickBot="1" x14ac:dyDescent="0.25">
      <c r="C91" s="25"/>
      <c r="D91" s="26"/>
      <c r="E91" s="26"/>
      <c r="F91" s="26"/>
      <c r="G91" s="26"/>
      <c r="H91" s="26"/>
      <c r="I91" s="26"/>
      <c r="J91" s="26"/>
      <c r="K91" s="26"/>
      <c r="L91" s="26"/>
    </row>
    <row r="92" spans="3:12" s="16" customFormat="1" ht="15.75" customHeight="1" thickTop="1" x14ac:dyDescent="0.25">
      <c r="C92" s="77" t="s">
        <v>25</v>
      </c>
      <c r="D92" s="26"/>
      <c r="E92" s="26"/>
      <c r="F92" s="74">
        <f>F82+F90</f>
        <v>182447.92222916492</v>
      </c>
      <c r="G92" s="26"/>
      <c r="H92" s="74">
        <f>H82+H90</f>
        <v>184166.54625055482</v>
      </c>
      <c r="I92" s="26"/>
      <c r="J92" s="74">
        <f>J82+J90</f>
        <v>1718.6240213899132</v>
      </c>
      <c r="K92" s="26"/>
      <c r="L92" s="78">
        <f>J92/F92</f>
        <v>9.419805939095454E-3</v>
      </c>
    </row>
    <row r="93" spans="3:12" s="16" customFormat="1" ht="15.75" customHeight="1" x14ac:dyDescent="0.25">
      <c r="D93" s="40"/>
    </row>
    <row r="94" spans="3:12" s="16" customFormat="1" ht="15.75" customHeight="1" x14ac:dyDescent="0.25">
      <c r="D94" s="40"/>
    </row>
    <row r="95" spans="3:12" s="16" customFormat="1" ht="15.75" customHeight="1" x14ac:dyDescent="0.25">
      <c r="D95" s="40"/>
    </row>
    <row r="96" spans="3:12" s="16" customFormat="1" ht="15.75" customHeight="1" x14ac:dyDescent="0.25">
      <c r="D96" s="40"/>
    </row>
    <row r="97" spans="4:4" s="16" customFormat="1" ht="15.75" customHeight="1" x14ac:dyDescent="0.25">
      <c r="D97" s="40"/>
    </row>
    <row r="98" spans="4:4" s="16" customFormat="1" ht="15.75" customHeight="1" x14ac:dyDescent="0.25">
      <c r="D98" s="40"/>
    </row>
    <row r="99" spans="4:4" s="16" customFormat="1" ht="15.75" customHeight="1" x14ac:dyDescent="0.25">
      <c r="D99" s="40"/>
    </row>
    <row r="100" spans="4:4" s="16" customFormat="1" ht="15.75" customHeight="1" x14ac:dyDescent="0.25">
      <c r="D100" s="40"/>
    </row>
    <row r="101" spans="4:4" s="16" customFormat="1" ht="15.75" customHeight="1" x14ac:dyDescent="0.25">
      <c r="D101" s="40"/>
    </row>
    <row r="102" spans="4:4" s="16" customFormat="1" ht="15.75" customHeight="1" x14ac:dyDescent="0.25">
      <c r="D102" s="40"/>
    </row>
    <row r="103" spans="4:4" s="16" customFormat="1" ht="15.75" customHeight="1" x14ac:dyDescent="0.25">
      <c r="D103" s="40"/>
    </row>
    <row r="104" spans="4:4" s="16" customFormat="1" ht="15.75" customHeight="1" x14ac:dyDescent="0.25">
      <c r="D104" s="40"/>
    </row>
    <row r="105" spans="4:4" s="16" customFormat="1" ht="15.75" customHeight="1" x14ac:dyDescent="0.25">
      <c r="D105" s="40"/>
    </row>
    <row r="106" spans="4:4" s="16" customFormat="1" ht="15.75" customHeight="1" x14ac:dyDescent="0.25">
      <c r="D106" s="40"/>
    </row>
    <row r="107" spans="4:4" s="16" customFormat="1" ht="15.75" customHeight="1" x14ac:dyDescent="0.25">
      <c r="D107" s="40"/>
    </row>
    <row r="108" spans="4:4" s="16" customFormat="1" ht="15.75" customHeight="1" x14ac:dyDescent="0.25">
      <c r="D108" s="40"/>
    </row>
    <row r="109" spans="4:4" s="16" customFormat="1" ht="15.75" customHeight="1" x14ac:dyDescent="0.25">
      <c r="D109" s="40"/>
    </row>
    <row r="110" spans="4:4" s="16" customFormat="1" ht="15.75" customHeight="1" x14ac:dyDescent="0.25">
      <c r="D110" s="40"/>
    </row>
    <row r="111" spans="4:4" s="16" customFormat="1" ht="15.75" customHeight="1" x14ac:dyDescent="0.25">
      <c r="D111" s="40"/>
    </row>
    <row r="112" spans="4:4" s="16" customFormat="1" ht="15.75" customHeight="1" x14ac:dyDescent="0.25">
      <c r="D112" s="40"/>
    </row>
    <row r="113" spans="4:4" s="16" customFormat="1" ht="15.75" customHeight="1" x14ac:dyDescent="0.25">
      <c r="D113" s="40"/>
    </row>
    <row r="114" spans="4:4" s="16" customFormat="1" ht="15.75" customHeight="1" x14ac:dyDescent="0.25">
      <c r="D114" s="40"/>
    </row>
    <row r="115" spans="4:4" s="16" customFormat="1" ht="15.75" customHeight="1" x14ac:dyDescent="0.25">
      <c r="D115" s="40"/>
    </row>
    <row r="116" spans="4:4" s="16" customFormat="1" ht="15.75" customHeight="1" x14ac:dyDescent="0.25">
      <c r="D116" s="40"/>
    </row>
    <row r="117" spans="4:4" s="16" customFormat="1" ht="15.75" customHeight="1" x14ac:dyDescent="0.25">
      <c r="D117" s="40"/>
    </row>
    <row r="118" spans="4:4" s="16" customFormat="1" ht="15.75" customHeight="1" x14ac:dyDescent="0.25">
      <c r="D118" s="40"/>
    </row>
    <row r="119" spans="4:4" s="16" customFormat="1" ht="15.75" customHeight="1" x14ac:dyDescent="0.25">
      <c r="D119" s="40"/>
    </row>
    <row r="120" spans="4:4" s="16" customFormat="1" ht="15.75" customHeight="1" x14ac:dyDescent="0.25">
      <c r="D120" s="40"/>
    </row>
    <row r="121" spans="4:4" s="16" customFormat="1" ht="15.75" customHeight="1" x14ac:dyDescent="0.25">
      <c r="D121" s="40"/>
    </row>
    <row r="122" spans="4:4" s="16" customFormat="1" ht="15.75" customHeight="1" x14ac:dyDescent="0.25">
      <c r="D122" s="40"/>
    </row>
    <row r="123" spans="4:4" s="16" customFormat="1" ht="15.75" customHeight="1" x14ac:dyDescent="0.25">
      <c r="D123" s="34"/>
    </row>
    <row r="124" spans="4:4" s="16" customFormat="1" ht="15.75" customHeight="1" x14ac:dyDescent="0.25">
      <c r="D124" s="34"/>
    </row>
    <row r="125" spans="4:4" s="16" customFormat="1" ht="15.75" customHeight="1" x14ac:dyDescent="0.25">
      <c r="D125" s="34"/>
    </row>
    <row r="126" spans="4:4" s="16" customFormat="1" ht="15.75" customHeight="1" x14ac:dyDescent="0.25">
      <c r="D126" s="34"/>
    </row>
    <row r="127" spans="4:4" s="16" customFormat="1" ht="15.75" customHeight="1" x14ac:dyDescent="0.25">
      <c r="D127" s="34"/>
    </row>
    <row r="128" spans="4:4" s="16" customFormat="1" ht="15.75" customHeight="1" x14ac:dyDescent="0.25">
      <c r="D128" s="34"/>
    </row>
    <row r="129" spans="4:4" s="16" customFormat="1" ht="15.75" customHeight="1" x14ac:dyDescent="0.25">
      <c r="D129" s="34"/>
    </row>
    <row r="130" spans="4:4" s="16" customFormat="1" ht="15.75" customHeight="1" x14ac:dyDescent="0.25">
      <c r="D130" s="34"/>
    </row>
    <row r="131" spans="4:4" s="16" customFormat="1" ht="15.75" customHeight="1" x14ac:dyDescent="0.25">
      <c r="D131" s="34"/>
    </row>
    <row r="132" spans="4:4" s="16" customFormat="1" ht="15.75" customHeight="1" x14ac:dyDescent="0.25">
      <c r="D132" s="34"/>
    </row>
    <row r="133" spans="4:4" s="16" customFormat="1" ht="15.75" customHeight="1" x14ac:dyDescent="0.25">
      <c r="D133" s="34"/>
    </row>
    <row r="134" spans="4:4" s="16" customFormat="1" ht="15.75" customHeight="1" x14ac:dyDescent="0.25">
      <c r="D134" s="34"/>
    </row>
    <row r="135" spans="4:4" s="16" customFormat="1" ht="15.75" customHeight="1" x14ac:dyDescent="0.25">
      <c r="D135" s="34"/>
    </row>
    <row r="136" spans="4:4" s="16" customFormat="1" ht="15.75" customHeight="1" x14ac:dyDescent="0.25">
      <c r="D136" s="34"/>
    </row>
    <row r="137" spans="4:4" s="16" customFormat="1" ht="15.75" customHeight="1" x14ac:dyDescent="0.25">
      <c r="D137" s="34"/>
    </row>
    <row r="138" spans="4:4" s="16" customFormat="1" ht="15.75" customHeight="1" x14ac:dyDescent="0.25">
      <c r="D138" s="34"/>
    </row>
    <row r="139" spans="4:4" s="16" customFormat="1" ht="15.75" customHeight="1" x14ac:dyDescent="0.25">
      <c r="D139" s="34"/>
    </row>
    <row r="140" spans="4:4" s="16" customFormat="1" ht="15.75" customHeight="1" x14ac:dyDescent="0.25">
      <c r="D140" s="34"/>
    </row>
  </sheetData>
  <sheetProtection algorithmName="SHA-512" hashValue="LSI7KM6zqnkK27fPo65RHh+7Z3OUxb+e4YygIdCE9ucMtzz5Jelke0cY1F6k1cUAXeTb7vnpGLHtAJuxC3Yd0g==" saltValue="8B1Jw9EasNj8QlWTXbpeSg==" spinCount="100000" sheet="1" objects="1" scenarios="1"/>
  <pageMargins left="0.70866141732283505" right="0.70866141732283505" top="0.74803149606299202" bottom="0.74803149606299202" header="0.31496062992126" footer="0.31496062992126"/>
  <pageSetup scale="3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N54"/>
  <sheetViews>
    <sheetView showGridLines="0" topLeftCell="C16" zoomScale="85" zoomScaleNormal="85" workbookViewId="0">
      <selection activeCell="C17" sqref="C17"/>
    </sheetView>
  </sheetViews>
  <sheetFormatPr defaultColWidth="9.140625" defaultRowHeight="15.75" customHeight="1" x14ac:dyDescent="0.25"/>
  <cols>
    <col min="1" max="1" width="15.7109375" style="20" customWidth="1"/>
    <col min="2" max="2" width="14.28515625" style="20" hidden="1" customWidth="1"/>
    <col min="3" max="3" width="55.7109375" style="20" customWidth="1"/>
    <col min="4" max="4" width="2.7109375" style="13" customWidth="1"/>
    <col min="5" max="5" width="23" style="20" customWidth="1"/>
    <col min="6" max="6" width="16.140625" style="20" bestFit="1" customWidth="1"/>
    <col min="7" max="7" width="2.7109375" style="20" customWidth="1"/>
    <col min="8" max="8" width="16.5703125" style="20" bestFit="1" customWidth="1"/>
    <col min="9" max="9" width="2.7109375" style="20" customWidth="1"/>
    <col min="10" max="10" width="13" style="20" customWidth="1"/>
    <col min="11" max="11" width="2.7109375" style="20" customWidth="1"/>
    <col min="12" max="12" width="11.7109375" style="20" bestFit="1" customWidth="1"/>
    <col min="13" max="13" width="2.7109375" style="20" customWidth="1"/>
    <col min="14" max="14" width="14.28515625" style="20" hidden="1" customWidth="1"/>
    <col min="15" max="16384" width="9.140625" style="20"/>
  </cols>
  <sheetData>
    <row r="1" spans="1:12" ht="15" x14ac:dyDescent="0.2">
      <c r="A1" s="16"/>
      <c r="B1" s="16"/>
      <c r="C1" s="17"/>
      <c r="D1" s="16"/>
      <c r="E1" s="16"/>
      <c r="F1" s="16"/>
      <c r="G1" s="16"/>
      <c r="H1" s="16"/>
      <c r="I1" s="16"/>
      <c r="J1" s="16"/>
      <c r="K1" s="16"/>
      <c r="L1" s="16"/>
    </row>
    <row r="2" spans="1:12" s="16" customFormat="1" ht="18" x14ac:dyDescent="0.25">
      <c r="C2" s="18" t="str">
        <f>'A1.1 Distributor Information'!C3</f>
        <v>Name of LDC:       EPCOR Natural Gas Limited Partnership</v>
      </c>
    </row>
    <row r="3" spans="1:12" s="16" customFormat="1" ht="18" x14ac:dyDescent="0.25">
      <c r="C3" s="18" t="str">
        <f>'A1.1 Distributor Information'!C4</f>
        <v>OEB Application Number:  EB-2022-0184  Exhibit A - 2023 Custom Incentive Application</v>
      </c>
    </row>
    <row r="4" spans="1:12" s="16" customFormat="1" ht="15" x14ac:dyDescent="0.2"/>
    <row r="5" spans="1:12" s="16" customFormat="1" ht="20.25" x14ac:dyDescent="0.3">
      <c r="C5" s="7" t="s">
        <v>94</v>
      </c>
    </row>
    <row r="6" spans="1:12" s="16" customFormat="1" ht="15.75" customHeight="1" x14ac:dyDescent="0.25">
      <c r="C6" s="33" t="str">
        <f ca="1">MID(CELL("filename",A1),FIND("]",CELL("filename",A1))+1,255)</f>
        <v>G1.4 Rate 16 Bill Impact</v>
      </c>
      <c r="D6" s="34"/>
    </row>
    <row r="7" spans="1:12" s="16" customFormat="1" ht="15.75" customHeight="1" x14ac:dyDescent="0.25">
      <c r="D7" s="34"/>
    </row>
    <row r="8" spans="1:12" s="16" customFormat="1" ht="15.75" customHeight="1" x14ac:dyDescent="0.2">
      <c r="C8" s="81" t="s">
        <v>81</v>
      </c>
      <c r="D8" s="5"/>
      <c r="E8" s="85" t="s">
        <v>109</v>
      </c>
      <c r="F8" s="5" t="s">
        <v>7</v>
      </c>
      <c r="G8" s="5"/>
      <c r="H8" s="5" t="s">
        <v>12</v>
      </c>
      <c r="I8" s="5"/>
      <c r="J8" s="5"/>
      <c r="K8" s="5"/>
      <c r="L8" s="5"/>
    </row>
    <row r="9" spans="1:12" s="16" customFormat="1" ht="15.75" customHeight="1" x14ac:dyDescent="0.2">
      <c r="C9" s="26"/>
      <c r="D9" s="26"/>
      <c r="E9" s="96"/>
      <c r="F9" s="26"/>
      <c r="G9" s="26"/>
      <c r="H9" s="26"/>
      <c r="I9" s="26"/>
      <c r="J9" s="26"/>
      <c r="K9" s="26"/>
      <c r="L9" s="26"/>
    </row>
    <row r="10" spans="1:12" s="16" customFormat="1" ht="15.75" customHeight="1" x14ac:dyDescent="0.25">
      <c r="C10" s="12" t="s">
        <v>13</v>
      </c>
      <c r="D10" s="26"/>
      <c r="E10" s="97" t="s">
        <v>107</v>
      </c>
      <c r="F10" s="86">
        <f>INDEX('B1.1 Current Distribution Rates'!$E$10:$Q$13,4,COUNTA($C$10:C10))</f>
        <v>1575.7833749999998</v>
      </c>
      <c r="G10" s="26"/>
      <c r="H10" s="86">
        <f>INDEX('E1.1 Proposed Dist Rates '!$E$10:$Q$13,4,COUNTA($C$10:C10))</f>
        <v>1605.8808374624996</v>
      </c>
      <c r="I10" s="26"/>
      <c r="J10" s="26"/>
      <c r="K10" s="26"/>
      <c r="L10" s="26"/>
    </row>
    <row r="11" spans="1:12" s="16" customFormat="1" ht="15.75" customHeight="1" x14ac:dyDescent="0.25">
      <c r="C11" s="12" t="str">
        <f>OneDollar</f>
        <v>Bill 32 Rate</v>
      </c>
      <c r="D11" s="26"/>
      <c r="E11" s="97" t="s">
        <v>107</v>
      </c>
      <c r="F11" s="86">
        <f>INDEX('B1.1 Current Distribution Rates'!$E$10:$Q$13,4,COUNTA($C$10:C11))</f>
        <v>1</v>
      </c>
      <c r="G11" s="26"/>
      <c r="H11" s="86">
        <f>INDEX('E1.1 Proposed Dist Rates '!$E$10:$Q$13,4,COUNTA($C$10:C11))</f>
        <v>1</v>
      </c>
      <c r="I11" s="26"/>
      <c r="J11" s="26"/>
      <c r="K11" s="26"/>
      <c r="L11" s="26"/>
    </row>
    <row r="12" spans="1:12" s="16" customFormat="1" ht="15.75" customHeight="1" x14ac:dyDescent="0.25">
      <c r="C12" s="12" t="s">
        <v>86</v>
      </c>
      <c r="D12" s="26"/>
      <c r="E12" s="97" t="s">
        <v>123</v>
      </c>
      <c r="F12" s="87">
        <f>INDEX('B1.1 Current Distribution Rates'!$E$10:$Q$13,4,COUNTA($C$10:C12))</f>
        <v>0</v>
      </c>
      <c r="G12" s="26"/>
      <c r="H12" s="87">
        <f>INDEX('E1.1 Proposed Dist Rates '!$E$10:$Q$13,4,COUNTA($C$10:C12))</f>
        <v>0</v>
      </c>
      <c r="I12" s="26"/>
      <c r="J12" s="26"/>
      <c r="K12" s="26"/>
      <c r="L12" s="26"/>
    </row>
    <row r="13" spans="1:12" s="16" customFormat="1" ht="15.75" customHeight="1" x14ac:dyDescent="0.25">
      <c r="C13" s="12" t="s">
        <v>87</v>
      </c>
      <c r="D13" s="26"/>
      <c r="E13" s="97" t="s">
        <v>123</v>
      </c>
      <c r="F13" s="87">
        <f>INDEX('B1.1 Current Distribution Rates'!$E$10:$Q$13,4,COUNTA($C$10:C13))</f>
        <v>0</v>
      </c>
      <c r="G13" s="26"/>
      <c r="H13" s="87">
        <f>INDEX('E1.1 Proposed Dist Rates '!$E$10:$Q$13,4,COUNTA($C$10:C13))</f>
        <v>0</v>
      </c>
      <c r="I13" s="26"/>
      <c r="J13" s="26"/>
      <c r="K13" s="26"/>
      <c r="L13" s="26"/>
    </row>
    <row r="14" spans="1:12" s="16" customFormat="1" ht="15.75" customHeight="1" x14ac:dyDescent="0.25">
      <c r="C14" s="12" t="s">
        <v>88</v>
      </c>
      <c r="D14" s="26"/>
      <c r="E14" s="97" t="s">
        <v>123</v>
      </c>
      <c r="F14" s="87">
        <f>INDEX('B1.1 Current Distribution Rates'!$E$10:$Q$13,4,COUNTA($C$10:C14))</f>
        <v>0</v>
      </c>
      <c r="G14" s="26"/>
      <c r="H14" s="87">
        <f>INDEX('E1.1 Proposed Dist Rates '!$E$10:$Q$13,4,COUNTA($C$10:C14))</f>
        <v>0</v>
      </c>
      <c r="I14" s="26"/>
      <c r="J14" s="26"/>
      <c r="K14" s="26"/>
      <c r="L14" s="26"/>
    </row>
    <row r="15" spans="1:12" s="16" customFormat="1" ht="15.75" customHeight="1" x14ac:dyDescent="0.25">
      <c r="C15" s="12" t="s">
        <v>64</v>
      </c>
      <c r="D15" s="26"/>
      <c r="E15" s="97" t="s">
        <v>127</v>
      </c>
      <c r="F15" s="87">
        <f>INDEX('B1.1 Current Distribution Rates'!$E$10:$Q$13,4,COUNTA($C$10:C15))</f>
        <v>107.48305025999998</v>
      </c>
      <c r="G15" s="26"/>
      <c r="H15" s="87">
        <f>INDEX('E1.1 Proposed Dist Rates '!$E$10:$Q$13,4,COUNTA($C$10:C15))</f>
        <v>109.53597651996597</v>
      </c>
      <c r="I15" s="26"/>
      <c r="J15" s="26"/>
      <c r="K15" s="26"/>
      <c r="L15" s="26"/>
    </row>
    <row r="16" spans="1:12" s="16" customFormat="1" ht="15.75" customHeight="1" x14ac:dyDescent="0.25">
      <c r="C16" s="12" t="s">
        <v>128</v>
      </c>
      <c r="D16" s="26"/>
      <c r="E16" s="97" t="s">
        <v>123</v>
      </c>
      <c r="F16" s="87">
        <f>INDEX('B1.1 Current Distribution Rates'!$E$10:$Q$13,4,COUNTA($C$10:C16))</f>
        <v>0</v>
      </c>
      <c r="G16" s="26"/>
      <c r="H16" s="87">
        <f>INDEX('E1.1 Proposed Dist Rates '!$E$10:$Q$13,4,COUNTA($C$10:C16))</f>
        <v>0</v>
      </c>
      <c r="I16" s="26"/>
      <c r="J16" s="26"/>
      <c r="K16" s="26"/>
      <c r="L16" s="26"/>
    </row>
    <row r="17" spans="3:12" s="16" customFormat="1" ht="15.75" customHeight="1" x14ac:dyDescent="0.25">
      <c r="C17" s="12" t="s">
        <v>101</v>
      </c>
      <c r="D17" s="26"/>
      <c r="E17" s="97" t="s">
        <v>127</v>
      </c>
      <c r="F17" s="87">
        <f>INDEX('B1.1 Current Distribution Rates'!$E$10:$Q$13,4,COUNTA($C$10:C17))</f>
        <v>14.243399999999999</v>
      </c>
      <c r="G17" s="26"/>
      <c r="H17" s="87">
        <f>INDEX('E1.1 Proposed Dist Rates '!$E$10:$Q$13,4,COUNTA($C$10:C17))</f>
        <v>14.243399999999999</v>
      </c>
      <c r="I17" s="26"/>
      <c r="J17" s="26"/>
      <c r="K17" s="26"/>
      <c r="L17" s="26"/>
    </row>
    <row r="18" spans="3:12" s="16" customFormat="1" ht="15.75" customHeight="1" x14ac:dyDescent="0.25">
      <c r="C18" s="12" t="s">
        <v>99</v>
      </c>
      <c r="D18" s="26"/>
      <c r="E18" s="97" t="s">
        <v>127</v>
      </c>
      <c r="F18" s="87">
        <f>INDEX('B1.1 Current Distribution Rates'!$E$10:$Q$13,4,COUNTA($C$10:C18)+1)</f>
        <v>18.299900000000001</v>
      </c>
      <c r="G18" s="26"/>
      <c r="H18" s="87">
        <f>INDEX('E1.1 Proposed Dist Rates '!$E$10:$Q$13,4,COUNTA($C$10:C18)+1)</f>
        <v>18.299900000000001</v>
      </c>
      <c r="I18" s="26"/>
      <c r="J18" s="26"/>
      <c r="K18" s="26"/>
      <c r="L18" s="26"/>
    </row>
    <row r="19" spans="3:12" s="16" customFormat="1" ht="15.75" customHeight="1" x14ac:dyDescent="0.25">
      <c r="C19" s="12" t="s">
        <v>104</v>
      </c>
      <c r="D19" s="26"/>
      <c r="E19" s="97" t="s">
        <v>127</v>
      </c>
      <c r="F19" s="87">
        <f>INDEX('B1.1 Current Distribution Rates'!$E$10:$Q$13,4,COUNTA($C$10:C19)+1)</f>
        <v>11.848000000000001</v>
      </c>
      <c r="G19" s="26"/>
      <c r="H19" s="87">
        <f>INDEX('E1.1 Proposed Dist Rates '!$E$10:$Q$13,4,COUNTA($C$10:C19)+1)</f>
        <v>11.848000000000001</v>
      </c>
      <c r="I19" s="26"/>
      <c r="J19" s="26"/>
      <c r="K19" s="26"/>
      <c r="L19" s="26"/>
    </row>
    <row r="20" spans="3:12" s="16" customFormat="1" ht="15.75" customHeight="1" x14ac:dyDescent="0.25">
      <c r="C20" s="12" t="s">
        <v>100</v>
      </c>
      <c r="D20" s="26"/>
      <c r="E20" s="97" t="s">
        <v>127</v>
      </c>
      <c r="F20" s="87">
        <f>INDEX('B1.1 Current Distribution Rates'!$E$10:$Q$13,4,COUNTA($C$10:C20)+1)</f>
        <v>11.848000000000001</v>
      </c>
      <c r="G20" s="26"/>
      <c r="H20" s="87">
        <f>INDEX('E1.1 Proposed Dist Rates '!$E$10:$Q$13,4,COUNTA($C$10:C20)+1)</f>
        <v>11.848000000000001</v>
      </c>
      <c r="I20" s="26"/>
      <c r="J20" s="26"/>
      <c r="K20" s="26"/>
      <c r="L20" s="26"/>
    </row>
    <row r="21" spans="3:12" s="16" customFormat="1" ht="15.75" customHeight="1" x14ac:dyDescent="0.25">
      <c r="C21" s="12" t="s">
        <v>82</v>
      </c>
      <c r="D21" s="26"/>
      <c r="E21" s="97" t="s">
        <v>123</v>
      </c>
      <c r="F21" s="87">
        <f>INDEX('B1.1 Current Distribution Rates'!$E$10:$Q$13,4,COUNTA($C$10:C21)+1)</f>
        <v>9.7899999999999991</v>
      </c>
      <c r="G21" s="26"/>
      <c r="H21" s="87">
        <f>INDEX('E1.1 Proposed Dist Rates '!$E$10:$Q$13,4,COUNTA($C$10:C21)+1)</f>
        <v>9.7899999999999991</v>
      </c>
      <c r="I21" s="26"/>
      <c r="J21" s="26"/>
      <c r="K21" s="26"/>
      <c r="L21" s="26"/>
    </row>
    <row r="22" spans="3:12" s="16" customFormat="1" ht="15.75" customHeight="1" x14ac:dyDescent="0.25">
      <c r="C22" s="26"/>
      <c r="D22" s="26"/>
      <c r="E22" s="96"/>
      <c r="F22" s="45"/>
      <c r="G22" s="45"/>
      <c r="H22" s="45"/>
      <c r="I22" s="26"/>
      <c r="J22" s="26"/>
      <c r="K22" s="26"/>
      <c r="L22" s="26"/>
    </row>
    <row r="23" spans="3:12" s="16" customFormat="1" ht="15.75" customHeight="1" x14ac:dyDescent="0.25">
      <c r="C23" s="77" t="s">
        <v>22</v>
      </c>
      <c r="D23" s="26"/>
      <c r="E23" s="96"/>
      <c r="F23" s="45"/>
      <c r="G23" s="45"/>
      <c r="H23" s="45"/>
      <c r="I23" s="26"/>
      <c r="J23" s="26"/>
      <c r="K23" s="26"/>
      <c r="L23" s="26"/>
    </row>
    <row r="24" spans="3:12" s="16" customFormat="1" ht="15.75" customHeight="1" x14ac:dyDescent="0.25">
      <c r="C24" s="12" t="s">
        <v>65</v>
      </c>
      <c r="D24" s="26"/>
      <c r="E24" s="97" t="s">
        <v>127</v>
      </c>
      <c r="F24" s="87">
        <f>'C1.1 Current Rate Riders'!E13</f>
        <v>6.0100000000000001E-2</v>
      </c>
      <c r="G24" s="26"/>
      <c r="H24" s="87">
        <f>'F1.3 Rate Riders'!E12</f>
        <v>6.0100000000000001E-2</v>
      </c>
      <c r="I24" s="26"/>
      <c r="J24" s="26"/>
      <c r="K24" s="26"/>
      <c r="L24" s="26"/>
    </row>
    <row r="25" spans="3:12" s="16" customFormat="1" ht="15.75" customHeight="1" x14ac:dyDescent="0.25">
      <c r="C25" s="12" t="str">
        <f>'F1.3 Rate Riders'!$E$16</f>
        <v>ECVA Rate Rider</v>
      </c>
      <c r="D25" s="26"/>
      <c r="E25" s="97" t="s">
        <v>127</v>
      </c>
      <c r="F25" s="87">
        <f>'C1.1 Current Rate Riders'!E23</f>
        <v>0</v>
      </c>
      <c r="G25" s="26"/>
      <c r="H25" s="87">
        <f>'F1.3 Rate Riders'!E21</f>
        <v>0</v>
      </c>
      <c r="I25" s="26"/>
      <c r="J25" s="26"/>
      <c r="K25" s="26"/>
      <c r="L25" s="26"/>
    </row>
    <row r="26" spans="3:12" s="16" customFormat="1" ht="15.75" customHeight="1" x14ac:dyDescent="0.25">
      <c r="C26" s="12" t="str">
        <f>'C1.1 Current Rate Riders'!E35</f>
        <v>EFVA Rate Rider</v>
      </c>
      <c r="D26" s="26"/>
      <c r="E26" s="97" t="s">
        <v>127</v>
      </c>
      <c r="F26" s="87">
        <f>'C1.1 Current Rate Riders'!E40</f>
        <v>0.7964</v>
      </c>
      <c r="G26" s="26"/>
      <c r="H26" s="87">
        <v>0</v>
      </c>
      <c r="I26" s="26"/>
      <c r="J26" s="26"/>
      <c r="K26" s="26"/>
      <c r="L26" s="26"/>
    </row>
    <row r="27" spans="3:12" s="16" customFormat="1" ht="15.75" customHeight="1" x14ac:dyDescent="0.25">
      <c r="C27" s="12" t="str">
        <f>'F1.3 Rate Riders'!$E$25</f>
        <v>CIACVA Rate Rider</v>
      </c>
      <c r="D27" s="26"/>
      <c r="E27" s="97" t="s">
        <v>127</v>
      </c>
      <c r="F27" s="87">
        <f>'C1.1 Current Rate Riders'!E31</f>
        <v>0.96030000000000004</v>
      </c>
      <c r="G27" s="26"/>
      <c r="H27" s="87">
        <f>'F1.3 Rate Riders'!E30</f>
        <v>4.531061257605967</v>
      </c>
      <c r="I27" s="26"/>
      <c r="J27" s="26"/>
      <c r="K27" s="26"/>
      <c r="L27" s="26"/>
    </row>
    <row r="28" spans="3:12" s="16" customFormat="1" ht="15.75" customHeight="1" x14ac:dyDescent="0.25">
      <c r="C28" s="12" t="str">
        <f>'F1.3 Rate Riders'!$E$34</f>
        <v>MTVA Rate Rider</v>
      </c>
      <c r="D28" s="26"/>
      <c r="E28" s="97" t="s">
        <v>127</v>
      </c>
      <c r="F28" s="87">
        <f>'C1.1 Current Rate Riders'!E16</f>
        <v>0</v>
      </c>
      <c r="G28" s="26"/>
      <c r="H28" s="87">
        <f>'F1.3 Rate Riders'!E39</f>
        <v>-4.1843764238800167</v>
      </c>
      <c r="I28" s="26"/>
      <c r="J28" s="26"/>
      <c r="K28" s="26"/>
      <c r="L28" s="26"/>
    </row>
    <row r="29" spans="3:12" s="16" customFormat="1" ht="15.75" customHeight="1" x14ac:dyDescent="0.2">
      <c r="C29" s="26"/>
      <c r="D29" s="26"/>
      <c r="E29" s="26"/>
      <c r="F29" s="26"/>
      <c r="G29" s="26"/>
      <c r="H29" s="26"/>
      <c r="I29" s="26"/>
      <c r="J29" s="26"/>
      <c r="K29" s="26"/>
      <c r="L29" s="26"/>
    </row>
    <row r="30" spans="3:12" s="16" customFormat="1" ht="15.75" customHeight="1" x14ac:dyDescent="0.25">
      <c r="C30" s="77" t="s">
        <v>23</v>
      </c>
      <c r="D30" s="26"/>
      <c r="E30" s="84" t="s">
        <v>14</v>
      </c>
      <c r="F30" s="84" t="s">
        <v>7</v>
      </c>
      <c r="G30" s="84"/>
      <c r="H30" s="84" t="s">
        <v>12</v>
      </c>
      <c r="I30" s="84"/>
      <c r="J30" s="84" t="s">
        <v>16</v>
      </c>
      <c r="K30" s="84"/>
      <c r="L30" s="84" t="s">
        <v>17</v>
      </c>
    </row>
    <row r="31" spans="3:12" s="16" customFormat="1" ht="15.75" customHeight="1" x14ac:dyDescent="0.25">
      <c r="C31" s="12" t="s">
        <v>13</v>
      </c>
      <c r="D31" s="26"/>
      <c r="E31" s="72">
        <v>12</v>
      </c>
      <c r="F31" s="12">
        <f>F10*$E31</f>
        <v>18909.400499999996</v>
      </c>
      <c r="G31" s="12"/>
      <c r="H31" s="12">
        <f>H10*$E31</f>
        <v>19270.570049549995</v>
      </c>
      <c r="I31" s="12"/>
      <c r="J31" s="12">
        <f t="shared" ref="J31:J42" si="0">H31-F31</f>
        <v>361.16954954999892</v>
      </c>
      <c r="K31" s="12"/>
      <c r="L31" s="55">
        <f t="shared" ref="L31:L43" si="1">J31/F31</f>
        <v>1.9099999999999947E-2</v>
      </c>
    </row>
    <row r="32" spans="3:12" s="16" customFormat="1" ht="15.75" customHeight="1" x14ac:dyDescent="0.25">
      <c r="C32" s="12" t="str">
        <f>OneDollar</f>
        <v>Bill 32 Rate</v>
      </c>
      <c r="D32" s="26"/>
      <c r="E32" s="72">
        <f>E31</f>
        <v>12</v>
      </c>
      <c r="F32" s="12">
        <f>$E32*F11</f>
        <v>12</v>
      </c>
      <c r="G32" s="12"/>
      <c r="H32" s="12">
        <f>$E32*H11</f>
        <v>12</v>
      </c>
      <c r="I32" s="12"/>
      <c r="J32" s="12">
        <f t="shared" si="0"/>
        <v>0</v>
      </c>
      <c r="K32" s="12"/>
      <c r="L32" s="55">
        <f t="shared" si="1"/>
        <v>0</v>
      </c>
    </row>
    <row r="33" spans="3:12" s="16" customFormat="1" ht="15.75" customHeight="1" x14ac:dyDescent="0.25">
      <c r="C33" s="12" t="s">
        <v>86</v>
      </c>
      <c r="D33" s="26"/>
      <c r="E33" s="72">
        <v>0</v>
      </c>
      <c r="F33" s="12">
        <f>F12*$E33/100</f>
        <v>0</v>
      </c>
      <c r="G33" s="12"/>
      <c r="H33" s="12">
        <f>H12*$E33/100</f>
        <v>0</v>
      </c>
      <c r="I33" s="12"/>
      <c r="J33" s="12">
        <f t="shared" si="0"/>
        <v>0</v>
      </c>
      <c r="K33" s="12"/>
      <c r="L33" s="55" t="e">
        <f t="shared" si="1"/>
        <v>#DIV/0!</v>
      </c>
    </row>
    <row r="34" spans="3:12" s="16" customFormat="1" ht="15.75" customHeight="1" x14ac:dyDescent="0.25">
      <c r="C34" s="12" t="s">
        <v>87</v>
      </c>
      <c r="D34" s="26"/>
      <c r="E34" s="72">
        <v>0</v>
      </c>
      <c r="F34" s="12">
        <f>F13*$E34/100</f>
        <v>0</v>
      </c>
      <c r="G34" s="12"/>
      <c r="H34" s="12">
        <f>H13*$E34/100</f>
        <v>0</v>
      </c>
      <c r="I34" s="12"/>
      <c r="J34" s="12">
        <f t="shared" si="0"/>
        <v>0</v>
      </c>
      <c r="K34" s="12"/>
      <c r="L34" s="55" t="e">
        <f t="shared" si="1"/>
        <v>#DIV/0!</v>
      </c>
    </row>
    <row r="35" spans="3:12" s="16" customFormat="1" ht="15.75" customHeight="1" x14ac:dyDescent="0.25">
      <c r="C35" s="12" t="s">
        <v>88</v>
      </c>
      <c r="D35" s="26"/>
      <c r="E35" s="72">
        <v>0</v>
      </c>
      <c r="F35" s="12">
        <f>F14*$E35/100</f>
        <v>0</v>
      </c>
      <c r="G35" s="12"/>
      <c r="H35" s="12">
        <f>H14*$E35/100</f>
        <v>0</v>
      </c>
      <c r="I35" s="12"/>
      <c r="J35" s="12">
        <f t="shared" si="0"/>
        <v>0</v>
      </c>
      <c r="K35" s="12"/>
      <c r="L35" s="55" t="e">
        <f t="shared" si="1"/>
        <v>#DIV/0!</v>
      </c>
    </row>
    <row r="36" spans="3:12" s="16" customFormat="1" ht="15.75" customHeight="1" thickBot="1" x14ac:dyDescent="0.3">
      <c r="C36" s="12" t="s">
        <v>64</v>
      </c>
      <c r="D36" s="26"/>
      <c r="E36" s="72">
        <v>50000</v>
      </c>
      <c r="F36" s="12">
        <f>F15*$E36/100*$E$31</f>
        <v>644898.30155999993</v>
      </c>
      <c r="G36" s="12"/>
      <c r="H36" s="12">
        <f>H15*$E36/100*$E$31</f>
        <v>657215.85911979584</v>
      </c>
      <c r="I36" s="12"/>
      <c r="J36" s="12">
        <f t="shared" si="0"/>
        <v>12317.55755979591</v>
      </c>
      <c r="K36" s="12"/>
      <c r="L36" s="55">
        <f t="shared" si="1"/>
        <v>1.9099999999999864E-2</v>
      </c>
    </row>
    <row r="37" spans="3:12" s="16" customFormat="1" ht="15.75" customHeight="1" thickTop="1" x14ac:dyDescent="0.25">
      <c r="C37" s="12" t="s">
        <v>128</v>
      </c>
      <c r="D37" s="26"/>
      <c r="E37" s="82">
        <v>0</v>
      </c>
      <c r="F37" s="12">
        <f>F16*$E37/100</f>
        <v>0</v>
      </c>
      <c r="G37" s="12"/>
      <c r="H37" s="12">
        <f>H16*$E37/100</f>
        <v>0</v>
      </c>
      <c r="I37" s="12"/>
      <c r="J37" s="12">
        <f t="shared" si="0"/>
        <v>0</v>
      </c>
      <c r="K37" s="12"/>
      <c r="L37" s="55" t="e">
        <f t="shared" si="1"/>
        <v>#DIV/0!</v>
      </c>
    </row>
    <row r="38" spans="3:12" s="16" customFormat="1" ht="15.75" customHeight="1" x14ac:dyDescent="0.25">
      <c r="C38" s="12" t="s">
        <v>101</v>
      </c>
      <c r="D38" s="26"/>
      <c r="E38" s="12">
        <f>$E$36</f>
        <v>50000</v>
      </c>
      <c r="F38" s="12">
        <f>F17*$E38/100*$E$31</f>
        <v>85460.4</v>
      </c>
      <c r="G38" s="12"/>
      <c r="H38" s="12">
        <f>H17*$E38/100*$E$31</f>
        <v>85460.4</v>
      </c>
      <c r="I38" s="12"/>
      <c r="J38" s="12">
        <f t="shared" si="0"/>
        <v>0</v>
      </c>
      <c r="K38" s="12"/>
      <c r="L38" s="55">
        <f t="shared" si="1"/>
        <v>0</v>
      </c>
    </row>
    <row r="39" spans="3:12" s="16" customFormat="1" ht="15.75" customHeight="1" x14ac:dyDescent="0.25">
      <c r="C39" s="12" t="s">
        <v>99</v>
      </c>
      <c r="D39" s="26"/>
      <c r="E39" s="12">
        <f>$E$36</f>
        <v>50000</v>
      </c>
      <c r="F39" s="12">
        <f>F18*$E39/100*$E$31</f>
        <v>109799.40000000001</v>
      </c>
      <c r="G39" s="12"/>
      <c r="H39" s="12">
        <f>H18*$E39/100*$E$31</f>
        <v>109799.40000000001</v>
      </c>
      <c r="I39" s="12"/>
      <c r="J39" s="12">
        <f t="shared" si="0"/>
        <v>0</v>
      </c>
      <c r="K39" s="12"/>
      <c r="L39" s="55">
        <f t="shared" si="1"/>
        <v>0</v>
      </c>
    </row>
    <row r="40" spans="3:12" s="16" customFormat="1" ht="15.75" customHeight="1" x14ac:dyDescent="0.25">
      <c r="C40" s="12" t="s">
        <v>104</v>
      </c>
      <c r="D40" s="26"/>
      <c r="E40" s="4">
        <v>0</v>
      </c>
      <c r="F40" s="12">
        <f>F19*$E40/100*$E$31</f>
        <v>0</v>
      </c>
      <c r="G40" s="12"/>
      <c r="H40" s="12">
        <f>H19*$E40/100*$E$31</f>
        <v>0</v>
      </c>
      <c r="I40" s="12"/>
      <c r="J40" s="12">
        <f t="shared" si="0"/>
        <v>0</v>
      </c>
      <c r="K40" s="12"/>
      <c r="L40" s="55" t="e">
        <f t="shared" si="1"/>
        <v>#DIV/0!</v>
      </c>
    </row>
    <row r="41" spans="3:12" s="16" customFormat="1" ht="15.75" customHeight="1" x14ac:dyDescent="0.25">
      <c r="C41" s="12" t="s">
        <v>100</v>
      </c>
      <c r="D41" s="26"/>
      <c r="E41" s="4">
        <v>0</v>
      </c>
      <c r="F41" s="12">
        <f>F20*$E41/100*$E$31</f>
        <v>0</v>
      </c>
      <c r="G41" s="12"/>
      <c r="H41" s="12">
        <f>H20*$E41/100*$E$31</f>
        <v>0</v>
      </c>
      <c r="I41" s="12"/>
      <c r="J41" s="12">
        <f t="shared" si="0"/>
        <v>0</v>
      </c>
      <c r="K41" s="12"/>
      <c r="L41" s="55" t="e">
        <f t="shared" si="1"/>
        <v>#DIV/0!</v>
      </c>
    </row>
    <row r="42" spans="3:12" s="16" customFormat="1" ht="15.75" customHeight="1" thickBot="1" x14ac:dyDescent="0.3">
      <c r="C42" s="12" t="s">
        <v>82</v>
      </c>
      <c r="D42" s="26"/>
      <c r="E42" s="12">
        <f>$E$36</f>
        <v>50000</v>
      </c>
      <c r="F42" s="12">
        <f>$E42*F21/100*$E$31</f>
        <v>58739.999999999985</v>
      </c>
      <c r="G42" s="12"/>
      <c r="H42" s="12">
        <f>$E42*H21/100*$E$31</f>
        <v>58739.999999999985</v>
      </c>
      <c r="I42" s="12"/>
      <c r="J42" s="12">
        <f t="shared" si="0"/>
        <v>0</v>
      </c>
      <c r="K42" s="12"/>
      <c r="L42" s="55">
        <f t="shared" si="1"/>
        <v>0</v>
      </c>
    </row>
    <row r="43" spans="3:12" s="16" customFormat="1" ht="15.75" customHeight="1" thickTop="1" x14ac:dyDescent="0.25">
      <c r="C43" s="77" t="s">
        <v>15</v>
      </c>
      <c r="D43" s="26"/>
      <c r="E43" s="26"/>
      <c r="F43" s="74">
        <f>SUM(F31:F42)</f>
        <v>917819.50205999997</v>
      </c>
      <c r="G43" s="26"/>
      <c r="H43" s="74">
        <f>SUM(H31:H42)</f>
        <v>930498.22916934593</v>
      </c>
      <c r="I43" s="26"/>
      <c r="J43" s="74">
        <f>SUM(J31:J42)</f>
        <v>12678.727109345909</v>
      </c>
      <c r="K43" s="26"/>
      <c r="L43" s="78">
        <f t="shared" si="1"/>
        <v>1.3813965688121837E-2</v>
      </c>
    </row>
    <row r="44" spans="3:12" s="16" customFormat="1" ht="15.75" customHeight="1" x14ac:dyDescent="0.2"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3:12" s="16" customFormat="1" ht="15.75" customHeight="1" x14ac:dyDescent="0.25">
      <c r="C45" s="77" t="s">
        <v>22</v>
      </c>
      <c r="D45" s="26"/>
      <c r="E45" s="84" t="s">
        <v>14</v>
      </c>
      <c r="F45" s="84" t="s">
        <v>7</v>
      </c>
      <c r="G45" s="84"/>
      <c r="H45" s="84" t="s">
        <v>12</v>
      </c>
      <c r="I45" s="84"/>
      <c r="J45" s="84" t="s">
        <v>16</v>
      </c>
      <c r="K45" s="84"/>
      <c r="L45" s="84" t="s">
        <v>17</v>
      </c>
    </row>
    <row r="46" spans="3:12" s="16" customFormat="1" ht="15.75" customHeight="1" x14ac:dyDescent="0.25">
      <c r="C46" s="12" t="s">
        <v>65</v>
      </c>
      <c r="D46" s="26"/>
      <c r="E46" s="12">
        <f>E31</f>
        <v>12</v>
      </c>
      <c r="F46" s="12">
        <f>$E$46*$E36*$F24/100</f>
        <v>360.6</v>
      </c>
      <c r="G46" s="12"/>
      <c r="H46" s="12">
        <f>$E$46*$E36*$H24/100</f>
        <v>360.6</v>
      </c>
      <c r="I46" s="12"/>
      <c r="J46" s="12">
        <f>H46-F46</f>
        <v>0</v>
      </c>
      <c r="K46" s="12"/>
      <c r="L46" s="55">
        <f>J46/F46</f>
        <v>0</v>
      </c>
    </row>
    <row r="47" spans="3:12" s="16" customFormat="1" ht="15.75" customHeight="1" x14ac:dyDescent="0.25">
      <c r="C47" s="12" t="str">
        <f>'F1.3 Rate Riders'!$E$16</f>
        <v>ECVA Rate Rider</v>
      </c>
      <c r="D47" s="26"/>
      <c r="E47" s="12">
        <f>E46</f>
        <v>12</v>
      </c>
      <c r="F47" s="12">
        <f>$E$46*$E42*$F25/100</f>
        <v>0</v>
      </c>
      <c r="G47" s="12"/>
      <c r="H47" s="12">
        <f>$E$46*$E42*$H25/100</f>
        <v>0</v>
      </c>
      <c r="I47" s="12"/>
      <c r="J47" s="12">
        <f t="shared" ref="J47:J50" si="2">H47-F47</f>
        <v>0</v>
      </c>
      <c r="K47" s="12"/>
      <c r="L47" s="55" t="e">
        <f t="shared" ref="L47:L50" si="3">J47/F47</f>
        <v>#DIV/0!</v>
      </c>
    </row>
    <row r="48" spans="3:12" s="16" customFormat="1" ht="15.75" customHeight="1" x14ac:dyDescent="0.25">
      <c r="C48" s="12" t="str">
        <f>'C1.1 Current Rate Riders'!E35</f>
        <v>EFVA Rate Rider</v>
      </c>
      <c r="D48" s="26"/>
      <c r="E48" s="12">
        <f>E46</f>
        <v>12</v>
      </c>
      <c r="F48" s="12">
        <f>$E$46*$E38*$F26/100</f>
        <v>4778.3999999999996</v>
      </c>
      <c r="G48" s="12"/>
      <c r="H48" s="12">
        <f>$E$46*$E37*$H26/100</f>
        <v>0</v>
      </c>
      <c r="I48" s="12"/>
      <c r="J48" s="12">
        <f t="shared" ref="J48" si="4">H48-F48</f>
        <v>-4778.3999999999996</v>
      </c>
      <c r="K48" s="12"/>
      <c r="L48" s="55">
        <f t="shared" ref="L48" si="5">J48/F48</f>
        <v>-1</v>
      </c>
    </row>
    <row r="49" spans="3:12" s="16" customFormat="1" ht="15.75" customHeight="1" x14ac:dyDescent="0.25">
      <c r="C49" s="12" t="str">
        <f>'F1.3 Rate Riders'!$E$25</f>
        <v>CIACVA Rate Rider</v>
      </c>
      <c r="D49" s="26"/>
      <c r="E49" s="12">
        <f>E47</f>
        <v>12</v>
      </c>
      <c r="F49" s="12">
        <f>$E$46*$E38*$F27/100</f>
        <v>5761.8</v>
      </c>
      <c r="G49" s="12"/>
      <c r="H49" s="12">
        <f>$E$46*$E38*$H27/100</f>
        <v>27186.367545635803</v>
      </c>
      <c r="I49" s="12"/>
      <c r="J49" s="12">
        <f t="shared" si="2"/>
        <v>21424.567545635804</v>
      </c>
      <c r="K49" s="12"/>
      <c r="L49" s="55">
        <f t="shared" si="3"/>
        <v>3.7183809826158152</v>
      </c>
    </row>
    <row r="50" spans="3:12" s="16" customFormat="1" ht="15.75" customHeight="1" thickBot="1" x14ac:dyDescent="0.3">
      <c r="C50" s="12" t="str">
        <f>'F1.3 Rate Riders'!$E$34</f>
        <v>MTVA Rate Rider</v>
      </c>
      <c r="D50" s="26"/>
      <c r="E50" s="12">
        <f t="shared" ref="E50" si="6">E49</f>
        <v>12</v>
      </c>
      <c r="F50" s="12">
        <f>$E$46*$E39*$F28/100</f>
        <v>0</v>
      </c>
      <c r="G50" s="12"/>
      <c r="H50" s="12">
        <f t="shared" ref="H50" si="7">$E$46*$E39*$H28/100</f>
        <v>-25106.258543280102</v>
      </c>
      <c r="I50" s="12"/>
      <c r="J50" s="12">
        <f t="shared" si="2"/>
        <v>-25106.258543280102</v>
      </c>
      <c r="K50" s="12"/>
      <c r="L50" s="55" t="e">
        <f t="shared" si="3"/>
        <v>#DIV/0!</v>
      </c>
    </row>
    <row r="51" spans="3:12" s="16" customFormat="1" ht="15.75" customHeight="1" thickTop="1" x14ac:dyDescent="0.25">
      <c r="C51" s="77" t="s">
        <v>24</v>
      </c>
      <c r="D51" s="26"/>
      <c r="E51" s="26"/>
      <c r="F51" s="74">
        <f>SUM(F46:F50)</f>
        <v>10900.8</v>
      </c>
      <c r="G51" s="74">
        <f t="shared" ref="G51:J51" si="8">SUM(G46:G50)</f>
        <v>0</v>
      </c>
      <c r="H51" s="74">
        <f t="shared" si="8"/>
        <v>2440.7090023556993</v>
      </c>
      <c r="I51" s="74">
        <f t="shared" si="8"/>
        <v>0</v>
      </c>
      <c r="J51" s="74">
        <f t="shared" si="8"/>
        <v>-8460.0909976442963</v>
      </c>
      <c r="K51" s="26"/>
      <c r="L51" s="78">
        <f>J51/F51</f>
        <v>-0.77609817606453624</v>
      </c>
    </row>
    <row r="52" spans="3:12" s="16" customFormat="1" ht="15.75" customHeight="1" thickBot="1" x14ac:dyDescent="0.25">
      <c r="C52" s="25"/>
      <c r="D52" s="26"/>
      <c r="E52" s="26"/>
      <c r="F52" s="26"/>
      <c r="G52" s="26"/>
      <c r="H52" s="26"/>
      <c r="I52" s="26"/>
      <c r="J52" s="26"/>
      <c r="K52" s="26"/>
      <c r="L52" s="26"/>
    </row>
    <row r="53" spans="3:12" s="16" customFormat="1" ht="15.75" customHeight="1" thickTop="1" x14ac:dyDescent="0.25">
      <c r="C53" s="77" t="s">
        <v>25</v>
      </c>
      <c r="D53" s="26"/>
      <c r="E53" s="26"/>
      <c r="F53" s="74">
        <f>F43+F51</f>
        <v>928720.30206000002</v>
      </c>
      <c r="G53" s="26"/>
      <c r="H53" s="74">
        <f>H43+H51</f>
        <v>932938.93817170162</v>
      </c>
      <c r="I53" s="26"/>
      <c r="J53" s="74">
        <f>J43+J51</f>
        <v>4218.6361117016131</v>
      </c>
      <c r="K53" s="26"/>
      <c r="L53" s="78">
        <f>J53/F53</f>
        <v>4.5424183172740286E-3</v>
      </c>
    </row>
    <row r="54" spans="3:12" s="16" customFormat="1" ht="15.75" customHeight="1" x14ac:dyDescent="0.25">
      <c r="D54" s="40"/>
    </row>
  </sheetData>
  <sheetProtection algorithmName="SHA-512" hashValue="MghkEiPFuSjR3m601AcR5XPOBD9wBp2NRbmStzHSJjr93g07Z1oLSQ00l5lgH/FNP0Av4Lp4jFiCc4BV1OrkeA==" saltValue="W3wnZRj2+JPBNrCsvK93SQ==" spinCount="100000" sheet="1" objects="1" scenarios="1"/>
  <pageMargins left="0.70866141732283505" right="0.70866141732283505" top="0.74803149606299202" bottom="0.74803149606299202" header="0.31496062992126" footer="0.31496062992126"/>
  <pageSetup scale="5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C1:M18"/>
  <sheetViews>
    <sheetView showGridLines="0" workbookViewId="0">
      <selection activeCell="C17" sqref="C17"/>
    </sheetView>
  </sheetViews>
  <sheetFormatPr defaultRowHeight="15" x14ac:dyDescent="0.25"/>
  <cols>
    <col min="1" max="2" width="4.7109375" customWidth="1"/>
    <col min="3" max="3" width="9.7109375" customWidth="1"/>
    <col min="4" max="4" width="24" customWidth="1"/>
    <col min="5" max="5" width="12.85546875" bestFit="1" customWidth="1"/>
    <col min="6" max="6" width="10.7109375" hidden="1" customWidth="1"/>
    <col min="7" max="7" width="16.140625" customWidth="1"/>
    <col min="8" max="8" width="11.42578125" style="23" customWidth="1"/>
    <col min="9" max="9" width="18.28515625" style="23" hidden="1" customWidth="1"/>
    <col min="10" max="10" width="17.140625" style="23" hidden="1" customWidth="1"/>
    <col min="11" max="11" width="14.42578125" style="23" hidden="1" customWidth="1"/>
    <col min="12" max="12" width="12.140625" customWidth="1"/>
    <col min="13" max="13" width="12.85546875" customWidth="1"/>
  </cols>
  <sheetData>
    <row r="1" spans="3:13" ht="15.75" x14ac:dyDescent="0.25">
      <c r="C1" s="17"/>
    </row>
    <row r="2" spans="3:13" ht="18" x14ac:dyDescent="0.25">
      <c r="C2" s="18" t="str">
        <f>'A1.1 Distributor Information'!C3</f>
        <v>Name of LDC:       EPCOR Natural Gas Limited Partnership</v>
      </c>
    </row>
    <row r="3" spans="3:13" ht="18" x14ac:dyDescent="0.25">
      <c r="C3" s="18" t="str">
        <f>'A1.1 Distributor Information'!C4</f>
        <v>OEB Application Number:  EB-2022-0184  Exhibit A - 2023 Custom Incentive Application</v>
      </c>
    </row>
    <row r="5" spans="3:13" ht="20.25" x14ac:dyDescent="0.3">
      <c r="C5" s="7" t="s">
        <v>27</v>
      </c>
    </row>
    <row r="7" spans="3:13" x14ac:dyDescent="0.25">
      <c r="C7" t="str">
        <f ca="1">MID(CELL("filename",A1),FIND("]",CELL("filename",A1))+1,255)</f>
        <v>G1.7 Summary of Bill Impacts</v>
      </c>
    </row>
    <row r="8" spans="3:13" s="118" customFormat="1" ht="39" customHeight="1" x14ac:dyDescent="0.25">
      <c r="C8" s="89" t="s">
        <v>28</v>
      </c>
      <c r="D8" s="89"/>
      <c r="E8" s="89" t="s">
        <v>31</v>
      </c>
      <c r="F8" s="89" t="str">
        <f>OneDollar</f>
        <v>Bill 32 Rate</v>
      </c>
      <c r="G8" s="89" t="s">
        <v>30</v>
      </c>
      <c r="H8" s="89" t="s">
        <v>22</v>
      </c>
      <c r="I8" s="89" t="s">
        <v>101</v>
      </c>
      <c r="J8" s="89" t="s">
        <v>102</v>
      </c>
      <c r="K8" s="89" t="s">
        <v>83</v>
      </c>
      <c r="L8" s="89" t="s">
        <v>96</v>
      </c>
      <c r="M8" s="89" t="s">
        <v>32</v>
      </c>
    </row>
    <row r="9" spans="3:13" s="12" customFormat="1" x14ac:dyDescent="0.25">
      <c r="C9" s="5"/>
      <c r="D9" s="5"/>
      <c r="E9" s="85" t="s">
        <v>95</v>
      </c>
      <c r="F9" s="85" t="s">
        <v>95</v>
      </c>
      <c r="G9" s="85" t="s">
        <v>95</v>
      </c>
      <c r="H9" s="85" t="s">
        <v>95</v>
      </c>
      <c r="I9" s="85" t="s">
        <v>95</v>
      </c>
      <c r="J9" s="85" t="s">
        <v>95</v>
      </c>
      <c r="K9" s="85" t="s">
        <v>95</v>
      </c>
      <c r="L9" s="85" t="s">
        <v>95</v>
      </c>
      <c r="M9" s="85"/>
    </row>
    <row r="10" spans="3:13" x14ac:dyDescent="0.25">
      <c r="C10" s="43" t="s">
        <v>40</v>
      </c>
      <c r="D10" s="43" t="s">
        <v>41</v>
      </c>
      <c r="E10" s="86">
        <f>'G1.1 Rate 1 Bill Impact'!J31</f>
        <v>6.0216336215999604</v>
      </c>
      <c r="F10" s="86">
        <f>'G1.1 Rate 1 Bill Impact'!J32</f>
        <v>0</v>
      </c>
      <c r="G10" s="86">
        <f>SUM('G1.1 Rate 1 Bill Impact'!J33:J36)</f>
        <v>11.432281293240408</v>
      </c>
      <c r="H10" s="86">
        <f>'G1.1 Rate 1 Bill Impact'!J49</f>
        <v>-12.984988257536529</v>
      </c>
      <c r="I10" s="86">
        <f>'G1.1 Rate 1 Bill Impact'!J38</f>
        <v>0</v>
      </c>
      <c r="J10" s="86">
        <f>'G1.1 Rate 1 Bill Impact'!J39</f>
        <v>0</v>
      </c>
      <c r="K10" s="86">
        <f>'G1.1 Rate 1 Bill Impact'!J40</f>
        <v>0</v>
      </c>
      <c r="L10" s="66">
        <f>SUM(E10:K10)</f>
        <v>4.4689266573038395</v>
      </c>
      <c r="M10" s="98">
        <f>'G1.1 Rate 1 Bill Impact'!L51</f>
        <v>2.3041837315177188E-3</v>
      </c>
    </row>
    <row r="11" spans="3:13" x14ac:dyDescent="0.25">
      <c r="C11" s="43" t="s">
        <v>40</v>
      </c>
      <c r="D11" s="43" t="s">
        <v>42</v>
      </c>
      <c r="E11" s="86">
        <f>'G1.1 Rate 1 Bill Impact'!J75</f>
        <v>6.0216336215999604</v>
      </c>
      <c r="F11" s="86">
        <f>'G1.1 Rate 1 Bill Impact'!J76</f>
        <v>0</v>
      </c>
      <c r="G11" s="86">
        <f>SUM('G1.1 Rate 1 Bill Impact'!J77:J78)</f>
        <v>10.993965510081352</v>
      </c>
      <c r="H11" s="86">
        <f>'G1.1 Rate 1 Bill Impact'!J93</f>
        <v>-12.48347405308072</v>
      </c>
      <c r="I11" s="86">
        <f>'G1.1 Rate 1 Bill Impact'!J82</f>
        <v>0</v>
      </c>
      <c r="J11" s="86">
        <f>'G1.1 Rate 1 Bill Impact'!J83</f>
        <v>0</v>
      </c>
      <c r="K11" s="86">
        <f>'G1.1 Rate 1 Bill Impact'!J84</f>
        <v>0</v>
      </c>
      <c r="L11" s="66">
        <f t="shared" ref="L11:L18" si="0">SUM(E11:K11)</f>
        <v>4.5321250786005933</v>
      </c>
      <c r="M11" s="98">
        <f>'G1.1 Rate 1 Bill Impact'!L95</f>
        <v>2.4140630263585474E-3</v>
      </c>
    </row>
    <row r="12" spans="3:13" x14ac:dyDescent="0.25">
      <c r="C12" s="43" t="s">
        <v>40</v>
      </c>
      <c r="D12" s="43" t="s">
        <v>43</v>
      </c>
      <c r="E12" s="86">
        <f>'G1.1 Rate 1 Bill Impact'!J118</f>
        <v>6.0216336215999604</v>
      </c>
      <c r="F12" s="86">
        <f>'G1.1 Rate 1 Bill Impact'!J119</f>
        <v>0</v>
      </c>
      <c r="G12" s="86">
        <f>SUM('G1.1 Rate 1 Bill Impact'!J120:J123)</f>
        <v>24.702432327999929</v>
      </c>
      <c r="H12" s="86">
        <f>'G1.1 Rate 1 Bill Impact'!J136</f>
        <v>-28.356700741097654</v>
      </c>
      <c r="I12" s="86">
        <f>'G1.1 Rate 1 Bill Impact'!J125</f>
        <v>0</v>
      </c>
      <c r="J12" s="86">
        <f>'G1.1 Rate 1 Bill Impact'!J126</f>
        <v>0</v>
      </c>
      <c r="K12" s="86">
        <f>'G1.1 Rate 1 Bill Impact'!J127</f>
        <v>0</v>
      </c>
      <c r="L12" s="66">
        <f t="shared" si="0"/>
        <v>2.3673652085022354</v>
      </c>
      <c r="M12" s="98">
        <f>'G1.1 Rate 1 Bill Impact'!L138</f>
        <v>6.1742743381216299E-4</v>
      </c>
    </row>
    <row r="13" spans="3:13" x14ac:dyDescent="0.25">
      <c r="C13" s="43" t="s">
        <v>40</v>
      </c>
      <c r="D13" s="43" t="s">
        <v>44</v>
      </c>
      <c r="E13" s="86">
        <f>'G1.1 Rate 1 Bill Impact'!J161</f>
        <v>6.0216336215999604</v>
      </c>
      <c r="F13" s="86">
        <f>'G1.1 Rate 1 Bill Impact'!J162</f>
        <v>0</v>
      </c>
      <c r="G13" s="86">
        <f>SUM('G1.1 Rate 1 Bill Impact'!J163:J166)</f>
        <v>24.842090011487869</v>
      </c>
      <c r="H13" s="86">
        <f>'G1.1 Rate 1 Bill Impact'!J179</f>
        <v>-28.519843916041168</v>
      </c>
      <c r="I13" s="86">
        <f>'G1.1 Rate 1 Bill Impact'!J168</f>
        <v>0</v>
      </c>
      <c r="J13" s="86">
        <f>'G1.1 Rate 1 Bill Impact'!J169</f>
        <v>0</v>
      </c>
      <c r="K13" s="86">
        <f>'G1.1 Rate 1 Bill Impact'!J170</f>
        <v>0</v>
      </c>
      <c r="L13" s="66">
        <f t="shared" si="0"/>
        <v>2.3438797170466614</v>
      </c>
      <c r="M13" s="98">
        <f>'G1.1 Rate 1 Bill Impact'!L181</f>
        <v>6.0812261992425191E-4</v>
      </c>
    </row>
    <row r="14" spans="3:13" x14ac:dyDescent="0.25">
      <c r="C14" s="43" t="s">
        <v>45</v>
      </c>
      <c r="D14" s="43" t="s">
        <v>46</v>
      </c>
      <c r="E14" s="86">
        <f>'G1.2 Rate 6 Bill Impact'!J29</f>
        <v>24.560697257999891</v>
      </c>
      <c r="F14" s="86">
        <f>'G1.2 Rate 6 Bill Impact'!J30</f>
        <v>0</v>
      </c>
      <c r="G14" s="86">
        <f>SUM('G1.2 Rate 6 Bill Impact'!J31:J34)</f>
        <v>125.10154936551771</v>
      </c>
      <c r="H14" s="86">
        <f>'G1.2 Rate 6 Bill Impact'!J47</f>
        <v>-268.42274941884182</v>
      </c>
      <c r="I14" s="86">
        <f>'G1.2 Rate 6 Bill Impact'!J36</f>
        <v>0</v>
      </c>
      <c r="J14" s="86">
        <f>'G1.2 Rate 6 Bill Impact'!J37</f>
        <v>0</v>
      </c>
      <c r="K14" s="86">
        <f>'G1.2 Rate 6 Bill Impact'!J38</f>
        <v>0</v>
      </c>
      <c r="L14" s="66">
        <f t="shared" si="0"/>
        <v>-118.76050279532421</v>
      </c>
      <c r="M14" s="98">
        <f>'G1.2 Rate 6 Bill Impact'!L49</f>
        <v>-5.4923898631705501E-3</v>
      </c>
    </row>
    <row r="15" spans="3:13" x14ac:dyDescent="0.25">
      <c r="C15" s="43" t="s">
        <v>45</v>
      </c>
      <c r="D15" s="43" t="s">
        <v>47</v>
      </c>
      <c r="E15" s="86">
        <f>'G1.2 Rate 6 Bill Impact'!J73</f>
        <v>24.560697257999891</v>
      </c>
      <c r="F15" s="86">
        <f>'G1.2 Rate 6 Bill Impact'!J74</f>
        <v>0</v>
      </c>
      <c r="G15" s="86">
        <f>SUM('G1.2 Rate 6 Bill Impact'!J75:J78)</f>
        <v>338.48459724038685</v>
      </c>
      <c r="H15" s="86">
        <f>'G1.2 Rate 6 Bill Impact'!J91</f>
        <v>-754.30051571548029</v>
      </c>
      <c r="I15" s="86">
        <f>'G1.2 Rate 6 Bill Impact'!J80</f>
        <v>0</v>
      </c>
      <c r="J15" s="86">
        <f>'G1.2 Rate 6 Bill Impact'!J81</f>
        <v>0</v>
      </c>
      <c r="K15" s="86">
        <f>'G1.2 Rate 6 Bill Impact'!J82</f>
        <v>0</v>
      </c>
      <c r="L15" s="66">
        <f t="shared" si="0"/>
        <v>-391.25522121709355</v>
      </c>
      <c r="M15" s="98">
        <f>'G1.2 Rate 6 Bill Impact'!L93</f>
        <v>-6.7774374702298818E-3</v>
      </c>
    </row>
    <row r="16" spans="3:13" x14ac:dyDescent="0.25">
      <c r="C16" s="43" t="s">
        <v>48</v>
      </c>
      <c r="D16" s="43" t="s">
        <v>49</v>
      </c>
      <c r="E16" s="86">
        <f>'G1.3 Rate 11 Bill Impact'!J29</f>
        <v>49.119058738799595</v>
      </c>
      <c r="F16" s="86">
        <f>'G1.3 Rate 11 Bill Impact'!J30</f>
        <v>0</v>
      </c>
      <c r="G16" s="86">
        <f>SUM('G1.3 Rate 11 Bill Impact'!J31:J34)</f>
        <v>312.70876347913145</v>
      </c>
      <c r="H16" s="86">
        <f>'G1.3 Rate 11 Bill Impact'!J47</f>
        <v>188.1427253162019</v>
      </c>
      <c r="I16" s="86">
        <f>'G1.3 Rate 11 Bill Impact'!J36</f>
        <v>0</v>
      </c>
      <c r="J16" s="86">
        <f>'G1.3 Rate 11 Bill Impact'!J37</f>
        <v>0</v>
      </c>
      <c r="K16" s="86">
        <f>'G1.3 Rate 11 Bill Impact'!J38</f>
        <v>0</v>
      </c>
      <c r="L16" s="66">
        <f t="shared" si="0"/>
        <v>549.97054753413295</v>
      </c>
      <c r="M16" s="98">
        <f>'G1.3 Rate 11 Bill Impact'!L49</f>
        <v>8.7979632358181781E-3</v>
      </c>
    </row>
    <row r="17" spans="3:13" x14ac:dyDescent="0.25">
      <c r="C17" s="43" t="s">
        <v>48</v>
      </c>
      <c r="D17" s="43" t="s">
        <v>50</v>
      </c>
      <c r="E17" s="86">
        <f>'G1.3 Rate 11 Bill Impact'!J72</f>
        <v>49.119058738799595</v>
      </c>
      <c r="F17" s="86">
        <f>'G1.3 Rate 11 Bill Impact'!J73</f>
        <v>0</v>
      </c>
      <c r="G17" s="86">
        <f>SUM('G1.3 Rate 11 Bill Impact'!J74:J77)</f>
        <v>1042.3625449304382</v>
      </c>
      <c r="H17" s="86">
        <f>'G1.3 Rate 11 Bill Impact'!J90</f>
        <v>627.14241772067544</v>
      </c>
      <c r="I17" s="86">
        <f>'G1.3 Rate 11 Bill Impact'!J79</f>
        <v>0</v>
      </c>
      <c r="J17" s="86">
        <f>'G1.3 Rate 11 Bill Impact'!J80</f>
        <v>0</v>
      </c>
      <c r="K17" s="86">
        <f>'G1.3 Rate 11 Bill Impact'!J81</f>
        <v>0</v>
      </c>
      <c r="L17" s="66">
        <f t="shared" si="0"/>
        <v>1718.6240213899132</v>
      </c>
      <c r="M17" s="98">
        <f>'G1.3 Rate 11 Bill Impact'!L92</f>
        <v>9.419805939095454E-3</v>
      </c>
    </row>
    <row r="18" spans="3:13" x14ac:dyDescent="0.25">
      <c r="C18" s="43" t="s">
        <v>51</v>
      </c>
      <c r="D18" s="43" t="s">
        <v>64</v>
      </c>
      <c r="E18" s="86">
        <f>'G1.4 Rate 16 Bill Impact'!J31</f>
        <v>361.16954954999892</v>
      </c>
      <c r="F18" s="86">
        <f>'G1.4 Rate 16 Bill Impact'!J32</f>
        <v>0</v>
      </c>
      <c r="G18" s="86">
        <f>SUM('G1.4 Rate 16 Bill Impact'!J33:J36)</f>
        <v>12317.55755979591</v>
      </c>
      <c r="H18" s="86">
        <f>'G1.4 Rate 16 Bill Impact'!J51</f>
        <v>-8460.0909976442963</v>
      </c>
      <c r="I18" s="86">
        <f>'G1.4 Rate 16 Bill Impact'!J38</f>
        <v>0</v>
      </c>
      <c r="J18" s="86">
        <f>SUM('G1.4 Rate 16 Bill Impact'!J39:J41)</f>
        <v>0</v>
      </c>
      <c r="K18" s="86">
        <f>'G1.4 Rate 16 Bill Impact'!J42</f>
        <v>0</v>
      </c>
      <c r="L18" s="66">
        <f t="shared" si="0"/>
        <v>4218.6361117016131</v>
      </c>
      <c r="M18" s="98">
        <f>'G1.4 Rate 16 Bill Impact'!L53</f>
        <v>4.5424183172740286E-3</v>
      </c>
    </row>
  </sheetData>
  <sheetProtection algorithmName="SHA-512" hashValue="i8QoWPlfU7avaQ1zcQYldW0m0NH+oYTCOOrfjAXcKZcQsK3bCBilY9N9hCIXQIcTGltjZ/+jFOPOCTx40zvoMA==" saltValue="wySFX5Cx2pTV0XPIx8UhyQ==" spinCount="100000" sheet="1" objects="1" scenarios="1"/>
  <pageMargins left="0.70866141732283505" right="0.70866141732283505" top="0.74803149606299202" bottom="0.74803149606299202" header="0.31496062992126" footer="0.31496062992126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U44"/>
  <sheetViews>
    <sheetView showGridLines="0" zoomScale="70" zoomScaleNormal="70" workbookViewId="0">
      <selection activeCell="C17" sqref="C17"/>
    </sheetView>
  </sheetViews>
  <sheetFormatPr defaultColWidth="0" defaultRowHeight="15" zeroHeight="1" x14ac:dyDescent="0.25"/>
  <cols>
    <col min="1" max="1" width="1" style="13" customWidth="1"/>
    <col min="2" max="2" width="0.28515625" style="13" customWidth="1"/>
    <col min="3" max="3" width="11.42578125" style="13" customWidth="1"/>
    <col min="4" max="4" width="34.28515625" style="13" customWidth="1"/>
    <col min="5" max="5" width="12.42578125" style="13" customWidth="1"/>
    <col min="6" max="6" width="15.42578125" style="13" customWidth="1"/>
    <col min="7" max="8" width="12" style="13" customWidth="1"/>
    <col min="9" max="9" width="12.28515625" style="13" customWidth="1"/>
    <col min="10" max="10" width="19.5703125" style="13" customWidth="1"/>
    <col min="11" max="11" width="14.7109375" style="13" customWidth="1"/>
    <col min="12" max="12" width="22.28515625" style="13" customWidth="1"/>
    <col min="13" max="13" width="22.85546875" style="13" customWidth="1"/>
    <col min="14" max="14" width="24" style="13" customWidth="1"/>
    <col min="15" max="15" width="25.7109375" style="13" customWidth="1"/>
    <col min="16" max="16" width="23" style="13" customWidth="1"/>
    <col min="17" max="17" width="17.5703125" style="13" customWidth="1"/>
    <col min="18" max="18" width="1.7109375" style="13" customWidth="1"/>
    <col min="19" max="19" width="17" style="13" hidden="1" customWidth="1"/>
    <col min="20" max="20" width="10.7109375" style="13" hidden="1" customWidth="1"/>
    <col min="21" max="21" width="2.7109375" style="13" hidden="1" customWidth="1"/>
    <col min="22" max="16384" width="0" style="13" hidden="1"/>
  </cols>
  <sheetData>
    <row r="1" spans="1:20" ht="15.75" x14ac:dyDescent="0.25">
      <c r="A1" s="34"/>
      <c r="B1" s="34"/>
      <c r="C1" s="17"/>
      <c r="D1" s="34"/>
      <c r="E1" s="40"/>
      <c r="F1" s="34"/>
      <c r="G1" s="34"/>
      <c r="H1" s="34"/>
      <c r="I1" s="34"/>
      <c r="J1" s="34"/>
      <c r="K1" s="34"/>
      <c r="L1" s="40"/>
      <c r="M1" s="40"/>
      <c r="N1" s="40"/>
      <c r="O1" s="40"/>
      <c r="P1" s="40"/>
      <c r="Q1" s="34"/>
      <c r="R1" s="34"/>
      <c r="S1" s="34"/>
      <c r="T1" s="34"/>
    </row>
    <row r="2" spans="1:20" s="34" customFormat="1" ht="18" x14ac:dyDescent="0.25">
      <c r="C2" s="18" t="str">
        <f>'A1.1 Distributor Information'!C3</f>
        <v>Name of LDC:       EPCOR Natural Gas Limited Partnership</v>
      </c>
      <c r="E2" s="40"/>
      <c r="L2" s="40"/>
      <c r="M2" s="40"/>
      <c r="N2" s="40"/>
      <c r="O2" s="40"/>
      <c r="P2" s="40"/>
    </row>
    <row r="3" spans="1:20" s="34" customFormat="1" ht="18" x14ac:dyDescent="0.25">
      <c r="C3" s="18" t="str">
        <f>'A1.1 Distributor Information'!C4</f>
        <v>OEB Application Number:  EB-2022-0184  Exhibit A - 2023 Custom Incentive Application</v>
      </c>
      <c r="E3" s="40"/>
      <c r="L3" s="40"/>
      <c r="M3" s="40"/>
      <c r="N3" s="40"/>
      <c r="O3" s="40"/>
      <c r="P3" s="40"/>
    </row>
    <row r="4" spans="1:20" s="34" customFormat="1" x14ac:dyDescent="0.25">
      <c r="E4" s="40"/>
      <c r="L4" s="40"/>
      <c r="M4" s="40"/>
      <c r="N4" s="40"/>
      <c r="O4" s="40"/>
      <c r="P4" s="40"/>
    </row>
    <row r="5" spans="1:20" s="34" customFormat="1" ht="20.25" x14ac:dyDescent="0.3">
      <c r="C5" s="7" t="s">
        <v>19</v>
      </c>
      <c r="E5" s="40"/>
      <c r="L5" s="40"/>
      <c r="M5" s="40"/>
      <c r="N5" s="40"/>
      <c r="O5" s="40"/>
      <c r="P5" s="40"/>
    </row>
    <row r="6" spans="1:20" s="40" customFormat="1" ht="20.25" x14ac:dyDescent="0.3">
      <c r="C6" s="7"/>
    </row>
    <row r="7" spans="1:20" x14ac:dyDescent="0.25">
      <c r="C7" s="106"/>
      <c r="D7" s="106"/>
      <c r="E7" s="107" t="s">
        <v>131</v>
      </c>
      <c r="F7" s="106"/>
      <c r="G7" s="119" t="s">
        <v>130</v>
      </c>
      <c r="H7" s="119"/>
      <c r="I7" s="119"/>
      <c r="J7" s="107" t="s">
        <v>130</v>
      </c>
      <c r="K7" s="106"/>
      <c r="L7" s="106"/>
      <c r="M7" s="106"/>
      <c r="N7" s="106"/>
      <c r="O7" s="106"/>
      <c r="P7" s="106"/>
      <c r="Q7" s="106"/>
    </row>
    <row r="8" spans="1:20" ht="30" x14ac:dyDescent="0.25">
      <c r="C8" s="108" t="s">
        <v>28</v>
      </c>
      <c r="D8" s="109"/>
      <c r="E8" s="109" t="s">
        <v>132</v>
      </c>
      <c r="F8" s="109" t="str">
        <f>OneDollar</f>
        <v>Bill 32 Rate</v>
      </c>
      <c r="G8" s="110" t="s">
        <v>86</v>
      </c>
      <c r="H8" s="110" t="s">
        <v>87</v>
      </c>
      <c r="I8" s="110" t="s">
        <v>88</v>
      </c>
      <c r="J8" s="109" t="s">
        <v>129</v>
      </c>
      <c r="K8" s="109" t="s">
        <v>128</v>
      </c>
      <c r="L8" s="108" t="s">
        <v>101</v>
      </c>
      <c r="M8" s="108" t="s">
        <v>102</v>
      </c>
      <c r="N8" s="108" t="s">
        <v>103</v>
      </c>
      <c r="O8" s="108" t="s">
        <v>104</v>
      </c>
      <c r="P8" s="108" t="s">
        <v>100</v>
      </c>
      <c r="Q8" s="108" t="s">
        <v>82</v>
      </c>
    </row>
    <row r="9" spans="1:20" s="100" customFormat="1" x14ac:dyDescent="0.2">
      <c r="C9" s="111"/>
      <c r="D9" s="111"/>
      <c r="E9" s="111" t="s">
        <v>121</v>
      </c>
      <c r="F9" s="111" t="s">
        <v>122</v>
      </c>
      <c r="G9" s="111" t="s">
        <v>133</v>
      </c>
      <c r="H9" s="111" t="s">
        <v>133</v>
      </c>
      <c r="I9" s="111" t="s">
        <v>133</v>
      </c>
      <c r="J9" s="112" t="s">
        <v>134</v>
      </c>
      <c r="K9" s="111" t="s">
        <v>135</v>
      </c>
      <c r="L9" s="111" t="s">
        <v>97</v>
      </c>
      <c r="M9" s="111" t="s">
        <v>135</v>
      </c>
      <c r="N9" s="112" t="s">
        <v>134</v>
      </c>
      <c r="O9" s="112" t="s">
        <v>134</v>
      </c>
      <c r="P9" s="112" t="s">
        <v>134</v>
      </c>
      <c r="Q9" s="111" t="s">
        <v>133</v>
      </c>
    </row>
    <row r="10" spans="1:20" x14ac:dyDescent="0.25">
      <c r="C10" s="43" t="s">
        <v>40</v>
      </c>
      <c r="D10" s="43" t="s">
        <v>53</v>
      </c>
      <c r="E10" s="4">
        <v>26.272397999999999</v>
      </c>
      <c r="F10" s="4">
        <v>1</v>
      </c>
      <c r="G10" s="3">
        <v>28.148561099999995</v>
      </c>
      <c r="H10" s="3">
        <v>27.594068789999994</v>
      </c>
      <c r="I10" s="3">
        <v>26.77899261</v>
      </c>
      <c r="J10" s="99"/>
      <c r="K10" s="3">
        <v>30.3706</v>
      </c>
      <c r="L10" s="3">
        <v>1.474</v>
      </c>
      <c r="M10" s="3">
        <v>2.6981999999999999</v>
      </c>
      <c r="N10" s="99"/>
      <c r="O10" s="99"/>
      <c r="P10" s="99"/>
      <c r="Q10" s="3">
        <v>9.7899999999999991</v>
      </c>
    </row>
    <row r="11" spans="1:20" x14ac:dyDescent="0.25">
      <c r="C11" s="43" t="s">
        <v>45</v>
      </c>
      <c r="D11" s="43" t="s">
        <v>54</v>
      </c>
      <c r="E11" s="4">
        <v>107.15836499999999</v>
      </c>
      <c r="F11" s="4">
        <v>1</v>
      </c>
      <c r="G11" s="3">
        <v>25.967789009999997</v>
      </c>
      <c r="H11" s="3">
        <v>23.371020299999998</v>
      </c>
      <c r="I11" s="3">
        <v>22.202316419999999</v>
      </c>
      <c r="J11" s="99"/>
      <c r="K11" s="3">
        <v>30.3706</v>
      </c>
      <c r="L11" s="3">
        <v>2.92</v>
      </c>
      <c r="M11" s="3">
        <v>5.6413000000000002</v>
      </c>
      <c r="N11" s="99"/>
      <c r="O11" s="99"/>
      <c r="P11" s="99"/>
      <c r="Q11" s="3">
        <v>9.7899999999999991</v>
      </c>
    </row>
    <row r="12" spans="1:20" x14ac:dyDescent="0.25">
      <c r="C12" s="43" t="s">
        <v>48</v>
      </c>
      <c r="D12" s="43" t="s">
        <v>55</v>
      </c>
      <c r="E12" s="4">
        <v>214.30653899999996</v>
      </c>
      <c r="F12" s="4">
        <v>1</v>
      </c>
      <c r="G12" s="3">
        <v>16.130314799999997</v>
      </c>
      <c r="H12" s="3">
        <v>16.130314799999997</v>
      </c>
      <c r="I12" s="3">
        <v>16.130314799999997</v>
      </c>
      <c r="J12" s="99"/>
      <c r="K12" s="3">
        <v>30.3706</v>
      </c>
      <c r="L12" s="3">
        <v>3.5200000000000002E-2</v>
      </c>
      <c r="M12" s="3">
        <v>1.8166</v>
      </c>
      <c r="N12" s="99"/>
      <c r="O12" s="99"/>
      <c r="P12" s="99"/>
      <c r="Q12" s="3">
        <v>9.7899999999999991</v>
      </c>
    </row>
    <row r="13" spans="1:20" x14ac:dyDescent="0.25">
      <c r="C13" s="43" t="s">
        <v>51</v>
      </c>
      <c r="D13" s="43" t="s">
        <v>52</v>
      </c>
      <c r="E13" s="4">
        <v>1575.7833749999998</v>
      </c>
      <c r="F13" s="4">
        <v>1</v>
      </c>
      <c r="G13" s="99"/>
      <c r="H13" s="99"/>
      <c r="I13" s="99"/>
      <c r="J13" s="3">
        <v>107.48305025999998</v>
      </c>
      <c r="K13" s="99"/>
      <c r="L13" s="3">
        <v>14.243399999999999</v>
      </c>
      <c r="M13" s="99"/>
      <c r="N13" s="3">
        <v>18.299900000000001</v>
      </c>
      <c r="O13" s="3">
        <v>11.848000000000001</v>
      </c>
      <c r="P13" s="3">
        <v>11.848000000000001</v>
      </c>
      <c r="Q13" s="3">
        <v>9.7899999999999991</v>
      </c>
    </row>
    <row r="14" spans="1:20" x14ac:dyDescent="0.25">
      <c r="C14" s="88" t="s">
        <v>98</v>
      </c>
      <c r="E14"/>
      <c r="F14"/>
      <c r="G14"/>
      <c r="H14"/>
      <c r="I14"/>
      <c r="J14"/>
      <c r="K14"/>
      <c r="L14" s="12"/>
      <c r="M14" s="12"/>
      <c r="N14" s="12"/>
      <c r="O14" s="12"/>
      <c r="P14" s="12"/>
    </row>
    <row r="15" spans="1:20" x14ac:dyDescent="0.25">
      <c r="C15" s="94"/>
      <c r="D15"/>
      <c r="E15"/>
      <c r="F15"/>
      <c r="G15"/>
      <c r="H15"/>
      <c r="I15"/>
      <c r="J15"/>
      <c r="K15"/>
      <c r="L15" s="12"/>
      <c r="M15" s="12"/>
      <c r="N15" s="12"/>
      <c r="O15" s="12"/>
      <c r="P15" s="12"/>
    </row>
    <row r="16" spans="1:20" x14ac:dyDescent="0.25">
      <c r="C16"/>
      <c r="D16"/>
      <c r="E16"/>
      <c r="F16"/>
      <c r="G16"/>
      <c r="H16"/>
      <c r="I16"/>
      <c r="J16"/>
      <c r="K16"/>
      <c r="N16" s="12"/>
      <c r="O16" s="12"/>
      <c r="P16" s="12"/>
    </row>
    <row r="17" spans="2:16" x14ac:dyDescent="0.25">
      <c r="C17"/>
      <c r="D17"/>
      <c r="E17"/>
      <c r="F17"/>
      <c r="G17"/>
      <c r="H17"/>
      <c r="I17"/>
      <c r="J17"/>
      <c r="K17"/>
      <c r="L17" s="12"/>
      <c r="M17" s="12"/>
      <c r="N17" s="12"/>
      <c r="O17" s="12"/>
      <c r="P17" s="12"/>
    </row>
    <row r="18" spans="2:16" x14ac:dyDescent="0.25">
      <c r="C18" t="s">
        <v>84</v>
      </c>
      <c r="D18" s="50" t="s">
        <v>85</v>
      </c>
      <c r="E18"/>
      <c r="F18"/>
      <c r="G18"/>
      <c r="H18"/>
      <c r="I18"/>
      <c r="J18"/>
      <c r="K18"/>
      <c r="L18" s="12"/>
      <c r="M18" s="55"/>
      <c r="N18" s="12"/>
      <c r="O18" s="12"/>
      <c r="P18" s="12"/>
    </row>
    <row r="19" spans="2:16" hidden="1" x14ac:dyDescent="0.25">
      <c r="B19"/>
      <c r="C19"/>
      <c r="D19"/>
      <c r="E19"/>
      <c r="F19"/>
      <c r="G19"/>
      <c r="H19"/>
      <c r="I19"/>
      <c r="J19"/>
    </row>
    <row r="20" spans="2:16" hidden="1" x14ac:dyDescent="0.25">
      <c r="B20"/>
      <c r="C20"/>
      <c r="D20"/>
      <c r="E20"/>
      <c r="F20"/>
      <c r="G20"/>
      <c r="H20"/>
      <c r="I20"/>
      <c r="J20"/>
    </row>
    <row r="21" spans="2:16" hidden="1" x14ac:dyDescent="0.25">
      <c r="B21"/>
      <c r="C21"/>
      <c r="D21"/>
      <c r="E21"/>
      <c r="F21"/>
      <c r="G21"/>
      <c r="H21"/>
      <c r="I21"/>
      <c r="J21"/>
    </row>
    <row r="22" spans="2:16" hidden="1" x14ac:dyDescent="0.25"/>
    <row r="23" spans="2:16" hidden="1" x14ac:dyDescent="0.25"/>
    <row r="24" spans="2:16" hidden="1" x14ac:dyDescent="0.25"/>
    <row r="25" spans="2:16" hidden="1" x14ac:dyDescent="0.25"/>
    <row r="26" spans="2:16" hidden="1" x14ac:dyDescent="0.25"/>
    <row r="27" spans="2:16" hidden="1" x14ac:dyDescent="0.25">
      <c r="B27"/>
      <c r="C27"/>
      <c r="D27"/>
      <c r="E27"/>
      <c r="F27"/>
      <c r="G27"/>
      <c r="H27"/>
      <c r="I27"/>
      <c r="J27"/>
    </row>
    <row r="28" spans="2:16" hidden="1" x14ac:dyDescent="0.25">
      <c r="B28" s="42"/>
      <c r="C28" s="42"/>
      <c r="D28" s="42"/>
      <c r="E28" s="42"/>
      <c r="F28"/>
      <c r="G28"/>
      <c r="H28"/>
      <c r="I28"/>
      <c r="J28"/>
    </row>
    <row r="29" spans="2:16" hidden="1" x14ac:dyDescent="0.25">
      <c r="B29"/>
      <c r="C29"/>
      <c r="D29"/>
      <c r="E29"/>
      <c r="F29"/>
      <c r="G29"/>
      <c r="H29"/>
      <c r="I29"/>
      <c r="J29"/>
    </row>
    <row r="30" spans="2:16" hidden="1" x14ac:dyDescent="0.25">
      <c r="B30"/>
      <c r="C30"/>
      <c r="D30"/>
      <c r="E30"/>
      <c r="F30"/>
      <c r="G30"/>
      <c r="H30"/>
      <c r="I30"/>
      <c r="J30"/>
    </row>
    <row r="31" spans="2:16" hidden="1" x14ac:dyDescent="0.25">
      <c r="B31"/>
      <c r="C31"/>
      <c r="D31"/>
      <c r="E31"/>
      <c r="F31"/>
      <c r="G31"/>
      <c r="H31"/>
      <c r="I31"/>
      <c r="J31"/>
    </row>
    <row r="32" spans="2:16" hidden="1" x14ac:dyDescent="0.25">
      <c r="B32" s="45"/>
      <c r="C32"/>
      <c r="D32"/>
      <c r="E32"/>
      <c r="F32"/>
      <c r="G32"/>
      <c r="H32"/>
      <c r="I32"/>
      <c r="J32"/>
    </row>
    <row r="33" spans="2:10" hidden="1" x14ac:dyDescent="0.25">
      <c r="B33"/>
      <c r="C33"/>
      <c r="D33"/>
      <c r="E33"/>
      <c r="F33"/>
      <c r="G33"/>
      <c r="H33"/>
      <c r="I33"/>
      <c r="J33"/>
    </row>
    <row r="34" spans="2:10" hidden="1" x14ac:dyDescent="0.25">
      <c r="B34"/>
      <c r="C34"/>
      <c r="D34"/>
      <c r="E34"/>
      <c r="F34"/>
      <c r="G34"/>
      <c r="H34"/>
      <c r="I34"/>
      <c r="J34"/>
    </row>
    <row r="35" spans="2:10" hidden="1" x14ac:dyDescent="0.25">
      <c r="B35"/>
      <c r="C35"/>
      <c r="D35"/>
      <c r="E35"/>
      <c r="F35"/>
      <c r="G35"/>
      <c r="H35"/>
      <c r="I35"/>
      <c r="J35"/>
    </row>
    <row r="36" spans="2:10" hidden="1" x14ac:dyDescent="0.25">
      <c r="B36"/>
      <c r="C36"/>
      <c r="D36"/>
      <c r="E36"/>
      <c r="F36"/>
      <c r="G36"/>
      <c r="H36"/>
      <c r="I36"/>
      <c r="J36"/>
    </row>
    <row r="37" spans="2:10" hidden="1" x14ac:dyDescent="0.25">
      <c r="B37" s="45"/>
      <c r="C37"/>
      <c r="D37"/>
      <c r="E37"/>
      <c r="F37"/>
      <c r="G37"/>
      <c r="H37"/>
      <c r="I37"/>
      <c r="J37"/>
    </row>
    <row r="38" spans="2:10" hidden="1" x14ac:dyDescent="0.25">
      <c r="B38"/>
      <c r="C38"/>
      <c r="D38"/>
      <c r="E38"/>
      <c r="F38"/>
      <c r="G38"/>
      <c r="H38"/>
      <c r="I38"/>
      <c r="J38"/>
    </row>
    <row r="39" spans="2:10" hidden="1" x14ac:dyDescent="0.25">
      <c r="B39"/>
      <c r="C39"/>
      <c r="D39"/>
      <c r="E39"/>
      <c r="F39"/>
      <c r="G39"/>
      <c r="H39"/>
      <c r="I39"/>
      <c r="J39"/>
    </row>
    <row r="40" spans="2:10" hidden="1" x14ac:dyDescent="0.25">
      <c r="B40"/>
      <c r="C40"/>
      <c r="D40"/>
      <c r="E40"/>
      <c r="F40"/>
      <c r="G40"/>
      <c r="H40"/>
      <c r="I40"/>
      <c r="J40"/>
    </row>
    <row r="41" spans="2:10" x14ac:dyDescent="0.25"/>
    <row r="42" spans="2:10" x14ac:dyDescent="0.25"/>
    <row r="43" spans="2:10" x14ac:dyDescent="0.25"/>
    <row r="44" spans="2:10" x14ac:dyDescent="0.25"/>
  </sheetData>
  <sheetProtection algorithmName="SHA-512" hashValue="d3bMbnI3rj4NykdbsdnuRzjSFRKrpUpRuLCqQGrXUlFHRnPh3IZG+QW91SrAzWR4BFrCLRHXmDt8IfYf+ym1+Q==" saltValue="WpgiglRvbiHwPylSIryssQ==" spinCount="100000" sheet="1" objects="1" scenarios="1"/>
  <mergeCells count="1">
    <mergeCell ref="G7:I7"/>
  </mergeCells>
  <pageMargins left="0.70866141732283505" right="0.70866141732283505" top="0.74803149606299202" bottom="0.74803149606299202" header="0.31496062992126" footer="0.31496062992126"/>
  <pageSetup scale="4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O16"/>
  <sheetViews>
    <sheetView showGridLines="0" zoomScale="80" zoomScaleNormal="80" workbookViewId="0">
      <selection activeCell="C17" sqref="C17"/>
    </sheetView>
  </sheetViews>
  <sheetFormatPr defaultColWidth="0" defaultRowHeight="15" zeroHeight="1" x14ac:dyDescent="0.25"/>
  <cols>
    <col min="1" max="2" width="5.7109375" style="13" customWidth="1"/>
    <col min="3" max="3" width="22" style="13" customWidth="1"/>
    <col min="4" max="4" width="40.28515625" style="13" customWidth="1"/>
    <col min="5" max="5" width="17.140625" style="13" customWidth="1"/>
    <col min="6" max="7" width="13.85546875" style="13" customWidth="1"/>
    <col min="8" max="8" width="15.140625" style="13" customWidth="1"/>
    <col min="9" max="9" width="17.42578125" style="13" customWidth="1"/>
    <col min="10" max="10" width="15.28515625" style="13" customWidth="1"/>
    <col min="11" max="11" width="15.7109375" style="13" customWidth="1"/>
    <col min="12" max="12" width="12.28515625" style="13" hidden="1" customWidth="1"/>
    <col min="13" max="14" width="15" style="13" hidden="1" customWidth="1"/>
    <col min="15" max="15" width="2.7109375" style="13" hidden="1" customWidth="1"/>
    <col min="16" max="16384" width="0" style="13" hidden="1"/>
  </cols>
  <sheetData>
    <row r="1" spans="1:14" ht="15.75" x14ac:dyDescent="0.25">
      <c r="A1" s="34"/>
      <c r="B1" s="34"/>
      <c r="C1" s="17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s="34" customFormat="1" ht="18" x14ac:dyDescent="0.25">
      <c r="C2" s="18" t="str">
        <f>'A1.1 Distributor Information'!C3</f>
        <v>Name of LDC:       EPCOR Natural Gas Limited Partnership</v>
      </c>
    </row>
    <row r="3" spans="1:14" s="34" customFormat="1" ht="18" x14ac:dyDescent="0.25">
      <c r="C3" s="18" t="str">
        <f>'A1.1 Distributor Information'!C4</f>
        <v>OEB Application Number:  EB-2022-0184  Exhibit A - 2023 Custom Incentive Application</v>
      </c>
    </row>
    <row r="4" spans="1:14" s="34" customFormat="1" x14ac:dyDescent="0.25"/>
    <row r="5" spans="1:14" ht="20.25" x14ac:dyDescent="0.3">
      <c r="C5" s="7" t="s">
        <v>10</v>
      </c>
    </row>
    <row r="6" spans="1:14" ht="20.25" x14ac:dyDescent="0.3">
      <c r="C6" s="7"/>
    </row>
    <row r="7" spans="1:14" ht="12.75" customHeight="1" x14ac:dyDescent="0.3">
      <c r="C7" s="113"/>
      <c r="D7" s="114"/>
      <c r="E7" s="107" t="s">
        <v>139</v>
      </c>
      <c r="F7" s="120" t="s">
        <v>130</v>
      </c>
      <c r="G7" s="120"/>
      <c r="H7" s="120"/>
      <c r="I7" s="107" t="s">
        <v>130</v>
      </c>
      <c r="J7" s="114"/>
    </row>
    <row r="8" spans="1:14" x14ac:dyDescent="0.25">
      <c r="C8" s="109" t="s">
        <v>28</v>
      </c>
      <c r="D8" s="109"/>
      <c r="E8" s="109" t="s">
        <v>132</v>
      </c>
      <c r="F8" s="109" t="s">
        <v>86</v>
      </c>
      <c r="G8" s="109" t="s">
        <v>87</v>
      </c>
      <c r="H8" s="109" t="s">
        <v>88</v>
      </c>
      <c r="I8" s="109" t="s">
        <v>129</v>
      </c>
      <c r="J8" s="109" t="s">
        <v>128</v>
      </c>
    </row>
    <row r="9" spans="1:14" x14ac:dyDescent="0.25">
      <c r="C9" s="43" t="s">
        <v>40</v>
      </c>
      <c r="D9" s="43" t="s">
        <v>53</v>
      </c>
      <c r="E9" s="8">
        <v>4887</v>
      </c>
      <c r="F9" s="8">
        <v>3391849</v>
      </c>
      <c r="G9" s="8">
        <v>1847677</v>
      </c>
      <c r="H9" s="8">
        <v>263269</v>
      </c>
      <c r="I9" s="8"/>
      <c r="J9" s="8">
        <v>5502795</v>
      </c>
    </row>
    <row r="10" spans="1:14" x14ac:dyDescent="0.25">
      <c r="C10" s="43" t="s">
        <v>45</v>
      </c>
      <c r="D10" s="43" t="s">
        <v>54</v>
      </c>
      <c r="E10" s="8">
        <v>35</v>
      </c>
      <c r="F10" s="8">
        <v>287896</v>
      </c>
      <c r="G10" s="8">
        <v>903329</v>
      </c>
      <c r="H10" s="8">
        <v>890107</v>
      </c>
      <c r="I10" s="8"/>
      <c r="J10" s="8">
        <v>2081331</v>
      </c>
    </row>
    <row r="11" spans="1:14" x14ac:dyDescent="0.25">
      <c r="C11" s="43" t="s">
        <v>48</v>
      </c>
      <c r="D11" s="43" t="s">
        <v>55</v>
      </c>
      <c r="E11" s="8">
        <v>7</v>
      </c>
      <c r="F11" s="8"/>
      <c r="G11" s="8"/>
      <c r="H11" s="8">
        <v>1313149</v>
      </c>
      <c r="I11" s="8"/>
      <c r="J11" s="8">
        <v>1313149</v>
      </c>
    </row>
    <row r="12" spans="1:14" x14ac:dyDescent="0.25">
      <c r="C12" s="43" t="s">
        <v>51</v>
      </c>
      <c r="D12" s="43" t="s">
        <v>52</v>
      </c>
      <c r="E12" s="8">
        <v>3</v>
      </c>
      <c r="F12" s="8"/>
      <c r="G12" s="8"/>
      <c r="H12" s="8"/>
      <c r="I12" s="8">
        <v>95824</v>
      </c>
      <c r="J12" s="8">
        <v>0</v>
      </c>
    </row>
    <row r="13" spans="1:14" x14ac:dyDescent="0.25"/>
    <row r="14" spans="1:14" x14ac:dyDescent="0.25"/>
    <row r="15" spans="1:14" x14ac:dyDescent="0.25"/>
    <row r="16" spans="1:14" x14ac:dyDescent="0.25"/>
  </sheetData>
  <sheetProtection algorithmName="SHA-512" hashValue="4vLPx6zNy0UP/H4Nl5rVhf4VvOJMjRseMInyCWY2Yjk0aBI45OVu5EsmzOYzOy3QdH0Hpd0Rg2qKs42FSMdQrQ==" saltValue="80vtFJ85Koaq9K1H1iAmgA==" spinCount="100000" sheet="1" objects="1" scenarios="1"/>
  <mergeCells count="1">
    <mergeCell ref="F7:H7"/>
  </mergeCells>
  <pageMargins left="0.70866141732283505" right="0.70866141732283505" top="0.74803149606299202" bottom="0.74803149606299202" header="0.31496062992126" footer="0.31496062992126"/>
  <pageSetup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T26"/>
  <sheetViews>
    <sheetView showGridLines="0" zoomScale="85" zoomScaleNormal="85" workbookViewId="0">
      <selection activeCell="C17" sqref="C17"/>
    </sheetView>
  </sheetViews>
  <sheetFormatPr defaultColWidth="0" defaultRowHeight="15" zeroHeight="1" x14ac:dyDescent="0.25"/>
  <cols>
    <col min="1" max="2" width="4.5703125" style="13" customWidth="1"/>
    <col min="3" max="3" width="22.7109375" style="13" customWidth="1"/>
    <col min="4" max="4" width="44.28515625" style="13" customWidth="1"/>
    <col min="5" max="5" width="15.42578125" style="13" customWidth="1"/>
    <col min="6" max="6" width="11.5703125" style="13" bestFit="1" customWidth="1"/>
    <col min="7" max="7" width="10.28515625" style="13" customWidth="1"/>
    <col min="8" max="8" width="9.7109375" style="13" customWidth="1"/>
    <col min="9" max="9" width="7.7109375" style="13" bestFit="1" customWidth="1"/>
    <col min="10" max="10" width="14.42578125" style="13" customWidth="1"/>
    <col min="11" max="11" width="11.28515625" style="13" bestFit="1" customWidth="1"/>
    <col min="12" max="12" width="18.85546875" style="13" bestFit="1" customWidth="1"/>
    <col min="13" max="13" width="16.7109375" style="13" bestFit="1" customWidth="1"/>
    <col min="14" max="14" width="19.140625" style="13" customWidth="1"/>
    <col min="15" max="15" width="9.28515625" style="13" bestFit="1" customWidth="1"/>
    <col min="16" max="16" width="7.85546875" style="13" customWidth="1"/>
    <col min="17" max="18" width="12.42578125" style="13" hidden="1" customWidth="1"/>
    <col min="19" max="19" width="11.5703125" style="13" hidden="1" customWidth="1"/>
    <col min="20" max="20" width="2.7109375" style="13" hidden="1" customWidth="1"/>
    <col min="21" max="16384" width="0" style="13" hidden="1"/>
  </cols>
  <sheetData>
    <row r="1" spans="1:19" ht="15.75" x14ac:dyDescent="0.25">
      <c r="A1" s="34"/>
      <c r="B1" s="34"/>
      <c r="C1" s="17"/>
      <c r="D1" s="34"/>
      <c r="E1" s="34"/>
      <c r="F1" s="34"/>
      <c r="G1" s="34"/>
      <c r="H1" s="34"/>
      <c r="I1" s="34"/>
      <c r="J1" s="34"/>
      <c r="K1" s="34"/>
      <c r="L1" s="40"/>
      <c r="M1" s="40"/>
      <c r="N1" s="40"/>
      <c r="O1" s="40"/>
      <c r="P1" s="34"/>
      <c r="Q1" s="34"/>
      <c r="R1" s="34"/>
      <c r="S1" s="34"/>
    </row>
    <row r="2" spans="1:19" s="34" customFormat="1" ht="18" x14ac:dyDescent="0.25">
      <c r="C2" s="18" t="str">
        <f>'A1.1 Distributor Information'!C3</f>
        <v>Name of LDC:       EPCOR Natural Gas Limited Partnership</v>
      </c>
      <c r="L2" s="40"/>
      <c r="M2" s="40"/>
      <c r="N2" s="40"/>
      <c r="O2" s="40"/>
    </row>
    <row r="3" spans="1:19" s="34" customFormat="1" ht="18" x14ac:dyDescent="0.25">
      <c r="C3" s="18" t="str">
        <f>'A1.1 Distributor Information'!C4</f>
        <v>OEB Application Number:  EB-2022-0184  Exhibit A - 2023 Custom Incentive Application</v>
      </c>
      <c r="L3" s="40"/>
      <c r="M3" s="40"/>
      <c r="N3" s="40"/>
      <c r="O3" s="40"/>
    </row>
    <row r="4" spans="1:19" s="34" customFormat="1" x14ac:dyDescent="0.25">
      <c r="L4" s="40"/>
      <c r="M4" s="40"/>
      <c r="N4" s="40"/>
      <c r="O4" s="40"/>
    </row>
    <row r="5" spans="1:19" s="34" customFormat="1" x14ac:dyDescent="0.25">
      <c r="L5" s="40"/>
      <c r="M5" s="40"/>
      <c r="N5" s="40"/>
      <c r="O5" s="40"/>
    </row>
    <row r="6" spans="1:19" s="34" customFormat="1" ht="20.25" x14ac:dyDescent="0.3">
      <c r="C6" s="7" t="s">
        <v>74</v>
      </c>
      <c r="L6" s="40"/>
      <c r="M6" s="40"/>
      <c r="N6" s="40"/>
      <c r="O6" s="40"/>
    </row>
    <row r="7" spans="1:19" x14ac:dyDescent="0.25"/>
    <row r="8" spans="1:19" x14ac:dyDescent="0.25">
      <c r="C8" s="13" t="s">
        <v>91</v>
      </c>
      <c r="D8" s="6">
        <v>12</v>
      </c>
    </row>
    <row r="9" spans="1:19" x14ac:dyDescent="0.25"/>
    <row r="10" spans="1:19" x14ac:dyDescent="0.25"/>
    <row r="11" spans="1:19" x14ac:dyDescent="0.25">
      <c r="C11" s="114"/>
      <c r="D11" s="114"/>
      <c r="E11" s="107" t="s">
        <v>136</v>
      </c>
      <c r="F11" s="114"/>
      <c r="G11" s="120" t="s">
        <v>130</v>
      </c>
      <c r="H11" s="120"/>
      <c r="I11" s="120"/>
      <c r="J11" s="107" t="s">
        <v>138</v>
      </c>
      <c r="K11" s="114"/>
      <c r="L11" s="114"/>
      <c r="M11" s="114"/>
      <c r="N11" s="114"/>
      <c r="O11" s="114"/>
    </row>
    <row r="12" spans="1:19" ht="30" x14ac:dyDescent="0.25">
      <c r="C12" s="109" t="s">
        <v>28</v>
      </c>
      <c r="D12" s="109"/>
      <c r="E12" s="109" t="s">
        <v>37</v>
      </c>
      <c r="F12" s="109" t="str">
        <f>OneDollar</f>
        <v>Bill 32 Rate</v>
      </c>
      <c r="G12" s="109" t="s">
        <v>86</v>
      </c>
      <c r="H12" s="109" t="s">
        <v>87</v>
      </c>
      <c r="I12" s="109" t="s">
        <v>88</v>
      </c>
      <c r="J12" s="108" t="s">
        <v>137</v>
      </c>
      <c r="K12" s="109" t="s">
        <v>128</v>
      </c>
      <c r="L12" s="108" t="s">
        <v>101</v>
      </c>
      <c r="M12" s="108" t="s">
        <v>102</v>
      </c>
      <c r="N12" s="108" t="s">
        <v>82</v>
      </c>
      <c r="O12" s="109" t="s">
        <v>1</v>
      </c>
    </row>
    <row r="13" spans="1:19" x14ac:dyDescent="0.25"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 t="s">
        <v>97</v>
      </c>
      <c r="N13" s="109"/>
      <c r="O13" s="109"/>
    </row>
    <row r="14" spans="1:19" x14ac:dyDescent="0.25">
      <c r="C14" s="43" t="s">
        <v>40</v>
      </c>
      <c r="D14" s="43" t="s">
        <v>53</v>
      </c>
      <c r="E14" s="90">
        <f>'B1.2 Billing Determinants'!E9*'B1.1 Current Distribution Rates'!E10*$D$8</f>
        <v>1540718.508312</v>
      </c>
      <c r="F14" s="9">
        <f>'B1.1 Current Distribution Rates'!F10*'B1.2 Billing Determinants'!E9*$D$8</f>
        <v>58644</v>
      </c>
      <c r="G14" s="90">
        <f>'B1.2 Billing Determinants'!F9*'B1.1 Current Distribution Rates'!G10/100</f>
        <v>954756.68818473874</v>
      </c>
      <c r="H14" s="90">
        <f>'B1.2 Billing Determinants'!G9*'B1.1 Current Distribution Rates'!H10/100</f>
        <v>509849.26239700819</v>
      </c>
      <c r="I14" s="90">
        <f>'B1.2 Billing Determinants'!H9*'B1.1 Current Distribution Rates'!I10/100</f>
        <v>70500.786054420896</v>
      </c>
      <c r="J14" s="9">
        <f>'B1.2 Billing Determinants'!I9*'B1.1 Current Distribution Rates'!J10/100*$D$8</f>
        <v>0</v>
      </c>
      <c r="K14" s="9">
        <f>'B1.2 Billing Determinants'!J9*'B1.1 Current Distribution Rates'!K10/100</f>
        <v>1671231.85827</v>
      </c>
      <c r="L14" s="9">
        <f>'B1.1 Current Distribution Rates'!L10*'B1.2 Billing Determinants'!$J9/100</f>
        <v>81111.198300000004</v>
      </c>
      <c r="M14" s="11">
        <f>'B1.1 Current Distribution Rates'!M10*'B1.2 Billing Determinants'!$J9/100</f>
        <v>148476.41469000001</v>
      </c>
      <c r="N14" s="9">
        <f>'B1.1 Current Distribution Rates'!Q10*'B1.2 Billing Determinants'!J9/100</f>
        <v>538723.63049999997</v>
      </c>
      <c r="O14" s="44">
        <f>SUM(E14:N14)</f>
        <v>5574012.3467081673</v>
      </c>
    </row>
    <row r="15" spans="1:19" x14ac:dyDescent="0.25">
      <c r="C15" s="43" t="s">
        <v>45</v>
      </c>
      <c r="D15" s="43" t="s">
        <v>54</v>
      </c>
      <c r="E15" s="90">
        <f>'B1.2 Billing Determinants'!E10*'B1.1 Current Distribution Rates'!E11*$D$8</f>
        <v>45006.513299999991</v>
      </c>
      <c r="F15" s="9">
        <f>'B1.1 Current Distribution Rates'!F11*'B1.2 Billing Determinants'!E10*$D$8</f>
        <v>420</v>
      </c>
      <c r="G15" s="90">
        <f>'B1.2 Billing Determinants'!F10*'B1.1 Current Distribution Rates'!G11/100</f>
        <v>74760.225848229587</v>
      </c>
      <c r="H15" s="90">
        <f>'B1.2 Billing Determinants'!G10*'B1.1 Current Distribution Rates'!H11/100</f>
        <v>211117.20396578699</v>
      </c>
      <c r="I15" s="90">
        <f>'B1.2 Billing Determinants'!H10*'B1.1 Current Distribution Rates'!I11/100</f>
        <v>197624.3726165694</v>
      </c>
      <c r="J15" s="9">
        <f>'B1.2 Billing Determinants'!I10*'B1.1 Current Distribution Rates'!J11/100*$D$8</f>
        <v>0</v>
      </c>
      <c r="K15" s="9">
        <f>'B1.2 Billing Determinants'!J10*'B1.1 Current Distribution Rates'!K11/100</f>
        <v>632112.71268600004</v>
      </c>
      <c r="L15" s="9">
        <f>'B1.1 Current Distribution Rates'!L11*'B1.2 Billing Determinants'!$J10/100</f>
        <v>60774.865199999993</v>
      </c>
      <c r="M15" s="11">
        <f>'B1.1 Current Distribution Rates'!M11*'B1.2 Billing Determinants'!$J10/100</f>
        <v>117414.125703</v>
      </c>
      <c r="N15" s="9">
        <f>'B1.1 Current Distribution Rates'!Q11*'B1.2 Billing Determinants'!J10/100</f>
        <v>203762.30489999999</v>
      </c>
      <c r="O15" s="44">
        <f>SUM(E15:N15)</f>
        <v>1542992.3242195859</v>
      </c>
    </row>
    <row r="16" spans="1:19" x14ac:dyDescent="0.25">
      <c r="C16" s="43" t="s">
        <v>48</v>
      </c>
      <c r="D16" s="43" t="s">
        <v>55</v>
      </c>
      <c r="E16" s="9">
        <f>'B1.2 Billing Determinants'!E11*'B1.1 Current Distribution Rates'!E12*$D$8</f>
        <v>18001.749275999995</v>
      </c>
      <c r="F16" s="9">
        <f>'B1.1 Current Distribution Rates'!F12*'B1.2 Billing Determinants'!E11*$D$8</f>
        <v>84</v>
      </c>
      <c r="G16" s="9">
        <f>'B1.2 Billing Determinants'!F11*'B1.1 Current Distribution Rates'!G12/100</f>
        <v>0</v>
      </c>
      <c r="H16" s="9">
        <f>'B1.2 Billing Determinants'!G11*'B1.1 Current Distribution Rates'!H12/100</f>
        <v>0</v>
      </c>
      <c r="I16" s="90">
        <f>'B1.2 Billing Determinants'!H11*'B1.1 Current Distribution Rates'!I12/100</f>
        <v>211815.06749305196</v>
      </c>
      <c r="J16" s="9">
        <f>'B1.2 Billing Determinants'!I11*'B1.1 Current Distribution Rates'!J12/100*$D$8</f>
        <v>0</v>
      </c>
      <c r="K16" s="9">
        <f>'B1.2 Billing Determinants'!J11*'B1.1 Current Distribution Rates'!K12/100</f>
        <v>398811.230194</v>
      </c>
      <c r="L16" s="9">
        <f>'B1.1 Current Distribution Rates'!L12*'B1.2 Billing Determinants'!$J11/100</f>
        <v>462.22844800000007</v>
      </c>
      <c r="M16" s="11">
        <f>'B1.1 Current Distribution Rates'!M12*'B1.2 Billing Determinants'!$J11/100</f>
        <v>23854.664734000002</v>
      </c>
      <c r="N16" s="9">
        <f>'B1.1 Current Distribution Rates'!Q12*'B1.2 Billing Determinants'!J11/100</f>
        <v>128557.28709999999</v>
      </c>
      <c r="O16" s="44">
        <f>SUM(E16:N16)</f>
        <v>781586.22724505188</v>
      </c>
    </row>
    <row r="17" spans="3:15" ht="15.75" thickBot="1" x14ac:dyDescent="0.3">
      <c r="C17" s="1" t="s">
        <v>51</v>
      </c>
      <c r="D17" s="1" t="s">
        <v>52</v>
      </c>
      <c r="E17" s="11">
        <f>'B1.2 Billing Determinants'!E12*'B1.1 Current Distribution Rates'!E13*$D$8</f>
        <v>56728.201499999988</v>
      </c>
      <c r="F17" s="11">
        <f>'B1.1 Current Distribution Rates'!F13*'B1.2 Billing Determinants'!E12*$D$8</f>
        <v>36</v>
      </c>
      <c r="G17" s="11">
        <f>'B1.2 Billing Determinants'!F12*'B1.1 Current Distribution Rates'!G13/100</f>
        <v>0</v>
      </c>
      <c r="H17" s="11">
        <f>'B1.2 Billing Determinants'!G12*'B1.1 Current Distribution Rates'!H13/100</f>
        <v>0</v>
      </c>
      <c r="I17" s="11">
        <f>'B1.2 Billing Determinants'!H12*'B1.1 Current Distribution Rates'!I13/100</f>
        <v>0</v>
      </c>
      <c r="J17" s="91">
        <f>'B1.2 Billing Determinants'!I12*'B1.1 Current Distribution Rates'!J13/100*$D$8</f>
        <v>1235934.6969737087</v>
      </c>
      <c r="K17" s="11">
        <f>'B1.2 Billing Determinants'!J12*'B1.1 Current Distribution Rates'!K13/100</f>
        <v>0</v>
      </c>
      <c r="L17" s="2">
        <f>'B1.1 Current Distribution Rates'!L13*'B1.2 Billing Determinants'!$I12*$D$8/100</f>
        <v>163783.14739199998</v>
      </c>
      <c r="M17" s="9">
        <f>'B1.1 Current Distribution Rates'!N13*'B1.2 Billing Determinants'!$I12/100*$D$8</f>
        <v>210428.35411200003</v>
      </c>
      <c r="N17" s="2">
        <f>'B1.1 Current Distribution Rates'!Q13*'B1.2 Billing Determinants'!I12/100*D8</f>
        <v>112574.03519999998</v>
      </c>
      <c r="O17" s="10">
        <f>SUM(E17:N17)</f>
        <v>1779484.4351777087</v>
      </c>
    </row>
    <row r="18" spans="3:15" ht="15.75" thickTop="1" x14ac:dyDescent="0.25">
      <c r="C18" s="121" t="s">
        <v>56</v>
      </c>
      <c r="D18" s="121"/>
      <c r="E18" s="51">
        <f t="shared" ref="E18:O18" si="0">SUM(E14:E17)</f>
        <v>1660454.972388</v>
      </c>
      <c r="F18" s="51">
        <f t="shared" si="0"/>
        <v>59184</v>
      </c>
      <c r="G18" s="51">
        <f t="shared" si="0"/>
        <v>1029516.9140329683</v>
      </c>
      <c r="H18" s="51">
        <f t="shared" si="0"/>
        <v>720966.46636279521</v>
      </c>
      <c r="I18" s="51">
        <f t="shared" si="0"/>
        <v>479940.22616404225</v>
      </c>
      <c r="J18" s="51">
        <f t="shared" si="0"/>
        <v>1235934.6969737087</v>
      </c>
      <c r="K18" s="51">
        <f t="shared" si="0"/>
        <v>2702155.8011500002</v>
      </c>
      <c r="L18" s="51">
        <f t="shared" si="0"/>
        <v>306131.43933999998</v>
      </c>
      <c r="M18" s="51">
        <f t="shared" si="0"/>
        <v>500173.55923900002</v>
      </c>
      <c r="N18" s="51">
        <f t="shared" si="0"/>
        <v>983617.25769999996</v>
      </c>
      <c r="O18" s="51">
        <f t="shared" si="0"/>
        <v>9678075.3333505131</v>
      </c>
    </row>
    <row r="19" spans="3:15" x14ac:dyDescent="0.25">
      <c r="C19" s="94" t="s">
        <v>105</v>
      </c>
    </row>
    <row r="20" spans="3:15" x14ac:dyDescent="0.25"/>
    <row r="21" spans="3:15" x14ac:dyDescent="0.25"/>
    <row r="22" spans="3:15" x14ac:dyDescent="0.25"/>
    <row r="23" spans="3:15" x14ac:dyDescent="0.25"/>
    <row r="24" spans="3:15" x14ac:dyDescent="0.25"/>
    <row r="25" spans="3:15" x14ac:dyDescent="0.25"/>
    <row r="26" spans="3:15" ht="45.75" hidden="1" customHeight="1" x14ac:dyDescent="0.25"/>
  </sheetData>
  <sheetProtection algorithmName="SHA-512" hashValue="YklJmxDeCN82Mf7vhvdAg5alxFfB9xWjJe5LRW9NyvnaBhNXymNR1laeINpHFzZKOjnH7JA0vUHsiLH7Cpx1Qw==" saltValue="H/zN1xLCoYQF+7P1ro2fvA==" spinCount="100000" sheet="1" objects="1" scenarios="1"/>
  <mergeCells count="2">
    <mergeCell ref="C18:D18"/>
    <mergeCell ref="G11:I11"/>
  </mergeCells>
  <pageMargins left="0.70866141732283505" right="0.70866141732283505" top="0.74803149606299202" bottom="0.74803149606299202" header="0.31496062992126" footer="0.31496062992126"/>
  <pageSetup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O42"/>
  <sheetViews>
    <sheetView showGridLines="0" topLeftCell="A4" zoomScaleNormal="100" workbookViewId="0">
      <selection activeCell="C17" sqref="C17"/>
    </sheetView>
  </sheetViews>
  <sheetFormatPr defaultColWidth="0" defaultRowHeight="15" customHeight="1" x14ac:dyDescent="0.25"/>
  <cols>
    <col min="1" max="2" width="3" style="13" customWidth="1"/>
    <col min="3" max="3" width="55.7109375" style="13" customWidth="1"/>
    <col min="4" max="4" width="36.28515625" style="13" bestFit="1" customWidth="1"/>
    <col min="5" max="5" width="42" style="13" customWidth="1"/>
    <col min="6" max="6" width="22.42578125" style="13" bestFit="1" customWidth="1"/>
    <col min="7" max="7" width="7.85546875" style="13" customWidth="1"/>
    <col min="8" max="8" width="2.7109375" style="13" customWidth="1"/>
    <col min="9" max="10" width="15.7109375" style="13" hidden="1" customWidth="1"/>
    <col min="11" max="12" width="2.7109375" style="13" hidden="1" customWidth="1"/>
    <col min="13" max="13" width="15.7109375" style="13" hidden="1" customWidth="1"/>
    <col min="14" max="15" width="2.7109375" style="13" hidden="1" customWidth="1"/>
    <col min="16" max="16384" width="0" style="13" hidden="1"/>
  </cols>
  <sheetData>
    <row r="1" spans="1:6" ht="15.75" x14ac:dyDescent="0.25">
      <c r="A1" s="34"/>
      <c r="B1" s="34"/>
      <c r="C1" s="17"/>
      <c r="D1" s="34"/>
      <c r="E1" s="34"/>
    </row>
    <row r="2" spans="1:6" s="34" customFormat="1" ht="18" x14ac:dyDescent="0.25">
      <c r="C2" s="18" t="str">
        <f>'A1.1 Distributor Information'!C3</f>
        <v>Name of LDC:       EPCOR Natural Gas Limited Partnership</v>
      </c>
    </row>
    <row r="3" spans="1:6" s="34" customFormat="1" ht="18" x14ac:dyDescent="0.25">
      <c r="C3" s="18" t="str">
        <f>'A1.1 Distributor Information'!C4</f>
        <v>OEB Application Number:  EB-2022-0184  Exhibit A - 2023 Custom Incentive Application</v>
      </c>
    </row>
    <row r="4" spans="1:6" s="34" customFormat="1" ht="15" customHeight="1" x14ac:dyDescent="0.25"/>
    <row r="5" spans="1:6" s="34" customFormat="1" ht="20.25" x14ac:dyDescent="0.3">
      <c r="C5" s="7" t="s">
        <v>21</v>
      </c>
    </row>
    <row r="6" spans="1:6" s="34" customFormat="1" ht="15" customHeight="1" x14ac:dyDescent="0.25"/>
    <row r="7" spans="1:6" s="34" customFormat="1" x14ac:dyDescent="0.25">
      <c r="C7" s="34" t="s">
        <v>92</v>
      </c>
      <c r="E7" s="12" t="s">
        <v>65</v>
      </c>
    </row>
    <row r="8" spans="1:6" s="34" customFormat="1" x14ac:dyDescent="0.25">
      <c r="C8" s="34" t="s">
        <v>93</v>
      </c>
      <c r="E8" s="52" t="s">
        <v>77</v>
      </c>
    </row>
    <row r="9" spans="1:6" s="34" customFormat="1" ht="15.75" x14ac:dyDescent="0.25">
      <c r="E9" s="30"/>
    </row>
    <row r="10" spans="1:6" s="34" customFormat="1" ht="15" customHeight="1" x14ac:dyDescent="0.25">
      <c r="C10" s="40" t="s">
        <v>57</v>
      </c>
      <c r="D10" s="34" t="s">
        <v>75</v>
      </c>
      <c r="E10" s="53">
        <v>1.633</v>
      </c>
      <c r="F10" s="101" t="s">
        <v>126</v>
      </c>
    </row>
    <row r="11" spans="1:6" s="34" customFormat="1" ht="15" customHeight="1" x14ac:dyDescent="0.25">
      <c r="C11" s="40" t="s">
        <v>58</v>
      </c>
      <c r="D11" s="40" t="s">
        <v>75</v>
      </c>
      <c r="E11" s="53">
        <v>0.90900000000000003</v>
      </c>
      <c r="F11" s="101" t="s">
        <v>126</v>
      </c>
    </row>
    <row r="12" spans="1:6" s="34" customFormat="1" ht="15" customHeight="1" x14ac:dyDescent="0.25">
      <c r="C12" s="40" t="s">
        <v>59</v>
      </c>
      <c r="D12" s="40" t="s">
        <v>75</v>
      </c>
      <c r="E12" s="53">
        <v>0.5524</v>
      </c>
      <c r="F12" s="101" t="s">
        <v>126</v>
      </c>
    </row>
    <row r="13" spans="1:6" s="34" customFormat="1" ht="15" customHeight="1" x14ac:dyDescent="0.25">
      <c r="C13" s="40" t="s">
        <v>60</v>
      </c>
      <c r="D13" s="40" t="s">
        <v>76</v>
      </c>
      <c r="E13" s="53">
        <v>6.0100000000000001E-2</v>
      </c>
      <c r="F13" s="102" t="s">
        <v>110</v>
      </c>
    </row>
    <row r="14" spans="1:6" s="34" customFormat="1" ht="15" customHeight="1" x14ac:dyDescent="0.25"/>
    <row r="15" spans="1:6" s="34" customFormat="1" ht="15" customHeight="1" x14ac:dyDescent="0.25"/>
    <row r="16" spans="1:6" s="40" customFormat="1" ht="20.25" x14ac:dyDescent="0.3">
      <c r="C16" s="7" t="s">
        <v>146</v>
      </c>
    </row>
    <row r="17" spans="3:7" s="40" customFormat="1" ht="15" customHeight="1" x14ac:dyDescent="0.25">
      <c r="E17" s="24" t="s">
        <v>149</v>
      </c>
    </row>
    <row r="18" spans="3:7" s="40" customFormat="1" ht="15" customHeight="1" x14ac:dyDescent="0.25"/>
    <row r="19" spans="3:7" s="40" customFormat="1" ht="15" customHeight="1" x14ac:dyDescent="0.25">
      <c r="C19" s="40" t="s">
        <v>57</v>
      </c>
      <c r="E19" s="53">
        <v>0.14030000000000001</v>
      </c>
      <c r="F19" s="101" t="s">
        <v>126</v>
      </c>
    </row>
    <row r="20" spans="3:7" s="40" customFormat="1" ht="15" customHeight="1" x14ac:dyDescent="0.25">
      <c r="C20" s="40" t="s">
        <v>58</v>
      </c>
      <c r="E20" s="53">
        <v>0.14030000000000001</v>
      </c>
      <c r="F20" s="101" t="s">
        <v>126</v>
      </c>
    </row>
    <row r="21" spans="3:7" s="40" customFormat="1" ht="15" customHeight="1" x14ac:dyDescent="0.25">
      <c r="C21" s="40" t="s">
        <v>59</v>
      </c>
      <c r="E21" s="53">
        <v>0.14030000000000001</v>
      </c>
      <c r="F21" s="101" t="s">
        <v>126</v>
      </c>
    </row>
    <row r="22" spans="3:7" s="40" customFormat="1" ht="15" customHeight="1" x14ac:dyDescent="0.25">
      <c r="C22" s="40" t="s">
        <v>60</v>
      </c>
      <c r="E22" s="53">
        <v>0</v>
      </c>
      <c r="F22" s="102" t="s">
        <v>124</v>
      </c>
    </row>
    <row r="23" spans="3:7" s="40" customFormat="1" ht="15" customHeight="1" x14ac:dyDescent="0.25"/>
    <row r="24" spans="3:7" s="40" customFormat="1" ht="15" customHeight="1" x14ac:dyDescent="0.25"/>
    <row r="25" spans="3:7" s="40" customFormat="1" ht="20.25" x14ac:dyDescent="0.3">
      <c r="C25" s="7" t="s">
        <v>147</v>
      </c>
    </row>
    <row r="26" spans="3:7" s="40" customFormat="1" ht="15" customHeight="1" x14ac:dyDescent="0.25">
      <c r="E26" s="24" t="s">
        <v>150</v>
      </c>
    </row>
    <row r="27" spans="3:7" s="40" customFormat="1" ht="15" customHeight="1" x14ac:dyDescent="0.25"/>
    <row r="28" spans="3:7" ht="15" customHeight="1" x14ac:dyDescent="0.25">
      <c r="C28" s="40" t="s">
        <v>57</v>
      </c>
      <c r="D28" s="40"/>
      <c r="E28" s="53">
        <v>0.54339999999999999</v>
      </c>
      <c r="F28" s="101" t="s">
        <v>126</v>
      </c>
      <c r="G28" s="40"/>
    </row>
    <row r="29" spans="3:7" ht="15" customHeight="1" x14ac:dyDescent="0.25">
      <c r="C29" s="40" t="s">
        <v>58</v>
      </c>
      <c r="D29" s="40"/>
      <c r="E29" s="53">
        <v>0.71350000000000002</v>
      </c>
      <c r="F29" s="101" t="s">
        <v>126</v>
      </c>
      <c r="G29" s="40"/>
    </row>
    <row r="30" spans="3:7" ht="15" customHeight="1" x14ac:dyDescent="0.25">
      <c r="C30" s="40" t="s">
        <v>59</v>
      </c>
      <c r="D30" s="40"/>
      <c r="E30" s="53">
        <v>9.9199999999999997E-2</v>
      </c>
      <c r="F30" s="101" t="s">
        <v>126</v>
      </c>
      <c r="G30" s="40"/>
    </row>
    <row r="31" spans="3:7" ht="15" customHeight="1" x14ac:dyDescent="0.25">
      <c r="C31" s="40" t="s">
        <v>60</v>
      </c>
      <c r="D31" s="40"/>
      <c r="E31" s="53">
        <v>0.96030000000000004</v>
      </c>
      <c r="F31" s="102" t="s">
        <v>124</v>
      </c>
      <c r="G31" s="40"/>
    </row>
    <row r="32" spans="3:7" ht="15" customHeight="1" x14ac:dyDescent="0.25">
      <c r="C32" s="40"/>
      <c r="D32" s="40"/>
      <c r="E32" s="40"/>
      <c r="F32" s="40"/>
      <c r="G32" s="40"/>
    </row>
    <row r="34" spans="3:7" ht="20.25" x14ac:dyDescent="0.3">
      <c r="C34" s="7" t="s">
        <v>148</v>
      </c>
      <c r="D34" s="40"/>
      <c r="E34" s="40"/>
      <c r="F34" s="40"/>
      <c r="G34" s="40"/>
    </row>
    <row r="35" spans="3:7" ht="15" customHeight="1" x14ac:dyDescent="0.25">
      <c r="C35" s="40"/>
      <c r="D35" s="40"/>
      <c r="E35" s="24" t="s">
        <v>151</v>
      </c>
      <c r="F35" s="40"/>
      <c r="G35" s="40"/>
    </row>
    <row r="36" spans="3:7" ht="15" customHeight="1" x14ac:dyDescent="0.25">
      <c r="C36" s="40"/>
      <c r="D36" s="40"/>
      <c r="E36" s="40"/>
      <c r="F36" s="40"/>
      <c r="G36" s="40"/>
    </row>
    <row r="37" spans="3:7" ht="15" customHeight="1" x14ac:dyDescent="0.25">
      <c r="C37" s="40" t="s">
        <v>57</v>
      </c>
      <c r="D37" s="40"/>
      <c r="E37" s="53">
        <v>0.51970000000000005</v>
      </c>
      <c r="F37" s="101" t="s">
        <v>126</v>
      </c>
      <c r="G37" s="40"/>
    </row>
    <row r="38" spans="3:7" ht="15" customHeight="1" x14ac:dyDescent="0.25">
      <c r="C38" s="40" t="s">
        <v>58</v>
      </c>
      <c r="D38" s="40"/>
      <c r="E38" s="53">
        <v>0.66080000000000005</v>
      </c>
      <c r="F38" s="101" t="s">
        <v>126</v>
      </c>
      <c r="G38" s="40"/>
    </row>
    <row r="39" spans="3:7" ht="15" customHeight="1" x14ac:dyDescent="0.25">
      <c r="C39" s="40" t="s">
        <v>59</v>
      </c>
      <c r="D39" s="40"/>
      <c r="E39" s="53">
        <v>0.1075</v>
      </c>
      <c r="F39" s="101" t="s">
        <v>126</v>
      </c>
      <c r="G39" s="40"/>
    </row>
    <row r="40" spans="3:7" ht="15" customHeight="1" x14ac:dyDescent="0.25">
      <c r="C40" s="40" t="s">
        <v>60</v>
      </c>
      <c r="D40" s="40"/>
      <c r="E40" s="53">
        <v>0.7964</v>
      </c>
      <c r="F40" s="102" t="s">
        <v>124</v>
      </c>
      <c r="G40" s="40"/>
    </row>
    <row r="41" spans="3:7" ht="15" customHeight="1" x14ac:dyDescent="0.25">
      <c r="C41" s="40"/>
      <c r="D41" s="40"/>
      <c r="E41" s="40"/>
      <c r="F41" s="40"/>
      <c r="G41" s="40"/>
    </row>
    <row r="42" spans="3:7" ht="15" customHeight="1" x14ac:dyDescent="0.25">
      <c r="C42" s="40"/>
    </row>
  </sheetData>
  <sheetProtection algorithmName="SHA-512" hashValue="U+4g9IorMi4gM2WRxWOf1kHUerM2WHlsxzSomTQTA1bkdUr8nNe0TzBeEe9XdVaJvftCQxn3EfPsi7yG3aN4tg==" saltValue="tQBLGJBK4wUW0c6TEvVTjQ==" spinCount="100000" sheet="1" objects="1" scenarios="1"/>
  <pageMargins left="0.70866141732283505" right="0.70866141732283505" top="0.74803149606299202" bottom="0.74803149606299202" header="0.31496062992126" footer="0.31496062992126"/>
  <pageSetup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O30"/>
  <sheetViews>
    <sheetView showGridLines="0" zoomScaleNormal="100" workbookViewId="0">
      <selection activeCell="C17" sqref="C17"/>
    </sheetView>
  </sheetViews>
  <sheetFormatPr defaultColWidth="0" defaultRowHeight="15" zeroHeight="1" x14ac:dyDescent="0.25"/>
  <cols>
    <col min="1" max="2" width="4" style="13" customWidth="1"/>
    <col min="3" max="3" width="35.7109375" style="13" customWidth="1"/>
    <col min="4" max="4" width="13" style="13" customWidth="1"/>
    <col min="5" max="5" width="12.140625" style="13" bestFit="1" customWidth="1"/>
    <col min="6" max="6" width="15" style="13" customWidth="1"/>
    <col min="7" max="7" width="14.42578125" style="13" customWidth="1"/>
    <col min="8" max="8" width="22" style="13" customWidth="1"/>
    <col min="9" max="9" width="12.7109375" style="13" bestFit="1" customWidth="1"/>
    <col min="10" max="10" width="12.28515625" style="13" bestFit="1" customWidth="1"/>
    <col min="11" max="11" width="14.42578125" style="13" hidden="1" customWidth="1"/>
    <col min="12" max="12" width="12.7109375" style="13" hidden="1" customWidth="1"/>
    <col min="13" max="15" width="15.7109375" style="13" hidden="1" customWidth="1"/>
    <col min="16" max="16384" width="0" style="13" hidden="1"/>
  </cols>
  <sheetData>
    <row r="1" spans="1:12" ht="15.75" x14ac:dyDescent="0.25">
      <c r="A1" s="34"/>
      <c r="B1" s="34"/>
      <c r="C1" s="17"/>
      <c r="D1" s="34"/>
      <c r="E1" s="34"/>
      <c r="F1" s="34"/>
      <c r="G1" s="34"/>
      <c r="H1" s="34"/>
      <c r="I1" s="34"/>
      <c r="J1" s="34"/>
      <c r="K1" s="34"/>
      <c r="L1" s="34"/>
    </row>
    <row r="2" spans="1:12" s="34" customFormat="1" ht="18" x14ac:dyDescent="0.25">
      <c r="C2" s="18" t="str">
        <f>'A1.1 Distributor Information'!C3</f>
        <v>Name of LDC:       EPCOR Natural Gas Limited Partnership</v>
      </c>
    </row>
    <row r="3" spans="1:12" s="34" customFormat="1" ht="18" x14ac:dyDescent="0.25">
      <c r="C3" s="18" t="str">
        <f>'A1.1 Distributor Information'!C4</f>
        <v>OEB Application Number:  EB-2022-0184  Exhibit A - 2023 Custom Incentive Application</v>
      </c>
    </row>
    <row r="4" spans="1:12" s="34" customFormat="1" x14ac:dyDescent="0.25"/>
    <row r="5" spans="1:12" s="34" customFormat="1" ht="20.25" x14ac:dyDescent="0.3">
      <c r="C5" s="7" t="s">
        <v>116</v>
      </c>
    </row>
    <row r="6" spans="1:12" s="34" customFormat="1" x14ac:dyDescent="0.25">
      <c r="C6" s="34" t="str">
        <f ca="1">MID(CELL("filename",A1),FIND("]",CELL("filename",A1))+1,255)</f>
        <v>D1.1 Rate 1 Adjustment</v>
      </c>
    </row>
    <row r="7" spans="1:12" s="34" customFormat="1" x14ac:dyDescent="0.25"/>
    <row r="8" spans="1:12" s="34" customFormat="1" x14ac:dyDescent="0.25">
      <c r="C8" s="6" t="s">
        <v>40</v>
      </c>
      <c r="D8" s="40"/>
      <c r="E8" s="40"/>
      <c r="F8" s="40"/>
      <c r="G8" s="40"/>
      <c r="H8" s="40"/>
      <c r="I8" s="40"/>
    </row>
    <row r="9" spans="1:12" s="34" customFormat="1" x14ac:dyDescent="0.25">
      <c r="C9" s="40"/>
      <c r="D9" s="40"/>
      <c r="E9" s="40"/>
      <c r="F9" s="40"/>
      <c r="G9" s="40"/>
      <c r="H9" s="40"/>
      <c r="I9" s="40"/>
    </row>
    <row r="10" spans="1:12" s="34" customFormat="1" x14ac:dyDescent="0.25">
      <c r="C10" s="40" t="s">
        <v>4</v>
      </c>
      <c r="D10" s="40"/>
      <c r="E10" s="40"/>
      <c r="F10" s="40"/>
      <c r="G10" s="40"/>
      <c r="H10" s="40"/>
      <c r="I10" s="40"/>
    </row>
    <row r="11" spans="1:12" s="34" customFormat="1" x14ac:dyDescent="0.25">
      <c r="C11" s="40" t="s">
        <v>5</v>
      </c>
      <c r="D11" s="40"/>
      <c r="E11" s="40"/>
      <c r="F11" s="40"/>
      <c r="G11" s="40"/>
      <c r="H11" s="40"/>
      <c r="I11" s="40"/>
    </row>
    <row r="12" spans="1:12" s="34" customFormat="1" x14ac:dyDescent="0.25">
      <c r="C12" s="40" t="s">
        <v>6</v>
      </c>
      <c r="D12" s="40"/>
      <c r="E12" s="40"/>
      <c r="F12" s="40"/>
      <c r="G12" s="40"/>
      <c r="H12" s="40"/>
      <c r="I12" s="40"/>
    </row>
    <row r="13" spans="1:12" s="34" customFormat="1" x14ac:dyDescent="0.25">
      <c r="C13" s="40" t="s">
        <v>118</v>
      </c>
      <c r="D13" s="40"/>
      <c r="E13" s="54">
        <v>1.9099999999999999E-2</v>
      </c>
      <c r="F13" s="40"/>
      <c r="G13" s="40"/>
      <c r="H13" s="40"/>
      <c r="I13" s="40"/>
    </row>
    <row r="14" spans="1:12" s="40" customFormat="1" x14ac:dyDescent="0.25">
      <c r="C14" s="40" t="s">
        <v>91</v>
      </c>
      <c r="E14" s="8">
        <v>12</v>
      </c>
    </row>
    <row r="15" spans="1:12" s="34" customFormat="1" x14ac:dyDescent="0.25">
      <c r="C15" s="40"/>
      <c r="D15" s="40"/>
      <c r="E15" s="40"/>
      <c r="F15" s="40"/>
      <c r="G15" s="40"/>
      <c r="H15" s="40"/>
      <c r="I15" s="40"/>
    </row>
    <row r="16" spans="1:12" s="34" customFormat="1" x14ac:dyDescent="0.25">
      <c r="C16" s="5"/>
      <c r="D16" s="5" t="s">
        <v>114</v>
      </c>
      <c r="E16" s="5" t="s">
        <v>7</v>
      </c>
      <c r="F16" s="5" t="s">
        <v>8</v>
      </c>
      <c r="G16" s="5" t="s">
        <v>9</v>
      </c>
      <c r="H16" s="65" t="s">
        <v>10</v>
      </c>
      <c r="I16" s="65" t="s">
        <v>33</v>
      </c>
    </row>
    <row r="17" spans="3:12" s="34" customFormat="1" x14ac:dyDescent="0.25">
      <c r="C17" s="12" t="s">
        <v>132</v>
      </c>
      <c r="D17" s="104" t="s">
        <v>107</v>
      </c>
      <c r="E17" s="58">
        <f>'B1.1 Current Distribution Rates'!E10</f>
        <v>26.272397999999999</v>
      </c>
      <c r="F17" s="59">
        <f>$E$13</f>
        <v>1.9099999999999999E-2</v>
      </c>
      <c r="G17" s="60">
        <f>E17*(1+F17)</f>
        <v>26.774200801799996</v>
      </c>
      <c r="H17" s="63">
        <f>INDEX('B1.2 Billing Determinants'!$E$9:$J$12,MATCH($C$8,'B1.2 Billing Determinants'!$C$9:$C$12,0),MATCH(C17,'B1.2 Billing Determinants'!$E$8:$J$8,0))</f>
        <v>4887</v>
      </c>
      <c r="I17" s="57">
        <f>G17*H17*$E$14</f>
        <v>1570146.2318207589</v>
      </c>
    </row>
    <row r="18" spans="3:12" s="40" customFormat="1" x14ac:dyDescent="0.25">
      <c r="C18" s="12" t="str">
        <f>OneDollar</f>
        <v>Bill 32 Rate</v>
      </c>
      <c r="D18" s="104" t="s">
        <v>107</v>
      </c>
      <c r="E18" s="58">
        <f>'B1.1 Current Distribution Rates'!F10</f>
        <v>1</v>
      </c>
      <c r="F18" s="61">
        <v>0</v>
      </c>
      <c r="G18" s="60">
        <f>E18*(1+F18)</f>
        <v>1</v>
      </c>
      <c r="H18" s="64">
        <f>H17</f>
        <v>4887</v>
      </c>
      <c r="I18" s="57">
        <f>G18*H18*$E$14</f>
        <v>58644</v>
      </c>
    </row>
    <row r="19" spans="3:12" s="34" customFormat="1" x14ac:dyDescent="0.25">
      <c r="C19" s="12" t="s">
        <v>86</v>
      </c>
      <c r="D19" s="105" t="s">
        <v>115</v>
      </c>
      <c r="E19" s="92">
        <f>'B1.1 Current Distribution Rates'!G10</f>
        <v>28.148561099999995</v>
      </c>
      <c r="F19" s="59">
        <f>$E$13</f>
        <v>1.9099999999999999E-2</v>
      </c>
      <c r="G19" s="62">
        <f t="shared" ref="G19:G26" si="0">E19*(1+F19)</f>
        <v>28.686198617009993</v>
      </c>
      <c r="H19" s="63">
        <f>INDEX('B1.2 Billing Determinants'!$E$9:$J$12,MATCH($C$8,'B1.2 Billing Determinants'!$C$9:$C$12,0),MATCH(C19,'B1.2 Billing Determinants'!$E$8:$J$8,0))</f>
        <v>3391849</v>
      </c>
      <c r="I19" s="56">
        <f>G19*H19/100</f>
        <v>972992.5409290673</v>
      </c>
      <c r="K19" s="46"/>
      <c r="L19" s="40"/>
    </row>
    <row r="20" spans="3:12" s="34" customFormat="1" x14ac:dyDescent="0.25">
      <c r="C20" s="12" t="s">
        <v>87</v>
      </c>
      <c r="D20" s="105" t="s">
        <v>115</v>
      </c>
      <c r="E20" s="92">
        <f>'B1.1 Current Distribution Rates'!H10</f>
        <v>27.594068789999994</v>
      </c>
      <c r="F20" s="59">
        <f>$E$13</f>
        <v>1.9099999999999999E-2</v>
      </c>
      <c r="G20" s="62">
        <f t="shared" si="0"/>
        <v>28.121115503888991</v>
      </c>
      <c r="H20" s="63">
        <f>INDEX('B1.2 Billing Determinants'!$E$9:$J$12,MATCH($C$8,'B1.2 Billing Determinants'!$C$9:$C$12,0),MATCH(C20,'B1.2 Billing Determinants'!$E$8:$J$8,0))</f>
        <v>1847677</v>
      </c>
      <c r="I20" s="56">
        <f t="shared" ref="I20:I25" si="1">G20*H20/100</f>
        <v>519587.38330879097</v>
      </c>
      <c r="L20" s="40"/>
    </row>
    <row r="21" spans="3:12" s="34" customFormat="1" x14ac:dyDescent="0.25">
      <c r="C21" s="12" t="s">
        <v>88</v>
      </c>
      <c r="D21" s="105" t="s">
        <v>115</v>
      </c>
      <c r="E21" s="92">
        <f>'B1.1 Current Distribution Rates'!I10</f>
        <v>26.77899261</v>
      </c>
      <c r="F21" s="59">
        <f>$E$13</f>
        <v>1.9099999999999999E-2</v>
      </c>
      <c r="G21" s="62">
        <f t="shared" si="0"/>
        <v>27.290471368850998</v>
      </c>
      <c r="H21" s="63">
        <f>INDEX('B1.2 Billing Determinants'!$E$9:$J$12,MATCH($C$8,'B1.2 Billing Determinants'!$C$9:$C$12,0),MATCH(C21,'B1.2 Billing Determinants'!$E$8:$J$8,0))</f>
        <v>263269</v>
      </c>
      <c r="I21" s="56">
        <f t="shared" si="1"/>
        <v>71847.351068060336</v>
      </c>
      <c r="L21" s="40"/>
    </row>
    <row r="22" spans="3:12" s="34" customFormat="1" x14ac:dyDescent="0.25">
      <c r="C22" s="12" t="s">
        <v>129</v>
      </c>
      <c r="D22" s="105" t="s">
        <v>115</v>
      </c>
      <c r="E22" s="92">
        <f>'B1.1 Current Distribution Rates'!J10</f>
        <v>0</v>
      </c>
      <c r="F22" s="59">
        <f>$E$13</f>
        <v>1.9099999999999999E-2</v>
      </c>
      <c r="G22" s="62">
        <f t="shared" si="0"/>
        <v>0</v>
      </c>
      <c r="H22" s="63">
        <f>INDEX('B1.2 Billing Determinants'!$E$9:$J$12,MATCH($C$8,'B1.2 Billing Determinants'!$C$9:$C$12,0),MATCH(C22,'B1.2 Billing Determinants'!$E$8:$J$8,0))</f>
        <v>0</v>
      </c>
      <c r="I22" s="56">
        <f>G22*H22/100*$E$14</f>
        <v>0</v>
      </c>
      <c r="L22" s="40"/>
    </row>
    <row r="23" spans="3:12" s="34" customFormat="1" x14ac:dyDescent="0.25">
      <c r="C23" s="12" t="s">
        <v>128</v>
      </c>
      <c r="D23" s="105" t="s">
        <v>115</v>
      </c>
      <c r="E23" s="92">
        <f>'B1.1 Current Distribution Rates'!K10</f>
        <v>30.3706</v>
      </c>
      <c r="F23" s="61">
        <v>0</v>
      </c>
      <c r="G23" s="62">
        <f t="shared" si="0"/>
        <v>30.3706</v>
      </c>
      <c r="H23" s="63">
        <f>INDEX('B1.2 Billing Determinants'!$E$9:$J$12,MATCH($C$8,'B1.2 Billing Determinants'!$C$9:$C$12,0),MATCH(C23,'B1.2 Billing Determinants'!$E$8:$J$8,0))</f>
        <v>5502795</v>
      </c>
      <c r="I23" s="56">
        <f t="shared" si="1"/>
        <v>1671231.85827</v>
      </c>
      <c r="L23" s="40"/>
    </row>
    <row r="24" spans="3:12" s="40" customFormat="1" x14ac:dyDescent="0.25">
      <c r="C24" s="12" t="s">
        <v>101</v>
      </c>
      <c r="D24" s="105" t="s">
        <v>115</v>
      </c>
      <c r="E24" s="92">
        <f>'B1.1 Current Distribution Rates'!L10</f>
        <v>1.474</v>
      </c>
      <c r="F24" s="61">
        <v>0</v>
      </c>
      <c r="G24" s="62">
        <f t="shared" si="0"/>
        <v>1.474</v>
      </c>
      <c r="H24" s="64">
        <f>H23</f>
        <v>5502795</v>
      </c>
      <c r="I24" s="56">
        <f t="shared" si="1"/>
        <v>81111.198300000004</v>
      </c>
    </row>
    <row r="25" spans="3:12" s="40" customFormat="1" x14ac:dyDescent="0.25">
      <c r="C25" s="12" t="s">
        <v>102</v>
      </c>
      <c r="D25" s="105" t="s">
        <v>115</v>
      </c>
      <c r="E25" s="92">
        <f>'B1.1 Current Distribution Rates'!M10</f>
        <v>2.6981999999999999</v>
      </c>
      <c r="F25" s="61">
        <v>0</v>
      </c>
      <c r="G25" s="62">
        <f t="shared" si="0"/>
        <v>2.6981999999999999</v>
      </c>
      <c r="H25" s="64">
        <f>H24</f>
        <v>5502795</v>
      </c>
      <c r="I25" s="56">
        <f t="shared" si="1"/>
        <v>148476.41469000001</v>
      </c>
    </row>
    <row r="26" spans="3:12" s="40" customFormat="1" ht="15.75" thickBot="1" x14ac:dyDescent="0.3">
      <c r="C26" s="12" t="s">
        <v>82</v>
      </c>
      <c r="D26" s="105" t="s">
        <v>115</v>
      </c>
      <c r="E26" s="92">
        <f>'B1.1 Current Distribution Rates'!Q10</f>
        <v>9.7899999999999991</v>
      </c>
      <c r="F26" s="61">
        <v>0</v>
      </c>
      <c r="G26" s="62">
        <f t="shared" si="0"/>
        <v>9.7899999999999991</v>
      </c>
      <c r="H26" s="64">
        <f>H25</f>
        <v>5502795</v>
      </c>
      <c r="I26" s="56">
        <f>G26*H26/100</f>
        <v>538723.63049999997</v>
      </c>
    </row>
    <row r="27" spans="3:12" s="34" customFormat="1" ht="15.75" thickTop="1" x14ac:dyDescent="0.25">
      <c r="C27" s="40"/>
      <c r="D27" s="40"/>
      <c r="E27" s="40"/>
      <c r="F27" s="40"/>
      <c r="G27" s="40"/>
      <c r="H27" s="40"/>
      <c r="I27" s="51">
        <f>SUM(I17:I26)</f>
        <v>5632760.6088866778</v>
      </c>
    </row>
    <row r="28" spans="3:12" s="34" customFormat="1" x14ac:dyDescent="0.25">
      <c r="C28" s="40"/>
      <c r="D28" s="40"/>
      <c r="E28" s="40"/>
      <c r="F28" s="40"/>
      <c r="G28" s="40"/>
      <c r="H28" s="40"/>
      <c r="I28" s="40"/>
    </row>
    <row r="29" spans="3:12" hidden="1" x14ac:dyDescent="0.25"/>
    <row r="30" spans="3:12" hidden="1" x14ac:dyDescent="0.25"/>
  </sheetData>
  <sheetProtection algorithmName="SHA-512" hashValue="RZCdVKZiN+CEGQu2q4bgjr+hwh9hkl+6f+4PNzak8QzK23xdPifS4ikAVljumrNAvGMcBpKJ1V/lq9ueRINjdg==" saltValue="0VIMJcVozfUyyDeHB0nckw==" spinCount="100000" sheet="1" objects="1" scenarios="1"/>
  <pageMargins left="0.70866141732283505" right="0.70866141732283505" top="0.74803149606299202" bottom="0.74803149606299202" header="0.31496062992126" footer="0.31496062992126"/>
  <pageSetup scale="91" orientation="landscape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'B1.1 Current Distribution Rates'!$C$10:$C$13</xm:f>
          </x14:formula1>
          <xm:sqref>C8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O31"/>
  <sheetViews>
    <sheetView showGridLines="0" workbookViewId="0">
      <selection activeCell="C17" sqref="C17"/>
    </sheetView>
  </sheetViews>
  <sheetFormatPr defaultColWidth="0" defaultRowHeight="15" customHeight="1" zeroHeight="1" x14ac:dyDescent="0.25"/>
  <cols>
    <col min="1" max="2" width="5.7109375" style="13" customWidth="1"/>
    <col min="3" max="3" width="35.7109375" style="13" customWidth="1"/>
    <col min="4" max="4" width="9.85546875" style="13" customWidth="1"/>
    <col min="5" max="5" width="12.140625" style="13" bestFit="1" customWidth="1"/>
    <col min="6" max="6" width="9.140625" style="13" bestFit="1" customWidth="1"/>
    <col min="7" max="7" width="14.42578125" style="13" bestFit="1" customWidth="1"/>
    <col min="8" max="8" width="22.7109375" style="13" customWidth="1"/>
    <col min="9" max="9" width="8.85546875" style="13" bestFit="1" customWidth="1"/>
    <col min="10" max="10" width="12.28515625" style="13" bestFit="1" customWidth="1"/>
    <col min="11" max="11" width="14.42578125" style="13" hidden="1" customWidth="1"/>
    <col min="12" max="12" width="12.7109375" style="13" hidden="1" customWidth="1"/>
    <col min="13" max="15" width="15.7109375" style="13" hidden="1" customWidth="1"/>
    <col min="16" max="16384" width="0" style="13" hidden="1"/>
  </cols>
  <sheetData>
    <row r="1" spans="1:12" ht="15.75" x14ac:dyDescent="0.25">
      <c r="A1" s="34"/>
      <c r="B1" s="34"/>
      <c r="C1" s="17"/>
      <c r="D1" s="34"/>
      <c r="E1" s="34"/>
      <c r="F1" s="34"/>
      <c r="G1" s="34"/>
      <c r="H1" s="34"/>
      <c r="I1" s="34"/>
      <c r="J1" s="34"/>
      <c r="K1" s="34"/>
      <c r="L1" s="34"/>
    </row>
    <row r="2" spans="1:12" s="34" customFormat="1" ht="18" x14ac:dyDescent="0.25">
      <c r="C2" s="18" t="str">
        <f>'A1.1 Distributor Information'!C3</f>
        <v>Name of LDC:       EPCOR Natural Gas Limited Partnership</v>
      </c>
    </row>
    <row r="3" spans="1:12" s="34" customFormat="1" ht="18" x14ac:dyDescent="0.25">
      <c r="C3" s="18" t="str">
        <f>'A1.1 Distributor Information'!C4</f>
        <v>OEB Application Number:  EB-2022-0184  Exhibit A - 2023 Custom Incentive Application</v>
      </c>
    </row>
    <row r="4" spans="1:12" s="34" customFormat="1" ht="15" customHeight="1" x14ac:dyDescent="0.25"/>
    <row r="5" spans="1:12" s="34" customFormat="1" ht="20.25" x14ac:dyDescent="0.3">
      <c r="C5" s="7" t="s">
        <v>117</v>
      </c>
      <c r="D5" s="40"/>
      <c r="E5" s="40"/>
      <c r="F5" s="40"/>
      <c r="G5" s="40"/>
      <c r="H5" s="40"/>
      <c r="I5" s="40"/>
    </row>
    <row r="6" spans="1:12" s="34" customFormat="1" ht="15" customHeight="1" x14ac:dyDescent="0.25">
      <c r="C6" s="40" t="str">
        <f ca="1">MID(CELL("filename",A1),FIND("]",CELL("filename",A1))+1,255)</f>
        <v>D1.2 Rate 6 Adjustment</v>
      </c>
      <c r="D6" s="40"/>
      <c r="E6" s="40"/>
      <c r="F6" s="40"/>
      <c r="G6" s="40"/>
      <c r="H6" s="40"/>
      <c r="I6" s="40"/>
    </row>
    <row r="7" spans="1:12" s="34" customFormat="1" ht="15" customHeight="1" x14ac:dyDescent="0.25">
      <c r="C7" s="40"/>
      <c r="D7" s="40"/>
      <c r="E7" s="40"/>
      <c r="F7" s="40"/>
      <c r="G7" s="40"/>
      <c r="H7" s="40"/>
      <c r="I7" s="40"/>
    </row>
    <row r="8" spans="1:12" s="34" customFormat="1" ht="15" customHeight="1" x14ac:dyDescent="0.25">
      <c r="C8" s="6" t="s">
        <v>45</v>
      </c>
      <c r="D8" s="40"/>
      <c r="E8" s="40"/>
      <c r="F8" s="40"/>
      <c r="G8" s="40"/>
      <c r="H8" s="40"/>
      <c r="I8" s="40"/>
    </row>
    <row r="9" spans="1:12" s="34" customFormat="1" ht="15" customHeight="1" x14ac:dyDescent="0.25">
      <c r="C9" s="40"/>
      <c r="D9" s="40"/>
      <c r="E9" s="40"/>
      <c r="F9" s="40"/>
      <c r="G9" s="40"/>
      <c r="H9" s="40"/>
      <c r="I9" s="40"/>
    </row>
    <row r="10" spans="1:12" s="34" customFormat="1" ht="15" customHeight="1" x14ac:dyDescent="0.25">
      <c r="C10" s="40" t="s">
        <v>4</v>
      </c>
      <c r="D10" s="40"/>
      <c r="E10" s="40"/>
      <c r="F10" s="40"/>
      <c r="G10" s="40"/>
      <c r="H10" s="40"/>
      <c r="I10" s="40"/>
    </row>
    <row r="11" spans="1:12" s="34" customFormat="1" ht="15" customHeight="1" x14ac:dyDescent="0.25">
      <c r="C11" s="40" t="s">
        <v>5</v>
      </c>
      <c r="D11" s="40"/>
      <c r="E11" s="40"/>
      <c r="F11" s="40"/>
      <c r="G11" s="40"/>
      <c r="H11" s="40"/>
      <c r="I11" s="40"/>
    </row>
    <row r="12" spans="1:12" s="34" customFormat="1" ht="15" customHeight="1" x14ac:dyDescent="0.25">
      <c r="C12" s="40" t="s">
        <v>6</v>
      </c>
      <c r="D12" s="40"/>
      <c r="E12" s="40"/>
      <c r="F12" s="40"/>
      <c r="G12" s="40"/>
      <c r="H12" s="40"/>
      <c r="I12" s="40"/>
    </row>
    <row r="13" spans="1:12" s="34" customFormat="1" ht="15" customHeight="1" x14ac:dyDescent="0.25">
      <c r="C13" s="40" t="s">
        <v>118</v>
      </c>
      <c r="D13" s="40"/>
      <c r="E13" s="54">
        <f>'D1.1 Rate 1 Adjustment'!E13</f>
        <v>1.9099999999999999E-2</v>
      </c>
      <c r="F13" s="40"/>
      <c r="G13" s="40"/>
      <c r="H13" s="40"/>
      <c r="I13" s="40"/>
    </row>
    <row r="14" spans="1:12" s="40" customFormat="1" ht="15" customHeight="1" x14ac:dyDescent="0.25">
      <c r="C14" s="40" t="s">
        <v>91</v>
      </c>
      <c r="E14" s="8">
        <v>12</v>
      </c>
    </row>
    <row r="15" spans="1:12" s="34" customFormat="1" ht="15" customHeight="1" x14ac:dyDescent="0.25">
      <c r="C15" s="40"/>
      <c r="D15" s="40"/>
      <c r="E15" s="40"/>
      <c r="F15" s="40"/>
      <c r="G15" s="40"/>
      <c r="H15" s="40"/>
      <c r="I15" s="40"/>
    </row>
    <row r="16" spans="1:12" s="34" customFormat="1" x14ac:dyDescent="0.25">
      <c r="C16" s="5"/>
      <c r="D16" s="5" t="s">
        <v>114</v>
      </c>
      <c r="E16" s="5" t="s">
        <v>7</v>
      </c>
      <c r="F16" s="5" t="s">
        <v>8</v>
      </c>
      <c r="G16" s="5" t="s">
        <v>9</v>
      </c>
      <c r="H16" s="5" t="s">
        <v>10</v>
      </c>
      <c r="I16" s="5" t="s">
        <v>33</v>
      </c>
    </row>
    <row r="17" spans="3:9" s="34" customFormat="1" ht="15" customHeight="1" x14ac:dyDescent="0.25">
      <c r="C17" s="12" t="s">
        <v>132</v>
      </c>
      <c r="D17" s="104" t="s">
        <v>107</v>
      </c>
      <c r="E17" s="58">
        <f>'B1.1 Current Distribution Rates'!E11</f>
        <v>107.15836499999999</v>
      </c>
      <c r="F17" s="59">
        <f>$E$13</f>
        <v>1.9099999999999999E-2</v>
      </c>
      <c r="G17" s="60">
        <f>E17*(1+F17)</f>
        <v>109.20508977149997</v>
      </c>
      <c r="H17" s="63">
        <f>INDEX('B1.2 Billing Determinants'!$E$9:$J$12,MATCH($C$8,'B1.2 Billing Determinants'!$C$9:$C$12,0),MATCH(C17,'B1.2 Billing Determinants'!$E$8:$J$8,0))</f>
        <v>35</v>
      </c>
      <c r="I17" s="57">
        <f>G17*H17*12</f>
        <v>45866.137704029985</v>
      </c>
    </row>
    <row r="18" spans="3:9" s="40" customFormat="1" ht="15" customHeight="1" x14ac:dyDescent="0.25">
      <c r="C18" s="12" t="str">
        <f>OneDollar</f>
        <v>Bill 32 Rate</v>
      </c>
      <c r="D18" s="104" t="s">
        <v>107</v>
      </c>
      <c r="E18" s="58">
        <f>'B1.1 Current Distribution Rates'!F11</f>
        <v>1</v>
      </c>
      <c r="F18" s="61">
        <v>0</v>
      </c>
      <c r="G18" s="60">
        <f>E18*(1+F18)</f>
        <v>1</v>
      </c>
      <c r="H18" s="64">
        <f>H17</f>
        <v>35</v>
      </c>
      <c r="I18" s="57">
        <f>G18*H18*12</f>
        <v>420</v>
      </c>
    </row>
    <row r="19" spans="3:9" s="34" customFormat="1" ht="15" customHeight="1" x14ac:dyDescent="0.25">
      <c r="C19" s="12" t="s">
        <v>86</v>
      </c>
      <c r="D19" s="105" t="s">
        <v>115</v>
      </c>
      <c r="E19" s="92">
        <f>'B1.1 Current Distribution Rates'!G11</f>
        <v>25.967789009999997</v>
      </c>
      <c r="F19" s="59">
        <f>$E$13</f>
        <v>1.9099999999999999E-2</v>
      </c>
      <c r="G19" s="62">
        <f t="shared" ref="G19:G26" si="0">E19*(1+F19)</f>
        <v>26.463773780090996</v>
      </c>
      <c r="H19" s="63">
        <f>INDEX('B1.2 Billing Determinants'!$E$9:$J$12,MATCH($C$8,'B1.2 Billing Determinants'!$C$9:$C$12,0),MATCH(C19,'B1.2 Billing Determinants'!$E$8:$J$8,0))</f>
        <v>287896</v>
      </c>
      <c r="I19" s="56">
        <f>G19*H19/100</f>
        <v>76188.146161930781</v>
      </c>
    </row>
    <row r="20" spans="3:9" s="34" customFormat="1" ht="15" customHeight="1" x14ac:dyDescent="0.25">
      <c r="C20" s="12" t="s">
        <v>87</v>
      </c>
      <c r="D20" s="105" t="s">
        <v>115</v>
      </c>
      <c r="E20" s="92">
        <f>'B1.1 Current Distribution Rates'!H11</f>
        <v>23.371020299999998</v>
      </c>
      <c r="F20" s="59">
        <f>$E$13</f>
        <v>1.9099999999999999E-2</v>
      </c>
      <c r="G20" s="62">
        <f t="shared" si="0"/>
        <v>23.817406787729997</v>
      </c>
      <c r="H20" s="63">
        <f>INDEX('B1.2 Billing Determinants'!$E$9:$J$12,MATCH($C$8,'B1.2 Billing Determinants'!$C$9:$C$12,0),MATCH(C20,'B1.2 Billing Determinants'!$E$8:$J$8,0))</f>
        <v>903329</v>
      </c>
      <c r="I20" s="56">
        <f t="shared" ref="I20:I26" si="1">G20*H20/100</f>
        <v>215149.54256153348</v>
      </c>
    </row>
    <row r="21" spans="3:9" s="34" customFormat="1" ht="15" customHeight="1" x14ac:dyDescent="0.25">
      <c r="C21" s="12" t="s">
        <v>88</v>
      </c>
      <c r="D21" s="105" t="s">
        <v>115</v>
      </c>
      <c r="E21" s="92">
        <f>'B1.1 Current Distribution Rates'!I11</f>
        <v>22.202316419999999</v>
      </c>
      <c r="F21" s="59">
        <f>$E$13</f>
        <v>1.9099999999999999E-2</v>
      </c>
      <c r="G21" s="62">
        <f t="shared" si="0"/>
        <v>22.626380663621998</v>
      </c>
      <c r="H21" s="63">
        <f>INDEX('B1.2 Billing Determinants'!$E$9:$J$12,MATCH($C$8,'B1.2 Billing Determinants'!$C$9:$C$12,0),MATCH(C21,'B1.2 Billing Determinants'!$E$8:$J$8,0))</f>
        <v>890107</v>
      </c>
      <c r="I21" s="56">
        <f t="shared" si="1"/>
        <v>201398.99813354586</v>
      </c>
    </row>
    <row r="22" spans="3:9" s="34" customFormat="1" ht="15" customHeight="1" x14ac:dyDescent="0.25">
      <c r="C22" s="12" t="s">
        <v>129</v>
      </c>
      <c r="D22" s="105" t="s">
        <v>115</v>
      </c>
      <c r="E22" s="92">
        <f>'B1.1 Current Distribution Rates'!J11</f>
        <v>0</v>
      </c>
      <c r="F22" s="59">
        <f>$E$13</f>
        <v>1.9099999999999999E-2</v>
      </c>
      <c r="G22" s="62">
        <f t="shared" si="0"/>
        <v>0</v>
      </c>
      <c r="H22" s="63">
        <f>INDEX('B1.2 Billing Determinants'!$E$9:$J$12,MATCH($C$8,'B1.2 Billing Determinants'!$C$9:$C$12,0),MATCH(C22,'B1.2 Billing Determinants'!$E$8:$J$8,0))</f>
        <v>0</v>
      </c>
      <c r="I22" s="56">
        <f>G22*H22/100*12</f>
        <v>0</v>
      </c>
    </row>
    <row r="23" spans="3:9" s="34" customFormat="1" ht="15" customHeight="1" x14ac:dyDescent="0.25">
      <c r="C23" s="12" t="s">
        <v>128</v>
      </c>
      <c r="D23" s="105" t="s">
        <v>115</v>
      </c>
      <c r="E23" s="92">
        <f>'B1.1 Current Distribution Rates'!K11</f>
        <v>30.3706</v>
      </c>
      <c r="F23" s="61">
        <v>0</v>
      </c>
      <c r="G23" s="62">
        <f t="shared" si="0"/>
        <v>30.3706</v>
      </c>
      <c r="H23" s="63">
        <f>INDEX('B1.2 Billing Determinants'!$E$9:$J$12,MATCH($C$8,'B1.2 Billing Determinants'!$C$9:$C$12,0),MATCH(C23,'B1.2 Billing Determinants'!$E$8:$J$8,0))</f>
        <v>2081331</v>
      </c>
      <c r="I23" s="56">
        <f t="shared" si="1"/>
        <v>632112.71268600004</v>
      </c>
    </row>
    <row r="24" spans="3:9" s="40" customFormat="1" ht="15" customHeight="1" x14ac:dyDescent="0.25">
      <c r="C24" s="12" t="s">
        <v>101</v>
      </c>
      <c r="D24" s="105" t="s">
        <v>115</v>
      </c>
      <c r="E24" s="115">
        <f>INDEX('B1.1 Current Distribution Rates'!$E$10:$Q$13,MATCH($C$8,'B1.1 Current Distribution Rates'!$C$10:$C$13,0),MATCH(C24,'B1.1 Current Distribution Rates'!$E$8:$Q$8,0))</f>
        <v>2.92</v>
      </c>
      <c r="F24" s="61">
        <v>0</v>
      </c>
      <c r="G24" s="62">
        <f t="shared" si="0"/>
        <v>2.92</v>
      </c>
      <c r="H24" s="64">
        <f>H23</f>
        <v>2081331</v>
      </c>
      <c r="I24" s="56">
        <f t="shared" si="1"/>
        <v>60774.865199999993</v>
      </c>
    </row>
    <row r="25" spans="3:9" s="40" customFormat="1" ht="15" customHeight="1" x14ac:dyDescent="0.25">
      <c r="C25" s="12" t="s">
        <v>102</v>
      </c>
      <c r="D25" s="105" t="s">
        <v>115</v>
      </c>
      <c r="E25" s="115">
        <f>INDEX('B1.1 Current Distribution Rates'!$E$10:$Q$13,MATCH($C$8,'B1.1 Current Distribution Rates'!$C$10:$C$13,0),MATCH(C25,'B1.1 Current Distribution Rates'!$E$8:$Q$8,0))</f>
        <v>5.6413000000000002</v>
      </c>
      <c r="F25" s="117">
        <f>'D1.1 Rate 1 Adjustment'!$F$25</f>
        <v>0</v>
      </c>
      <c r="G25" s="62">
        <f t="shared" si="0"/>
        <v>5.6413000000000002</v>
      </c>
      <c r="H25" s="64">
        <f>H24</f>
        <v>2081331</v>
      </c>
      <c r="I25" s="56">
        <f t="shared" si="1"/>
        <v>117414.125703</v>
      </c>
    </row>
    <row r="26" spans="3:9" s="40" customFormat="1" ht="15" customHeight="1" thickBot="1" x14ac:dyDescent="0.3">
      <c r="C26" s="12" t="s">
        <v>82</v>
      </c>
      <c r="D26" s="105" t="s">
        <v>115</v>
      </c>
      <c r="E26" s="115">
        <f>INDEX('B1.1 Current Distribution Rates'!$E$10:$Q$13,MATCH($C$8,'B1.1 Current Distribution Rates'!$C$10:$C$13,0),MATCH(C26,'B1.1 Current Distribution Rates'!$E$8:$Q$8,0))</f>
        <v>9.7899999999999991</v>
      </c>
      <c r="F26" s="61">
        <v>0</v>
      </c>
      <c r="G26" s="62">
        <f t="shared" si="0"/>
        <v>9.7899999999999991</v>
      </c>
      <c r="H26" s="64">
        <f>H25</f>
        <v>2081331</v>
      </c>
      <c r="I26" s="56">
        <f t="shared" si="1"/>
        <v>203762.30489999999</v>
      </c>
    </row>
    <row r="27" spans="3:9" s="34" customFormat="1" ht="15" customHeight="1" thickTop="1" x14ac:dyDescent="0.25">
      <c r="C27" s="40"/>
      <c r="D27" s="40"/>
      <c r="E27" s="40"/>
      <c r="F27" s="40"/>
      <c r="G27" s="40"/>
      <c r="H27" s="40"/>
      <c r="I27" s="51">
        <f>SUM(I17:I26)</f>
        <v>1553086.8330500401</v>
      </c>
    </row>
    <row r="28" spans="3:9" s="34" customFormat="1" ht="15" customHeight="1" x14ac:dyDescent="0.25"/>
    <row r="29" spans="3:9" ht="15" customHeight="1" x14ac:dyDescent="0.25"/>
    <row r="30" spans="3:9" ht="15" hidden="1" customHeight="1" x14ac:dyDescent="0.25"/>
    <row r="31" spans="3:9" ht="15" hidden="1" customHeight="1" x14ac:dyDescent="0.25"/>
  </sheetData>
  <sheetProtection algorithmName="SHA-512" hashValue="nykcUWthcaMnzr1fbysLMEXhloqGgu7q3feuy9hVTnIbc27HeiFu79/rwbuoBqrrOJQ3O+c/0vdB54qR+blSXw==" saltValue="3OLo7NCW/4ZMCj+jsb8i4w==" spinCount="100000" sheet="1" objects="1" scenarios="1"/>
  <pageMargins left="0.70866141732283505" right="0.70866141732283505" top="0.74803149606299202" bottom="0.74803149606299202" header="0.31496062992126" footer="0.31496062992126"/>
  <pageSetup scale="98" orientation="landscape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'B1.1 Current Distribution Rates'!$C$10:$C$13</xm:f>
          </x14:formula1>
          <xm:sqref>C8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O29"/>
  <sheetViews>
    <sheetView showGridLines="0" workbookViewId="0">
      <selection activeCell="C17" sqref="C17"/>
    </sheetView>
  </sheetViews>
  <sheetFormatPr defaultColWidth="0" defaultRowHeight="15" customHeight="1" zeroHeight="1" x14ac:dyDescent="0.25"/>
  <cols>
    <col min="1" max="2" width="4.140625" style="13" customWidth="1"/>
    <col min="3" max="3" width="35.7109375" style="13" customWidth="1"/>
    <col min="4" max="4" width="12.42578125" style="13" customWidth="1"/>
    <col min="5" max="5" width="12.140625" style="13" bestFit="1" customWidth="1"/>
    <col min="6" max="6" width="9.140625" style="13" bestFit="1" customWidth="1"/>
    <col min="7" max="7" width="20.28515625" style="13" customWidth="1"/>
    <col min="8" max="8" width="22.85546875" style="13" customWidth="1"/>
    <col min="9" max="9" width="15" style="13" customWidth="1"/>
    <col min="10" max="10" width="12.28515625" style="13" bestFit="1" customWidth="1"/>
    <col min="11" max="11" width="14.42578125" style="13" hidden="1" customWidth="1"/>
    <col min="12" max="12" width="12.7109375" style="13" hidden="1" customWidth="1"/>
    <col min="13" max="15" width="15.7109375" style="13" hidden="1" customWidth="1"/>
    <col min="16" max="16384" width="0" style="13" hidden="1"/>
  </cols>
  <sheetData>
    <row r="1" spans="1:12" ht="15.75" x14ac:dyDescent="0.25">
      <c r="A1" s="34"/>
      <c r="B1" s="34"/>
      <c r="C1" s="17"/>
      <c r="D1" s="34"/>
      <c r="E1" s="34"/>
      <c r="F1" s="34"/>
      <c r="G1" s="34"/>
      <c r="H1" s="34"/>
      <c r="I1" s="34"/>
      <c r="J1" s="34"/>
      <c r="K1" s="34"/>
      <c r="L1" s="34"/>
    </row>
    <row r="2" spans="1:12" s="34" customFormat="1" ht="18" x14ac:dyDescent="0.25">
      <c r="C2" s="18" t="str">
        <f>'A1.1 Distributor Information'!C3</f>
        <v>Name of LDC:       EPCOR Natural Gas Limited Partnership</v>
      </c>
    </row>
    <row r="3" spans="1:12" s="34" customFormat="1" ht="18" x14ac:dyDescent="0.25">
      <c r="C3" s="18" t="str">
        <f>'A1.1 Distributor Information'!C4</f>
        <v>OEB Application Number:  EB-2022-0184  Exhibit A - 2023 Custom Incentive Application</v>
      </c>
    </row>
    <row r="4" spans="1:12" s="34" customFormat="1" ht="15" customHeight="1" x14ac:dyDescent="0.25"/>
    <row r="5" spans="1:12" s="34" customFormat="1" ht="20.25" x14ac:dyDescent="0.3">
      <c r="C5" s="7" t="s">
        <v>119</v>
      </c>
      <c r="D5" s="40"/>
      <c r="E5" s="40"/>
      <c r="F5" s="40"/>
      <c r="G5" s="40"/>
      <c r="H5" s="40"/>
      <c r="I5" s="40"/>
    </row>
    <row r="6" spans="1:12" s="34" customFormat="1" ht="15" customHeight="1" x14ac:dyDescent="0.25">
      <c r="C6" s="40" t="str">
        <f ca="1">MID(CELL("filename",A1),FIND("]",CELL("filename",A1))+1,255)</f>
        <v>D1.3 Rate 11 Adjustment</v>
      </c>
      <c r="D6" s="40"/>
      <c r="E6" s="40"/>
      <c r="F6" s="40"/>
      <c r="G6" s="40"/>
      <c r="H6" s="40"/>
      <c r="I6" s="40"/>
    </row>
    <row r="7" spans="1:12" s="34" customFormat="1" ht="15" customHeight="1" x14ac:dyDescent="0.25">
      <c r="C7" s="40"/>
      <c r="D7" s="40"/>
      <c r="E7" s="40"/>
      <c r="F7" s="40"/>
      <c r="G7" s="40"/>
      <c r="H7" s="40"/>
      <c r="I7" s="40"/>
    </row>
    <row r="8" spans="1:12" s="34" customFormat="1" ht="15" customHeight="1" x14ac:dyDescent="0.25">
      <c r="C8" s="6" t="s">
        <v>48</v>
      </c>
      <c r="D8" s="40"/>
      <c r="E8" s="40"/>
      <c r="F8" s="40"/>
      <c r="G8" s="40"/>
      <c r="H8" s="40"/>
      <c r="I8" s="40"/>
    </row>
    <row r="9" spans="1:12" s="34" customFormat="1" ht="15" customHeight="1" x14ac:dyDescent="0.25">
      <c r="C9" s="40"/>
      <c r="D9" s="40"/>
      <c r="E9" s="40"/>
      <c r="F9" s="40"/>
      <c r="G9" s="40"/>
      <c r="H9" s="40"/>
      <c r="I9" s="40"/>
    </row>
    <row r="10" spans="1:12" s="34" customFormat="1" ht="15" customHeight="1" x14ac:dyDescent="0.25">
      <c r="C10" s="40" t="s">
        <v>4</v>
      </c>
      <c r="D10" s="40"/>
      <c r="E10" s="40"/>
      <c r="F10" s="40"/>
      <c r="G10" s="40"/>
      <c r="H10" s="40"/>
      <c r="I10" s="40"/>
    </row>
    <row r="11" spans="1:12" s="34" customFormat="1" ht="15" customHeight="1" x14ac:dyDescent="0.25">
      <c r="C11" s="40" t="s">
        <v>5</v>
      </c>
      <c r="D11" s="40"/>
      <c r="E11" s="40"/>
      <c r="F11" s="40"/>
      <c r="G11" s="40"/>
      <c r="H11" s="40"/>
      <c r="I11" s="40"/>
    </row>
    <row r="12" spans="1:12" s="34" customFormat="1" ht="15" customHeight="1" x14ac:dyDescent="0.25">
      <c r="C12" s="40" t="s">
        <v>6</v>
      </c>
      <c r="D12" s="40"/>
      <c r="E12" s="40"/>
      <c r="F12" s="40"/>
      <c r="G12" s="40"/>
      <c r="H12" s="40"/>
      <c r="I12" s="40"/>
    </row>
    <row r="13" spans="1:12" s="34" customFormat="1" ht="15" customHeight="1" x14ac:dyDescent="0.25">
      <c r="C13" s="40" t="s">
        <v>118</v>
      </c>
      <c r="D13" s="40"/>
      <c r="E13" s="54">
        <f>'D1.1 Rate 1 Adjustment'!E13</f>
        <v>1.9099999999999999E-2</v>
      </c>
      <c r="F13" s="40"/>
      <c r="G13" s="40"/>
      <c r="H13" s="40"/>
      <c r="I13" s="40"/>
    </row>
    <row r="14" spans="1:12" s="40" customFormat="1" ht="15" customHeight="1" x14ac:dyDescent="0.25">
      <c r="C14" s="40" t="s">
        <v>91</v>
      </c>
      <c r="E14" s="8">
        <v>12</v>
      </c>
    </row>
    <row r="15" spans="1:12" s="34" customFormat="1" ht="15" customHeight="1" x14ac:dyDescent="0.25">
      <c r="C15" s="40"/>
      <c r="D15" s="40"/>
      <c r="E15" s="40"/>
      <c r="F15" s="40"/>
      <c r="G15" s="40"/>
      <c r="H15" s="40"/>
      <c r="I15" s="40"/>
    </row>
    <row r="16" spans="1:12" s="34" customFormat="1" x14ac:dyDescent="0.25">
      <c r="C16" s="5"/>
      <c r="D16" s="5" t="s">
        <v>114</v>
      </c>
      <c r="E16" s="5" t="s">
        <v>7</v>
      </c>
      <c r="F16" s="5" t="s">
        <v>8</v>
      </c>
      <c r="G16" s="5" t="s">
        <v>9</v>
      </c>
      <c r="H16" s="65" t="s">
        <v>10</v>
      </c>
      <c r="I16" s="65" t="s">
        <v>33</v>
      </c>
    </row>
    <row r="17" spans="3:9" s="34" customFormat="1" ht="15" customHeight="1" x14ac:dyDescent="0.25">
      <c r="C17" s="12" t="s">
        <v>132</v>
      </c>
      <c r="D17" s="104" t="s">
        <v>107</v>
      </c>
      <c r="E17" s="58">
        <f>INDEX('B1.1 Current Distribution Rates'!$E$10:$Q$13,MATCH($C$8,'B1.1 Current Distribution Rates'!$C$10:$C$13,0),MATCH(C17,'B1.1 Current Distribution Rates'!$E$8:$Q$8,0))</f>
        <v>214.30653899999996</v>
      </c>
      <c r="F17" s="59">
        <f>$E$13</f>
        <v>1.9099999999999999E-2</v>
      </c>
      <c r="G17" s="60">
        <f>E17*(1+F17)</f>
        <v>218.39979389489994</v>
      </c>
      <c r="H17" s="63">
        <f>INDEX('B1.2 Billing Determinants'!$E$9:$J$12,MATCH($C$8,'B1.2 Billing Determinants'!$C$9:$C$12,0),MATCH(C17,'B1.2 Billing Determinants'!$E$8:$J$8,0))</f>
        <v>7</v>
      </c>
      <c r="I17" s="57">
        <f>G17*H17*12</f>
        <v>18345.582687171598</v>
      </c>
    </row>
    <row r="18" spans="3:9" s="40" customFormat="1" ht="15" customHeight="1" x14ac:dyDescent="0.25">
      <c r="C18" s="12" t="str">
        <f>OneDollar</f>
        <v>Bill 32 Rate</v>
      </c>
      <c r="D18" s="104" t="s">
        <v>107</v>
      </c>
      <c r="E18" s="58">
        <f>INDEX('B1.1 Current Distribution Rates'!$E$10:$Q$13,MATCH($C$8,'B1.1 Current Distribution Rates'!$C$10:$C$13,0),MATCH(C18,'B1.1 Current Distribution Rates'!$E$8:$Q$8,0))</f>
        <v>1</v>
      </c>
      <c r="F18" s="61">
        <v>0</v>
      </c>
      <c r="G18" s="60">
        <f t="shared" ref="G18:G26" si="0">E18*(1+F18)</f>
        <v>1</v>
      </c>
      <c r="H18" s="64">
        <f>H17</f>
        <v>7</v>
      </c>
      <c r="I18" s="57">
        <f>G18*H18*12</f>
        <v>84</v>
      </c>
    </row>
    <row r="19" spans="3:9" s="34" customFormat="1" ht="15" customHeight="1" x14ac:dyDescent="0.25">
      <c r="C19" s="12" t="s">
        <v>86</v>
      </c>
      <c r="D19" s="105" t="s">
        <v>115</v>
      </c>
      <c r="E19" s="92">
        <f>INDEX('B1.1 Current Distribution Rates'!$E$10:$Q$13,MATCH($C$8,'B1.1 Current Distribution Rates'!$C$10:$C$13,0),MATCH(C19,'B1.1 Current Distribution Rates'!$E$8:$Q$8,0))</f>
        <v>16.130314799999997</v>
      </c>
      <c r="F19" s="59">
        <f>$E$13</f>
        <v>1.9099999999999999E-2</v>
      </c>
      <c r="G19" s="62">
        <f t="shared" si="0"/>
        <v>16.438403812679997</v>
      </c>
      <c r="H19" s="63">
        <f>INDEX('B1.2 Billing Determinants'!$E$9:$J$12,MATCH($C$8,'B1.2 Billing Determinants'!$C$9:$C$12,0),MATCH(C19,'B1.2 Billing Determinants'!$E$8:$J$8,0))</f>
        <v>0</v>
      </c>
      <c r="I19" s="56">
        <f>G19*H19/100</f>
        <v>0</v>
      </c>
    </row>
    <row r="20" spans="3:9" s="34" customFormat="1" ht="15" customHeight="1" x14ac:dyDescent="0.25">
      <c r="C20" s="12" t="s">
        <v>87</v>
      </c>
      <c r="D20" s="105" t="s">
        <v>115</v>
      </c>
      <c r="E20" s="92">
        <f>INDEX('B1.1 Current Distribution Rates'!$E$10:$Q$13,MATCH($C$8,'B1.1 Current Distribution Rates'!$C$10:$C$13,0),MATCH(C20,'B1.1 Current Distribution Rates'!$E$8:$Q$8,0))</f>
        <v>16.130314799999997</v>
      </c>
      <c r="F20" s="59">
        <f>$E$13</f>
        <v>1.9099999999999999E-2</v>
      </c>
      <c r="G20" s="62">
        <f t="shared" si="0"/>
        <v>16.438403812679997</v>
      </c>
      <c r="H20" s="63">
        <f>INDEX('B1.2 Billing Determinants'!$E$9:$J$12,MATCH($C$8,'B1.2 Billing Determinants'!$C$9:$C$12,0),MATCH(C20,'B1.2 Billing Determinants'!$E$8:$J$8,0))</f>
        <v>0</v>
      </c>
      <c r="I20" s="56">
        <f t="shared" ref="I20:I26" si="1">G20*H20/100</f>
        <v>0</v>
      </c>
    </row>
    <row r="21" spans="3:9" s="34" customFormat="1" ht="15" customHeight="1" x14ac:dyDescent="0.25">
      <c r="C21" s="12" t="s">
        <v>88</v>
      </c>
      <c r="D21" s="105" t="s">
        <v>115</v>
      </c>
      <c r="E21" s="92">
        <f>INDEX('B1.1 Current Distribution Rates'!$E$10:$Q$13,MATCH($C$8,'B1.1 Current Distribution Rates'!$C$10:$C$13,0),MATCH(C21,'B1.1 Current Distribution Rates'!$E$8:$Q$8,0))</f>
        <v>16.130314799999997</v>
      </c>
      <c r="F21" s="59">
        <f>$E$13</f>
        <v>1.9099999999999999E-2</v>
      </c>
      <c r="G21" s="62">
        <f t="shared" si="0"/>
        <v>16.438403812679997</v>
      </c>
      <c r="H21" s="63">
        <f>INDEX('B1.2 Billing Determinants'!$E$9:$J$12,MATCH($C$8,'B1.2 Billing Determinants'!$C$9:$C$12,0),MATCH(C21,'B1.2 Billing Determinants'!$E$8:$J$8,0))</f>
        <v>1313149</v>
      </c>
      <c r="I21" s="56">
        <f t="shared" si="1"/>
        <v>215860.73528216925</v>
      </c>
    </row>
    <row r="22" spans="3:9" s="34" customFormat="1" ht="15" customHeight="1" x14ac:dyDescent="0.25">
      <c r="C22" s="12" t="s">
        <v>129</v>
      </c>
      <c r="D22" s="105" t="s">
        <v>115</v>
      </c>
      <c r="E22" s="92">
        <f>INDEX('B1.1 Current Distribution Rates'!$E$10:$Q$13,MATCH($C$8,'B1.1 Current Distribution Rates'!$C$10:$C$13,0),MATCH(C22,'B1.1 Current Distribution Rates'!$E$8:$Q$8,0))</f>
        <v>0</v>
      </c>
      <c r="F22" s="59">
        <f>$E$13</f>
        <v>1.9099999999999999E-2</v>
      </c>
      <c r="G22" s="62">
        <f t="shared" si="0"/>
        <v>0</v>
      </c>
      <c r="H22" s="63">
        <f>INDEX('B1.2 Billing Determinants'!$E$9:$J$12,MATCH($C$8,'B1.2 Billing Determinants'!$C$9:$C$12,0),MATCH(C22,'B1.2 Billing Determinants'!$E$8:$J$8,0))</f>
        <v>0</v>
      </c>
      <c r="I22" s="56">
        <f>G22*H22/100*12</f>
        <v>0</v>
      </c>
    </row>
    <row r="23" spans="3:9" s="34" customFormat="1" ht="15" customHeight="1" x14ac:dyDescent="0.25">
      <c r="C23" s="12" t="s">
        <v>128</v>
      </c>
      <c r="D23" s="105" t="s">
        <v>115</v>
      </c>
      <c r="E23" s="92">
        <f>INDEX('B1.1 Current Distribution Rates'!$E$10:$Q$13,MATCH($C$8,'B1.1 Current Distribution Rates'!$C$10:$C$13,0),MATCH(C23,'B1.1 Current Distribution Rates'!$E$8:$Q$8,0))</f>
        <v>30.3706</v>
      </c>
      <c r="F23" s="61">
        <v>0</v>
      </c>
      <c r="G23" s="62">
        <f t="shared" si="0"/>
        <v>30.3706</v>
      </c>
      <c r="H23" s="63">
        <f>INDEX('B1.2 Billing Determinants'!$E$9:$J$12,MATCH($C$8,'B1.2 Billing Determinants'!$C$9:$C$12,0),MATCH(C23,'B1.2 Billing Determinants'!$E$8:$J$8,0))</f>
        <v>1313149</v>
      </c>
      <c r="I23" s="56">
        <f t="shared" si="1"/>
        <v>398811.230194</v>
      </c>
    </row>
    <row r="24" spans="3:9" s="40" customFormat="1" ht="15" customHeight="1" x14ac:dyDescent="0.25">
      <c r="C24" s="12" t="s">
        <v>101</v>
      </c>
      <c r="D24" s="105" t="s">
        <v>115</v>
      </c>
      <c r="E24" s="92">
        <f>INDEX('B1.1 Current Distribution Rates'!$E$10:$Q$13,MATCH($C$8,'B1.1 Current Distribution Rates'!$C$10:$C$13,0),MATCH(C24,'B1.1 Current Distribution Rates'!$E$8:$Q$8,0))</f>
        <v>3.5200000000000002E-2</v>
      </c>
      <c r="F24" s="61">
        <v>0</v>
      </c>
      <c r="G24" s="62">
        <f t="shared" si="0"/>
        <v>3.5200000000000002E-2</v>
      </c>
      <c r="H24" s="64">
        <f>H23</f>
        <v>1313149</v>
      </c>
      <c r="I24" s="56">
        <f t="shared" si="1"/>
        <v>462.22844800000007</v>
      </c>
    </row>
    <row r="25" spans="3:9" s="40" customFormat="1" ht="15" customHeight="1" x14ac:dyDescent="0.25">
      <c r="C25" s="12" t="s">
        <v>102</v>
      </c>
      <c r="D25" s="105" t="s">
        <v>115</v>
      </c>
      <c r="E25" s="92">
        <f>INDEX('B1.1 Current Distribution Rates'!$E$10:$Q$13,MATCH($C$8,'B1.1 Current Distribution Rates'!$C$10:$C$13,0),MATCH(C25,'B1.1 Current Distribution Rates'!$E$8:$Q$8,0))</f>
        <v>1.8166</v>
      </c>
      <c r="F25" s="117">
        <f>'D1.1 Rate 1 Adjustment'!$F$25</f>
        <v>0</v>
      </c>
      <c r="G25" s="62">
        <f t="shared" si="0"/>
        <v>1.8166</v>
      </c>
      <c r="H25" s="64">
        <f>H24</f>
        <v>1313149</v>
      </c>
      <c r="I25" s="56">
        <f t="shared" si="1"/>
        <v>23854.664734000002</v>
      </c>
    </row>
    <row r="26" spans="3:9" s="40" customFormat="1" ht="15" customHeight="1" thickBot="1" x14ac:dyDescent="0.3">
      <c r="C26" s="12" t="s">
        <v>82</v>
      </c>
      <c r="D26" s="105" t="s">
        <v>115</v>
      </c>
      <c r="E26" s="92">
        <f>INDEX('B1.1 Current Distribution Rates'!$E$10:$Q$13,MATCH($C$8,'B1.1 Current Distribution Rates'!$C$10:$C$13,0),MATCH(C26,'B1.1 Current Distribution Rates'!$E$8:$Q$8,0))</f>
        <v>9.7899999999999991</v>
      </c>
      <c r="F26" s="61">
        <v>0</v>
      </c>
      <c r="G26" s="62">
        <f t="shared" si="0"/>
        <v>9.7899999999999991</v>
      </c>
      <c r="H26" s="64">
        <f>H25</f>
        <v>1313149</v>
      </c>
      <c r="I26" s="56">
        <f t="shared" si="1"/>
        <v>128557.28709999999</v>
      </c>
    </row>
    <row r="27" spans="3:9" ht="15" customHeight="1" thickTop="1" x14ac:dyDescent="0.25">
      <c r="C27" s="40"/>
      <c r="D27" s="40"/>
      <c r="E27" s="40"/>
      <c r="F27" s="40"/>
      <c r="G27" s="40"/>
      <c r="H27" s="40"/>
      <c r="I27" s="51">
        <f>SUM(I17:I26)</f>
        <v>785975.72844534088</v>
      </c>
    </row>
    <row r="28" spans="3:9" ht="15" customHeight="1" x14ac:dyDescent="0.25">
      <c r="C28" s="40"/>
      <c r="D28" s="40"/>
      <c r="E28" s="40"/>
      <c r="F28" s="40"/>
      <c r="G28" s="40"/>
      <c r="H28" s="40"/>
      <c r="I28" s="40"/>
    </row>
    <row r="29" spans="3:9" ht="15" customHeight="1" x14ac:dyDescent="0.25"/>
  </sheetData>
  <sheetProtection algorithmName="SHA-512" hashValue="PXM2n+MHpz6GaV1MDa/0JUpf/wjRF8q9Nz1XXQr9nt6liFqYclpYsUWd3wGa8ZDmLtp2F52zmT/HncFZvrdQ4g==" saltValue="aUOwiSulO14Kl6BPfiMgpQ==" spinCount="100000" sheet="1" objects="1" scenarios="1"/>
  <pageMargins left="0.70866141732283505" right="0.70866141732283505" top="0.74803149606299202" bottom="0.74803149606299202" header="0.31496062992126" footer="0.31496062992126"/>
  <pageSetup scale="89" orientation="landscape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'B1.1 Current Distribution Rates'!$C$10:$C$13</xm:f>
          </x14:formula1>
          <xm:sqref>C8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O31"/>
  <sheetViews>
    <sheetView showGridLines="0" workbookViewId="0">
      <selection activeCell="C17" sqref="C17"/>
    </sheetView>
  </sheetViews>
  <sheetFormatPr defaultColWidth="0" defaultRowHeight="15" customHeight="1" zeroHeight="1" x14ac:dyDescent="0.25"/>
  <cols>
    <col min="1" max="2" width="3.28515625" style="13" customWidth="1"/>
    <col min="3" max="3" width="35.7109375" style="13" customWidth="1"/>
    <col min="4" max="4" width="25.28515625" style="13" customWidth="1"/>
    <col min="5" max="5" width="12.140625" style="13" bestFit="1" customWidth="1"/>
    <col min="6" max="6" width="9.140625" style="13" bestFit="1" customWidth="1"/>
    <col min="7" max="7" width="14.42578125" style="13" bestFit="1" customWidth="1"/>
    <col min="8" max="8" width="21.7109375" style="13" customWidth="1"/>
    <col min="9" max="9" width="12.7109375" style="13" bestFit="1" customWidth="1"/>
    <col min="10" max="10" width="12.28515625" style="13" bestFit="1" customWidth="1"/>
    <col min="11" max="11" width="14.42578125" style="13" hidden="1" customWidth="1"/>
    <col min="12" max="12" width="12.7109375" style="13" hidden="1" customWidth="1"/>
    <col min="13" max="15" width="15.7109375" style="13" hidden="1" customWidth="1"/>
    <col min="16" max="16384" width="0" style="13" hidden="1"/>
  </cols>
  <sheetData>
    <row r="1" spans="1:12" ht="15.75" x14ac:dyDescent="0.25">
      <c r="A1" s="34"/>
      <c r="B1" s="34"/>
      <c r="C1" s="17"/>
      <c r="D1" s="34"/>
      <c r="E1" s="34"/>
      <c r="F1" s="34"/>
      <c r="G1" s="34"/>
      <c r="H1" s="34"/>
      <c r="I1" s="34"/>
      <c r="J1" s="34"/>
      <c r="K1" s="34"/>
      <c r="L1" s="34"/>
    </row>
    <row r="2" spans="1:12" s="34" customFormat="1" ht="18" x14ac:dyDescent="0.25">
      <c r="C2" s="18" t="str">
        <f>'A1.1 Distributor Information'!C3</f>
        <v>Name of LDC:       EPCOR Natural Gas Limited Partnership</v>
      </c>
    </row>
    <row r="3" spans="1:12" s="34" customFormat="1" ht="18" x14ac:dyDescent="0.25">
      <c r="C3" s="18" t="str">
        <f>'A1.1 Distributor Information'!C4</f>
        <v>OEB Application Number:  EB-2022-0184  Exhibit A - 2023 Custom Incentive Application</v>
      </c>
    </row>
    <row r="4" spans="1:12" s="34" customFormat="1" ht="15" customHeight="1" x14ac:dyDescent="0.25"/>
    <row r="5" spans="1:12" s="34" customFormat="1" ht="20.25" x14ac:dyDescent="0.3">
      <c r="C5" s="7" t="s">
        <v>120</v>
      </c>
      <c r="D5" s="40"/>
      <c r="E5" s="40"/>
      <c r="F5" s="40"/>
      <c r="G5" s="40"/>
      <c r="H5" s="40"/>
      <c r="I5" s="40"/>
    </row>
    <row r="6" spans="1:12" s="34" customFormat="1" ht="15" customHeight="1" x14ac:dyDescent="0.25">
      <c r="C6" s="40" t="str">
        <f ca="1">MID(CELL("filename",A1),FIND("]",CELL("filename",A1))+1,255)</f>
        <v>D1.4 Rate 16 Adjustment</v>
      </c>
      <c r="D6" s="40"/>
      <c r="E6" s="40"/>
      <c r="F6" s="40"/>
      <c r="G6" s="40"/>
      <c r="H6" s="40"/>
      <c r="I6" s="40"/>
    </row>
    <row r="7" spans="1:12" s="34" customFormat="1" ht="15" customHeight="1" x14ac:dyDescent="0.25">
      <c r="C7" s="40"/>
      <c r="D7" s="40"/>
      <c r="E7" s="40"/>
      <c r="F7" s="40"/>
      <c r="G7" s="40"/>
      <c r="H7" s="40"/>
      <c r="I7" s="40"/>
    </row>
    <row r="8" spans="1:12" s="34" customFormat="1" ht="15" customHeight="1" x14ac:dyDescent="0.25">
      <c r="C8" s="6" t="s">
        <v>51</v>
      </c>
      <c r="D8" s="40"/>
      <c r="E8" s="40"/>
      <c r="F8" s="40"/>
      <c r="G8" s="40"/>
      <c r="H8" s="40"/>
      <c r="I8" s="40"/>
    </row>
    <row r="9" spans="1:12" s="34" customFormat="1" ht="15" customHeight="1" x14ac:dyDescent="0.25">
      <c r="C9" s="40"/>
      <c r="D9" s="40"/>
      <c r="E9" s="40"/>
      <c r="F9" s="40"/>
      <c r="G9" s="40"/>
      <c r="H9" s="40"/>
      <c r="I9" s="40"/>
    </row>
    <row r="10" spans="1:12" s="34" customFormat="1" ht="15" customHeight="1" x14ac:dyDescent="0.25">
      <c r="C10" s="40" t="s">
        <v>4</v>
      </c>
      <c r="D10" s="40"/>
      <c r="E10" s="40"/>
      <c r="F10" s="40"/>
      <c r="G10" s="40"/>
      <c r="H10" s="40"/>
      <c r="I10" s="40"/>
    </row>
    <row r="11" spans="1:12" s="34" customFormat="1" ht="15" customHeight="1" x14ac:dyDescent="0.25">
      <c r="C11" s="40" t="s">
        <v>5</v>
      </c>
      <c r="D11" s="40"/>
      <c r="E11" s="40"/>
      <c r="F11" s="40"/>
      <c r="G11" s="40"/>
      <c r="H11" s="40"/>
      <c r="I11" s="40"/>
    </row>
    <row r="12" spans="1:12" s="34" customFormat="1" ht="15" customHeight="1" x14ac:dyDescent="0.25">
      <c r="C12" s="40" t="s">
        <v>6</v>
      </c>
      <c r="D12" s="40"/>
      <c r="E12" s="40"/>
      <c r="F12" s="40"/>
      <c r="G12" s="40"/>
      <c r="H12" s="40"/>
      <c r="I12" s="40"/>
    </row>
    <row r="13" spans="1:12" s="34" customFormat="1" ht="15" customHeight="1" x14ac:dyDescent="0.25">
      <c r="C13" s="40" t="s">
        <v>118</v>
      </c>
      <c r="D13" s="40"/>
      <c r="E13" s="54">
        <f>'D1.1 Rate 1 Adjustment'!E13</f>
        <v>1.9099999999999999E-2</v>
      </c>
      <c r="F13" s="40"/>
      <c r="G13" s="40"/>
      <c r="H13" s="40"/>
      <c r="I13" s="40"/>
    </row>
    <row r="14" spans="1:12" s="40" customFormat="1" ht="15" customHeight="1" x14ac:dyDescent="0.25">
      <c r="C14" s="40" t="s">
        <v>91</v>
      </c>
      <c r="E14" s="8">
        <v>12</v>
      </c>
    </row>
    <row r="15" spans="1:12" s="34" customFormat="1" ht="15" customHeight="1" x14ac:dyDescent="0.25">
      <c r="C15" s="40"/>
      <c r="D15" s="40"/>
      <c r="E15" s="40"/>
      <c r="F15" s="40"/>
      <c r="G15" s="40"/>
      <c r="H15" s="40"/>
      <c r="I15" s="40"/>
    </row>
    <row r="16" spans="1:12" s="34" customFormat="1" x14ac:dyDescent="0.25">
      <c r="C16" s="5"/>
      <c r="D16" s="5" t="s">
        <v>114</v>
      </c>
      <c r="E16" s="5" t="s">
        <v>7</v>
      </c>
      <c r="F16" s="5" t="s">
        <v>8</v>
      </c>
      <c r="G16" s="5" t="s">
        <v>9</v>
      </c>
      <c r="H16" s="65" t="s">
        <v>10</v>
      </c>
      <c r="I16" s="65" t="s">
        <v>33</v>
      </c>
    </row>
    <row r="17" spans="3:12" s="34" customFormat="1" ht="15" customHeight="1" x14ac:dyDescent="0.25">
      <c r="C17" s="12" t="s">
        <v>132</v>
      </c>
      <c r="D17" s="104" t="s">
        <v>107</v>
      </c>
      <c r="E17" s="58">
        <f>INDEX('B1.1 Current Distribution Rates'!$E$10:$Q$13,MATCH($C$8,'B1.1 Current Distribution Rates'!$C$10:$C$13,0),MATCH(C17,'B1.1 Current Distribution Rates'!$E$8:$Q$8,0))</f>
        <v>1575.7833749999998</v>
      </c>
      <c r="F17" s="59">
        <f t="shared" ref="F17:F22" si="0">$E$13</f>
        <v>1.9099999999999999E-2</v>
      </c>
      <c r="G17" s="60">
        <f>E17*(1+F17)</f>
        <v>1605.8808374624996</v>
      </c>
      <c r="H17" s="63">
        <f>INDEX('B1.2 Billing Determinants'!$E$9:$J$12,MATCH($C$8,'B1.2 Billing Determinants'!$C$9:$C$12,0),MATCH(C17,'B1.2 Billing Determinants'!$E$8:$J$8,0))</f>
        <v>3</v>
      </c>
      <c r="I17" s="57">
        <f>G17*H17*$E$14</f>
        <v>57811.710148649989</v>
      </c>
    </row>
    <row r="18" spans="3:12" s="40" customFormat="1" ht="15" customHeight="1" x14ac:dyDescent="0.25">
      <c r="C18" s="12" t="str">
        <f>OneDollar</f>
        <v>Bill 32 Rate</v>
      </c>
      <c r="D18" s="104" t="s">
        <v>107</v>
      </c>
      <c r="E18" s="58">
        <f>INDEX('B1.1 Current Distribution Rates'!$E$10:$Q$13,MATCH($C$8,'B1.1 Current Distribution Rates'!$C$10:$C$13,0),MATCH(C18,'B1.1 Current Distribution Rates'!$E$8:$Q$8,0))</f>
        <v>1</v>
      </c>
      <c r="F18" s="61">
        <v>0</v>
      </c>
      <c r="G18" s="60">
        <f t="shared" ref="G18:G28" si="1">E18*(1+F18)</f>
        <v>1</v>
      </c>
      <c r="H18" s="64">
        <f>H17</f>
        <v>3</v>
      </c>
      <c r="I18" s="57">
        <f>G18*H18*$E$14</f>
        <v>36</v>
      </c>
    </row>
    <row r="19" spans="3:12" s="34" customFormat="1" ht="15" customHeight="1" x14ac:dyDescent="0.25">
      <c r="C19" s="12" t="s">
        <v>86</v>
      </c>
      <c r="D19" s="105" t="s">
        <v>115</v>
      </c>
      <c r="E19" s="92">
        <f>INDEX('B1.1 Current Distribution Rates'!$E$10:$Q$13,MATCH($C$8,'B1.1 Current Distribution Rates'!$C$10:$C$13,0),MATCH(C19,'B1.1 Current Distribution Rates'!$E$8:$Q$8,0))</f>
        <v>0</v>
      </c>
      <c r="F19" s="59">
        <f t="shared" si="0"/>
        <v>1.9099999999999999E-2</v>
      </c>
      <c r="G19" s="62">
        <f t="shared" si="1"/>
        <v>0</v>
      </c>
      <c r="H19" s="63">
        <f>INDEX('B1.2 Billing Determinants'!$E$9:$J$12,MATCH($C$8,'B1.2 Billing Determinants'!$C$9:$C$12,0),MATCH(C19,'B1.2 Billing Determinants'!$E$8:$J$8,0))</f>
        <v>0</v>
      </c>
      <c r="I19" s="56">
        <f>G19*H19/100</f>
        <v>0</v>
      </c>
    </row>
    <row r="20" spans="3:12" s="34" customFormat="1" ht="15" customHeight="1" x14ac:dyDescent="0.25">
      <c r="C20" s="12" t="s">
        <v>87</v>
      </c>
      <c r="D20" s="105" t="s">
        <v>115</v>
      </c>
      <c r="E20" s="92">
        <f>INDEX('B1.1 Current Distribution Rates'!$E$10:$Q$13,MATCH($C$8,'B1.1 Current Distribution Rates'!$C$10:$C$13,0),MATCH(C20,'B1.1 Current Distribution Rates'!$E$8:$Q$8,0))</f>
        <v>0</v>
      </c>
      <c r="F20" s="59">
        <f t="shared" si="0"/>
        <v>1.9099999999999999E-2</v>
      </c>
      <c r="G20" s="62">
        <f t="shared" si="1"/>
        <v>0</v>
      </c>
      <c r="H20" s="63">
        <f>INDEX('B1.2 Billing Determinants'!$E$9:$J$12,MATCH($C$8,'B1.2 Billing Determinants'!$C$9:$C$12,0),MATCH(C20,'B1.2 Billing Determinants'!$E$8:$J$8,0))</f>
        <v>0</v>
      </c>
      <c r="I20" s="56">
        <f>G20*H20/100</f>
        <v>0</v>
      </c>
    </row>
    <row r="21" spans="3:12" s="34" customFormat="1" ht="15" customHeight="1" x14ac:dyDescent="0.25">
      <c r="C21" s="12" t="s">
        <v>88</v>
      </c>
      <c r="D21" s="105" t="s">
        <v>115</v>
      </c>
      <c r="E21" s="92">
        <f>INDEX('B1.1 Current Distribution Rates'!$E$10:$Q$13,MATCH($C$8,'B1.1 Current Distribution Rates'!$C$10:$C$13,0),MATCH(C21,'B1.1 Current Distribution Rates'!$E$8:$Q$8,0))</f>
        <v>0</v>
      </c>
      <c r="F21" s="59">
        <f t="shared" si="0"/>
        <v>1.9099999999999999E-2</v>
      </c>
      <c r="G21" s="62">
        <f t="shared" si="1"/>
        <v>0</v>
      </c>
      <c r="H21" s="63">
        <f>INDEX('B1.2 Billing Determinants'!$E$9:$J$12,MATCH($C$8,'B1.2 Billing Determinants'!$C$9:$C$12,0),MATCH(C21,'B1.2 Billing Determinants'!$E$8:$J$8,0))</f>
        <v>0</v>
      </c>
      <c r="I21" s="56">
        <f>G21*H21/100</f>
        <v>0</v>
      </c>
      <c r="L21" s="46"/>
    </row>
    <row r="22" spans="3:12" s="34" customFormat="1" ht="15" customHeight="1" x14ac:dyDescent="0.25">
      <c r="C22" s="12" t="s">
        <v>129</v>
      </c>
      <c r="D22" s="102" t="s">
        <v>124</v>
      </c>
      <c r="E22" s="92">
        <f>INDEX('B1.1 Current Distribution Rates'!$E$10:$Q$13,MATCH($C$8,'B1.1 Current Distribution Rates'!$C$10:$C$13,0),MATCH(C22,'B1.1 Current Distribution Rates'!$E$8:$Q$8,0))</f>
        <v>107.48305025999998</v>
      </c>
      <c r="F22" s="59">
        <f t="shared" si="0"/>
        <v>1.9099999999999999E-2</v>
      </c>
      <c r="G22" s="62">
        <f t="shared" si="1"/>
        <v>109.53597651996597</v>
      </c>
      <c r="H22" s="63">
        <f>INDEX('B1.2 Billing Determinants'!$E$9:$J$12,MATCH($C$8,'B1.2 Billing Determinants'!$C$9:$C$12,0),MATCH(C22,'B1.2 Billing Determinants'!$E$8:$J$8,0))</f>
        <v>95824</v>
      </c>
      <c r="I22" s="57">
        <f>G22*H22/100*$E$14</f>
        <v>1259541.0496859064</v>
      </c>
    </row>
    <row r="23" spans="3:12" s="34" customFormat="1" ht="15" customHeight="1" x14ac:dyDescent="0.25">
      <c r="C23" s="12" t="s">
        <v>128</v>
      </c>
      <c r="D23" s="105" t="s">
        <v>115</v>
      </c>
      <c r="E23" s="92">
        <f>INDEX('B1.1 Current Distribution Rates'!$E$10:$Q$13,MATCH($C$8,'B1.1 Current Distribution Rates'!$C$10:$C$13,0),MATCH(C23,'B1.1 Current Distribution Rates'!$E$8:$Q$8,0))</f>
        <v>0</v>
      </c>
      <c r="F23" s="61">
        <v>0</v>
      </c>
      <c r="G23" s="62">
        <f t="shared" si="1"/>
        <v>0</v>
      </c>
      <c r="H23" s="63">
        <f>INDEX('B1.2 Billing Determinants'!$E$9:$J$12,MATCH($C$8,'B1.2 Billing Determinants'!$C$9:$C$12,0),MATCH(C23,'B1.2 Billing Determinants'!$E$8:$J$8,0))</f>
        <v>0</v>
      </c>
      <c r="I23" s="56">
        <f>G23*H23/100</f>
        <v>0</v>
      </c>
    </row>
    <row r="24" spans="3:12" s="40" customFormat="1" ht="15" customHeight="1" x14ac:dyDescent="0.25">
      <c r="C24" s="12" t="s">
        <v>101</v>
      </c>
      <c r="D24" s="102" t="s">
        <v>124</v>
      </c>
      <c r="E24" s="92">
        <f>INDEX('B1.1 Current Distribution Rates'!$E$10:$Q$13,MATCH($C$8,'B1.1 Current Distribution Rates'!$C$10:$C$13,0),MATCH(C24,'B1.1 Current Distribution Rates'!$E$8:$Q$8,0))</f>
        <v>14.243399999999999</v>
      </c>
      <c r="F24" s="61">
        <v>0</v>
      </c>
      <c r="G24" s="62">
        <f t="shared" si="1"/>
        <v>14.243399999999999</v>
      </c>
      <c r="H24" s="64">
        <f>H22</f>
        <v>95824</v>
      </c>
      <c r="I24" s="57">
        <f>G24*H24/100*$E$14</f>
        <v>163783.14739199998</v>
      </c>
    </row>
    <row r="25" spans="3:12" s="40" customFormat="1" ht="15" customHeight="1" x14ac:dyDescent="0.25">
      <c r="C25" s="13" t="s">
        <v>103</v>
      </c>
      <c r="D25" s="102" t="s">
        <v>124</v>
      </c>
      <c r="E25" s="92">
        <f>INDEX('B1.1 Current Distribution Rates'!$E$10:$Q$13,MATCH($C$8,'B1.1 Current Distribution Rates'!$C$10:$C$13,0),MATCH(C25,'B1.1 Current Distribution Rates'!$E$8:$Q$8,0))</f>
        <v>18.299900000000001</v>
      </c>
      <c r="F25" s="117">
        <f>'D1.1 Rate 1 Adjustment'!$F$25</f>
        <v>0</v>
      </c>
      <c r="G25" s="62">
        <f t="shared" si="1"/>
        <v>18.299900000000001</v>
      </c>
      <c r="H25" s="64">
        <f>H24</f>
        <v>95824</v>
      </c>
      <c r="I25" s="57">
        <f>G25*H25/100*$E$14</f>
        <v>210428.35411200003</v>
      </c>
    </row>
    <row r="26" spans="3:12" s="40" customFormat="1" ht="15" customHeight="1" x14ac:dyDescent="0.25">
      <c r="C26" s="13" t="s">
        <v>104</v>
      </c>
      <c r="D26" s="102" t="s">
        <v>124</v>
      </c>
      <c r="E26" s="92">
        <f>INDEX('B1.1 Current Distribution Rates'!$E$10:$Q$13,MATCH($C$8,'B1.1 Current Distribution Rates'!$C$10:$C$13,0),MATCH(C26,'B1.1 Current Distribution Rates'!$E$8:$Q$8,0))</f>
        <v>11.848000000000001</v>
      </c>
      <c r="F26" s="117">
        <f>'D1.1 Rate 1 Adjustment'!$F$25</f>
        <v>0</v>
      </c>
      <c r="G26" s="62">
        <f t="shared" si="1"/>
        <v>11.848000000000001</v>
      </c>
      <c r="H26" s="93">
        <v>0</v>
      </c>
      <c r="I26" s="57">
        <f>G26*H26/100*$E$14</f>
        <v>0</v>
      </c>
    </row>
    <row r="27" spans="3:12" s="40" customFormat="1" ht="15" customHeight="1" x14ac:dyDescent="0.25">
      <c r="C27" s="13" t="s">
        <v>100</v>
      </c>
      <c r="D27" s="102" t="s">
        <v>124</v>
      </c>
      <c r="E27" s="92">
        <f>INDEX('B1.1 Current Distribution Rates'!$E$10:$Q$13,MATCH($C$8,'B1.1 Current Distribution Rates'!$C$10:$C$13,0),MATCH(C27,'B1.1 Current Distribution Rates'!$E$8:$Q$8,0))</f>
        <v>11.848000000000001</v>
      </c>
      <c r="F27" s="117">
        <f>'D1.1 Rate 1 Adjustment'!$F$25</f>
        <v>0</v>
      </c>
      <c r="G27" s="62">
        <f t="shared" si="1"/>
        <v>11.848000000000001</v>
      </c>
      <c r="H27" s="93">
        <v>0</v>
      </c>
      <c r="I27" s="57">
        <f>G27*H27/100*$E$14</f>
        <v>0</v>
      </c>
    </row>
    <row r="28" spans="3:12" s="40" customFormat="1" ht="15" customHeight="1" thickBot="1" x14ac:dyDescent="0.3">
      <c r="C28" s="12" t="s">
        <v>82</v>
      </c>
      <c r="D28" s="102" t="s">
        <v>124</v>
      </c>
      <c r="E28" s="92">
        <f>INDEX('B1.1 Current Distribution Rates'!$E$10:$Q$13,MATCH($C$8,'B1.1 Current Distribution Rates'!$C$10:$C$13,0),MATCH(C28,'B1.1 Current Distribution Rates'!$E$8:$Q$8,0))</f>
        <v>9.7899999999999991</v>
      </c>
      <c r="F28" s="61">
        <v>0</v>
      </c>
      <c r="G28" s="62">
        <f t="shared" si="1"/>
        <v>9.7899999999999991</v>
      </c>
      <c r="H28" s="64">
        <f>H25</f>
        <v>95824</v>
      </c>
      <c r="I28" s="57">
        <f>G28*H28/100*$E$14</f>
        <v>112574.03519999998</v>
      </c>
      <c r="K28" s="46"/>
    </row>
    <row r="29" spans="3:12" s="34" customFormat="1" ht="15" customHeight="1" thickTop="1" x14ac:dyDescent="0.25">
      <c r="C29" s="40"/>
      <c r="D29" s="40"/>
      <c r="E29" s="40"/>
      <c r="F29" s="40"/>
      <c r="G29" s="40"/>
      <c r="H29" s="40"/>
      <c r="I29" s="51">
        <f>SUM(I17:I28)</f>
        <v>1804174.2965385565</v>
      </c>
    </row>
    <row r="30" spans="3:12" ht="15" customHeight="1" x14ac:dyDescent="0.25"/>
    <row r="31" spans="3:12" ht="15" hidden="1" customHeight="1" x14ac:dyDescent="0.25"/>
  </sheetData>
  <sheetProtection algorithmName="SHA-512" hashValue="LgJXzGd5KYt1FoP2TCVD/2JeXFvyQwS2hh+vAUqF3dvO5f9+kKoWkxeGes7YWZEw08G5X5AMiHcZLtmFggsvFQ==" saltValue="NegMV6VHesNlU9pLhPQ9ow==" spinCount="100000" sheet="1" objects="1" scenarios="1"/>
  <pageMargins left="0.70866141732283505" right="0.70866141732283505" top="0.74803149606299202" bottom="0.74803149606299202" header="0.31496062992126" footer="0.31496062992126"/>
  <pageSetup scale="88" orientation="landscape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'B1.1 Current Distribution Rates'!$C$10:$C$13</xm:f>
          </x14:formula1>
          <xm:sqref>C8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nms xmlns="5439dcb1-57cb-40ed-87e6-3a760137f3f8" xsi:nil="true"/>
    <_dlc_DocId xmlns="2bc3004b-9ad1-483e-becf-bfd5ad8c6084">6YNFE3WTN53P-2032442789-252</_dlc_DocId>
    <_dlc_DocIdUrl xmlns="2bc3004b-9ad1-483e-becf-bfd5ad8c6084">
      <Url>https://epcorweb/en-ca/departments/natgas/sites/ON/ONReg/_layouts/15/DocIdRedir.aspx?ID=6YNFE3WTN53P-2032442789-252</Url>
      <Description>6YNFE3WTN53P-2032442789-252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AD137378F81F4FB318B1B24AB80438" ma:contentTypeVersion="3" ma:contentTypeDescription="Create a new document." ma:contentTypeScope="" ma:versionID="24e2e42336a1cd1f4ee2fe0de8a61d67">
  <xsd:schema xmlns:xsd="http://www.w3.org/2001/XMLSchema" xmlns:xs="http://www.w3.org/2001/XMLSchema" xmlns:p="http://schemas.microsoft.com/office/2006/metadata/properties" xmlns:ns2="2bc3004b-9ad1-483e-becf-bfd5ad8c6084" xmlns:ns3="5439dcb1-57cb-40ed-87e6-3a760137f3f8" targetNamespace="http://schemas.microsoft.com/office/2006/metadata/properties" ma:root="true" ma:fieldsID="123afb3d4e45bb2ee51a4b9193e9fa35" ns2:_="" ns3:_="">
    <xsd:import namespace="2bc3004b-9ad1-483e-becf-bfd5ad8c6084"/>
    <xsd:import namespace="5439dcb1-57cb-40ed-87e6-3a760137f3f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nm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c3004b-9ad1-483e-becf-bfd5ad8c6084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9dcb1-57cb-40ed-87e6-3a760137f3f8" elementFormDefault="qualified">
    <xsd:import namespace="http://schemas.microsoft.com/office/2006/documentManagement/types"/>
    <xsd:import namespace="http://schemas.microsoft.com/office/infopath/2007/PartnerControls"/>
    <xsd:element name="snms" ma:index="11" nillable="true" ma:displayName="Description" ma:internalName="snms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1EE0FC-C5D3-4FF6-865C-473837E8C279}"/>
</file>

<file path=customXml/itemProps2.xml><?xml version="1.0" encoding="utf-8"?>
<ds:datastoreItem xmlns:ds="http://schemas.openxmlformats.org/officeDocument/2006/customXml" ds:itemID="{D703213B-F347-4C48-B175-ED564BFD7C11}"/>
</file>

<file path=customXml/itemProps3.xml><?xml version="1.0" encoding="utf-8"?>
<ds:datastoreItem xmlns:ds="http://schemas.openxmlformats.org/officeDocument/2006/customXml" ds:itemID="{698ACD6E-1389-43BF-B6B9-31094DFAC775}"/>
</file>

<file path=customXml/itemProps4.xml><?xml version="1.0" encoding="utf-8"?>
<ds:datastoreItem xmlns:ds="http://schemas.openxmlformats.org/officeDocument/2006/customXml" ds:itemID="{FAD1CF4D-06FB-4FFF-8328-62E9F815DD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4</vt:i4>
      </vt:variant>
    </vt:vector>
  </HeadingPairs>
  <TitlesOfParts>
    <vt:vector size="22" baseType="lpstr">
      <vt:lpstr>A1.1 Distributor Information</vt:lpstr>
      <vt:lpstr>B1.1 Current Distribution Rates</vt:lpstr>
      <vt:lpstr>B1.2 Billing Determinants</vt:lpstr>
      <vt:lpstr>B1.3 Current Rev From Rates</vt:lpstr>
      <vt:lpstr>C1.1 Current Rate Riders</vt:lpstr>
      <vt:lpstr>D1.1 Rate 1 Adjustment</vt:lpstr>
      <vt:lpstr>D1.2 Rate 6 Adjustment</vt:lpstr>
      <vt:lpstr>D1.3 Rate 11 Adjustment</vt:lpstr>
      <vt:lpstr>D1.4 Rate 16 Adjustment</vt:lpstr>
      <vt:lpstr>E1.1 Proposed Dist Rates </vt:lpstr>
      <vt:lpstr>E1.2 Billing Determinants</vt:lpstr>
      <vt:lpstr>E1.3 Proposed Rev From Rate</vt:lpstr>
      <vt:lpstr>F1.3 Rate Riders</vt:lpstr>
      <vt:lpstr>G1.1 Rate 1 Bill Impact</vt:lpstr>
      <vt:lpstr>G1.2 Rate 6 Bill Impact</vt:lpstr>
      <vt:lpstr>G1.3 Rate 11 Bill Impact</vt:lpstr>
      <vt:lpstr>G1.4 Rate 16 Bill Impact</vt:lpstr>
      <vt:lpstr>G1.7 Summary of Bill Impacts</vt:lpstr>
      <vt:lpstr>OneDollar</vt:lpstr>
      <vt:lpstr>'G1.1 Rate 1 Bill Impact'!Print_Titles</vt:lpstr>
      <vt:lpstr>'G1.2 Rate 6 Bill Impact'!Print_Titles</vt:lpstr>
      <vt:lpstr>'G1.4 Rate 16 Bill Impact'!Print_Titles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Martin Benum</dc:creator>
  <cp:lastModifiedBy>Hesselink, Tim</cp:lastModifiedBy>
  <cp:lastPrinted>2022-07-15T12:58:31Z</cp:lastPrinted>
  <dcterms:created xsi:type="dcterms:W3CDTF">2011-04-04T21:13:53Z</dcterms:created>
  <dcterms:modified xsi:type="dcterms:W3CDTF">2022-07-15T13:40:32Z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</vt:lpwstr>
  </property>
  <property fmtid="{D5CDD505-2E9C-101B-9397-08002B2CF9AE}" pid="3" name="ContentTypeId">
    <vt:lpwstr>0x0101002BAD137378F81F4FB318B1B24AB80438</vt:lpwstr>
  </property>
  <property fmtid="{D5CDD505-2E9C-101B-9397-08002B2CF9AE}" pid="4" name="_dlc_DocIdItemGuid">
    <vt:lpwstr>afc1eeba-f143-4f6a-a052-fc54c3e2f3f0</vt:lpwstr>
  </property>
</Properties>
</file>