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6. Interrogatories/4. OEB Interrogatories/1-Staff-1-Updates to Rate Application/"/>
    </mc:Choice>
  </mc:AlternateContent>
  <xr:revisionPtr revIDLastSave="2" documentId="8_{8B7032EA-56D5-46B4-BE86-95A0E86EA912}" xr6:coauthVersionLast="47" xr6:coauthVersionMax="47" xr10:uidLastSave="{40607DE3-269E-444F-A654-856912456DB7}"/>
  <bookViews>
    <workbookView xWindow="-28920" yWindow="-45" windowWidth="29040" windowHeight="15840" tabRatio="560" xr2:uid="{5DF27D8C-9F7C-4170-93C1-A1A54A0DFE19}"/>
  </bookViews>
  <sheets>
    <sheet name="Rate Design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idPeak">'[7]3. Regulatory Charges'!$D$24</definedName>
    <definedName name="MofF">#REF!</definedName>
    <definedName name="NewRevReq">[4]Refs!$B$8</definedName>
    <definedName name="NOTES">#REF!</definedName>
    <definedName name="OffPeak">'[7]3. Regulatory Charges'!$D$23</definedName>
    <definedName name="OnPeak">'[7]3. Regulatory Charges'!$D$25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ME">'[7]3. Regulatory Charges'!$D$33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D30" i="2"/>
  <c r="D37" i="2"/>
  <c r="B37" i="2"/>
  <c r="D36" i="2"/>
  <c r="B36" i="2"/>
  <c r="D35" i="2"/>
  <c r="B35" i="2"/>
  <c r="D34" i="2"/>
  <c r="B34" i="2"/>
  <c r="D33" i="2"/>
  <c r="J33" i="2" s="1"/>
  <c r="B33" i="2"/>
  <c r="D32" i="2"/>
  <c r="J32" i="2" s="1"/>
  <c r="B32" i="2"/>
  <c r="D31" i="2"/>
  <c r="B31" i="2"/>
  <c r="B30" i="2"/>
  <c r="C30" i="2" l="1"/>
  <c r="P34" i="2"/>
  <c r="Q34" i="2" s="1"/>
  <c r="C36" i="2"/>
  <c r="C31" i="2"/>
  <c r="P30" i="2"/>
  <c r="C34" i="2"/>
  <c r="C32" i="2"/>
  <c r="C35" i="2"/>
  <c r="C33" i="2"/>
  <c r="C37" i="2"/>
  <c r="H23" i="2"/>
  <c r="G19" i="2"/>
  <c r="H22" i="2"/>
  <c r="H24" i="2"/>
  <c r="G20" i="2"/>
  <c r="C26" i="2"/>
  <c r="G25" i="2"/>
  <c r="G21" i="2"/>
  <c r="G22" i="2"/>
  <c r="G23" i="2"/>
  <c r="G24" i="2"/>
  <c r="H25" i="2"/>
  <c r="H21" i="2"/>
  <c r="G18" i="2"/>
  <c r="P35" i="2" l="1"/>
  <c r="Q35" i="2" s="1"/>
  <c r="I23" i="2"/>
  <c r="K23" i="2" s="1"/>
  <c r="I24" i="2"/>
  <c r="J24" i="2" s="1"/>
  <c r="I22" i="2"/>
  <c r="K22" i="2" s="1"/>
  <c r="I25" i="2"/>
  <c r="J25" i="2" s="1"/>
  <c r="J22" i="2"/>
  <c r="G26" i="2"/>
  <c r="I21" i="2"/>
  <c r="J21" i="2" s="1"/>
  <c r="K24" i="2" l="1"/>
  <c r="J23" i="2"/>
  <c r="K25" i="2"/>
  <c r="K21" i="2"/>
  <c r="AD18" i="2" l="1"/>
  <c r="H18" i="2" l="1"/>
  <c r="I18" i="2" l="1"/>
  <c r="K18" i="2" s="1"/>
  <c r="J18" i="2" l="1"/>
  <c r="H20" i="2" l="1"/>
  <c r="P31" i="2"/>
  <c r="Q31" i="2" s="1"/>
  <c r="Q30" i="2"/>
  <c r="I20" i="2" l="1"/>
  <c r="J20" i="2" s="1"/>
  <c r="K20" i="2" l="1"/>
  <c r="H19" i="2" l="1"/>
  <c r="D26" i="2"/>
  <c r="C12" i="2" l="1"/>
  <c r="I19" i="2"/>
  <c r="K19" i="2" s="1"/>
  <c r="H26" i="2"/>
  <c r="J19" i="2" l="1"/>
  <c r="I26" i="2"/>
  <c r="J26" i="2" s="1"/>
  <c r="K26" i="2" l="1"/>
  <c r="G12" i="2" l="1"/>
  <c r="D12" i="2" l="1"/>
  <c r="F6" i="2" l="1"/>
  <c r="F9" i="2"/>
  <c r="F8" i="2"/>
  <c r="F10" i="2"/>
  <c r="F11" i="2"/>
  <c r="F7" i="2"/>
  <c r="F5" i="2"/>
  <c r="H10" i="2" l="1"/>
  <c r="J10" i="2" s="1"/>
  <c r="K10" i="2" s="1"/>
  <c r="H11" i="2"/>
  <c r="J11" i="2" s="1"/>
  <c r="K11" i="2" s="1"/>
  <c r="H8" i="2"/>
  <c r="J8" i="2" s="1"/>
  <c r="K8" i="2" s="1"/>
  <c r="H9" i="2"/>
  <c r="J9" i="2" s="1"/>
  <c r="K9" i="2" s="1"/>
  <c r="H7" i="2"/>
  <c r="J7" i="2" s="1"/>
  <c r="K7" i="2" s="1"/>
  <c r="H6" i="2"/>
  <c r="J6" i="2" s="1"/>
  <c r="K6" i="2" s="1"/>
  <c r="H5" i="2"/>
  <c r="J5" i="2" s="1"/>
  <c r="K5" i="2" s="1"/>
  <c r="E12" i="2"/>
  <c r="F4" i="2"/>
  <c r="M6" i="2" l="1"/>
  <c r="N6" i="2" s="1"/>
  <c r="F12" i="2"/>
  <c r="H12" i="2" s="1"/>
  <c r="H4" i="2"/>
  <c r="J4" i="2" s="1"/>
  <c r="K13" i="2" l="1"/>
  <c r="K14" i="2"/>
  <c r="L13" i="2"/>
  <c r="K4" i="2"/>
  <c r="K12" i="2" s="1"/>
  <c r="L12" i="2" s="1"/>
  <c r="M5" i="2" l="1"/>
  <c r="N5" i="2" s="1"/>
  <c r="M8" i="2"/>
  <c r="N8" i="2" s="1"/>
  <c r="M11" i="2"/>
  <c r="N11" i="2" s="1"/>
  <c r="M9" i="2"/>
  <c r="N9" i="2" s="1"/>
  <c r="M7" i="2"/>
  <c r="N7" i="2" s="1"/>
  <c r="M10" i="2"/>
  <c r="N10" i="2" s="1"/>
  <c r="AC10" i="2" s="1"/>
  <c r="M4" i="2"/>
  <c r="N13" i="2" l="1"/>
  <c r="N14" i="2"/>
  <c r="N4" i="2"/>
  <c r="N12" i="2" s="1"/>
  <c r="O12" i="2" s="1"/>
  <c r="AD10" i="2"/>
  <c r="AE10" i="2" s="1"/>
  <c r="P6" i="2" l="1"/>
  <c r="P5" i="2"/>
  <c r="Q5" i="2" s="1"/>
  <c r="P4" i="2"/>
  <c r="P9" i="2"/>
  <c r="Q9" i="2" s="1"/>
  <c r="P7" i="2"/>
  <c r="Q7" i="2" s="1"/>
  <c r="P8" i="2"/>
  <c r="Q8" i="2" s="1"/>
  <c r="P10" i="2"/>
  <c r="Q10" i="2" s="1"/>
  <c r="T10" i="2" s="1"/>
  <c r="P11" i="2"/>
  <c r="Q11" i="2" s="1"/>
  <c r="T11" i="2" s="1"/>
  <c r="R10" i="2" l="1"/>
  <c r="Q13" i="2"/>
  <c r="Q14" i="2"/>
  <c r="Q4" i="2"/>
  <c r="T9" i="2"/>
  <c r="R9" i="2"/>
  <c r="AC9" i="2"/>
  <c r="AC8" i="2"/>
  <c r="T8" i="2"/>
  <c r="R8" i="2"/>
  <c r="R5" i="2"/>
  <c r="AC5" i="2"/>
  <c r="T5" i="2"/>
  <c r="R11" i="2"/>
  <c r="AC11" i="2"/>
  <c r="AC7" i="2"/>
  <c r="T7" i="2"/>
  <c r="R7" i="2"/>
  <c r="Q6" i="2"/>
  <c r="AD7" i="2" l="1"/>
  <c r="AE7" i="2" s="1"/>
  <c r="AF7" i="2"/>
  <c r="AD8" i="2"/>
  <c r="AE8" i="2" s="1"/>
  <c r="AF8" i="2"/>
  <c r="AD9" i="2"/>
  <c r="AE9" i="2" s="1"/>
  <c r="AF9" i="2"/>
  <c r="AF11" i="2"/>
  <c r="AD11" i="2"/>
  <c r="AE11" i="2" s="1"/>
  <c r="AA5" i="2"/>
  <c r="M19" i="2"/>
  <c r="P19" i="2" s="1"/>
  <c r="L19" i="2"/>
  <c r="O19" i="2" s="1"/>
  <c r="R19" i="2" s="1"/>
  <c r="S19" i="2" s="1"/>
  <c r="X19" i="2" s="1"/>
  <c r="R4" i="2"/>
  <c r="Q12" i="2"/>
  <c r="S6" i="2" s="1"/>
  <c r="T4" i="2"/>
  <c r="AC4" i="2"/>
  <c r="AA10" i="2"/>
  <c r="M24" i="2"/>
  <c r="P24" i="2" s="1"/>
  <c r="L24" i="2"/>
  <c r="O24" i="2" s="1"/>
  <c r="R24" i="2" s="1"/>
  <c r="S24" i="2" s="1"/>
  <c r="X24" i="2" s="1"/>
  <c r="AF10" i="2"/>
  <c r="AC6" i="2"/>
  <c r="T6" i="2"/>
  <c r="R6" i="2"/>
  <c r="AA7" i="2"/>
  <c r="L21" i="2"/>
  <c r="M21" i="2"/>
  <c r="P21" i="2" s="1"/>
  <c r="L25" i="2"/>
  <c r="O25" i="2" s="1"/>
  <c r="R25" i="2" s="1"/>
  <c r="S25" i="2" s="1"/>
  <c r="X25" i="2" s="1"/>
  <c r="T25" i="2" s="1"/>
  <c r="M25" i="2"/>
  <c r="P25" i="2" s="1"/>
  <c r="AA11" i="2"/>
  <c r="AD5" i="2"/>
  <c r="AE5" i="2" s="1"/>
  <c r="AF5" i="2"/>
  <c r="AA8" i="2"/>
  <c r="M22" i="2"/>
  <c r="P22" i="2" s="1"/>
  <c r="L22" i="2"/>
  <c r="AA9" i="2"/>
  <c r="L23" i="2"/>
  <c r="M23" i="2"/>
  <c r="P23" i="2" s="1"/>
  <c r="S4" i="2" l="1"/>
  <c r="O21" i="2"/>
  <c r="S21" i="2"/>
  <c r="X21" i="2" s="1"/>
  <c r="T12" i="2"/>
  <c r="AA4" i="2"/>
  <c r="M18" i="2"/>
  <c r="P18" i="2" s="1"/>
  <c r="L18" i="2"/>
  <c r="T19" i="2"/>
  <c r="U19" i="2" s="1"/>
  <c r="E31" i="2"/>
  <c r="AC19" i="2"/>
  <c r="AF4" i="2"/>
  <c r="AD4" i="2"/>
  <c r="AE4" i="2" s="1"/>
  <c r="AC12" i="2"/>
  <c r="O23" i="2"/>
  <c r="S23" i="2"/>
  <c r="X23" i="2" s="1"/>
  <c r="O22" i="2"/>
  <c r="S22" i="2"/>
  <c r="X22" i="2" s="1"/>
  <c r="AA6" i="2"/>
  <c r="U6" i="2"/>
  <c r="L20" i="2"/>
  <c r="M20" i="2"/>
  <c r="P20" i="2" s="1"/>
  <c r="T24" i="2"/>
  <c r="E36" i="2"/>
  <c r="AC24" i="2"/>
  <c r="R12" i="2"/>
  <c r="S9" i="2"/>
  <c r="S10" i="2"/>
  <c r="S8" i="2"/>
  <c r="S5" i="2"/>
  <c r="S11" i="2"/>
  <c r="S7" i="2"/>
  <c r="Y25" i="2"/>
  <c r="V25" i="2"/>
  <c r="E37" i="2"/>
  <c r="U25" i="2"/>
  <c r="AC25" i="2"/>
  <c r="AD6" i="2"/>
  <c r="AE6" i="2" s="1"/>
  <c r="AF6" i="2"/>
  <c r="S12" i="2" l="1"/>
  <c r="E33" i="2"/>
  <c r="AC21" i="2"/>
  <c r="T21" i="2"/>
  <c r="U21" i="2" s="1"/>
  <c r="V24" i="2"/>
  <c r="Y24" i="2"/>
  <c r="E34" i="2"/>
  <c r="AC22" i="2"/>
  <c r="T22" i="2"/>
  <c r="U22" i="2" s="1"/>
  <c r="S18" i="2"/>
  <c r="X18" i="2" s="1"/>
  <c r="O18" i="2"/>
  <c r="F37" i="2"/>
  <c r="AD25" i="2"/>
  <c r="G31" i="2"/>
  <c r="U12" i="2"/>
  <c r="U5" i="2"/>
  <c r="U7" i="2"/>
  <c r="U11" i="2"/>
  <c r="U10" i="2"/>
  <c r="U8" i="2"/>
  <c r="U9" i="2"/>
  <c r="G37" i="2"/>
  <c r="G36" i="2"/>
  <c r="U24" i="2"/>
  <c r="S20" i="2"/>
  <c r="X20" i="2" s="1"/>
  <c r="O20" i="2"/>
  <c r="E35" i="2"/>
  <c r="AC23" i="2"/>
  <c r="T23" i="2"/>
  <c r="Y23" i="2" s="1"/>
  <c r="Y19" i="2"/>
  <c r="V19" i="2"/>
  <c r="U4" i="2"/>
  <c r="F31" i="2" l="1"/>
  <c r="AD19" i="2"/>
  <c r="G35" i="2"/>
  <c r="V23" i="2"/>
  <c r="AD23" i="2"/>
  <c r="G34" i="2"/>
  <c r="H37" i="2"/>
  <c r="E32" i="2"/>
  <c r="AC20" i="2"/>
  <c r="T20" i="2"/>
  <c r="Y22" i="2"/>
  <c r="V22" i="2"/>
  <c r="F36" i="2"/>
  <c r="AD24" i="2"/>
  <c r="G33" i="2"/>
  <c r="U23" i="2"/>
  <c r="E30" i="2"/>
  <c r="U18" i="2"/>
  <c r="AC18" i="2"/>
  <c r="Y21" i="2"/>
  <c r="V21" i="2"/>
  <c r="V20" i="2" l="1"/>
  <c r="Y20" i="2"/>
  <c r="F35" i="2"/>
  <c r="F33" i="2"/>
  <c r="AD21" i="2"/>
  <c r="F34" i="2"/>
  <c r="AD22" i="2"/>
  <c r="G32" i="2"/>
  <c r="G30" i="2"/>
  <c r="H36" i="2"/>
  <c r="U20" i="2"/>
  <c r="H31" i="2"/>
  <c r="H34" i="2" l="1"/>
  <c r="H35" i="2"/>
  <c r="H33" i="2"/>
  <c r="R35" i="2" s="1"/>
  <c r="S35" i="2" s="1"/>
  <c r="K33" i="2"/>
  <c r="L33" i="2" s="1"/>
  <c r="R34" i="2" s="1"/>
  <c r="S34" i="2" s="1"/>
  <c r="F32" i="2"/>
  <c r="AD20" i="2"/>
  <c r="S36" i="2" l="1"/>
  <c r="K32" i="2"/>
  <c r="L32" i="2" s="1"/>
  <c r="R30" i="2" s="1"/>
  <c r="S30" i="2" s="1"/>
  <c r="H32" i="2"/>
  <c r="R31" i="2" s="1"/>
  <c r="S31" i="2" s="1"/>
  <c r="S32" i="2" l="1"/>
</calcChain>
</file>

<file path=xl/sharedStrings.xml><?xml version="1.0" encoding="utf-8"?>
<sst xmlns="http://schemas.openxmlformats.org/spreadsheetml/2006/main" count="106" uniqueCount="71">
  <si>
    <t>Variable Charge</t>
  </si>
  <si>
    <t>Fixed Charge</t>
  </si>
  <si>
    <t>Dx Bill Impact</t>
  </si>
  <si>
    <t>Proposed Charges</t>
  </si>
  <si>
    <t>Current Charges</t>
  </si>
  <si>
    <t>Var Rate</t>
  </si>
  <si>
    <t>Fixed Rate</t>
  </si>
  <si>
    <t>Var %</t>
  </si>
  <si>
    <t>Fixed %</t>
  </si>
  <si>
    <t>Var. Rev. w/ Max Fixed</t>
  </si>
  <si>
    <t>Fixed Rev. w/ Max</t>
  </si>
  <si>
    <t>Maximum</t>
  </si>
  <si>
    <t>1st Est. Var.</t>
  </si>
  <si>
    <t>1st Est. Fixed</t>
  </si>
  <si>
    <t>TOA</t>
  </si>
  <si>
    <t>Variable</t>
  </si>
  <si>
    <t>Fixed</t>
  </si>
  <si>
    <t>Total Rev</t>
  </si>
  <si>
    <t>Var Rev</t>
  </si>
  <si>
    <t>Fix Rev</t>
  </si>
  <si>
    <t>LF Load</t>
  </si>
  <si>
    <t>LF Customers</t>
  </si>
  <si>
    <t>Adjusted Fixed/Var. and Rates</t>
  </si>
  <si>
    <t>Proposed Rates (1st Est)</t>
  </si>
  <si>
    <t>Status Quo Rates</t>
  </si>
  <si>
    <t>Max</t>
  </si>
  <si>
    <t>Min</t>
  </si>
  <si>
    <t>Total</t>
  </si>
  <si>
    <t>Share %</t>
  </si>
  <si>
    <t>Adj. %</t>
  </si>
  <si>
    <t>CA 'O1' Row Reference:</t>
  </si>
  <si>
    <t>Range</t>
  </si>
  <si>
    <t>2nd Est</t>
  </si>
  <si>
    <t>Surplus/ Shortfall</t>
  </si>
  <si>
    <t>After 1st Est</t>
  </si>
  <si>
    <t>1st Est</t>
  </si>
  <si>
    <t>R/E</t>
  </si>
  <si>
    <t>Rev Req</t>
  </si>
  <si>
    <t>Total Rev Status Quo</t>
  </si>
  <si>
    <t>Rev. Status Quo</t>
  </si>
  <si>
    <t>Misc Rev</t>
  </si>
  <si>
    <t>Rev @ Existing</t>
  </si>
  <si>
    <t>RevReq - Misc</t>
  </si>
  <si>
    <t>Adj. RevReq</t>
  </si>
  <si>
    <t>RRWF Calc.</t>
  </si>
  <si>
    <t>Check</t>
  </si>
  <si>
    <t>Avg. Rate Increase</t>
  </si>
  <si>
    <t>Var</t>
  </si>
  <si>
    <t>Current</t>
  </si>
  <si>
    <t>Proposed</t>
  </si>
  <si>
    <t>Variable Change</t>
  </si>
  <si>
    <t>Variable with TOA</t>
  </si>
  <si>
    <t>With TOA</t>
  </si>
  <si>
    <t>Without TOA</t>
  </si>
  <si>
    <t>GS 50-999</t>
  </si>
  <si>
    <t>GS 1,000-4,999</t>
  </si>
  <si>
    <t>Volumes</t>
  </si>
  <si>
    <t>Share</t>
  </si>
  <si>
    <t>Rate Change</t>
  </si>
  <si>
    <t>Weighted Var. Rate Change</t>
  </si>
  <si>
    <t>Sentinel Adj.</t>
  </si>
  <si>
    <t>With Misc.</t>
  </si>
  <si>
    <t>2024 Impact</t>
  </si>
  <si>
    <t>Residential</t>
  </si>
  <si>
    <t>GS &lt;50</t>
  </si>
  <si>
    <t>GS 50 to 999 kW</t>
  </si>
  <si>
    <t>GS 1,000 to 4,999 kW</t>
  </si>
  <si>
    <t>Large Use &gt;5MW</t>
  </si>
  <si>
    <t>Street Light</t>
  </si>
  <si>
    <t>Sentinel</t>
  </si>
  <si>
    <t>Unmetered Scattered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</si>
</sst>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  <numFmt numFmtId="166" formatCode="_(* #,##0.0000_);_(* \(#,##0.0000\);_(* &quot;-&quot;????_);_(@_)"/>
    <numFmt numFmtId="167" formatCode="_(* #,##0.0000_);_(* \(#,##0.0000\);_(* &quot;-&quot;??_);_(@_)"/>
    <numFmt numFmtId="168" formatCode="0.0%"/>
    <numFmt numFmtId="169" formatCode="0.0000"/>
    <numFmt numFmtId="170" formatCode="_(* #,##0_);_(* \(#,##0\);_(* &quot;-&quot;?_);_(@_)"/>
    <numFmt numFmtId="171" formatCode="_(* #,##0.0_);_(* \(#,##0.0\);_(* &quot;-&quot;??_);_(@_)"/>
    <numFmt numFmtId="172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3"/>
    <xf numFmtId="43" fontId="1" fillId="0" borderId="0" xfId="3" applyNumberFormat="1"/>
    <xf numFmtId="166" fontId="1" fillId="0" borderId="0" xfId="3" applyNumberFormat="1"/>
    <xf numFmtId="10" fontId="1" fillId="0" borderId="1" xfId="2" applyNumberFormat="1" applyBorder="1"/>
    <xf numFmtId="10" fontId="1" fillId="0" borderId="2" xfId="2" applyNumberFormat="1" applyBorder="1"/>
    <xf numFmtId="167" fontId="1" fillId="0" borderId="3" xfId="3" applyNumberFormat="1" applyBorder="1"/>
    <xf numFmtId="43" fontId="1" fillId="0" borderId="2" xfId="3" applyNumberFormat="1" applyBorder="1"/>
    <xf numFmtId="167" fontId="1" fillId="0" borderId="4" xfId="3" applyNumberFormat="1" applyBorder="1"/>
    <xf numFmtId="0" fontId="1" fillId="0" borderId="5" xfId="3" applyBorder="1"/>
    <xf numFmtId="10" fontId="1" fillId="0" borderId="6" xfId="2" applyNumberFormat="1" applyBorder="1"/>
    <xf numFmtId="10" fontId="1" fillId="0" borderId="7" xfId="2" applyNumberFormat="1" applyBorder="1"/>
    <xf numFmtId="167" fontId="1" fillId="0" borderId="8" xfId="3" applyNumberFormat="1" applyBorder="1"/>
    <xf numFmtId="43" fontId="1" fillId="0" borderId="7" xfId="3" applyNumberFormat="1" applyBorder="1"/>
    <xf numFmtId="167" fontId="1" fillId="0" borderId="9" xfId="3" applyNumberFormat="1" applyBorder="1"/>
    <xf numFmtId="0" fontId="1" fillId="0" borderId="10" xfId="3" applyBorder="1"/>
    <xf numFmtId="43" fontId="1" fillId="0" borderId="9" xfId="3" applyNumberFormat="1" applyBorder="1"/>
    <xf numFmtId="0" fontId="1" fillId="0" borderId="9" xfId="3" applyBorder="1"/>
    <xf numFmtId="0" fontId="1" fillId="0" borderId="7" xfId="3" applyBorder="1"/>
    <xf numFmtId="0" fontId="1" fillId="0" borderId="11" xfId="3" applyBorder="1"/>
    <xf numFmtId="0" fontId="1" fillId="0" borderId="15" xfId="3" applyBorder="1"/>
    <xf numFmtId="2" fontId="1" fillId="0" borderId="0" xfId="3" applyNumberFormat="1"/>
    <xf numFmtId="0" fontId="1" fillId="0" borderId="4" xfId="3" applyBorder="1"/>
    <xf numFmtId="2" fontId="1" fillId="0" borderId="16" xfId="3" applyNumberFormat="1" applyBorder="1"/>
    <xf numFmtId="0" fontId="1" fillId="0" borderId="16" xfId="3" applyBorder="1"/>
    <xf numFmtId="0" fontId="1" fillId="0" borderId="16" xfId="3" applyBorder="1" applyAlignment="1">
      <alignment horizontal="center"/>
    </xf>
    <xf numFmtId="0" fontId="1" fillId="0" borderId="2" xfId="3" applyBorder="1"/>
    <xf numFmtId="168" fontId="2" fillId="0" borderId="4" xfId="2" applyNumberFormat="1" applyFont="1" applyBorder="1"/>
    <xf numFmtId="168" fontId="2" fillId="0" borderId="17" xfId="2" applyNumberFormat="1" applyFont="1" applyBorder="1"/>
    <xf numFmtId="165" fontId="2" fillId="0" borderId="4" xfId="3" applyNumberFormat="1" applyFont="1" applyBorder="1"/>
    <xf numFmtId="165" fontId="2" fillId="0" borderId="16" xfId="3" applyNumberFormat="1" applyFont="1" applyBorder="1"/>
    <xf numFmtId="165" fontId="2" fillId="0" borderId="2" xfId="3" applyNumberFormat="1" applyFont="1" applyBorder="1"/>
    <xf numFmtId="165" fontId="2" fillId="0" borderId="18" xfId="3" applyNumberFormat="1" applyFont="1" applyBorder="1"/>
    <xf numFmtId="167" fontId="0" fillId="0" borderId="4" xfId="1" applyNumberFormat="1" applyFont="1" applyBorder="1"/>
    <xf numFmtId="43" fontId="0" fillId="0" borderId="2" xfId="1" applyFont="1" applyBorder="1"/>
    <xf numFmtId="0" fontId="1" fillId="0" borderId="19" xfId="3" applyBorder="1"/>
    <xf numFmtId="10" fontId="0" fillId="0" borderId="4" xfId="2" applyNumberFormat="1" applyFont="1" applyBorder="1"/>
    <xf numFmtId="10" fontId="0" fillId="0" borderId="16" xfId="2" applyNumberFormat="1" applyFont="1" applyBorder="1"/>
    <xf numFmtId="165" fontId="0" fillId="0" borderId="16" xfId="1" applyNumberFormat="1" applyFont="1" applyBorder="1"/>
    <xf numFmtId="43" fontId="0" fillId="0" borderId="9" xfId="1" applyFont="1" applyBorder="1"/>
    <xf numFmtId="169" fontId="1" fillId="0" borderId="20" xfId="3" applyNumberFormat="1" applyBorder="1"/>
    <xf numFmtId="2" fontId="1" fillId="0" borderId="20" xfId="3" applyNumberFormat="1" applyBorder="1"/>
    <xf numFmtId="170" fontId="1" fillId="0" borderId="20" xfId="3" applyNumberFormat="1" applyBorder="1" applyAlignment="1">
      <alignment horizontal="center"/>
    </xf>
    <xf numFmtId="170" fontId="1" fillId="0" borderId="20" xfId="3" applyNumberFormat="1" applyBorder="1"/>
    <xf numFmtId="165" fontId="1" fillId="0" borderId="7" xfId="3" applyNumberFormat="1" applyBorder="1"/>
    <xf numFmtId="168" fontId="0" fillId="0" borderId="9" xfId="2" applyNumberFormat="1" applyFont="1" applyBorder="1"/>
    <xf numFmtId="168" fontId="0" fillId="0" borderId="21" xfId="2" applyNumberFormat="1" applyFont="1" applyBorder="1"/>
    <xf numFmtId="165" fontId="1" fillId="0" borderId="9" xfId="3" applyNumberFormat="1" applyBorder="1"/>
    <xf numFmtId="165" fontId="0" fillId="0" borderId="20" xfId="1" applyNumberFormat="1" applyFont="1" applyBorder="1"/>
    <xf numFmtId="165" fontId="0" fillId="0" borderId="7" xfId="1" applyNumberFormat="1" applyFont="1" applyBorder="1"/>
    <xf numFmtId="167" fontId="0" fillId="0" borderId="11" xfId="1" applyNumberFormat="1" applyFont="1" applyBorder="1"/>
    <xf numFmtId="0" fontId="2" fillId="2" borderId="20" xfId="3" applyFont="1" applyFill="1" applyBorder="1" applyAlignment="1">
      <alignment horizontal="center" vertical="center" wrapText="1"/>
    </xf>
    <xf numFmtId="167" fontId="0" fillId="0" borderId="9" xfId="1" applyNumberFormat="1" applyFont="1" applyBorder="1"/>
    <xf numFmtId="43" fontId="0" fillId="0" borderId="7" xfId="1" applyFont="1" applyBorder="1"/>
    <xf numFmtId="10" fontId="0" fillId="0" borderId="9" xfId="2" applyNumberFormat="1" applyFont="1" applyBorder="1"/>
    <xf numFmtId="10" fontId="0" fillId="0" borderId="20" xfId="2" applyNumberFormat="1" applyFont="1" applyBorder="1"/>
    <xf numFmtId="0" fontId="1" fillId="0" borderId="22" xfId="3" applyBorder="1"/>
    <xf numFmtId="0" fontId="1" fillId="0" borderId="23" xfId="3" applyBorder="1"/>
    <xf numFmtId="0" fontId="1" fillId="0" borderId="24" xfId="3" applyBorder="1"/>
    <xf numFmtId="0" fontId="1" fillId="0" borderId="12" xfId="3" applyBorder="1"/>
    <xf numFmtId="0" fontId="1" fillId="0" borderId="25" xfId="3" applyBorder="1"/>
    <xf numFmtId="0" fontId="2" fillId="0" borderId="25" xfId="3" applyFont="1" applyBorder="1" applyAlignment="1">
      <alignment horizontal="center"/>
    </xf>
    <xf numFmtId="0" fontId="2" fillId="0" borderId="25" xfId="3" applyFont="1" applyBorder="1"/>
    <xf numFmtId="0" fontId="2" fillId="0" borderId="13" xfId="3" applyFont="1" applyBorder="1"/>
    <xf numFmtId="0" fontId="2" fillId="0" borderId="12" xfId="3" applyFont="1" applyBorder="1"/>
    <xf numFmtId="0" fontId="2" fillId="0" borderId="26" xfId="3" applyFont="1" applyBorder="1"/>
    <xf numFmtId="0" fontId="2" fillId="0" borderId="14" xfId="3" applyFont="1" applyBorder="1"/>
    <xf numFmtId="10" fontId="1" fillId="0" borderId="0" xfId="3" applyNumberFormat="1"/>
    <xf numFmtId="10" fontId="1" fillId="3" borderId="0" xfId="3" applyNumberFormat="1" applyFill="1"/>
    <xf numFmtId="0" fontId="2" fillId="0" borderId="0" xfId="3" applyFont="1"/>
    <xf numFmtId="6" fontId="2" fillId="0" borderId="0" xfId="3" applyNumberFormat="1" applyFont="1"/>
    <xf numFmtId="168" fontId="2" fillId="0" borderId="20" xfId="2" applyNumberFormat="1" applyFont="1" applyBorder="1"/>
    <xf numFmtId="6" fontId="2" fillId="0" borderId="20" xfId="3" applyNumberFormat="1" applyFont="1" applyBorder="1"/>
    <xf numFmtId="9" fontId="2" fillId="0" borderId="20" xfId="2" applyFont="1" applyBorder="1"/>
    <xf numFmtId="6" fontId="2" fillId="3" borderId="0" xfId="3" applyNumberFormat="1" applyFont="1" applyFill="1"/>
    <xf numFmtId="0" fontId="2" fillId="0" borderId="20" xfId="3" applyFont="1" applyBorder="1"/>
    <xf numFmtId="10" fontId="2" fillId="0" borderId="4" xfId="2" applyNumberFormat="1" applyFont="1" applyBorder="1"/>
    <xf numFmtId="6" fontId="2" fillId="0" borderId="16" xfId="3" applyNumberFormat="1" applyFont="1" applyBorder="1"/>
    <xf numFmtId="9" fontId="0" fillId="0" borderId="20" xfId="2" applyFont="1" applyBorder="1"/>
    <xf numFmtId="168" fontId="0" fillId="0" borderId="20" xfId="2" applyNumberFormat="1" applyFont="1" applyBorder="1"/>
    <xf numFmtId="6" fontId="1" fillId="0" borderId="20" xfId="3" applyNumberFormat="1" applyBorder="1"/>
    <xf numFmtId="10" fontId="1" fillId="0" borderId="20" xfId="3" applyNumberFormat="1" applyBorder="1"/>
    <xf numFmtId="6" fontId="1" fillId="0" borderId="0" xfId="3" applyNumberFormat="1"/>
    <xf numFmtId="0" fontId="2" fillId="2" borderId="7" xfId="3" applyFont="1" applyFill="1" applyBorder="1" applyAlignment="1">
      <alignment horizontal="center" vertical="center" wrapText="1"/>
    </xf>
    <xf numFmtId="0" fontId="1" fillId="0" borderId="30" xfId="3" applyBorder="1"/>
    <xf numFmtId="0" fontId="1" fillId="0" borderId="31" xfId="3" applyBorder="1"/>
    <xf numFmtId="0" fontId="1" fillId="0" borderId="0" xfId="3" applyAlignment="1">
      <alignment wrapText="1"/>
    </xf>
    <xf numFmtId="10" fontId="1" fillId="0" borderId="0" xfId="2" applyNumberFormat="1" applyAlignment="1">
      <alignment wrapText="1"/>
    </xf>
    <xf numFmtId="0" fontId="1" fillId="0" borderId="32" xfId="3" applyBorder="1" applyAlignment="1">
      <alignment horizontal="center" vertical="center" wrapText="1"/>
    </xf>
    <xf numFmtId="0" fontId="1" fillId="0" borderId="33" xfId="3" applyBorder="1" applyAlignment="1">
      <alignment horizontal="center" vertical="center" wrapText="1"/>
    </xf>
    <xf numFmtId="0" fontId="1" fillId="0" borderId="34" xfId="3" applyBorder="1" applyAlignment="1">
      <alignment wrapText="1"/>
    </xf>
    <xf numFmtId="8" fontId="0" fillId="0" borderId="20" xfId="1" applyNumberFormat="1" applyFont="1" applyBorder="1"/>
    <xf numFmtId="10" fontId="1" fillId="0" borderId="0" xfId="2" applyNumberFormat="1"/>
    <xf numFmtId="10" fontId="1" fillId="0" borderId="0" xfId="3" applyNumberFormat="1" applyFill="1"/>
    <xf numFmtId="6" fontId="2" fillId="0" borderId="0" xfId="3" applyNumberFormat="1" applyFont="1" applyFill="1"/>
    <xf numFmtId="0" fontId="1" fillId="0" borderId="0" xfId="3" applyBorder="1"/>
    <xf numFmtId="166" fontId="1" fillId="0" borderId="0" xfId="3" applyNumberFormat="1" applyBorder="1"/>
    <xf numFmtId="0" fontId="1" fillId="0" borderId="35" xfId="3" applyBorder="1"/>
    <xf numFmtId="167" fontId="1" fillId="0" borderId="0" xfId="3" applyNumberFormat="1" applyBorder="1"/>
    <xf numFmtId="0" fontId="1" fillId="0" borderId="37" xfId="3" applyBorder="1"/>
    <xf numFmtId="43" fontId="1" fillId="0" borderId="31" xfId="3" applyNumberFormat="1" applyBorder="1"/>
    <xf numFmtId="43" fontId="1" fillId="0" borderId="38" xfId="3" applyNumberFormat="1" applyBorder="1"/>
    <xf numFmtId="167" fontId="1" fillId="0" borderId="31" xfId="3" applyNumberFormat="1" applyBorder="1"/>
    <xf numFmtId="10" fontId="1" fillId="0" borderId="38" xfId="2" applyNumberFormat="1" applyBorder="1"/>
    <xf numFmtId="43" fontId="1" fillId="0" borderId="39" xfId="3" applyNumberFormat="1" applyBorder="1"/>
    <xf numFmtId="166" fontId="1" fillId="0" borderId="19" xfId="3" applyNumberFormat="1" applyBorder="1"/>
    <xf numFmtId="43" fontId="1" fillId="0" borderId="40" xfId="3" applyNumberFormat="1" applyBorder="1"/>
    <xf numFmtId="43" fontId="1" fillId="0" borderId="23" xfId="3" applyNumberFormat="1" applyBorder="1"/>
    <xf numFmtId="0" fontId="1" fillId="0" borderId="2" xfId="3" applyBorder="1" applyAlignment="1">
      <alignment horizontal="center"/>
    </xf>
    <xf numFmtId="0" fontId="1" fillId="0" borderId="4" xfId="3" applyBorder="1" applyAlignment="1">
      <alignment horizontal="center"/>
    </xf>
    <xf numFmtId="167" fontId="1" fillId="0" borderId="22" xfId="3" applyNumberFormat="1" applyBorder="1"/>
    <xf numFmtId="171" fontId="1" fillId="0" borderId="0" xfId="1" applyNumberFormat="1"/>
    <xf numFmtId="0" fontId="1" fillId="0" borderId="41" xfId="3" applyBorder="1"/>
    <xf numFmtId="165" fontId="1" fillId="0" borderId="41" xfId="1" applyNumberFormat="1" applyBorder="1"/>
    <xf numFmtId="168" fontId="1" fillId="0" borderId="41" xfId="2" applyNumberFormat="1" applyBorder="1"/>
    <xf numFmtId="10" fontId="1" fillId="0" borderId="41" xfId="3" applyNumberFormat="1" applyBorder="1"/>
    <xf numFmtId="165" fontId="1" fillId="0" borderId="0" xfId="1" applyNumberFormat="1" applyBorder="1"/>
    <xf numFmtId="168" fontId="1" fillId="0" borderId="0" xfId="2" applyNumberFormat="1" applyBorder="1"/>
    <xf numFmtId="10" fontId="1" fillId="0" borderId="0" xfId="3" applyNumberFormat="1" applyBorder="1"/>
    <xf numFmtId="43" fontId="0" fillId="0" borderId="35" xfId="1" applyFont="1" applyBorder="1"/>
    <xf numFmtId="168" fontId="0" fillId="0" borderId="35" xfId="1" applyNumberFormat="1" applyFont="1" applyBorder="1"/>
    <xf numFmtId="0" fontId="1" fillId="0" borderId="34" xfId="3" applyBorder="1"/>
    <xf numFmtId="0" fontId="1" fillId="0" borderId="33" xfId="3" applyBorder="1"/>
    <xf numFmtId="0" fontId="1" fillId="0" borderId="42" xfId="3" applyBorder="1"/>
    <xf numFmtId="172" fontId="1" fillId="0" borderId="43" xfId="3" applyNumberFormat="1" applyBorder="1"/>
    <xf numFmtId="172" fontId="1" fillId="0" borderId="30" xfId="3" applyNumberFormat="1" applyBorder="1"/>
    <xf numFmtId="172" fontId="2" fillId="0" borderId="44" xfId="3" applyNumberFormat="1" applyFont="1" applyBorder="1"/>
    <xf numFmtId="0" fontId="1" fillId="0" borderId="39" xfId="3" applyBorder="1"/>
    <xf numFmtId="43" fontId="0" fillId="0" borderId="19" xfId="1" applyFont="1" applyBorder="1"/>
    <xf numFmtId="172" fontId="2" fillId="0" borderId="45" xfId="3" applyNumberFormat="1" applyFont="1" applyBorder="1"/>
    <xf numFmtId="6" fontId="1" fillId="4" borderId="20" xfId="3" applyNumberFormat="1" applyFill="1" applyBorder="1"/>
    <xf numFmtId="0" fontId="1" fillId="0" borderId="0" xfId="3" applyAlignment="1">
      <alignment horizontal="center"/>
    </xf>
    <xf numFmtId="0" fontId="1" fillId="0" borderId="30" xfId="3" applyBorder="1" applyAlignment="1">
      <alignment horizontal="center"/>
    </xf>
    <xf numFmtId="0" fontId="1" fillId="0" borderId="20" xfId="3" applyBorder="1" applyAlignment="1">
      <alignment horizontal="center"/>
    </xf>
    <xf numFmtId="0" fontId="1" fillId="0" borderId="31" xfId="3" applyBorder="1" applyAlignment="1">
      <alignment horizontal="left"/>
    </xf>
    <xf numFmtId="171" fontId="0" fillId="0" borderId="7" xfId="1" applyNumberFormat="1" applyFont="1" applyBorder="1"/>
    <xf numFmtId="43" fontId="0" fillId="0" borderId="7" xfId="1" applyNumberFormat="1" applyFont="1" applyBorder="1"/>
    <xf numFmtId="43" fontId="0" fillId="0" borderId="2" xfId="1" applyNumberFormat="1" applyFont="1" applyBorder="1"/>
    <xf numFmtId="0" fontId="1" fillId="0" borderId="7" xfId="3" applyBorder="1" applyAlignment="1">
      <alignment horizontal="center"/>
    </xf>
    <xf numFmtId="6" fontId="1" fillId="4" borderId="7" xfId="3" applyNumberFormat="1" applyFill="1" applyBorder="1"/>
    <xf numFmtId="10" fontId="1" fillId="0" borderId="0" xfId="2" applyNumberFormat="1" applyBorder="1"/>
    <xf numFmtId="168" fontId="1" fillId="0" borderId="30" xfId="2" applyNumberFormat="1" applyBorder="1"/>
    <xf numFmtId="6" fontId="2" fillId="0" borderId="2" xfId="3" applyNumberFormat="1" applyFont="1" applyBorder="1"/>
    <xf numFmtId="0" fontId="2" fillId="0" borderId="19" xfId="3" applyFont="1" applyBorder="1"/>
    <xf numFmtId="0" fontId="1" fillId="0" borderId="45" xfId="3" applyBorder="1"/>
    <xf numFmtId="0" fontId="1" fillId="0" borderId="0" xfId="3" applyBorder="1" applyAlignment="1">
      <alignment horizontal="center"/>
    </xf>
    <xf numFmtId="6" fontId="1" fillId="0" borderId="0" xfId="3" applyNumberFormat="1" applyBorder="1"/>
    <xf numFmtId="165" fontId="1" fillId="0" borderId="0" xfId="1" applyNumberFormat="1"/>
    <xf numFmtId="0" fontId="1" fillId="0" borderId="34" xfId="3" applyBorder="1" applyAlignment="1">
      <alignment horizontal="center" wrapText="1"/>
    </xf>
    <xf numFmtId="0" fontId="1" fillId="0" borderId="33" xfId="3" applyBorder="1" applyAlignment="1">
      <alignment horizontal="center" wrapText="1"/>
    </xf>
    <xf numFmtId="0" fontId="1" fillId="0" borderId="32" xfId="3" applyBorder="1" applyAlignment="1">
      <alignment horizontal="center" wrapText="1"/>
    </xf>
    <xf numFmtId="0" fontId="2" fillId="0" borderId="13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34" xfId="3" applyBorder="1" applyAlignment="1">
      <alignment horizontal="center"/>
    </xf>
    <xf numFmtId="0" fontId="1" fillId="0" borderId="33" xfId="3" applyBorder="1" applyAlignment="1">
      <alignment horizontal="center"/>
    </xf>
    <xf numFmtId="0" fontId="1" fillId="0" borderId="36" xfId="3" applyBorder="1" applyAlignment="1">
      <alignment horizontal="center" wrapText="1"/>
    </xf>
    <xf numFmtId="0" fontId="1" fillId="0" borderId="22" xfId="3" applyBorder="1" applyAlignment="1">
      <alignment horizontal="center" wrapText="1"/>
    </xf>
    <xf numFmtId="0" fontId="1" fillId="0" borderId="44" xfId="3" applyBorder="1" applyAlignment="1">
      <alignment horizontal="center" wrapText="1"/>
    </xf>
    <xf numFmtId="0" fontId="1" fillId="0" borderId="20" xfId="3" applyBorder="1" applyAlignment="1">
      <alignment horizontal="center" wrapText="1"/>
    </xf>
    <xf numFmtId="0" fontId="1" fillId="0" borderId="11" xfId="3" applyBorder="1" applyAlignment="1">
      <alignment horizontal="center" wrapText="1"/>
    </xf>
    <xf numFmtId="0" fontId="1" fillId="0" borderId="21" xfId="3" applyBorder="1" applyAlignment="1">
      <alignment horizontal="center" wrapText="1"/>
    </xf>
    <xf numFmtId="0" fontId="2" fillId="0" borderId="29" xfId="3" applyFont="1" applyBorder="1" applyAlignment="1">
      <alignment horizontal="center"/>
    </xf>
    <xf numFmtId="0" fontId="2" fillId="0" borderId="28" xfId="3" applyFont="1" applyBorder="1" applyAlignment="1">
      <alignment horizontal="center"/>
    </xf>
    <xf numFmtId="0" fontId="2" fillId="0" borderId="27" xfId="3" applyFont="1" applyBorder="1" applyAlignment="1">
      <alignment horizontal="center"/>
    </xf>
  </cellXfs>
  <cellStyles count="7">
    <cellStyle name="Comma" xfId="1" builtinId="3"/>
    <cellStyle name="Comma 4" xfId="5" xr:uid="{9BEC5B81-132F-401B-9A85-B0928143BFE8}"/>
    <cellStyle name="Currency 2" xfId="4" xr:uid="{9D2440C9-778E-4DF8-919D-7560306EB832}"/>
    <cellStyle name="Normal" xfId="0" builtinId="0"/>
    <cellStyle name="Normal 2" xfId="3" xr:uid="{8CE3665E-2054-4626-BCD0-7C2DE6BE3EB9}"/>
    <cellStyle name="Percent" xfId="2" builtinId="5"/>
    <cellStyle name="Percent 2" xfId="6" xr:uid="{4A42C71C-6F36-46B8-A5F7-D599E74262F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lair\Documents\Milton\2023_Tariff_Schedule_and_Bill_Impact_Model_1.0_20220324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Database"/>
      <sheetName val="2016 List"/>
      <sheetName val="Sheet1"/>
      <sheetName val="2. Current Tariff Schedule"/>
      <sheetName val="3. Regulatory Charges"/>
      <sheetName val="4. Additional Rates"/>
      <sheetName val="5. Final Tariff Schedule"/>
      <sheetName val="6. Bill Impacts"/>
      <sheetName val="Rate Rider Database"/>
      <sheetName val="20. HIDDEN"/>
      <sheetName val="20. Bill Impacts hidden"/>
      <sheetName val="list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23">
          <cell r="D23">
            <v>8.2000000000000003E-2</v>
          </cell>
        </row>
        <row r="24">
          <cell r="D24">
            <v>0.113</v>
          </cell>
        </row>
        <row r="25">
          <cell r="D25">
            <v>0.17</v>
          </cell>
        </row>
        <row r="33">
          <cell r="D33">
            <v>0.56999999999999995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DDDE-AC4D-4F40-825D-651A9A8E60C4}">
  <dimension ref="B1:AF37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5" sqref="Q15"/>
    </sheetView>
  </sheetViews>
  <sheetFormatPr defaultColWidth="9.140625" defaultRowHeight="12.75" x14ac:dyDescent="0.2"/>
  <cols>
    <col min="1" max="1" width="9.140625" style="1"/>
    <col min="2" max="2" width="20.7109375" style="1" customWidth="1"/>
    <col min="3" max="3" width="12.7109375" style="1" customWidth="1"/>
    <col min="4" max="4" width="14.28515625" style="1" bestFit="1" customWidth="1"/>
    <col min="5" max="5" width="13" style="1" customWidth="1"/>
    <col min="6" max="6" width="13.28515625" style="1" customWidth="1"/>
    <col min="7" max="7" width="14.140625" style="1" customWidth="1"/>
    <col min="8" max="8" width="15.140625" style="1" customWidth="1"/>
    <col min="9" max="9" width="12.28515625" style="1" customWidth="1"/>
    <col min="10" max="10" width="10.85546875" style="1" customWidth="1"/>
    <col min="11" max="11" width="13.7109375" style="1" customWidth="1"/>
    <col min="12" max="12" width="12.85546875" style="1" bestFit="1" customWidth="1"/>
    <col min="13" max="13" width="11.7109375" style="1" customWidth="1"/>
    <col min="14" max="14" width="13.42578125" style="1" bestFit="1" customWidth="1"/>
    <col min="15" max="20" width="13.42578125" style="1" customWidth="1"/>
    <col min="21" max="22" width="9.140625" style="1"/>
    <col min="23" max="23" width="2" style="1" customWidth="1"/>
    <col min="24" max="24" width="10.85546875" style="1" customWidth="1"/>
    <col min="25" max="25" width="14" style="1" customWidth="1"/>
    <col min="26" max="26" width="15.85546875" style="1" customWidth="1"/>
    <col min="27" max="27" width="11.42578125" style="1" customWidth="1"/>
    <col min="28" max="28" width="9.140625" style="1"/>
    <col min="29" max="30" width="12.7109375" style="1" bestFit="1" customWidth="1"/>
    <col min="31" max="16384" width="9.140625" style="1"/>
  </cols>
  <sheetData>
    <row r="1" spans="2:32" ht="13.5" thickBot="1" x14ac:dyDescent="0.25"/>
    <row r="2" spans="2:32" s="86" customFormat="1" ht="25.5" x14ac:dyDescent="0.2">
      <c r="B2" s="90"/>
      <c r="C2" s="89" t="s">
        <v>41</v>
      </c>
      <c r="D2" s="89" t="s">
        <v>40</v>
      </c>
      <c r="E2" s="89" t="s">
        <v>39</v>
      </c>
      <c r="F2" s="89" t="s">
        <v>38</v>
      </c>
      <c r="G2" s="89" t="s">
        <v>37</v>
      </c>
      <c r="H2" s="88" t="s">
        <v>36</v>
      </c>
      <c r="I2" s="87"/>
      <c r="J2" s="161" t="s">
        <v>35</v>
      </c>
      <c r="K2" s="161"/>
      <c r="L2" s="86" t="s">
        <v>33</v>
      </c>
      <c r="M2" s="161" t="s">
        <v>34</v>
      </c>
      <c r="N2" s="161"/>
      <c r="O2" s="86" t="s">
        <v>33</v>
      </c>
      <c r="P2" s="161" t="s">
        <v>32</v>
      </c>
      <c r="Q2" s="161"/>
      <c r="X2" s="162" t="s">
        <v>31</v>
      </c>
      <c r="Y2" s="163"/>
      <c r="AC2" s="148">
        <v>2024</v>
      </c>
      <c r="AD2" s="149"/>
      <c r="AE2" s="149"/>
      <c r="AF2" s="150"/>
    </row>
    <row r="3" spans="2:32" s="131" customFormat="1" ht="12.75" customHeight="1" x14ac:dyDescent="0.2">
      <c r="B3" s="134" t="s">
        <v>30</v>
      </c>
      <c r="C3" s="131">
        <v>18</v>
      </c>
      <c r="D3" s="131">
        <v>19</v>
      </c>
      <c r="E3" s="131">
        <v>23</v>
      </c>
      <c r="F3" s="131">
        <v>25</v>
      </c>
      <c r="G3" s="131">
        <v>40</v>
      </c>
      <c r="H3" s="132">
        <v>47</v>
      </c>
      <c r="J3" s="133" t="s">
        <v>29</v>
      </c>
      <c r="K3" s="133" t="s">
        <v>43</v>
      </c>
      <c r="M3" s="133" t="s">
        <v>29</v>
      </c>
      <c r="N3" s="133" t="s">
        <v>43</v>
      </c>
      <c r="P3" s="133" t="s">
        <v>29</v>
      </c>
      <c r="Q3" s="133" t="s">
        <v>43</v>
      </c>
      <c r="S3" s="133" t="s">
        <v>28</v>
      </c>
      <c r="T3" s="133" t="s">
        <v>42</v>
      </c>
      <c r="U3" s="133" t="s">
        <v>28</v>
      </c>
      <c r="X3" s="133" t="s">
        <v>26</v>
      </c>
      <c r="Y3" s="133" t="s">
        <v>25</v>
      </c>
      <c r="AA3" s="131" t="s">
        <v>46</v>
      </c>
      <c r="AC3" s="138" t="s">
        <v>42</v>
      </c>
      <c r="AD3" s="145" t="s">
        <v>61</v>
      </c>
      <c r="AE3" s="145" t="s">
        <v>36</v>
      </c>
      <c r="AF3" s="132" t="s">
        <v>62</v>
      </c>
    </row>
    <row r="4" spans="2:32" ht="15" x14ac:dyDescent="0.25">
      <c r="B4" s="83" t="s">
        <v>63</v>
      </c>
      <c r="C4" s="80">
        <v>14373803.879999992</v>
      </c>
      <c r="D4" s="80">
        <v>1602872.236543433</v>
      </c>
      <c r="E4" s="80">
        <v>17469333.605556309</v>
      </c>
      <c r="F4" s="80">
        <f t="shared" ref="F4:F11" si="0">D4+E4</f>
        <v>19072205.842099741</v>
      </c>
      <c r="G4" s="80">
        <v>18843077.471695255</v>
      </c>
      <c r="H4" s="54">
        <f t="shared" ref="H4:H12" si="1">F4/G4</f>
        <v>1.0121598168212527</v>
      </c>
      <c r="J4" s="81">
        <f t="shared" ref="J4:J11" si="2">IF(H4&gt;Y4,Y4,IF(H4&lt;X4,X4,H4))</f>
        <v>1.0121598168212527</v>
      </c>
      <c r="K4" s="80">
        <f t="shared" ref="K4:K11" si="3">G4*J4</f>
        <v>19072205.842099741</v>
      </c>
      <c r="M4" s="81">
        <f>IF((IF(L$12&gt;0,IF(J4=K$13,L$13,J4),IF(J4=K$14,L$14,J4))*G4-K4)&gt;L10,(K4+$L$12)/G4,IF(L$12&gt;0,IF(J4=K$13,L$13,J4),IF(J4=K$14,L$14,J4)))</f>
        <v>1.0121598168212527</v>
      </c>
      <c r="N4" s="80">
        <f t="shared" ref="N4:N11" si="4">G4*M4</f>
        <v>19072205.842099741</v>
      </c>
      <c r="O4" s="82"/>
      <c r="P4" s="81">
        <f>IF(ROUND($O$12,0)=0,M4,IF(O$12&gt;0,IF(M4=N$13,O$13,M4),IF(M4=N$14,O$14,M4)))</f>
        <v>1.0121598168212527</v>
      </c>
      <c r="Q4" s="80">
        <f>G4*P4</f>
        <v>19072205.842099741</v>
      </c>
      <c r="R4" s="92">
        <f>Q4/G4</f>
        <v>1.0121598168212527</v>
      </c>
      <c r="S4" s="55">
        <f t="shared" ref="S4:S11" si="5">Q4/$Q$12</f>
        <v>0.70611224939530137</v>
      </c>
      <c r="T4" s="130">
        <f>Q4-D4</f>
        <v>17469333.605556309</v>
      </c>
      <c r="U4" s="79">
        <f t="shared" ref="U4:U12" si="6">T4/$T$12</f>
        <v>0.70415880966978717</v>
      </c>
      <c r="X4" s="78">
        <v>0.85</v>
      </c>
      <c r="Y4" s="78">
        <v>1.1499999999999999</v>
      </c>
      <c r="AA4" s="92">
        <f t="shared" ref="AA4:AA11" si="7">T4/C4-1</f>
        <v>0.21535911797596619</v>
      </c>
      <c r="AC4" s="139">
        <f>Q4-D4</f>
        <v>17469333.605556309</v>
      </c>
      <c r="AD4" s="146">
        <f>AC4+D4</f>
        <v>19072205.842099741</v>
      </c>
      <c r="AE4" s="140">
        <f>AD4/G4</f>
        <v>1.0121598168212527</v>
      </c>
      <c r="AF4" s="141">
        <f>AC4/T4-1</f>
        <v>0</v>
      </c>
    </row>
    <row r="5" spans="2:32" ht="15" x14ac:dyDescent="0.25">
      <c r="B5" s="83" t="s">
        <v>64</v>
      </c>
      <c r="C5" s="80">
        <v>2361551.7825091071</v>
      </c>
      <c r="D5" s="80">
        <v>232210.02745430061</v>
      </c>
      <c r="E5" s="80">
        <v>2870133.4914448392</v>
      </c>
      <c r="F5" s="80">
        <f t="shared" si="0"/>
        <v>3102343.5188991399</v>
      </c>
      <c r="G5" s="80">
        <v>3196311.3851158484</v>
      </c>
      <c r="H5" s="54">
        <f t="shared" si="1"/>
        <v>0.97060115398822366</v>
      </c>
      <c r="J5" s="81">
        <f t="shared" si="2"/>
        <v>0.97060115398822366</v>
      </c>
      <c r="K5" s="80">
        <f t="shared" si="3"/>
        <v>3102343.5188991399</v>
      </c>
      <c r="M5" s="81">
        <f>IF((IF(L$12&gt;0,IF(J5=K$13,L$13,J5),IF(J5=K$14,L$14,J5))*G5-K5)&gt;L11,(K5+$L$12)/G5,IF(L$12&gt;0,IF(J5=K$13,L$13,J5),IF(J5=K$14,L$14,J5)))</f>
        <v>0.97060115398822366</v>
      </c>
      <c r="N5" s="80">
        <f t="shared" si="4"/>
        <v>3102343.5188991399</v>
      </c>
      <c r="O5" s="82"/>
      <c r="P5" s="81">
        <f t="shared" ref="P5:P11" si="8">IF(ROUND($O$12,0)=0,M5,IF(O$12&gt;0,IF(M5=N$13,O$13,M5),IF(M5=N$14,O$14,M5)))</f>
        <v>0.97060115398822366</v>
      </c>
      <c r="Q5" s="80">
        <f t="shared" ref="Q5:Q11" si="9">G5*P5</f>
        <v>3102343.5188991399</v>
      </c>
      <c r="R5" s="92">
        <f t="shared" ref="R5:R11" si="10">Q5/G5</f>
        <v>0.97060115398822366</v>
      </c>
      <c r="S5" s="55">
        <f t="shared" si="5"/>
        <v>0.11485838495363228</v>
      </c>
      <c r="T5" s="130">
        <f t="shared" ref="T5:T9" si="11">Q5-D5</f>
        <v>2870133.4914448392</v>
      </c>
      <c r="U5" s="79">
        <f t="shared" si="6"/>
        <v>0.11569014757874782</v>
      </c>
      <c r="X5" s="78">
        <v>0.8</v>
      </c>
      <c r="Y5" s="78">
        <v>1.2</v>
      </c>
      <c r="AA5" s="92">
        <f t="shared" si="7"/>
        <v>0.21535911797596619</v>
      </c>
      <c r="AC5" s="139">
        <f t="shared" ref="AC5:AC8" si="12">Q5-D5</f>
        <v>2870133.4914448392</v>
      </c>
      <c r="AD5" s="146">
        <f t="shared" ref="AD5:AD11" si="13">AC5+D5</f>
        <v>3102343.5188991399</v>
      </c>
      <c r="AE5" s="140">
        <f t="shared" ref="AE5:AE11" si="14">AD5/G5</f>
        <v>0.97060115398822366</v>
      </c>
      <c r="AF5" s="141">
        <f t="shared" ref="AF5:AF11" si="15">AC5/T5-1</f>
        <v>0</v>
      </c>
    </row>
    <row r="6" spans="2:32" ht="15" x14ac:dyDescent="0.25">
      <c r="B6" s="83" t="s">
        <v>65</v>
      </c>
      <c r="C6" s="80">
        <v>2309204.5814665067</v>
      </c>
      <c r="D6" s="80">
        <v>230237.61034073425</v>
      </c>
      <c r="E6" s="80">
        <v>2806512.8433571937</v>
      </c>
      <c r="F6" s="80">
        <f t="shared" si="0"/>
        <v>3036750.4536979282</v>
      </c>
      <c r="G6" s="80">
        <v>3279525.5405211034</v>
      </c>
      <c r="H6" s="54">
        <f t="shared" si="1"/>
        <v>0.9259724969897325</v>
      </c>
      <c r="J6" s="81">
        <f t="shared" si="2"/>
        <v>0.9259724969897325</v>
      </c>
      <c r="K6" s="80">
        <f t="shared" si="3"/>
        <v>3036750.4536979282</v>
      </c>
      <c r="M6" s="81">
        <f>J6</f>
        <v>0.9259724969897325</v>
      </c>
      <c r="N6" s="80">
        <f t="shared" si="4"/>
        <v>3036750.4536979282</v>
      </c>
      <c r="O6" s="82"/>
      <c r="P6" s="81">
        <f t="shared" si="8"/>
        <v>0.9259724969897325</v>
      </c>
      <c r="Q6" s="80">
        <f>G6*P6+(G7*P7+Q15-K7)</f>
        <v>3038719.4518345157</v>
      </c>
      <c r="R6" s="92">
        <f t="shared" si="10"/>
        <v>0.92657288814761762</v>
      </c>
      <c r="S6" s="55">
        <f t="shared" si="5"/>
        <v>0.11250282453851182</v>
      </c>
      <c r="T6" s="130">
        <f t="shared" si="11"/>
        <v>2808481.8414937817</v>
      </c>
      <c r="U6" s="79">
        <f t="shared" si="6"/>
        <v>0.11320507554200411</v>
      </c>
      <c r="X6" s="78">
        <v>0.8</v>
      </c>
      <c r="Y6" s="78">
        <v>1.2</v>
      </c>
      <c r="AA6" s="92">
        <f t="shared" si="7"/>
        <v>0.21621179172882066</v>
      </c>
      <c r="AC6" s="139">
        <f t="shared" si="12"/>
        <v>2808481.8414937817</v>
      </c>
      <c r="AD6" s="146">
        <f t="shared" si="13"/>
        <v>3038719.4518345157</v>
      </c>
      <c r="AE6" s="140">
        <f t="shared" si="14"/>
        <v>0.92657288814761762</v>
      </c>
      <c r="AF6" s="141">
        <f t="shared" si="15"/>
        <v>0</v>
      </c>
    </row>
    <row r="7" spans="2:32" ht="15" x14ac:dyDescent="0.25">
      <c r="B7" s="83" t="s">
        <v>66</v>
      </c>
      <c r="C7" s="80">
        <v>510521.05780939682</v>
      </c>
      <c r="D7" s="80">
        <v>41879.338991694676</v>
      </c>
      <c r="E7" s="80">
        <v>620466.42252738576</v>
      </c>
      <c r="F7" s="80">
        <f t="shared" si="0"/>
        <v>662345.76151908049</v>
      </c>
      <c r="G7" s="80">
        <v>559036.13793072733</v>
      </c>
      <c r="H7" s="54">
        <f t="shared" si="1"/>
        <v>1.1847995443921637</v>
      </c>
      <c r="J7" s="81">
        <f t="shared" si="2"/>
        <v>1.1847995443921637</v>
      </c>
      <c r="K7" s="80">
        <f t="shared" si="3"/>
        <v>662345.76151908049</v>
      </c>
      <c r="M7" s="81">
        <f>IF((IF(L$12&gt;0,IF(J7=K$13,L$13,J7),IF(J7=K$14,L$14,J7))*G7-K7)&gt;L13,(K7+$L$12)/G7,IF(L$12&gt;0,IF(J7=K$13,L$13,J7),IF(J7=K$14,L$14,J7)))</f>
        <v>1.1816834634356435</v>
      </c>
      <c r="N7" s="80">
        <f t="shared" si="4"/>
        <v>660603.75965566793</v>
      </c>
      <c r="O7" s="82"/>
      <c r="P7" s="81">
        <f>IF(ROUND($O$12,0)=0,M7,IF(O$12&gt;0,IF(M7=N$13,O$13,M7),IF(M7=N$14,O$14,M7)))</f>
        <v>1.1816834634356435</v>
      </c>
      <c r="Q7" s="80">
        <f>MIN(G7*P7+Q15,K7)</f>
        <v>662345.76151908049</v>
      </c>
      <c r="R7" s="92">
        <f t="shared" si="10"/>
        <v>1.1847995443921637</v>
      </c>
      <c r="S7" s="55">
        <f t="shared" si="5"/>
        <v>2.4522095630454446E-2</v>
      </c>
      <c r="T7" s="130">
        <f t="shared" si="11"/>
        <v>620466.42252738588</v>
      </c>
      <c r="U7" s="79">
        <f t="shared" si="6"/>
        <v>2.5009934974737233E-2</v>
      </c>
      <c r="X7" s="78">
        <v>0.8</v>
      </c>
      <c r="Y7" s="78">
        <v>1.2</v>
      </c>
      <c r="AA7" s="92">
        <f t="shared" si="7"/>
        <v>0.21535911797596641</v>
      </c>
      <c r="AC7" s="139">
        <f>Q7-D7-Q15</f>
        <v>616755.42252738588</v>
      </c>
      <c r="AD7" s="146">
        <f t="shared" si="13"/>
        <v>658634.76151908049</v>
      </c>
      <c r="AE7" s="140">
        <f t="shared" si="14"/>
        <v>1.178161333106331</v>
      </c>
      <c r="AF7" s="141">
        <f t="shared" si="15"/>
        <v>-5.9809844098955844E-3</v>
      </c>
    </row>
    <row r="8" spans="2:32" ht="15" x14ac:dyDescent="0.25">
      <c r="B8" s="83" t="s">
        <v>67</v>
      </c>
      <c r="C8" s="80">
        <v>522349.99721623526</v>
      </c>
      <c r="D8" s="80">
        <v>55394.033067394121</v>
      </c>
      <c r="E8" s="80">
        <v>634842.8318914721</v>
      </c>
      <c r="F8" s="80">
        <f t="shared" si="0"/>
        <v>690236.86495886627</v>
      </c>
      <c r="G8" s="80">
        <v>701527.37130183948</v>
      </c>
      <c r="H8" s="54">
        <f t="shared" si="1"/>
        <v>0.98390582206076838</v>
      </c>
      <c r="J8" s="81">
        <f t="shared" si="2"/>
        <v>0.98390582206076838</v>
      </c>
      <c r="K8" s="80">
        <f t="shared" si="3"/>
        <v>690236.86495886627</v>
      </c>
      <c r="M8" s="81">
        <f>IF((IF(L$12&gt;0,IF(J8=K$13,L$13,J8),IF(J8=K$14,L$14,J8))*G8-K8)&gt;L14,(K8+$L$12)/G8,IF(L$12&gt;0,IF(J8=K$13,L$13,J8),IF(J8=K$14,L$14,J8)))</f>
        <v>0.98390582206076838</v>
      </c>
      <c r="N8" s="80">
        <f t="shared" si="4"/>
        <v>690236.86495886627</v>
      </c>
      <c r="O8" s="82"/>
      <c r="P8" s="81">
        <f t="shared" si="8"/>
        <v>0.98390582206076838</v>
      </c>
      <c r="Q8" s="80">
        <f>G8*P8</f>
        <v>690236.86495886627</v>
      </c>
      <c r="R8" s="92">
        <f t="shared" si="10"/>
        <v>0.98390582206076838</v>
      </c>
      <c r="S8" s="55">
        <f t="shared" si="5"/>
        <v>2.5554710837685027E-2</v>
      </c>
      <c r="T8" s="130">
        <f t="shared" si="11"/>
        <v>634842.8318914721</v>
      </c>
      <c r="U8" s="79">
        <f t="shared" si="6"/>
        <v>2.5589423324648915E-2</v>
      </c>
      <c r="X8" s="78">
        <v>0.85</v>
      </c>
      <c r="Y8" s="78">
        <v>1.1499999999999999</v>
      </c>
      <c r="AA8" s="92">
        <f t="shared" si="7"/>
        <v>0.21535911797596619</v>
      </c>
      <c r="AC8" s="139">
        <f t="shared" si="12"/>
        <v>634842.8318914721</v>
      </c>
      <c r="AD8" s="146">
        <f t="shared" si="13"/>
        <v>690236.86495886627</v>
      </c>
      <c r="AE8" s="140">
        <f t="shared" si="14"/>
        <v>0.98390582206076838</v>
      </c>
      <c r="AF8" s="141">
        <f t="shared" si="15"/>
        <v>0</v>
      </c>
    </row>
    <row r="9" spans="2:32" ht="15" x14ac:dyDescent="0.25">
      <c r="B9" s="83" t="s">
        <v>68</v>
      </c>
      <c r="C9" s="80">
        <v>260279.00092866857</v>
      </c>
      <c r="D9" s="80">
        <v>28455.422772706639</v>
      </c>
      <c r="E9" s="80">
        <v>316332.45699633233</v>
      </c>
      <c r="F9" s="80">
        <f t="shared" si="0"/>
        <v>344787.87976903899</v>
      </c>
      <c r="G9" s="80">
        <v>316496.37204413721</v>
      </c>
      <c r="H9" s="54">
        <f t="shared" si="1"/>
        <v>1.0893896746499083</v>
      </c>
      <c r="J9" s="81">
        <f t="shared" si="2"/>
        <v>1.0893896746499083</v>
      </c>
      <c r="K9" s="80">
        <f t="shared" si="3"/>
        <v>344787.87976903899</v>
      </c>
      <c r="M9" s="81">
        <f>IF((IF(L$12&gt;0,IF(J9=K$13,L$13,J9),IF(J9=K$14,L$14,J9))*G9-K9)&gt;L14,(K9+$L$12)/G9,IF(L$12&gt;0,IF(J9=K$13,L$13,J9),IF(J9=K$14,L$14,J9)))-L15</f>
        <v>1.0893896746499083</v>
      </c>
      <c r="N9" s="80">
        <f t="shared" si="4"/>
        <v>344787.87976903899</v>
      </c>
      <c r="O9" s="82"/>
      <c r="P9" s="81">
        <f t="shared" si="8"/>
        <v>1.0893896746499083</v>
      </c>
      <c r="Q9" s="80">
        <f>G9*P9</f>
        <v>344787.87976903899</v>
      </c>
      <c r="R9" s="92">
        <f t="shared" si="10"/>
        <v>1.0893896746499083</v>
      </c>
      <c r="S9" s="55">
        <f t="shared" si="5"/>
        <v>1.2765117331658865E-2</v>
      </c>
      <c r="T9" s="130">
        <f t="shared" si="11"/>
        <v>316332.45699633233</v>
      </c>
      <c r="U9" s="79">
        <f t="shared" si="6"/>
        <v>1.2750817598881335E-2</v>
      </c>
      <c r="X9" s="78">
        <v>0.8</v>
      </c>
      <c r="Y9" s="78">
        <v>1.2</v>
      </c>
      <c r="AA9" s="92">
        <f t="shared" si="7"/>
        <v>0.21535911797596619</v>
      </c>
      <c r="AC9" s="139">
        <f>Q9-D9</f>
        <v>316332.45699633233</v>
      </c>
      <c r="AD9" s="146">
        <f t="shared" si="13"/>
        <v>344787.87976903899</v>
      </c>
      <c r="AE9" s="140">
        <f t="shared" si="14"/>
        <v>1.0893896746499083</v>
      </c>
      <c r="AF9" s="141">
        <f t="shared" si="15"/>
        <v>0</v>
      </c>
    </row>
    <row r="10" spans="2:32" ht="15" x14ac:dyDescent="0.25">
      <c r="B10" s="83" t="s">
        <v>69</v>
      </c>
      <c r="C10" s="80">
        <v>31731.553669601504</v>
      </c>
      <c r="D10" s="80">
        <v>5268.6745728834303</v>
      </c>
      <c r="E10" s="80">
        <v>38565.233079893915</v>
      </c>
      <c r="F10" s="80">
        <f t="shared" si="0"/>
        <v>43833.907652777343</v>
      </c>
      <c r="G10" s="80">
        <v>56969.886895247808</v>
      </c>
      <c r="H10" s="54">
        <f t="shared" si="1"/>
        <v>0.76942240965610531</v>
      </c>
      <c r="J10" s="81">
        <f t="shared" si="2"/>
        <v>0.8</v>
      </c>
      <c r="K10" s="80">
        <f t="shared" si="3"/>
        <v>45575.909516198248</v>
      </c>
      <c r="M10" s="81">
        <f>IF((IF(L$12&gt;0,IF(J10=K$13,L$13,J10),IF(J10=K$14,L$14,J10))*G10-K10)&gt;L16,(K10+$L$12)/G10,IF(L$12&gt;0,IF(J10=K$13,L$13,J10),IF(J10=K$14,L$14,J10)))</f>
        <v>0.8</v>
      </c>
      <c r="N10" s="80">
        <f>G10*M10</f>
        <v>45575.909516198248</v>
      </c>
      <c r="O10" s="82"/>
      <c r="P10" s="81">
        <f t="shared" si="8"/>
        <v>0.8</v>
      </c>
      <c r="Q10" s="80">
        <f>G10*P10-Q15</f>
        <v>41864.909516198248</v>
      </c>
      <c r="R10" s="92">
        <f t="shared" si="10"/>
        <v>0.7348603235456036</v>
      </c>
      <c r="S10" s="55">
        <f t="shared" si="5"/>
        <v>1.5499688748094474E-3</v>
      </c>
      <c r="T10" s="130">
        <f>Q10-D10</f>
        <v>36596.234943314819</v>
      </c>
      <c r="U10" s="79">
        <f t="shared" si="6"/>
        <v>1.4751313254378602E-3</v>
      </c>
      <c r="X10" s="78">
        <v>0.8</v>
      </c>
      <c r="Y10" s="78">
        <v>1.2</v>
      </c>
      <c r="AA10" s="92">
        <f t="shared" si="7"/>
        <v>0.15330737739367706</v>
      </c>
      <c r="AC10" s="139">
        <f>N10-D10</f>
        <v>40307.234943314819</v>
      </c>
      <c r="AD10" s="146">
        <f t="shared" si="13"/>
        <v>45575.909516198248</v>
      </c>
      <c r="AE10" s="140">
        <f t="shared" si="14"/>
        <v>0.8</v>
      </c>
      <c r="AF10" s="141">
        <f>AC10/T10-1</f>
        <v>0.10140387408016416</v>
      </c>
    </row>
    <row r="11" spans="2:32" ht="25.5" x14ac:dyDescent="0.25">
      <c r="B11" s="83" t="s">
        <v>70</v>
      </c>
      <c r="C11" s="80">
        <v>43288.460376868898</v>
      </c>
      <c r="D11" s="80">
        <v>5046.1738777244136</v>
      </c>
      <c r="E11" s="80">
        <v>52611.025022168942</v>
      </c>
      <c r="F11" s="80">
        <f t="shared" si="0"/>
        <v>57657.198899893352</v>
      </c>
      <c r="G11" s="80">
        <v>57217.261992314023</v>
      </c>
      <c r="H11" s="54">
        <f t="shared" si="1"/>
        <v>1.0076888843027552</v>
      </c>
      <c r="J11" s="81">
        <f t="shared" si="2"/>
        <v>1.0076888843027552</v>
      </c>
      <c r="K11" s="80">
        <f t="shared" si="3"/>
        <v>57657.198899893352</v>
      </c>
      <c r="M11" s="81">
        <f>IF((IF(L$12&gt;0,IF(J11=K$13,L$13,J11),IF(J11=K$14,L$14,J11))*G11-K11)&gt;L17,(K11+$L$12)/G11,IF(L$12&gt;0,IF(J11=K$13,L$13,J11),IF(J11=K$14,L$14,J11)))</f>
        <v>1.0076888843027552</v>
      </c>
      <c r="N11" s="80">
        <f t="shared" si="4"/>
        <v>57657.198899893352</v>
      </c>
      <c r="O11" s="82"/>
      <c r="P11" s="81">
        <f t="shared" si="8"/>
        <v>1.0076888843027552</v>
      </c>
      <c r="Q11" s="80">
        <f t="shared" si="9"/>
        <v>57657.198899893352</v>
      </c>
      <c r="R11" s="92">
        <f t="shared" si="10"/>
        <v>1.0076888843027552</v>
      </c>
      <c r="S11" s="55">
        <f t="shared" si="5"/>
        <v>2.1346484379466922E-3</v>
      </c>
      <c r="T11" s="130">
        <f>Q11-D11</f>
        <v>52611.025022168935</v>
      </c>
      <c r="U11" s="79">
        <f t="shared" si="6"/>
        <v>2.1206599857555427E-3</v>
      </c>
      <c r="X11" s="78">
        <v>0.8</v>
      </c>
      <c r="Y11" s="78">
        <v>1.2</v>
      </c>
      <c r="AA11" s="92">
        <f t="shared" si="7"/>
        <v>0.21535911797596596</v>
      </c>
      <c r="AC11" s="139">
        <f>Q11-D11</f>
        <v>52611.025022168935</v>
      </c>
      <c r="AD11" s="146">
        <f t="shared" si="13"/>
        <v>57657.198899893352</v>
      </c>
      <c r="AE11" s="140">
        <f t="shared" si="14"/>
        <v>1.0076888843027552</v>
      </c>
      <c r="AF11" s="141">
        <f t="shared" si="15"/>
        <v>0</v>
      </c>
    </row>
    <row r="12" spans="2:32" s="69" customFormat="1" ht="13.5" thickBot="1" x14ac:dyDescent="0.25">
      <c r="B12" s="26" t="s">
        <v>27</v>
      </c>
      <c r="C12" s="77">
        <f>SUM(C4:C11)</f>
        <v>20412730.313976381</v>
      </c>
      <c r="D12" s="77">
        <f>SUM(D4:D11)</f>
        <v>2201363.5176208713</v>
      </c>
      <c r="E12" s="77">
        <f>SUM(E4:E11)</f>
        <v>24808797.909875598</v>
      </c>
      <c r="F12" s="77">
        <f>SUM(F4:F11)</f>
        <v>27010161.427496467</v>
      </c>
      <c r="G12" s="77">
        <f>SUM(G4:G11)</f>
        <v>27010161.427496474</v>
      </c>
      <c r="H12" s="76">
        <f t="shared" si="1"/>
        <v>0.99999999999999978</v>
      </c>
      <c r="J12" s="75"/>
      <c r="K12" s="72">
        <f>SUM(K4:K11)</f>
        <v>27011903.429359887</v>
      </c>
      <c r="L12" s="70">
        <f>G12-K12</f>
        <v>-1742.001863412559</v>
      </c>
      <c r="M12" s="75"/>
      <c r="N12" s="72">
        <f>SUM(N4:N11)</f>
        <v>27010161.427496474</v>
      </c>
      <c r="O12" s="74">
        <f>G12-N12</f>
        <v>0</v>
      </c>
      <c r="P12" s="75"/>
      <c r="Q12" s="72">
        <f>SUM(Q4:Q11)</f>
        <v>27010161.427496474</v>
      </c>
      <c r="R12" s="94">
        <f>G12-Q12</f>
        <v>0</v>
      </c>
      <c r="S12" s="73">
        <f>SUM(S4:S11)</f>
        <v>0.99999999999999989</v>
      </c>
      <c r="T12" s="72">
        <f>SUM(T4:T11)</f>
        <v>24808797.909875605</v>
      </c>
      <c r="U12" s="71">
        <f t="shared" si="6"/>
        <v>1</v>
      </c>
      <c r="V12" s="70"/>
      <c r="AC12" s="142">
        <f>SUM(AC4:AC11)</f>
        <v>24808797.909875605</v>
      </c>
      <c r="AD12" s="143"/>
      <c r="AE12" s="143"/>
      <c r="AF12" s="144"/>
    </row>
    <row r="13" spans="2:32" x14ac:dyDescent="0.2">
      <c r="G13" s="82"/>
      <c r="J13" s="1" t="s">
        <v>26</v>
      </c>
      <c r="K13" s="67">
        <f>MIN(J4:J11)</f>
        <v>0.8</v>
      </c>
      <c r="L13" s="67">
        <f>LARGE(J4:J11,COUNT(J4:J11)-1)</f>
        <v>0.9259724969897325</v>
      </c>
      <c r="M13" s="1" t="s">
        <v>26</v>
      </c>
      <c r="N13" s="67">
        <f>MIN(M4:M11)</f>
        <v>0.8</v>
      </c>
      <c r="O13" s="93">
        <v>0.8</v>
      </c>
      <c r="P13" s="1" t="s">
        <v>26</v>
      </c>
      <c r="Q13" s="67">
        <f>MIN(P4:P11)</f>
        <v>0.8</v>
      </c>
      <c r="R13" s="67"/>
      <c r="T13" s="67"/>
      <c r="U13" s="67"/>
    </row>
    <row r="14" spans="2:32" x14ac:dyDescent="0.2">
      <c r="G14" s="82"/>
      <c r="J14" s="1" t="s">
        <v>25</v>
      </c>
      <c r="K14" s="67">
        <f>MAX(J4:J11)</f>
        <v>1.1847995443921637</v>
      </c>
      <c r="L14" s="68">
        <v>1.1897</v>
      </c>
      <c r="M14" s="1" t="s">
        <v>25</v>
      </c>
      <c r="N14" s="67">
        <f>MAX(M4:M11)</f>
        <v>1.1816834634356435</v>
      </c>
      <c r="O14" s="67">
        <v>1.2</v>
      </c>
      <c r="P14" s="1" t="s">
        <v>25</v>
      </c>
      <c r="Q14" s="67">
        <f>MAX(P4:P11)</f>
        <v>1.1816834634356435</v>
      </c>
      <c r="R14" s="67"/>
      <c r="T14" s="67"/>
      <c r="U14" s="67"/>
    </row>
    <row r="15" spans="2:32" ht="13.5" thickBot="1" x14ac:dyDescent="0.25">
      <c r="K15" s="67"/>
      <c r="N15" s="67"/>
      <c r="P15" s="1" t="s">
        <v>60</v>
      </c>
      <c r="Q15" s="147">
        <v>3711</v>
      </c>
    </row>
    <row r="16" spans="2:32" ht="13.5" thickBot="1" x14ac:dyDescent="0.25">
      <c r="C16" s="164" t="s">
        <v>24</v>
      </c>
      <c r="D16" s="165"/>
      <c r="E16" s="165"/>
      <c r="F16" s="165"/>
      <c r="G16" s="165"/>
      <c r="H16" s="165"/>
      <c r="I16" s="165"/>
      <c r="J16" s="165"/>
      <c r="K16" s="166"/>
      <c r="L16" s="164" t="s">
        <v>23</v>
      </c>
      <c r="M16" s="165"/>
      <c r="N16" s="165"/>
      <c r="O16" s="165"/>
      <c r="P16" s="165"/>
      <c r="Q16" s="166"/>
      <c r="S16" s="164" t="s">
        <v>22</v>
      </c>
      <c r="T16" s="165"/>
      <c r="U16" s="165"/>
      <c r="V16" s="165"/>
      <c r="W16" s="165"/>
      <c r="X16" s="165"/>
      <c r="Y16" s="166"/>
      <c r="AA16" s="151" t="s">
        <v>44</v>
      </c>
      <c r="AB16" s="152"/>
      <c r="AC16" s="151" t="s">
        <v>45</v>
      </c>
      <c r="AD16" s="152"/>
    </row>
    <row r="17" spans="2:30" ht="13.5" thickBot="1" x14ac:dyDescent="0.25">
      <c r="C17" s="63" t="s">
        <v>21</v>
      </c>
      <c r="D17" s="62" t="s">
        <v>20</v>
      </c>
      <c r="E17" s="62" t="s">
        <v>16</v>
      </c>
      <c r="F17" s="66" t="s">
        <v>5</v>
      </c>
      <c r="G17" s="63" t="s">
        <v>19</v>
      </c>
      <c r="H17" s="62" t="s">
        <v>18</v>
      </c>
      <c r="I17" s="64" t="s">
        <v>17</v>
      </c>
      <c r="J17" s="65" t="s">
        <v>8</v>
      </c>
      <c r="K17" s="64" t="s">
        <v>7</v>
      </c>
      <c r="L17" s="63" t="s">
        <v>16</v>
      </c>
      <c r="M17" s="62" t="s">
        <v>15</v>
      </c>
      <c r="N17" s="61" t="s">
        <v>14</v>
      </c>
      <c r="O17" s="60" t="s">
        <v>13</v>
      </c>
      <c r="P17" s="60" t="s">
        <v>12</v>
      </c>
      <c r="Q17" s="59" t="s">
        <v>11</v>
      </c>
      <c r="S17" s="57" t="s">
        <v>10</v>
      </c>
      <c r="T17" s="58" t="s">
        <v>9</v>
      </c>
      <c r="U17" s="58" t="s">
        <v>8</v>
      </c>
      <c r="V17" s="56" t="s">
        <v>7</v>
      </c>
      <c r="W17" s="95"/>
      <c r="X17" s="57" t="s">
        <v>6</v>
      </c>
      <c r="Y17" s="56" t="s">
        <v>5</v>
      </c>
      <c r="AA17" s="108" t="s">
        <v>16</v>
      </c>
      <c r="AB17" s="109" t="s">
        <v>47</v>
      </c>
      <c r="AC17" s="108" t="s">
        <v>16</v>
      </c>
      <c r="AD17" s="109" t="s">
        <v>47</v>
      </c>
    </row>
    <row r="18" spans="2:30" ht="15" x14ac:dyDescent="0.25">
      <c r="B18" s="51" t="s">
        <v>63</v>
      </c>
      <c r="C18" s="135">
        <v>40087.583333333314</v>
      </c>
      <c r="D18" s="48">
        <v>353425358.50033087</v>
      </c>
      <c r="E18" s="91">
        <v>29.88</v>
      </c>
      <c r="F18" s="50"/>
      <c r="G18" s="49">
        <f>C18*E18*12</f>
        <v>14373803.879999992</v>
      </c>
      <c r="H18" s="48">
        <f t="shared" ref="H18:H25" si="16">+D18*F18-N18</f>
        <v>0</v>
      </c>
      <c r="I18" s="47">
        <f>G18+H18</f>
        <v>14373803.879999992</v>
      </c>
      <c r="J18" s="46">
        <f t="shared" ref="J18:J19" si="17">G18/($I18)</f>
        <v>1</v>
      </c>
      <c r="K18" s="45">
        <f t="shared" ref="K18:K24" si="18">H18/$I18</f>
        <v>0</v>
      </c>
      <c r="L18" s="44">
        <f t="shared" ref="L18:L24" si="19">J18*T4</f>
        <v>17469333.605556309</v>
      </c>
      <c r="M18" s="43">
        <f>K18*T4</f>
        <v>0</v>
      </c>
      <c r="N18" s="42"/>
      <c r="O18" s="41">
        <f t="shared" ref="O18:O24" si="20">L18/C18/12</f>
        <v>36.314930445121867</v>
      </c>
      <c r="P18" s="40">
        <f t="shared" ref="P18:P25" si="21">M18/D18</f>
        <v>0</v>
      </c>
      <c r="Q18" s="39">
        <v>29.88</v>
      </c>
      <c r="S18" s="49">
        <f>IF(R18="Over",Q18*12*C18,L18)</f>
        <v>17469333.605556309</v>
      </c>
      <c r="T18" s="48"/>
      <c r="U18" s="55">
        <f>(X18*C18*12)/((X18*C18*12)+T18-N18)</f>
        <v>1</v>
      </c>
      <c r="V18" s="54"/>
      <c r="W18" s="95"/>
      <c r="X18" s="53">
        <f>ROUND(S18/C18/12,2)</f>
        <v>36.31</v>
      </c>
      <c r="Y18" s="52"/>
      <c r="Z18" s="111"/>
      <c r="AA18" s="107">
        <v>36.31</v>
      </c>
      <c r="AB18" s="110">
        <v>0</v>
      </c>
      <c r="AC18" s="107">
        <f t="shared" ref="AC18:AD25" si="22">X18-AA18</f>
        <v>0</v>
      </c>
      <c r="AD18" s="110">
        <f t="shared" si="22"/>
        <v>0</v>
      </c>
    </row>
    <row r="19" spans="2:30" ht="15" x14ac:dyDescent="0.25">
      <c r="B19" s="51" t="s">
        <v>64</v>
      </c>
      <c r="C19" s="135">
        <v>2989.9091003503345</v>
      </c>
      <c r="D19" s="48">
        <v>87736980.996692628</v>
      </c>
      <c r="E19" s="91">
        <v>18.38</v>
      </c>
      <c r="F19" s="50">
        <v>1.9400000000000001E-2</v>
      </c>
      <c r="G19" s="49">
        <f t="shared" ref="G19:G25" si="23">C19*E19*12</f>
        <v>659454.3511732698</v>
      </c>
      <c r="H19" s="48">
        <f t="shared" si="16"/>
        <v>1702097.4313358371</v>
      </c>
      <c r="I19" s="47">
        <f t="shared" ref="I19:I24" si="24">G19+H19</f>
        <v>2361551.7825091071</v>
      </c>
      <c r="J19" s="46">
        <f t="shared" si="17"/>
        <v>0.27924619568265879</v>
      </c>
      <c r="K19" s="45">
        <f t="shared" si="18"/>
        <v>0.72075380431734115</v>
      </c>
      <c r="L19" s="44">
        <f t="shared" si="19"/>
        <v>801473.85858735826</v>
      </c>
      <c r="M19" s="43">
        <f>K19*T5</f>
        <v>2068659.6328574808</v>
      </c>
      <c r="N19" s="42"/>
      <c r="O19" s="41">
        <f t="shared" si="20"/>
        <v>22.338300588398258</v>
      </c>
      <c r="P19" s="40">
        <f t="shared" si="21"/>
        <v>2.3577966888733749E-2</v>
      </c>
      <c r="Q19" s="39">
        <v>42.440911181339509</v>
      </c>
      <c r="R19" s="1" t="str">
        <f>IF(O19&gt;Q19,"Over","")</f>
        <v/>
      </c>
      <c r="S19" s="49">
        <f t="shared" ref="S19:S25" si="25">IF(R19="Over",Q19*12*C19,L19)</f>
        <v>801473.85858735826</v>
      </c>
      <c r="T19" s="48">
        <f>T5-X19*C19*12+N19</f>
        <v>2068598.6598229215</v>
      </c>
      <c r="U19" s="55">
        <f t="shared" ref="U19:U25" si="26">(X19*C19*12)/((X19*C19*12)+T19-N19)</f>
        <v>0.27926743965432116</v>
      </c>
      <c r="V19" s="54">
        <f>T19/((X19*C19*12)+T19)</f>
        <v>0.7207325603456789</v>
      </c>
      <c r="W19" s="95"/>
      <c r="X19" s="53">
        <f t="shared" ref="X19:X25" si="27">ROUND(S19/C19/12,2)</f>
        <v>22.34</v>
      </c>
      <c r="Y19" s="52">
        <f>ROUND(T19/D19,4)</f>
        <v>2.3599999999999999E-2</v>
      </c>
      <c r="Z19" s="111"/>
      <c r="AA19" s="13">
        <v>22.34</v>
      </c>
      <c r="AB19" s="14">
        <v>2.3599999999999999E-2</v>
      </c>
      <c r="AC19" s="13">
        <f t="shared" si="22"/>
        <v>0</v>
      </c>
      <c r="AD19" s="14">
        <f t="shared" si="22"/>
        <v>0</v>
      </c>
    </row>
    <row r="20" spans="2:30" ht="15" x14ac:dyDescent="0.25">
      <c r="B20" s="51" t="s">
        <v>65</v>
      </c>
      <c r="C20" s="135">
        <v>343.80146517608017</v>
      </c>
      <c r="D20" s="48">
        <v>594064.44826934091</v>
      </c>
      <c r="E20" s="91">
        <v>86.74</v>
      </c>
      <c r="F20" s="50">
        <v>3.3567999999999998</v>
      </c>
      <c r="G20" s="49">
        <f t="shared" si="23"/>
        <v>357856.06907247833</v>
      </c>
      <c r="H20" s="48">
        <f>+D20*F20-N20</f>
        <v>1951348.512394028</v>
      </c>
      <c r="I20" s="47">
        <f>G20+H20</f>
        <v>2309204.5814665062</v>
      </c>
      <c r="J20" s="46">
        <f>G20/($I20)</f>
        <v>0.15496940892314301</v>
      </c>
      <c r="K20" s="45">
        <f t="shared" si="18"/>
        <v>0.84503059107685707</v>
      </c>
      <c r="L20" s="44">
        <f t="shared" si="19"/>
        <v>435228.77094767155</v>
      </c>
      <c r="M20" s="43">
        <f>K20*T6</f>
        <v>2373253.0705461102</v>
      </c>
      <c r="N20" s="42">
        <v>42807.027556495435</v>
      </c>
      <c r="O20" s="41">
        <f>L20/C20/12</f>
        <v>105.49421081455792</v>
      </c>
      <c r="P20" s="40">
        <f t="shared" si="21"/>
        <v>3.9949420933368307</v>
      </c>
      <c r="Q20" s="39">
        <v>86.74</v>
      </c>
      <c r="S20" s="49">
        <f>IF(R20="Over",Q20*12*C20,L20)</f>
        <v>435228.77094767155</v>
      </c>
      <c r="T20" s="48">
        <f t="shared" ref="T20:T25" si="28">T6-X20*C20*12+N20</f>
        <v>2416077.4703131807</v>
      </c>
      <c r="U20" s="55">
        <f t="shared" si="26"/>
        <v>0.15496322329989326</v>
      </c>
      <c r="V20" s="54">
        <f t="shared" ref="V20:V25" si="29">T20/((X20*C20*12)+T20)</f>
        <v>0.84736327368960729</v>
      </c>
      <c r="W20" s="95"/>
      <c r="X20" s="53">
        <f t="shared" si="27"/>
        <v>105.49</v>
      </c>
      <c r="Y20" s="52">
        <f t="shared" ref="Y20:Y25" si="30">ROUND(T20/D20,4)</f>
        <v>4.0670000000000002</v>
      </c>
      <c r="Z20" s="111"/>
      <c r="AA20" s="13">
        <v>105.49</v>
      </c>
      <c r="AB20" s="14">
        <v>4.0670000000000002</v>
      </c>
      <c r="AC20" s="13">
        <f t="shared" si="22"/>
        <v>0</v>
      </c>
      <c r="AD20" s="14">
        <f t="shared" si="22"/>
        <v>0</v>
      </c>
    </row>
    <row r="21" spans="2:30" ht="15" x14ac:dyDescent="0.25">
      <c r="B21" s="51" t="s">
        <v>66</v>
      </c>
      <c r="C21" s="135">
        <v>12</v>
      </c>
      <c r="D21" s="48">
        <v>225593.88847941163</v>
      </c>
      <c r="E21" s="91">
        <v>682.42</v>
      </c>
      <c r="F21" s="50">
        <v>2.3534000000000002</v>
      </c>
      <c r="G21" s="49">
        <f t="shared" si="23"/>
        <v>98268.479999999981</v>
      </c>
      <c r="H21" s="48">
        <f t="shared" si="16"/>
        <v>412252.57780939684</v>
      </c>
      <c r="I21" s="47">
        <f>G21+H21</f>
        <v>510521.05780939682</v>
      </c>
      <c r="J21" s="46">
        <f t="shared" ref="J21" si="31">G21/($I21)</f>
        <v>0.19248663399245824</v>
      </c>
      <c r="K21" s="45">
        <f>H21/$I21</f>
        <v>0.80751336600754176</v>
      </c>
      <c r="L21" s="44">
        <f t="shared" si="19"/>
        <v>119431.49317763887</v>
      </c>
      <c r="M21" s="43">
        <f>K21*T7</f>
        <v>501034.92934974702</v>
      </c>
      <c r="N21" s="42">
        <v>118660.07933805052</v>
      </c>
      <c r="O21" s="41">
        <f t="shared" si="20"/>
        <v>829.3853692891588</v>
      </c>
      <c r="P21" s="40">
        <f t="shared" si="21"/>
        <v>2.2209596754899366</v>
      </c>
      <c r="Q21" s="39">
        <v>682.42</v>
      </c>
      <c r="S21" s="49">
        <f>IF(R21="Over",Q21*12*C21,L21)</f>
        <v>119431.49317763887</v>
      </c>
      <c r="T21" s="48">
        <f t="shared" si="28"/>
        <v>619694.34186543641</v>
      </c>
      <c r="U21" s="55">
        <f t="shared" si="26"/>
        <v>0.19248770870389614</v>
      </c>
      <c r="V21" s="54">
        <f t="shared" si="29"/>
        <v>0.83841445314357899</v>
      </c>
      <c r="W21" s="95"/>
      <c r="X21" s="53">
        <f t="shared" si="27"/>
        <v>829.39</v>
      </c>
      <c r="Y21" s="52">
        <f t="shared" si="30"/>
        <v>2.7469000000000001</v>
      </c>
      <c r="Z21" s="111"/>
      <c r="AA21" s="13">
        <v>829.39</v>
      </c>
      <c r="AB21" s="14">
        <v>2.7469000000000001</v>
      </c>
      <c r="AC21" s="13">
        <f t="shared" si="22"/>
        <v>0</v>
      </c>
      <c r="AD21" s="14">
        <f t="shared" si="22"/>
        <v>0</v>
      </c>
    </row>
    <row r="22" spans="2:30" ht="15" x14ac:dyDescent="0.25">
      <c r="B22" s="51" t="s">
        <v>67</v>
      </c>
      <c r="C22" s="135">
        <v>3</v>
      </c>
      <c r="D22" s="48">
        <v>260034.12639671177</v>
      </c>
      <c r="E22" s="91">
        <v>2725.12</v>
      </c>
      <c r="F22" s="50">
        <v>1.6315</v>
      </c>
      <c r="G22" s="49">
        <f t="shared" si="23"/>
        <v>98104.319999999992</v>
      </c>
      <c r="H22" s="48">
        <f t="shared" si="16"/>
        <v>424245.67721623526</v>
      </c>
      <c r="I22" s="47">
        <f t="shared" ref="I22" si="32">G22+H22</f>
        <v>522349.99721623526</v>
      </c>
      <c r="J22" s="46">
        <f>G22/($I22)</f>
        <v>0.18781338283302051</v>
      </c>
      <c r="K22" s="45">
        <f t="shared" si="18"/>
        <v>0.81218661716697949</v>
      </c>
      <c r="L22" s="44">
        <f t="shared" si="19"/>
        <v>119231.97982483194</v>
      </c>
      <c r="M22" s="43">
        <f>K22*T8+N22</f>
        <v>515610.85206664016</v>
      </c>
      <c r="N22" s="42"/>
      <c r="O22" s="41">
        <f t="shared" si="20"/>
        <v>3311.9994395786653</v>
      </c>
      <c r="P22" s="40">
        <f t="shared" si="21"/>
        <v>1.982858400977789</v>
      </c>
      <c r="Q22" s="39">
        <v>2725.12</v>
      </c>
      <c r="S22" s="136">
        <f t="shared" si="25"/>
        <v>119231.97982483194</v>
      </c>
      <c r="T22" s="48">
        <f t="shared" si="28"/>
        <v>515610.8318914721</v>
      </c>
      <c r="U22" s="55">
        <f t="shared" si="26"/>
        <v>0.18781341461280451</v>
      </c>
      <c r="V22" s="54">
        <f t="shared" si="29"/>
        <v>0.81218658538719546</v>
      </c>
      <c r="W22" s="95"/>
      <c r="X22" s="53">
        <f t="shared" si="27"/>
        <v>3312</v>
      </c>
      <c r="Y22" s="52">
        <f t="shared" si="30"/>
        <v>1.9829000000000001</v>
      </c>
      <c r="Z22" s="111"/>
      <c r="AA22" s="13">
        <v>3312</v>
      </c>
      <c r="AB22" s="14">
        <v>1.9829000000000001</v>
      </c>
      <c r="AC22" s="13">
        <f t="shared" si="22"/>
        <v>0</v>
      </c>
      <c r="AD22" s="14">
        <f t="shared" si="22"/>
        <v>0</v>
      </c>
    </row>
    <row r="23" spans="2:30" ht="15" x14ac:dyDescent="0.25">
      <c r="B23" s="51" t="s">
        <v>68</v>
      </c>
      <c r="C23" s="135">
        <v>2919.41159236661</v>
      </c>
      <c r="D23" s="48">
        <v>14179.063705514967</v>
      </c>
      <c r="E23" s="91">
        <v>2.6780000000000004</v>
      </c>
      <c r="F23" s="50">
        <v>11.7399</v>
      </c>
      <c r="G23" s="49">
        <f t="shared" si="23"/>
        <v>93818.210932293383</v>
      </c>
      <c r="H23" s="48">
        <f t="shared" si="16"/>
        <v>166460.78999637518</v>
      </c>
      <c r="I23" s="47">
        <f t="shared" si="24"/>
        <v>260279.00092866857</v>
      </c>
      <c r="J23" s="46">
        <f>G23/($I23)</f>
        <v>0.36045247829272625</v>
      </c>
      <c r="K23" s="45">
        <f t="shared" si="18"/>
        <v>0.63954752170727369</v>
      </c>
      <c r="L23" s="44">
        <f t="shared" si="19"/>
        <v>114022.81808875524</v>
      </c>
      <c r="M23" s="43">
        <f>K23*T9+N23</f>
        <v>202309.63890757709</v>
      </c>
      <c r="N23" s="42"/>
      <c r="O23" s="41">
        <f t="shared" si="20"/>
        <v>3.254731717939638</v>
      </c>
      <c r="P23" s="40">
        <f t="shared" si="21"/>
        <v>14.268194509126047</v>
      </c>
      <c r="Q23" s="39">
        <v>2.6780000000000004</v>
      </c>
      <c r="S23" s="49">
        <f t="shared" si="25"/>
        <v>114022.81808875524</v>
      </c>
      <c r="T23" s="48">
        <f t="shared" si="28"/>
        <v>202475.40489403455</v>
      </c>
      <c r="U23" s="55">
        <f t="shared" si="26"/>
        <v>0.35992845370153681</v>
      </c>
      <c r="V23" s="54">
        <f t="shared" si="29"/>
        <v>0.64007154629846319</v>
      </c>
      <c r="W23" s="95"/>
      <c r="X23" s="53">
        <f t="shared" si="27"/>
        <v>3.25</v>
      </c>
      <c r="Y23" s="52">
        <f>ROUND(T23/D23,4)</f>
        <v>14.2799</v>
      </c>
      <c r="Z23" s="111"/>
      <c r="AA23" s="13">
        <v>3.25</v>
      </c>
      <c r="AB23" s="14">
        <v>14.2799</v>
      </c>
      <c r="AC23" s="13">
        <f t="shared" si="22"/>
        <v>0</v>
      </c>
      <c r="AD23" s="14">
        <f>Y23-AB23</f>
        <v>0</v>
      </c>
    </row>
    <row r="24" spans="2:30" ht="15" x14ac:dyDescent="0.25">
      <c r="B24" s="51" t="s">
        <v>69</v>
      </c>
      <c r="C24" s="135">
        <v>231.19110332107795</v>
      </c>
      <c r="D24" s="48">
        <v>377.84475452316417</v>
      </c>
      <c r="E24" s="91">
        <v>5.63</v>
      </c>
      <c r="F24" s="50">
        <v>42.642600000000002</v>
      </c>
      <c r="G24" s="49">
        <f t="shared" si="23"/>
        <v>15619.270940372026</v>
      </c>
      <c r="H24" s="48">
        <f t="shared" si="16"/>
        <v>16112.282729229481</v>
      </c>
      <c r="I24" s="47">
        <f t="shared" si="24"/>
        <v>31731.553669601504</v>
      </c>
      <c r="J24" s="46">
        <f>G24/($I24)</f>
        <v>0.49223152143776444</v>
      </c>
      <c r="K24" s="45">
        <f t="shared" si="18"/>
        <v>0.50776847856223561</v>
      </c>
      <c r="L24" s="44">
        <f t="shared" si="19"/>
        <v>18013.820405041733</v>
      </c>
      <c r="M24" s="43">
        <f>K24*T10+N24</f>
        <v>18582.414538273089</v>
      </c>
      <c r="N24" s="42"/>
      <c r="O24" s="41">
        <f t="shared" si="20"/>
        <v>6.493120534726402</v>
      </c>
      <c r="P24" s="40">
        <f>M24/D24</f>
        <v>49.180025171247614</v>
      </c>
      <c r="Q24" s="39">
        <v>20.49765899927813</v>
      </c>
      <c r="R24" s="1" t="str">
        <f>IF(O24&gt;Q24,"Over","")</f>
        <v/>
      </c>
      <c r="S24" s="49">
        <f t="shared" si="25"/>
        <v>18013.820405041733</v>
      </c>
      <c r="T24" s="48">
        <f t="shared" si="28"/>
        <v>18591.071816669268</v>
      </c>
      <c r="U24" s="55">
        <f t="shared" si="26"/>
        <v>0.49199495944143912</v>
      </c>
      <c r="V24" s="54">
        <f t="shared" si="29"/>
        <v>0.50800504055856088</v>
      </c>
      <c r="W24" s="95"/>
      <c r="X24" s="53">
        <f t="shared" si="27"/>
        <v>6.49</v>
      </c>
      <c r="Y24" s="52">
        <f t="shared" si="30"/>
        <v>49.2029</v>
      </c>
      <c r="Z24" s="111"/>
      <c r="AA24" s="13">
        <v>6.49</v>
      </c>
      <c r="AB24" s="14">
        <v>49.2029</v>
      </c>
      <c r="AC24" s="13">
        <f t="shared" si="22"/>
        <v>0</v>
      </c>
      <c r="AD24" s="14">
        <f>Y24-AB24</f>
        <v>0</v>
      </c>
    </row>
    <row r="25" spans="2:30" ht="26.25" thickBot="1" x14ac:dyDescent="0.3">
      <c r="B25" s="51" t="s">
        <v>70</v>
      </c>
      <c r="C25" s="136">
        <v>222.86475388975543</v>
      </c>
      <c r="D25" s="48">
        <v>1067791.2606439681</v>
      </c>
      <c r="E25" s="91">
        <v>8.76</v>
      </c>
      <c r="F25" s="50">
        <v>1.8599999999999998E-2</v>
      </c>
      <c r="G25" s="49">
        <f t="shared" si="23"/>
        <v>23427.542928891093</v>
      </c>
      <c r="H25" s="48">
        <f t="shared" si="16"/>
        <v>19860.917447977805</v>
      </c>
      <c r="I25" s="47">
        <f>G25+H25</f>
        <v>43288.460376868898</v>
      </c>
      <c r="J25" s="46">
        <f>G25/($I25)</f>
        <v>0.54119603064953437</v>
      </c>
      <c r="K25" s="45">
        <f>H25/$I25</f>
        <v>0.45880396935046563</v>
      </c>
      <c r="L25" s="44">
        <f>J25*T11</f>
        <v>28472.877910401159</v>
      </c>
      <c r="M25" s="43">
        <f>K25*T11+N25</f>
        <v>24138.147111767776</v>
      </c>
      <c r="N25" s="42"/>
      <c r="O25" s="41">
        <f>L25/C25/12</f>
        <v>10.646545873469464</v>
      </c>
      <c r="P25" s="40">
        <f t="shared" si="21"/>
        <v>2.2605679594352963E-2</v>
      </c>
      <c r="Q25" s="39">
        <v>16.358426041394384</v>
      </c>
      <c r="R25" s="1" t="str">
        <f>IF(O25&gt;Q25,"Over","")</f>
        <v/>
      </c>
      <c r="S25" s="137">
        <f t="shared" si="25"/>
        <v>28472.877910401159</v>
      </c>
      <c r="T25" s="38">
        <f t="shared" si="28"/>
        <v>24128.90947505819</v>
      </c>
      <c r="U25" s="37">
        <f t="shared" si="26"/>
        <v>0.54137161431675418</v>
      </c>
      <c r="V25" s="36">
        <f t="shared" si="29"/>
        <v>0.45862838568324582</v>
      </c>
      <c r="W25" s="35"/>
      <c r="X25" s="34">
        <f t="shared" si="27"/>
        <v>10.65</v>
      </c>
      <c r="Y25" s="33">
        <f t="shared" si="30"/>
        <v>2.2599999999999999E-2</v>
      </c>
      <c r="Z25" s="111"/>
      <c r="AA25" s="7">
        <v>10.65</v>
      </c>
      <c r="AB25" s="8">
        <v>2.2599999999999999E-2</v>
      </c>
      <c r="AC25" s="7">
        <f t="shared" si="22"/>
        <v>0</v>
      </c>
      <c r="AD25" s="8">
        <f t="shared" si="22"/>
        <v>0</v>
      </c>
    </row>
    <row r="26" spans="2:30" ht="13.5" thickBot="1" x14ac:dyDescent="0.25">
      <c r="C26" s="31">
        <f>SUM(C18:C25)</f>
        <v>46809.761348437176</v>
      </c>
      <c r="D26" s="30">
        <f>SUM(D18:D25)</f>
        <v>443324380.12927294</v>
      </c>
      <c r="E26" s="30"/>
      <c r="F26" s="32"/>
      <c r="G26" s="31">
        <f>SUM(G18:G25)</f>
        <v>15720352.125047298</v>
      </c>
      <c r="H26" s="30">
        <f>SUM(H18:H25)</f>
        <v>4692378.18892908</v>
      </c>
      <c r="I26" s="29">
        <f>SUM(I18:I25)</f>
        <v>20412730.313976381</v>
      </c>
      <c r="J26" s="28">
        <f>G26/$I26</f>
        <v>0.77012491142763684</v>
      </c>
      <c r="K26" s="27">
        <f t="shared" ref="K26" si="33">H26/$I26</f>
        <v>0.22987508857236302</v>
      </c>
      <c r="L26" s="26"/>
      <c r="M26" s="24"/>
      <c r="N26" s="25"/>
      <c r="O26" s="24"/>
      <c r="P26" s="23"/>
      <c r="Q26" s="22"/>
      <c r="AC26" s="2"/>
    </row>
    <row r="27" spans="2:30" ht="13.5" thickBot="1" x14ac:dyDescent="0.25">
      <c r="P27" s="21"/>
    </row>
    <row r="28" spans="2:30" ht="15" customHeight="1" x14ac:dyDescent="0.2">
      <c r="B28" s="20"/>
      <c r="C28" s="153" t="s">
        <v>4</v>
      </c>
      <c r="D28" s="154"/>
      <c r="E28" s="153" t="s">
        <v>3</v>
      </c>
      <c r="F28" s="155"/>
      <c r="G28" s="153" t="s">
        <v>2</v>
      </c>
      <c r="H28" s="154"/>
      <c r="J28" s="156" t="s">
        <v>51</v>
      </c>
      <c r="K28" s="157"/>
      <c r="L28" s="158" t="s">
        <v>50</v>
      </c>
      <c r="N28" s="121"/>
      <c r="O28" s="122"/>
      <c r="P28" s="122"/>
      <c r="Q28" s="122"/>
      <c r="R28" s="122"/>
      <c r="S28" s="150" t="s">
        <v>59</v>
      </c>
    </row>
    <row r="29" spans="2:30" x14ac:dyDescent="0.2">
      <c r="B29" s="15"/>
      <c r="C29" s="18" t="s">
        <v>1</v>
      </c>
      <c r="D29" s="17" t="s">
        <v>0</v>
      </c>
      <c r="E29" s="18" t="s">
        <v>1</v>
      </c>
      <c r="F29" s="19" t="s">
        <v>0</v>
      </c>
      <c r="G29" s="18" t="s">
        <v>1</v>
      </c>
      <c r="H29" s="17" t="s">
        <v>0</v>
      </c>
      <c r="J29" s="99" t="s">
        <v>48</v>
      </c>
      <c r="K29" s="97" t="s">
        <v>49</v>
      </c>
      <c r="L29" s="159"/>
      <c r="N29" s="85"/>
      <c r="O29" s="95"/>
      <c r="P29" s="95" t="s">
        <v>56</v>
      </c>
      <c r="Q29" s="95" t="s">
        <v>57</v>
      </c>
      <c r="R29" s="95" t="s">
        <v>58</v>
      </c>
      <c r="S29" s="160"/>
    </row>
    <row r="30" spans="2:30" x14ac:dyDescent="0.2">
      <c r="B30" s="15" t="str">
        <f t="shared" ref="B30:B37" si="34">B18</f>
        <v>Residential</v>
      </c>
      <c r="C30" s="13">
        <f t="shared" ref="C30:D37" si="35">E18</f>
        <v>29.88</v>
      </c>
      <c r="D30" s="16">
        <f t="shared" si="35"/>
        <v>0</v>
      </c>
      <c r="E30" s="13">
        <f t="shared" ref="E30:F37" si="36">X18</f>
        <v>36.31</v>
      </c>
      <c r="F30" s="12">
        <f t="shared" si="36"/>
        <v>0</v>
      </c>
      <c r="G30" s="11">
        <f t="shared" ref="G30:H37" si="37">E30/C30-1</f>
        <v>0.21519410977242304</v>
      </c>
      <c r="H30" s="10"/>
      <c r="J30" s="100"/>
      <c r="K30" s="96"/>
      <c r="L30" s="101"/>
      <c r="M30" s="3"/>
      <c r="N30" s="123" t="s">
        <v>54</v>
      </c>
      <c r="O30" s="112" t="s">
        <v>52</v>
      </c>
      <c r="P30" s="113">
        <f>N20/0.6</f>
        <v>71345.045927492392</v>
      </c>
      <c r="Q30" s="114">
        <f>P30/D20</f>
        <v>0.1200964746086699</v>
      </c>
      <c r="R30" s="115">
        <f>L32</f>
        <v>0.25761752756819511</v>
      </c>
      <c r="S30" s="124">
        <f>Q30*R30</f>
        <v>3.0938956858342064E-2</v>
      </c>
    </row>
    <row r="31" spans="2:30" x14ac:dyDescent="0.2">
      <c r="B31" s="15" t="str">
        <f t="shared" si="34"/>
        <v>GS &lt;50</v>
      </c>
      <c r="C31" s="13">
        <f t="shared" si="35"/>
        <v>18.38</v>
      </c>
      <c r="D31" s="14">
        <f t="shared" si="35"/>
        <v>1.9400000000000001E-2</v>
      </c>
      <c r="E31" s="13">
        <f t="shared" si="36"/>
        <v>22.34</v>
      </c>
      <c r="F31" s="12">
        <f t="shared" si="36"/>
        <v>2.3599999999999999E-2</v>
      </c>
      <c r="G31" s="11">
        <f t="shared" si="37"/>
        <v>0.21545157780195878</v>
      </c>
      <c r="H31" s="10">
        <f t="shared" si="37"/>
        <v>0.21649484536082464</v>
      </c>
      <c r="J31" s="100"/>
      <c r="K31" s="96"/>
      <c r="L31" s="101"/>
      <c r="M31" s="3"/>
      <c r="N31" s="85"/>
      <c r="O31" s="95" t="s">
        <v>53</v>
      </c>
      <c r="P31" s="116">
        <f>D20-P30</f>
        <v>522719.40234184853</v>
      </c>
      <c r="Q31" s="117">
        <f>P31/D20</f>
        <v>0.8799035253913301</v>
      </c>
      <c r="R31" s="118">
        <f>H32</f>
        <v>0.21157054337464265</v>
      </c>
      <c r="S31" s="125">
        <f>Q31*R31</f>
        <v>0.18616166698430739</v>
      </c>
    </row>
    <row r="32" spans="2:30" ht="15" x14ac:dyDescent="0.25">
      <c r="B32" s="15" t="str">
        <f t="shared" si="34"/>
        <v>GS 50 to 999 kW</v>
      </c>
      <c r="C32" s="13">
        <f t="shared" si="35"/>
        <v>86.74</v>
      </c>
      <c r="D32" s="14">
        <f t="shared" si="35"/>
        <v>3.3567999999999998</v>
      </c>
      <c r="E32" s="13">
        <f t="shared" si="36"/>
        <v>105.49</v>
      </c>
      <c r="F32" s="12">
        <f t="shared" si="36"/>
        <v>4.0670000000000002</v>
      </c>
      <c r="G32" s="11">
        <f t="shared" si="37"/>
        <v>0.21616324648374463</v>
      </c>
      <c r="H32" s="10">
        <f t="shared" si="37"/>
        <v>0.21157054337464265</v>
      </c>
      <c r="J32" s="102">
        <f>D32-0.6</f>
        <v>2.7567999999999997</v>
      </c>
      <c r="K32" s="98">
        <f>F32-0.6</f>
        <v>3.4670000000000001</v>
      </c>
      <c r="L32" s="103">
        <f>K32/J32-1</f>
        <v>0.25761752756819511</v>
      </c>
      <c r="M32" s="3"/>
      <c r="N32" s="99"/>
      <c r="O32" s="97"/>
      <c r="P32" s="119"/>
      <c r="Q32" s="120"/>
      <c r="R32" s="97"/>
      <c r="S32" s="126">
        <f>S30+S31</f>
        <v>0.21710062384264944</v>
      </c>
    </row>
    <row r="33" spans="2:19" x14ac:dyDescent="0.2">
      <c r="B33" s="15" t="str">
        <f t="shared" si="34"/>
        <v>GS 1,000 to 4,999 kW</v>
      </c>
      <c r="C33" s="13">
        <f t="shared" si="35"/>
        <v>682.42</v>
      </c>
      <c r="D33" s="14">
        <f t="shared" si="35"/>
        <v>2.3534000000000002</v>
      </c>
      <c r="E33" s="13">
        <f t="shared" si="36"/>
        <v>829.39</v>
      </c>
      <c r="F33" s="12">
        <f t="shared" si="36"/>
        <v>2.7469000000000001</v>
      </c>
      <c r="G33" s="11">
        <f>E33/C33-1</f>
        <v>0.21536590369567143</v>
      </c>
      <c r="H33" s="10">
        <f>F33/D33-1</f>
        <v>0.1672048950454661</v>
      </c>
      <c r="J33" s="102">
        <f>D33-0.6</f>
        <v>1.7534000000000001</v>
      </c>
      <c r="K33" s="98">
        <f>F33-0.6</f>
        <v>2.1469</v>
      </c>
      <c r="L33" s="103">
        <f>K33/J33-1</f>
        <v>0.22442112467206576</v>
      </c>
      <c r="M33" s="3"/>
      <c r="N33" s="85"/>
      <c r="O33" s="95"/>
      <c r="P33" s="95"/>
      <c r="Q33" s="95"/>
      <c r="R33" s="95"/>
      <c r="S33" s="84"/>
    </row>
    <row r="34" spans="2:19" x14ac:dyDescent="0.2">
      <c r="B34" s="15" t="str">
        <f t="shared" si="34"/>
        <v>Large Use &gt;5MW</v>
      </c>
      <c r="C34" s="13">
        <f t="shared" si="35"/>
        <v>2725.12</v>
      </c>
      <c r="D34" s="14">
        <f t="shared" si="35"/>
        <v>1.6315</v>
      </c>
      <c r="E34" s="13">
        <f t="shared" si="36"/>
        <v>3312</v>
      </c>
      <c r="F34" s="12">
        <f t="shared" si="36"/>
        <v>1.9829000000000001</v>
      </c>
      <c r="G34" s="11">
        <f t="shared" si="37"/>
        <v>0.21535932362611554</v>
      </c>
      <c r="H34" s="10">
        <f t="shared" si="37"/>
        <v>0.21538461538461551</v>
      </c>
      <c r="J34" s="100"/>
      <c r="K34" s="96"/>
      <c r="L34" s="101"/>
      <c r="M34" s="3"/>
      <c r="N34" s="123" t="s">
        <v>55</v>
      </c>
      <c r="O34" s="112" t="s">
        <v>52</v>
      </c>
      <c r="P34" s="113">
        <f>N21/0.6</f>
        <v>197766.79889675087</v>
      </c>
      <c r="Q34" s="114">
        <f>P34/D21</f>
        <v>0.87664963013747443</v>
      </c>
      <c r="R34" s="115">
        <f>L33</f>
        <v>0.22442112467206576</v>
      </c>
      <c r="S34" s="124">
        <f>Q34*R34</f>
        <v>0.1967386959388025</v>
      </c>
    </row>
    <row r="35" spans="2:19" x14ac:dyDescent="0.2">
      <c r="B35" s="15" t="str">
        <f t="shared" si="34"/>
        <v>Street Light</v>
      </c>
      <c r="C35" s="13">
        <f t="shared" si="35"/>
        <v>2.6780000000000004</v>
      </c>
      <c r="D35" s="14">
        <f t="shared" si="35"/>
        <v>11.7399</v>
      </c>
      <c r="E35" s="13">
        <f t="shared" si="36"/>
        <v>3.25</v>
      </c>
      <c r="F35" s="12">
        <f t="shared" si="36"/>
        <v>14.2799</v>
      </c>
      <c r="G35" s="11">
        <f t="shared" si="37"/>
        <v>0.21359223300970864</v>
      </c>
      <c r="H35" s="10">
        <f t="shared" si="37"/>
        <v>0.21635618702033232</v>
      </c>
      <c r="J35" s="100"/>
      <c r="K35" s="96"/>
      <c r="L35" s="101"/>
      <c r="M35" s="3"/>
      <c r="N35" s="85"/>
      <c r="O35" s="95" t="s">
        <v>53</v>
      </c>
      <c r="P35" s="116">
        <f>D21-P34</f>
        <v>27827.089582660759</v>
      </c>
      <c r="Q35" s="117">
        <f>P35/D21</f>
        <v>0.12335036986252552</v>
      </c>
      <c r="R35" s="118">
        <f>H33</f>
        <v>0.1672048950454661</v>
      </c>
      <c r="S35" s="125">
        <f>Q35*R35</f>
        <v>2.0624785646683005E-2</v>
      </c>
    </row>
    <row r="36" spans="2:19" ht="15.75" thickBot="1" x14ac:dyDescent="0.3">
      <c r="B36" s="15" t="str">
        <f t="shared" si="34"/>
        <v>Sentinel</v>
      </c>
      <c r="C36" s="13">
        <f t="shared" si="35"/>
        <v>5.63</v>
      </c>
      <c r="D36" s="14">
        <f t="shared" si="35"/>
        <v>42.642600000000002</v>
      </c>
      <c r="E36" s="13">
        <f t="shared" si="36"/>
        <v>6.49</v>
      </c>
      <c r="F36" s="12">
        <f t="shared" si="36"/>
        <v>49.2029</v>
      </c>
      <c r="G36" s="11">
        <f t="shared" si="37"/>
        <v>0.15275310834813505</v>
      </c>
      <c r="H36" s="10">
        <f t="shared" si="37"/>
        <v>0.15384380877338621</v>
      </c>
      <c r="J36" s="100"/>
      <c r="K36" s="96"/>
      <c r="L36" s="101"/>
      <c r="M36" s="3"/>
      <c r="N36" s="127"/>
      <c r="O36" s="35"/>
      <c r="P36" s="128"/>
      <c r="Q36" s="128"/>
      <c r="R36" s="35"/>
      <c r="S36" s="129">
        <f>S34+S35</f>
        <v>0.21736348158548552</v>
      </c>
    </row>
    <row r="37" spans="2:19" ht="13.5" thickBot="1" x14ac:dyDescent="0.25">
      <c r="B37" s="9" t="str">
        <f t="shared" si="34"/>
        <v>Unmetered Scattered Load</v>
      </c>
      <c r="C37" s="7">
        <f t="shared" si="35"/>
        <v>8.76</v>
      </c>
      <c r="D37" s="8">
        <f t="shared" si="35"/>
        <v>1.8599999999999998E-2</v>
      </c>
      <c r="E37" s="7">
        <f t="shared" si="36"/>
        <v>10.65</v>
      </c>
      <c r="F37" s="6">
        <f t="shared" si="36"/>
        <v>2.2599999999999999E-2</v>
      </c>
      <c r="G37" s="5">
        <f t="shared" si="37"/>
        <v>0.21575342465753433</v>
      </c>
      <c r="H37" s="4">
        <f t="shared" si="37"/>
        <v>0.21505376344086025</v>
      </c>
      <c r="J37" s="104"/>
      <c r="K37" s="105"/>
      <c r="L37" s="106"/>
      <c r="M37" s="3"/>
    </row>
  </sheetData>
  <mergeCells count="16">
    <mergeCell ref="AC2:AF2"/>
    <mergeCell ref="AA16:AB16"/>
    <mergeCell ref="AC16:AD16"/>
    <mergeCell ref="C28:D28"/>
    <mergeCell ref="E28:F28"/>
    <mergeCell ref="G28:H28"/>
    <mergeCell ref="J28:K28"/>
    <mergeCell ref="L28:L29"/>
    <mergeCell ref="S28:S29"/>
    <mergeCell ref="J2:K2"/>
    <mergeCell ref="M2:N2"/>
    <mergeCell ref="P2:Q2"/>
    <mergeCell ref="X2:Y2"/>
    <mergeCell ref="C16:K16"/>
    <mergeCell ref="L16:Q16"/>
    <mergeCell ref="S16:Y16"/>
  </mergeCells>
  <conditionalFormatting sqref="J4:J11">
    <cfRule type="cellIs" dxfId="3" priority="1" operator="equal">
      <formula>$K$14</formula>
    </cfRule>
    <cfRule type="cellIs" dxfId="2" priority="2" operator="equal">
      <formula>$K$13</formula>
    </cfRule>
  </conditionalFormatting>
  <conditionalFormatting sqref="P4:P11 M4:M11">
    <cfRule type="cellIs" dxfId="1" priority="3" operator="equal">
      <formula>$N$14</formula>
    </cfRule>
    <cfRule type="cellIs" dxfId="0" priority="4" operator="equal">
      <formula>$N$13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n H h H V A 2 e u + y k A A A A 9 g A A A B I A H A B D b 2 5 m a W c v U G F j a 2 F n Z S 5 4 b W w g o h g A K K A U A A A A A A A A A A A A A A A A A A A A A A A A A A A A h Y 9 B D o I w F E S v Q r q n L W i M I Z 8 S w 1 Y S E x P j t q k V G u F j a L H c z Y V H 8 g p i F H X n c t 6 8 x c z 9 e o N s a O r g o j t r W k x J R D k J N K r 2 Y L B M S e + O 4 Z J k A j Z S n W S p g 1 F G m w z 2 k J L K u X P C m P e e + h l t u 5 L F n E d s X 6 y 3 q t K N J B / Z / J d D g 9 Z J V J o I 2 L 3 G i J h G n N P F f N w E b I J Q G P w K 8 d g 9 2 x 8 I e V + 7 v t N C Y 5 i v g E 0 R 2 P u D e A B Q S w M E F A A C A A g A n H h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4 R 1 Q o i k e 4 D g A A A B E A A A A T A B w A R m 9 y b X V s Y X M v U 2 V j d G l v b j E u b S C i G A A o o B Q A A A A A A A A A A A A A A A A A A A A A A A A A A A A r T k 0 u y c z P U w i G 0 I b W A F B L A Q I t A B Q A A g A I A J x 4 R 1 Q N n r v s p A A A A P Y A A A A S A A A A A A A A A A A A A A A A A A A A A A B D b 2 5 m a W c v U G F j a 2 F n Z S 5 4 b W x Q S w E C L Q A U A A I A C A C c e E d U D 8 r p q 6 Q A A A D p A A A A E w A A A A A A A A A A A A A A A A D w A A A A W 0 N v b n R l b n R f V H l w Z X N d L n h t b F B L A Q I t A B Q A A g A I A J x 4 R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0 g d l P t i X J Q 7 v v n v o L V f Y z A A A A A A I A A A A A A A N m A A D A A A A A E A A A A G D + V I a Q O D Y p u b F 3 J 7 x F l E w A A A A A B I A A A K A A A A A Q A A A A e i M x + c C R v H P G G U r L x B h n 9 1 A A A A A l F J 7 F 5 / v / h Z b K N 3 R K 8 T s g t 7 3 F i i Q d c N G 8 C h n o 3 j Q h T p N 9 s B X g l W G B O S W Y h Q f n Q 1 8 t x L X Z p R E i s a o x p s L l h B v a 5 1 + J U 5 M Y Z b 5 E I a + K 1 b p J d x Q A A A C o s 2 p / s B / t x p S 8 3 i o E / 1 + r V c u 7 x A = = < / D a t a M a s h u p > 
</file>

<file path=customXml/itemProps1.xml><?xml version="1.0" encoding="utf-8"?>
<ds:datastoreItem xmlns:ds="http://schemas.openxmlformats.org/officeDocument/2006/customXml" ds:itemID="{F7C3AEA5-CAB9-48C8-BE67-0147CF3BC96A}">
  <ds:schemaRefs>
    <ds:schemaRef ds:uri="033d26b1-57eb-4b60-9c03-6b92d80595e4"/>
    <ds:schemaRef ds:uri="0f88fa1a-2dfd-460a-bd62-5264ee380bc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DC42BD-DBB1-46FB-BF14-B14ACAEB9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D0E8E-B510-4822-8EA5-DD84396C19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D15B8B-D161-4B52-B441-C135FC893A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2022-02-04T03:07:07Z</dcterms:created>
  <dcterms:modified xsi:type="dcterms:W3CDTF">2022-07-25T16:07:45Z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0x0101005B227697F19F8B4DA3D5C2B74C50E32F</vt:lpwstr>
  </property>
</Properties>
</file>