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8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9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3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4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iltonhydro.sharepoint.com/sites/2023ratecase/Shared Documents/1. 2023_CoS_Main/6. Interrogatories/4. OEB Interrogatories/1-Staff-1-Updates to Rate Application/"/>
    </mc:Choice>
  </mc:AlternateContent>
  <xr:revisionPtr revIDLastSave="3" documentId="13_ncr:1_{23B61F0B-8D6D-4771-AC37-726825B53985}" xr6:coauthVersionLast="47" xr6:coauthVersionMax="47" xr10:uidLastSave="{6E745F72-0CCB-4F56-8A59-A747472A8F57}"/>
  <bookViews>
    <workbookView xWindow="-120" yWindow="-120" windowWidth="29040" windowHeight="15840" tabRatio="900" firstSheet="9" activeTab="11" xr2:uid="{00000000-000D-0000-FFFF-FFFF00000000}"/>
  </bookViews>
  <sheets>
    <sheet name="Data" sheetId="24" r:id="rId1"/>
    <sheet name="Historic CDM" sheetId="42" r:id="rId2"/>
    <sheet name="Economic" sheetId="33" r:id="rId3"/>
    <sheet name="Weather" sheetId="32" r:id="rId4"/>
    <sheet name="Residential" sheetId="20" r:id="rId5"/>
    <sheet name="GS &lt; 50 kW" sheetId="37" r:id="rId6"/>
    <sheet name="GS &gt; 50 kW" sheetId="22" r:id="rId7"/>
    <sheet name="Rate Class Energy Model" sheetId="9" r:id="rId8"/>
    <sheet name="CDM Forecast" sheetId="54" r:id="rId9"/>
    <sheet name="Rate Class Customer Model" sheetId="17" r:id="rId10"/>
    <sheet name="Rate Class Load Model" sheetId="18" r:id="rId11"/>
    <sheet name="Summary" sheetId="11" r:id="rId12"/>
    <sheet name="Residential (WN)" sheetId="44" r:id="rId13"/>
    <sheet name="GS &lt; 50 kW (WN)" sheetId="45" r:id="rId14"/>
    <sheet name="GS &gt; 50 kW (WN)" sheetId="46" r:id="rId15"/>
    <sheet name="Residential (WN) Trend" sheetId="57" r:id="rId16"/>
    <sheet name="GS &lt; 50 kW (WN) Trend" sheetId="58" r:id="rId17"/>
    <sheet name="GS &gt; 50 kW (WN) Trend" sheetId="59" r:id="rId18"/>
    <sheet name="Demand Data" sheetId="49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CAP1000">#REF!</definedName>
    <definedName name="__OP1000">#REF!</definedName>
    <definedName name="_110">#REF!</definedName>
    <definedName name="_110INPT">#REF!</definedName>
    <definedName name="_115">#REF!</definedName>
    <definedName name="_115INPT">#REF!</definedName>
    <definedName name="_120">#REF!</definedName>
    <definedName name="_140">#REF!</definedName>
    <definedName name="_140INPT">#REF!</definedName>
    <definedName name="_CAP1000">#REF!</definedName>
    <definedName name="_Fill" hidden="1">'[1]Old MEA Statistics'!$B$250</definedName>
    <definedName name="_OP1000">#REF!</definedName>
    <definedName name="_Order1" hidden="1">255</definedName>
    <definedName name="_Order2" hidden="1">0</definedName>
    <definedName name="_Sort" localSheetId="2" hidden="1">[2]Sheet1!$G$40:$K$40</definedName>
    <definedName name="_Sort" localSheetId="3" hidden="1">[2]Sheet1!$G$40:$K$40</definedName>
    <definedName name="_Sort" hidden="1">[3]Sheet1!$G$40:$K$40</definedName>
    <definedName name="ALL">#REF!</definedName>
    <definedName name="ApprovedYr">'[4]Z1.ModelVariables'!$C$12</definedName>
    <definedName name="CAfile">[5]Refs!$B$2</definedName>
    <definedName name="CAPCOSTS">#REF!</definedName>
    <definedName name="CAPITAL">#REF!</definedName>
    <definedName name="CapitalExpListing">#REF!</definedName>
    <definedName name="CArevReq">[5]Refs!$B$6</definedName>
    <definedName name="CASHFLOW">#REF!</definedName>
    <definedName name="cc">#REF!</definedName>
    <definedName name="ClassRange1">[5]Refs!$B$3</definedName>
    <definedName name="ClassRange2">[5]Refs!$B$4</definedName>
    <definedName name="contactf">#REF!</definedName>
    <definedName name="_xlnm.Criteria">#REF!</definedName>
    <definedName name="CRLF">'[4]Z1.ModelVariables'!$C$10</definedName>
    <definedName name="_xlnm.Database">#REF!</definedName>
    <definedName name="DaysInPreviousYear">'[6]Distribution Revenue by Source'!$B$22</definedName>
    <definedName name="DaysInYear">'[6]Distribution Revenue by Source'!$B$21</definedName>
    <definedName name="DEBTREPAY">#REF!</definedName>
    <definedName name="DeptDiv">#REF!</definedName>
    <definedName name="ExpenseAccountListing">#REF!</definedName>
    <definedName name="_xlnm.Extract">#REF!</definedName>
    <definedName name="FakeBlank">'[4]Z1.ModelVariables'!$C$14</definedName>
    <definedName name="FolderPath">[5]Menu!$C$8</definedName>
    <definedName name="histdate">[7]Financials!$E$76</definedName>
    <definedName name="Incr2000">#REF!</definedName>
    <definedName name="INTERIM">#REF!</definedName>
    <definedName name="LIMIT">#REF!</definedName>
    <definedName name="man_beg_bud">#REF!</definedName>
    <definedName name="man_end_bud">#REF!</definedName>
    <definedName name="man12ACT">#REF!</definedName>
    <definedName name="MANBUD">#REF!</definedName>
    <definedName name="manCYACT">#REF!</definedName>
    <definedName name="manCYBUD">#REF!</definedName>
    <definedName name="manCYF">#REF!</definedName>
    <definedName name="MANEND">#REF!</definedName>
    <definedName name="manNYbud">#REF!</definedName>
    <definedName name="manpower_costs">#REF!</definedName>
    <definedName name="manPYACT">#REF!</definedName>
    <definedName name="MANSTART">#REF!</definedName>
    <definedName name="mat_beg_bud">#REF!</definedName>
    <definedName name="mat_end_bud">#REF!</definedName>
    <definedName name="mat12ACT">#REF!</definedName>
    <definedName name="MATBUD">#REF!</definedName>
    <definedName name="matCYACT">#REF!</definedName>
    <definedName name="matCYBUD">#REF!</definedName>
    <definedName name="matCYF">#REF!</definedName>
    <definedName name="MATEND">#REF!</definedName>
    <definedName name="material_costs">#REF!</definedName>
    <definedName name="matNYbud">#REF!</definedName>
    <definedName name="matPYACT">#REF!</definedName>
    <definedName name="MATSTART">#REF!</definedName>
    <definedName name="mea">#REF!</definedName>
    <definedName name="MEABAL">#REF!</definedName>
    <definedName name="MEACASH">#REF!</definedName>
    <definedName name="MEAEQITY">#REF!</definedName>
    <definedName name="MEAOP">#REF!</definedName>
    <definedName name="MofF">#REF!</definedName>
    <definedName name="NewRevReq">[5]Refs!$B$8</definedName>
    <definedName name="NOTES">#REF!</definedName>
    <definedName name="OPERATING">#REF!</definedName>
    <definedName name="oth_beg_bud">#REF!</definedName>
    <definedName name="oth_end_bud">#REF!</definedName>
    <definedName name="oth12ACT">#REF!</definedName>
    <definedName name="othCYACT">#REF!</definedName>
    <definedName name="othCYBUD">#REF!</definedName>
    <definedName name="othCYF">#REF!</definedName>
    <definedName name="OTHEND">#REF!</definedName>
    <definedName name="other_costs">#REF!</definedName>
    <definedName name="OTHERBUD">#REF!</definedName>
    <definedName name="othNYbud">#REF!</definedName>
    <definedName name="othPYACT">#REF!</definedName>
    <definedName name="OTHSTART">#REF!</definedName>
    <definedName name="PAGE11" localSheetId="2">#REF!</definedName>
    <definedName name="PAGE11" localSheetId="3">#REF!</definedName>
    <definedName name="PAGE11">#REF!</definedName>
    <definedName name="PAGE2" localSheetId="2">[2]Sheet1!$A$1:$I$40</definedName>
    <definedName name="PAGE2" localSheetId="3">[2]Sheet1!$A$1:$I$40</definedName>
    <definedName name="PAGE2">[3]Sheet1!$A$1:$I$40</definedName>
    <definedName name="PAGE3">#REF!</definedName>
    <definedName name="PAGE4" localSheetId="2">#REF!</definedName>
    <definedName name="PAGE4" localSheetId="3">#REF!</definedName>
    <definedName name="PAGE4">#REF!</definedName>
    <definedName name="PAGE7" localSheetId="2">#REF!</definedName>
    <definedName name="PAGE7" localSheetId="3">#REF!</definedName>
    <definedName name="PAGE7">#REF!</definedName>
    <definedName name="PAGE9" localSheetId="2">#REF!</definedName>
    <definedName name="PAGE9" localSheetId="3">#REF!</definedName>
    <definedName name="PAGE9">#REF!</definedName>
    <definedName name="PageOne">#REF!</definedName>
    <definedName name="PR">#REF!</definedName>
    <definedName name="_xlnm.Print_Area" localSheetId="5">'GS &lt; 50 kW'!$Q$144:$S$179</definedName>
    <definedName name="_xlnm.Print_Area" localSheetId="13">'GS &lt; 50 kW (WN)'!$S$144:$U$179</definedName>
    <definedName name="_xlnm.Print_Area" localSheetId="16">'GS &lt; 50 kW (WN) Trend'!$S$144:$U$179</definedName>
    <definedName name="_xlnm.Print_Area" localSheetId="6">'GS &gt; 50 kW'!$Q$159:$S$179</definedName>
    <definedName name="_xlnm.Print_Area" localSheetId="14">'GS &gt; 50 kW (WN)'!$S$159:$U$179</definedName>
    <definedName name="_xlnm.Print_Area" localSheetId="17">'GS &gt; 50 kW (WN) Trend'!$S$159:$U$179</definedName>
    <definedName name="_xlnm.Print_Area" localSheetId="9">'Rate Class Customer Model'!$A$1:$AC$86</definedName>
    <definedName name="_xlnm.Print_Area" localSheetId="7">'Rate Class Energy Model'!$A$1:$N$43</definedName>
    <definedName name="_xlnm.Print_Area" localSheetId="10">'Rate Class Load Model'!$A$1:$H$37</definedName>
    <definedName name="_xlnm.Print_Area" localSheetId="4">Residential!$S$144:$U$178</definedName>
    <definedName name="_xlnm.Print_Area" localSheetId="12">'Residential (WN)'!$U$144:$W$178</definedName>
    <definedName name="_xlnm.Print_Area" localSheetId="15">'Residential (WN) Trend'!$U$144:$W$178</definedName>
    <definedName name="_xlnm.Print_Area" localSheetId="11">Summary!$A$1:$O$62</definedName>
    <definedName name="Print_Area_MI">#REF!</definedName>
    <definedName name="print_end">#REF!</definedName>
    <definedName name="PRIOR">#REF!</definedName>
    <definedName name="Ratebase">'[6]Distribution Revenue by Source'!$C$25</definedName>
    <definedName name="Res_X" localSheetId="5">'GS &lt; 50 kW'!$G$2:$K$110</definedName>
    <definedName name="Res_X" localSheetId="13">'GS &lt; 50 kW (WN)'!$G$2:$M$110</definedName>
    <definedName name="Res_X" localSheetId="16">'GS &lt; 50 kW (WN) Trend'!$G$2:$M$110</definedName>
    <definedName name="Res_X">Residential!$G$2:$I$110</definedName>
    <definedName name="res_y" localSheetId="5">'GS &lt; 50 kW'!$F$3:$F$110</definedName>
    <definedName name="res_y" localSheetId="13">'GS &lt; 50 kW (WN)'!$F$3:$F$110</definedName>
    <definedName name="res_y" localSheetId="16">'GS &lt; 50 kW (WN) Trend'!$F$3:$F$110</definedName>
    <definedName name="res_y">Residential!$F$3:$F$110</definedName>
    <definedName name="RevReqLookupKey">[5]Refs!$B$5</definedName>
    <definedName name="RevReqRange">[5]Refs!$B$7</definedName>
    <definedName name="RVCASHPR">#REF!</definedName>
    <definedName name="SALBENF">#REF!</definedName>
    <definedName name="salreg">#REF!</definedName>
    <definedName name="SALREGF">#REF!</definedName>
    <definedName name="SOURCEAPP">#REF!</definedName>
    <definedName name="STATS1">#REF!</definedName>
    <definedName name="STATS2">#REF!</definedName>
    <definedName name="Surtax">#REF!</definedName>
    <definedName name="TEMPA">#REF!</definedName>
    <definedName name="TestYr">'[4]A1.Admin'!$C$13</definedName>
    <definedName name="TestYrPL">'[8]Revenue Requirement'!$B$10</definedName>
    <definedName name="total_dept">#REF!</definedName>
    <definedName name="total_manpower">#REF!</definedName>
    <definedName name="total_material">#REF!</definedName>
    <definedName name="total_other">#REF!</definedName>
    <definedName name="total_transportation">#REF!</definedName>
    <definedName name="TOTCAPADDITIONS">#REF!</definedName>
    <definedName name="TRANBUD">#REF!</definedName>
    <definedName name="TRANEND">#REF!</definedName>
    <definedName name="TRANSCAP">#REF!</definedName>
    <definedName name="TRANSFER">#REF!</definedName>
    <definedName name="transportation_costs">#REF!</definedName>
    <definedName name="TRANSTART">#REF!</definedName>
    <definedName name="trn_beg_bud">#REF!</definedName>
    <definedName name="trn_end_bud">#REF!</definedName>
    <definedName name="trn12ACT">#REF!</definedName>
    <definedName name="trnCYACT">#REF!</definedName>
    <definedName name="trnCYBUD">#REF!</definedName>
    <definedName name="trnCYF">#REF!</definedName>
    <definedName name="trnNYbud">#REF!</definedName>
    <definedName name="trnPYACT">#REF!</definedName>
    <definedName name="Utility">[7]Financials!$A$1</definedName>
    <definedName name="utitliy1">[9]Financials!$A$1</definedName>
    <definedName name="WAGBENF">#REF!</definedName>
    <definedName name="wagdob">#REF!</definedName>
    <definedName name="wagdobf">#REF!</definedName>
    <definedName name="wagreg">#REF!</definedName>
    <definedName name="wagregf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5" i="42" l="1"/>
  <c r="M15" i="42"/>
  <c r="D101" i="42"/>
  <c r="E101" i="42"/>
  <c r="F101" i="42"/>
  <c r="G101" i="42"/>
  <c r="D102" i="42"/>
  <c r="E102" i="42"/>
  <c r="F102" i="42"/>
  <c r="G102" i="42"/>
  <c r="C102" i="42"/>
  <c r="C101" i="42"/>
  <c r="D100" i="42"/>
  <c r="E100" i="42"/>
  <c r="F100" i="42"/>
  <c r="G100" i="42"/>
  <c r="C100" i="42"/>
  <c r="B55" i="54"/>
  <c r="B56" i="54"/>
  <c r="B57" i="54"/>
  <c r="I57" i="54" s="1"/>
  <c r="B58" i="54"/>
  <c r="J58" i="54" s="1"/>
  <c r="B59" i="54"/>
  <c r="B60" i="54"/>
  <c r="B61" i="54"/>
  <c r="I61" i="54" s="1"/>
  <c r="B54" i="54"/>
  <c r="K54" i="54" s="1"/>
  <c r="B37" i="54"/>
  <c r="G6" i="54"/>
  <c r="M61" i="54"/>
  <c r="J61" i="54"/>
  <c r="K60" i="54"/>
  <c r="K58" i="54"/>
  <c r="M57" i="54"/>
  <c r="J57" i="54"/>
  <c r="K56" i="54"/>
  <c r="K55" i="54"/>
  <c r="J55" i="54"/>
  <c r="J54" i="54"/>
  <c r="M54" i="54"/>
  <c r="AB40" i="17"/>
  <c r="L57" i="54" l="1"/>
  <c r="M58" i="54"/>
  <c r="L61" i="54"/>
  <c r="L56" i="54"/>
  <c r="L60" i="54"/>
  <c r="I56" i="54"/>
  <c r="I60" i="54"/>
  <c r="M60" i="54"/>
  <c r="L54" i="54"/>
  <c r="I55" i="54"/>
  <c r="M55" i="54"/>
  <c r="J56" i="54"/>
  <c r="K57" i="54"/>
  <c r="L58" i="54"/>
  <c r="J60" i="54"/>
  <c r="K61" i="54"/>
  <c r="N61" i="54" s="1"/>
  <c r="L55" i="54"/>
  <c r="M56" i="54"/>
  <c r="I54" i="54"/>
  <c r="I58" i="54"/>
  <c r="N58" i="54" s="1"/>
  <c r="B66" i="17"/>
  <c r="AB41" i="17"/>
  <c r="AB27" i="17"/>
  <c r="B27" i="17"/>
  <c r="B26" i="17"/>
  <c r="C26" i="17"/>
  <c r="N56" i="54" l="1"/>
  <c r="N54" i="54"/>
  <c r="N60" i="54"/>
  <c r="N55" i="54"/>
  <c r="N57" i="54"/>
  <c r="AB4" i="17"/>
  <c r="AB5" i="17"/>
  <c r="AB6" i="17"/>
  <c r="AB7" i="17"/>
  <c r="AB8" i="17"/>
  <c r="AB9" i="17"/>
  <c r="AB10" i="17"/>
  <c r="AB11" i="17"/>
  <c r="AB12" i="17"/>
  <c r="AB13" i="17"/>
  <c r="AB14" i="17"/>
  <c r="AB15" i="17"/>
  <c r="AB16" i="17"/>
  <c r="AB17" i="17"/>
  <c r="AB18" i="17"/>
  <c r="AB19" i="17"/>
  <c r="AB20" i="17"/>
  <c r="AB21" i="17"/>
  <c r="AB22" i="17"/>
  <c r="AB23" i="17"/>
  <c r="AB24" i="17"/>
  <c r="AB25" i="17"/>
  <c r="AB26" i="17"/>
  <c r="Q33" i="17" l="1"/>
  <c r="Q41" i="17" s="1"/>
  <c r="Q45" i="17"/>
  <c r="L26" i="17"/>
  <c r="B37" i="18"/>
  <c r="X28" i="17"/>
  <c r="U28" i="17"/>
  <c r="R28" i="17"/>
  <c r="O28" i="17"/>
  <c r="L28" i="17"/>
  <c r="I28" i="17"/>
  <c r="F28" i="17"/>
  <c r="C28" i="17"/>
  <c r="F26" i="17"/>
  <c r="C17" i="17"/>
  <c r="I26" i="17"/>
  <c r="H36" i="9" l="1"/>
  <c r="R61" i="17"/>
  <c r="G8" i="54" l="1"/>
  <c r="G7" i="54"/>
  <c r="C39" i="18"/>
  <c r="D39" i="18"/>
  <c r="F37" i="18"/>
  <c r="F41" i="9"/>
  <c r="G41" i="9"/>
  <c r="G17" i="9" s="1"/>
  <c r="F18" i="9"/>
  <c r="T136" i="59" l="1"/>
  <c r="T137" i="59"/>
  <c r="T138" i="59"/>
  <c r="T139" i="59"/>
  <c r="T140" i="59"/>
  <c r="T141" i="59"/>
  <c r="T142" i="59"/>
  <c r="T143" i="59"/>
  <c r="T144" i="59"/>
  <c r="T145" i="59"/>
  <c r="T146" i="59"/>
  <c r="T147" i="59"/>
  <c r="T148" i="59"/>
  <c r="T149" i="59"/>
  <c r="T150" i="59"/>
  <c r="T151" i="59"/>
  <c r="T152" i="59"/>
  <c r="T153" i="59"/>
  <c r="T154" i="59"/>
  <c r="T155" i="59"/>
  <c r="T156" i="59"/>
  <c r="T157" i="59"/>
  <c r="T158" i="59"/>
  <c r="T135" i="59"/>
  <c r="S136" i="58"/>
  <c r="S137" i="58"/>
  <c r="S138" i="58"/>
  <c r="S139" i="58"/>
  <c r="S140" i="58"/>
  <c r="S141" i="58"/>
  <c r="S142" i="58"/>
  <c r="S143" i="58"/>
  <c r="S144" i="58"/>
  <c r="S145" i="58"/>
  <c r="S146" i="58"/>
  <c r="S147" i="58"/>
  <c r="S148" i="58"/>
  <c r="S149" i="58"/>
  <c r="S150" i="58"/>
  <c r="S151" i="58"/>
  <c r="S152" i="58"/>
  <c r="S153" i="58"/>
  <c r="S154" i="58"/>
  <c r="S155" i="58"/>
  <c r="S156" i="58"/>
  <c r="S157" i="58"/>
  <c r="S158" i="58"/>
  <c r="S135" i="58"/>
  <c r="U136" i="57"/>
  <c r="U137" i="57"/>
  <c r="U138" i="57"/>
  <c r="U139" i="57"/>
  <c r="U140" i="57"/>
  <c r="U141" i="57"/>
  <c r="U142" i="57"/>
  <c r="U143" i="57"/>
  <c r="U144" i="57"/>
  <c r="U145" i="57"/>
  <c r="U146" i="57"/>
  <c r="U147" i="57"/>
  <c r="U148" i="57"/>
  <c r="U149" i="57"/>
  <c r="U150" i="57"/>
  <c r="U151" i="57"/>
  <c r="U152" i="57"/>
  <c r="U153" i="57"/>
  <c r="U154" i="57"/>
  <c r="U155" i="57"/>
  <c r="U156" i="57"/>
  <c r="U157" i="57"/>
  <c r="U158" i="57"/>
  <c r="U135" i="57"/>
  <c r="X26" i="17" l="1"/>
  <c r="F60" i="17"/>
  <c r="C122" i="33" l="1"/>
  <c r="A169" i="59"/>
  <c r="A168" i="59"/>
  <c r="M158" i="59"/>
  <c r="K158" i="59"/>
  <c r="C158" i="59"/>
  <c r="B158" i="59"/>
  <c r="M157" i="59"/>
  <c r="C157" i="59"/>
  <c r="B157" i="59"/>
  <c r="M156" i="59"/>
  <c r="K156" i="59"/>
  <c r="C156" i="59"/>
  <c r="B156" i="59"/>
  <c r="M155" i="59"/>
  <c r="C155" i="59"/>
  <c r="B155" i="59"/>
  <c r="M154" i="59"/>
  <c r="C154" i="59"/>
  <c r="B154" i="59"/>
  <c r="M153" i="59"/>
  <c r="C153" i="59"/>
  <c r="B153" i="59"/>
  <c r="M152" i="59"/>
  <c r="K152" i="59"/>
  <c r="C152" i="59"/>
  <c r="B152" i="59"/>
  <c r="M151" i="59"/>
  <c r="C151" i="59"/>
  <c r="B151" i="59"/>
  <c r="M150" i="59"/>
  <c r="C150" i="59"/>
  <c r="B150" i="59"/>
  <c r="M149" i="59"/>
  <c r="C149" i="59"/>
  <c r="B149" i="59"/>
  <c r="M148" i="59"/>
  <c r="K148" i="59"/>
  <c r="C148" i="59"/>
  <c r="B148" i="59"/>
  <c r="M147" i="59"/>
  <c r="C147" i="59"/>
  <c r="B147" i="59"/>
  <c r="M146" i="59"/>
  <c r="K146" i="59"/>
  <c r="C146" i="59"/>
  <c r="B146" i="59"/>
  <c r="M145" i="59"/>
  <c r="C145" i="59"/>
  <c r="B145" i="59"/>
  <c r="M144" i="59"/>
  <c r="C144" i="59"/>
  <c r="B144" i="59"/>
  <c r="M143" i="59"/>
  <c r="C143" i="59"/>
  <c r="B143" i="59"/>
  <c r="M142" i="59"/>
  <c r="C142" i="59"/>
  <c r="B142" i="59"/>
  <c r="M141" i="59"/>
  <c r="C141" i="59"/>
  <c r="B141" i="59"/>
  <c r="M140" i="59"/>
  <c r="C140" i="59"/>
  <c r="B140" i="59"/>
  <c r="M139" i="59"/>
  <c r="C139" i="59"/>
  <c r="B139" i="59"/>
  <c r="M138" i="59"/>
  <c r="C138" i="59"/>
  <c r="B138" i="59"/>
  <c r="M137" i="59"/>
  <c r="C137" i="59"/>
  <c r="B137" i="59"/>
  <c r="M136" i="59"/>
  <c r="C136" i="59"/>
  <c r="B136" i="59"/>
  <c r="M135" i="59"/>
  <c r="L135" i="59"/>
  <c r="C135" i="59"/>
  <c r="B135" i="59"/>
  <c r="N134" i="59"/>
  <c r="M134" i="59"/>
  <c r="L134" i="59"/>
  <c r="K134" i="59"/>
  <c r="D134" i="59"/>
  <c r="C134" i="59"/>
  <c r="B134" i="59"/>
  <c r="N133" i="59"/>
  <c r="M133" i="59"/>
  <c r="L133" i="59"/>
  <c r="K133" i="59"/>
  <c r="D133" i="59"/>
  <c r="C133" i="59"/>
  <c r="B133" i="59"/>
  <c r="N132" i="59"/>
  <c r="M132" i="59"/>
  <c r="L132" i="59"/>
  <c r="K132" i="59"/>
  <c r="D132" i="59"/>
  <c r="C132" i="59"/>
  <c r="B132" i="59"/>
  <c r="N131" i="59"/>
  <c r="M131" i="59"/>
  <c r="L131" i="59"/>
  <c r="K131" i="59"/>
  <c r="D131" i="59"/>
  <c r="C131" i="59"/>
  <c r="B131" i="59"/>
  <c r="N130" i="59"/>
  <c r="M130" i="59"/>
  <c r="L130" i="59"/>
  <c r="K130" i="59"/>
  <c r="D130" i="59"/>
  <c r="C130" i="59"/>
  <c r="B130" i="59"/>
  <c r="N129" i="59"/>
  <c r="M129" i="59"/>
  <c r="L129" i="59"/>
  <c r="K129" i="59"/>
  <c r="D129" i="59"/>
  <c r="C129" i="59"/>
  <c r="B129" i="59"/>
  <c r="N128" i="59"/>
  <c r="M128" i="59"/>
  <c r="L128" i="59"/>
  <c r="K128" i="59"/>
  <c r="D128" i="59"/>
  <c r="C128" i="59"/>
  <c r="B128" i="59"/>
  <c r="N127" i="59"/>
  <c r="M127" i="59"/>
  <c r="L127" i="59"/>
  <c r="K127" i="59"/>
  <c r="D127" i="59"/>
  <c r="C127" i="59"/>
  <c r="B127" i="59"/>
  <c r="N126" i="59"/>
  <c r="M126" i="59"/>
  <c r="L126" i="59"/>
  <c r="K126" i="59"/>
  <c r="D126" i="59"/>
  <c r="C126" i="59"/>
  <c r="B126" i="59"/>
  <c r="N125" i="59"/>
  <c r="M125" i="59"/>
  <c r="L125" i="59"/>
  <c r="K125" i="59"/>
  <c r="D125" i="59"/>
  <c r="C125" i="59"/>
  <c r="B125" i="59"/>
  <c r="N124" i="59"/>
  <c r="M124" i="59"/>
  <c r="L124" i="59"/>
  <c r="K124" i="59"/>
  <c r="D124" i="59"/>
  <c r="C124" i="59"/>
  <c r="B124" i="59"/>
  <c r="N123" i="59"/>
  <c r="M123" i="59"/>
  <c r="L123" i="59"/>
  <c r="K123" i="59"/>
  <c r="D123" i="59"/>
  <c r="C123" i="59"/>
  <c r="B123" i="59"/>
  <c r="N122" i="59"/>
  <c r="M122" i="59"/>
  <c r="L122" i="59"/>
  <c r="K122" i="59"/>
  <c r="D122" i="59"/>
  <c r="C122" i="59"/>
  <c r="B122" i="59"/>
  <c r="N121" i="59"/>
  <c r="M121" i="59"/>
  <c r="L121" i="59"/>
  <c r="K121" i="59"/>
  <c r="D121" i="59"/>
  <c r="C121" i="59"/>
  <c r="B121" i="59"/>
  <c r="N120" i="59"/>
  <c r="M120" i="59"/>
  <c r="L120" i="59"/>
  <c r="K120" i="59"/>
  <c r="D120" i="59"/>
  <c r="C120" i="59"/>
  <c r="B120" i="59"/>
  <c r="N119" i="59"/>
  <c r="M119" i="59"/>
  <c r="L119" i="59"/>
  <c r="K119" i="59"/>
  <c r="D119" i="59"/>
  <c r="C119" i="59"/>
  <c r="B119" i="59"/>
  <c r="N118" i="59"/>
  <c r="M118" i="59"/>
  <c r="L118" i="59"/>
  <c r="K118" i="59"/>
  <c r="D118" i="59"/>
  <c r="C118" i="59"/>
  <c r="B118" i="59"/>
  <c r="N117" i="59"/>
  <c r="M117" i="59"/>
  <c r="L117" i="59"/>
  <c r="K117" i="59"/>
  <c r="D117" i="59"/>
  <c r="C117" i="59"/>
  <c r="B117" i="59"/>
  <c r="N116" i="59"/>
  <c r="M116" i="59"/>
  <c r="L116" i="59"/>
  <c r="K116" i="59"/>
  <c r="D116" i="59"/>
  <c r="C116" i="59"/>
  <c r="B116" i="59"/>
  <c r="N115" i="59"/>
  <c r="M115" i="59"/>
  <c r="L115" i="59"/>
  <c r="K115" i="59"/>
  <c r="D115" i="59"/>
  <c r="C115" i="59"/>
  <c r="B115" i="59"/>
  <c r="N114" i="59"/>
  <c r="M114" i="59"/>
  <c r="L114" i="59"/>
  <c r="K114" i="59"/>
  <c r="D114" i="59"/>
  <c r="C114" i="59"/>
  <c r="B114" i="59"/>
  <c r="N113" i="59"/>
  <c r="M113" i="59"/>
  <c r="L113" i="59"/>
  <c r="K113" i="59"/>
  <c r="D113" i="59"/>
  <c r="C113" i="59"/>
  <c r="B113" i="59"/>
  <c r="N112" i="59"/>
  <c r="M112" i="59"/>
  <c r="L112" i="59"/>
  <c r="K112" i="59"/>
  <c r="D112" i="59"/>
  <c r="C112" i="59"/>
  <c r="B112" i="59"/>
  <c r="N111" i="59"/>
  <c r="M111" i="59"/>
  <c r="L111" i="59"/>
  <c r="K111" i="59"/>
  <c r="D111" i="59"/>
  <c r="C111" i="59"/>
  <c r="B111" i="59"/>
  <c r="N110" i="59"/>
  <c r="M110" i="59"/>
  <c r="L110" i="59"/>
  <c r="K110" i="59"/>
  <c r="D110" i="59"/>
  <c r="C110" i="59"/>
  <c r="B110" i="59"/>
  <c r="N109" i="59"/>
  <c r="M109" i="59"/>
  <c r="L109" i="59"/>
  <c r="K109" i="59"/>
  <c r="K157" i="59" s="1"/>
  <c r="D109" i="59"/>
  <c r="C109" i="59"/>
  <c r="B109" i="59"/>
  <c r="N108" i="59"/>
  <c r="M108" i="59"/>
  <c r="L108" i="59"/>
  <c r="K108" i="59"/>
  <c r="D108" i="59"/>
  <c r="C108" i="59"/>
  <c r="B108" i="59"/>
  <c r="N107" i="59"/>
  <c r="M107" i="59"/>
  <c r="L107" i="59"/>
  <c r="K107" i="59"/>
  <c r="K155" i="59" s="1"/>
  <c r="D107" i="59"/>
  <c r="C107" i="59"/>
  <c r="B107" i="59"/>
  <c r="N106" i="59"/>
  <c r="M106" i="59"/>
  <c r="L106" i="59"/>
  <c r="K106" i="59"/>
  <c r="K154" i="59" s="1"/>
  <c r="D106" i="59"/>
  <c r="C106" i="59"/>
  <c r="B106" i="59"/>
  <c r="N105" i="59"/>
  <c r="M105" i="59"/>
  <c r="L105" i="59"/>
  <c r="K105" i="59"/>
  <c r="K153" i="59" s="1"/>
  <c r="D105" i="59"/>
  <c r="C105" i="59"/>
  <c r="B105" i="59"/>
  <c r="N104" i="59"/>
  <c r="M104" i="59"/>
  <c r="L104" i="59"/>
  <c r="K104" i="59"/>
  <c r="D104" i="59"/>
  <c r="C104" i="59"/>
  <c r="B104" i="59"/>
  <c r="N103" i="59"/>
  <c r="M103" i="59"/>
  <c r="L103" i="59"/>
  <c r="K103" i="59"/>
  <c r="K151" i="59" s="1"/>
  <c r="D103" i="59"/>
  <c r="C103" i="59"/>
  <c r="B103" i="59"/>
  <c r="N102" i="59"/>
  <c r="M102" i="59"/>
  <c r="L102" i="59"/>
  <c r="K102" i="59"/>
  <c r="K150" i="59" s="1"/>
  <c r="D102" i="59"/>
  <c r="C102" i="59"/>
  <c r="B102" i="59"/>
  <c r="N101" i="59"/>
  <c r="M101" i="59"/>
  <c r="L101" i="59"/>
  <c r="K101" i="59"/>
  <c r="K149" i="59" s="1"/>
  <c r="D101" i="59"/>
  <c r="C101" i="59"/>
  <c r="B101" i="59"/>
  <c r="N100" i="59"/>
  <c r="M100" i="59"/>
  <c r="L100" i="59"/>
  <c r="K100" i="59"/>
  <c r="D100" i="59"/>
  <c r="C100" i="59"/>
  <c r="B100" i="59"/>
  <c r="N99" i="59"/>
  <c r="M99" i="59"/>
  <c r="L99" i="59"/>
  <c r="K99" i="59"/>
  <c r="K147" i="59" s="1"/>
  <c r="D99" i="59"/>
  <c r="C99" i="59"/>
  <c r="B99" i="59"/>
  <c r="N98" i="59"/>
  <c r="M98" i="59"/>
  <c r="L98" i="59"/>
  <c r="K98" i="59"/>
  <c r="D98" i="59"/>
  <c r="C98" i="59"/>
  <c r="B98" i="59"/>
  <c r="N97" i="59"/>
  <c r="M97" i="59"/>
  <c r="L97" i="59"/>
  <c r="K97" i="59"/>
  <c r="K145" i="59" s="1"/>
  <c r="D97" i="59"/>
  <c r="C97" i="59"/>
  <c r="B97" i="59"/>
  <c r="N96" i="59"/>
  <c r="M96" i="59"/>
  <c r="L96" i="59"/>
  <c r="K96" i="59"/>
  <c r="K144" i="59" s="1"/>
  <c r="D96" i="59"/>
  <c r="C96" i="59"/>
  <c r="B96" i="59"/>
  <c r="N95" i="59"/>
  <c r="M95" i="59"/>
  <c r="L95" i="59"/>
  <c r="K95" i="59"/>
  <c r="K143" i="59" s="1"/>
  <c r="D95" i="59"/>
  <c r="C95" i="59"/>
  <c r="B95" i="59"/>
  <c r="N94" i="59"/>
  <c r="M94" i="59"/>
  <c r="L94" i="59"/>
  <c r="K94" i="59"/>
  <c r="K142" i="59" s="1"/>
  <c r="D94" i="59"/>
  <c r="C94" i="59"/>
  <c r="B94" i="59"/>
  <c r="N93" i="59"/>
  <c r="M93" i="59"/>
  <c r="L93" i="59"/>
  <c r="K93" i="59"/>
  <c r="K141" i="59" s="1"/>
  <c r="D93" i="59"/>
  <c r="C93" i="59"/>
  <c r="B93" i="59"/>
  <c r="N92" i="59"/>
  <c r="M92" i="59"/>
  <c r="L92" i="59"/>
  <c r="K92" i="59"/>
  <c r="K140" i="59" s="1"/>
  <c r="D92" i="59"/>
  <c r="C92" i="59"/>
  <c r="B92" i="59"/>
  <c r="N91" i="59"/>
  <c r="M91" i="59"/>
  <c r="L91" i="59"/>
  <c r="K91" i="59"/>
  <c r="K139" i="59" s="1"/>
  <c r="D91" i="59"/>
  <c r="C91" i="59"/>
  <c r="B91" i="59"/>
  <c r="N90" i="59"/>
  <c r="M90" i="59"/>
  <c r="L90" i="59"/>
  <c r="K90" i="59"/>
  <c r="K138" i="59" s="1"/>
  <c r="D90" i="59"/>
  <c r="C90" i="59"/>
  <c r="B90" i="59"/>
  <c r="N89" i="59"/>
  <c r="M89" i="59"/>
  <c r="L89" i="59"/>
  <c r="K89" i="59"/>
  <c r="K137" i="59" s="1"/>
  <c r="D89" i="59"/>
  <c r="C89" i="59"/>
  <c r="B89" i="59"/>
  <c r="N88" i="59"/>
  <c r="M88" i="59"/>
  <c r="L88" i="59"/>
  <c r="K88" i="59"/>
  <c r="K136" i="59" s="1"/>
  <c r="D88" i="59"/>
  <c r="C88" i="59"/>
  <c r="B88" i="59"/>
  <c r="N87" i="59"/>
  <c r="M87" i="59"/>
  <c r="L87" i="59"/>
  <c r="K87" i="59"/>
  <c r="K135" i="59" s="1"/>
  <c r="D87" i="59"/>
  <c r="C87" i="59"/>
  <c r="B87" i="59"/>
  <c r="N86" i="59"/>
  <c r="M86" i="59"/>
  <c r="L86" i="59"/>
  <c r="K86" i="59"/>
  <c r="D86" i="59"/>
  <c r="C86" i="59"/>
  <c r="B86" i="59"/>
  <c r="N85" i="59"/>
  <c r="M85" i="59"/>
  <c r="L85" i="59"/>
  <c r="K85" i="59"/>
  <c r="D85" i="59"/>
  <c r="C85" i="59"/>
  <c r="B85" i="59"/>
  <c r="N84" i="59"/>
  <c r="M84" i="59"/>
  <c r="L84" i="59"/>
  <c r="K84" i="59"/>
  <c r="D84" i="59"/>
  <c r="C84" i="59"/>
  <c r="B84" i="59"/>
  <c r="N83" i="59"/>
  <c r="M83" i="59"/>
  <c r="L83" i="59"/>
  <c r="K83" i="59"/>
  <c r="D83" i="59"/>
  <c r="C83" i="59"/>
  <c r="B83" i="59"/>
  <c r="N82" i="59"/>
  <c r="M82" i="59"/>
  <c r="L82" i="59"/>
  <c r="K82" i="59"/>
  <c r="D82" i="59"/>
  <c r="C82" i="59"/>
  <c r="B82" i="59"/>
  <c r="N81" i="59"/>
  <c r="M81" i="59"/>
  <c r="L81" i="59"/>
  <c r="K81" i="59"/>
  <c r="D81" i="59"/>
  <c r="C81" i="59"/>
  <c r="B81" i="59"/>
  <c r="N80" i="59"/>
  <c r="M80" i="59"/>
  <c r="L80" i="59"/>
  <c r="K80" i="59"/>
  <c r="D80" i="59"/>
  <c r="C80" i="59"/>
  <c r="B80" i="59"/>
  <c r="N79" i="59"/>
  <c r="M79" i="59"/>
  <c r="L79" i="59"/>
  <c r="K79" i="59"/>
  <c r="D79" i="59"/>
  <c r="C79" i="59"/>
  <c r="B79" i="59"/>
  <c r="N78" i="59"/>
  <c r="M78" i="59"/>
  <c r="L78" i="59"/>
  <c r="K78" i="59"/>
  <c r="D78" i="59"/>
  <c r="C78" i="59"/>
  <c r="B78" i="59"/>
  <c r="N77" i="59"/>
  <c r="M77" i="59"/>
  <c r="L77" i="59"/>
  <c r="K77" i="59"/>
  <c r="D77" i="59"/>
  <c r="C77" i="59"/>
  <c r="B77" i="59"/>
  <c r="N76" i="59"/>
  <c r="M76" i="59"/>
  <c r="L76" i="59"/>
  <c r="K76" i="59"/>
  <c r="D76" i="59"/>
  <c r="C76" i="59"/>
  <c r="B76" i="59"/>
  <c r="N75" i="59"/>
  <c r="M75" i="59"/>
  <c r="L75" i="59"/>
  <c r="K75" i="59"/>
  <c r="D75" i="59"/>
  <c r="C75" i="59"/>
  <c r="B75" i="59"/>
  <c r="N74" i="59"/>
  <c r="M74" i="59"/>
  <c r="L74" i="59"/>
  <c r="K74" i="59"/>
  <c r="D74" i="59"/>
  <c r="C74" i="59"/>
  <c r="B74" i="59"/>
  <c r="N73" i="59"/>
  <c r="M73" i="59"/>
  <c r="L73" i="59"/>
  <c r="K73" i="59"/>
  <c r="D73" i="59"/>
  <c r="C73" i="59"/>
  <c r="B73" i="59"/>
  <c r="N72" i="59"/>
  <c r="M72" i="59"/>
  <c r="L72" i="59"/>
  <c r="K72" i="59"/>
  <c r="D72" i="59"/>
  <c r="C72" i="59"/>
  <c r="B72" i="59"/>
  <c r="N71" i="59"/>
  <c r="M71" i="59"/>
  <c r="L71" i="59"/>
  <c r="K71" i="59"/>
  <c r="D71" i="59"/>
  <c r="C71" i="59"/>
  <c r="B71" i="59"/>
  <c r="N70" i="59"/>
  <c r="M70" i="59"/>
  <c r="L70" i="59"/>
  <c r="K70" i="59"/>
  <c r="D70" i="59"/>
  <c r="C70" i="59"/>
  <c r="B70" i="59"/>
  <c r="N69" i="59"/>
  <c r="M69" i="59"/>
  <c r="L69" i="59"/>
  <c r="K69" i="59"/>
  <c r="D69" i="59"/>
  <c r="C69" i="59"/>
  <c r="B69" i="59"/>
  <c r="N68" i="59"/>
  <c r="M68" i="59"/>
  <c r="L68" i="59"/>
  <c r="K68" i="59"/>
  <c r="D68" i="59"/>
  <c r="C68" i="59"/>
  <c r="B68" i="59"/>
  <c r="N67" i="59"/>
  <c r="M67" i="59"/>
  <c r="L67" i="59"/>
  <c r="K67" i="59"/>
  <c r="D67" i="59"/>
  <c r="C67" i="59"/>
  <c r="B67" i="59"/>
  <c r="N66" i="59"/>
  <c r="M66" i="59"/>
  <c r="L66" i="59"/>
  <c r="K66" i="59"/>
  <c r="D66" i="59"/>
  <c r="C66" i="59"/>
  <c r="B66" i="59"/>
  <c r="N65" i="59"/>
  <c r="M65" i="59"/>
  <c r="L65" i="59"/>
  <c r="K65" i="59"/>
  <c r="D65" i="59"/>
  <c r="C65" i="59"/>
  <c r="B65" i="59"/>
  <c r="N64" i="59"/>
  <c r="M64" i="59"/>
  <c r="L64" i="59"/>
  <c r="K64" i="59"/>
  <c r="D64" i="59"/>
  <c r="C64" i="59"/>
  <c r="B64" i="59"/>
  <c r="N63" i="59"/>
  <c r="M63" i="59"/>
  <c r="L63" i="59"/>
  <c r="K63" i="59"/>
  <c r="D63" i="59"/>
  <c r="C63" i="59"/>
  <c r="B63" i="59"/>
  <c r="N62" i="59"/>
  <c r="M62" i="59"/>
  <c r="L62" i="59"/>
  <c r="K62" i="59"/>
  <c r="D62" i="59"/>
  <c r="C62" i="59"/>
  <c r="B62" i="59"/>
  <c r="N61" i="59"/>
  <c r="M61" i="59"/>
  <c r="L61" i="59"/>
  <c r="K61" i="59"/>
  <c r="D61" i="59"/>
  <c r="C61" i="59"/>
  <c r="B61" i="59"/>
  <c r="N60" i="59"/>
  <c r="M60" i="59"/>
  <c r="L60" i="59"/>
  <c r="K60" i="59"/>
  <c r="D60" i="59"/>
  <c r="C60" i="59"/>
  <c r="B60" i="59"/>
  <c r="N59" i="59"/>
  <c r="M59" i="59"/>
  <c r="L59" i="59"/>
  <c r="K59" i="59"/>
  <c r="D59" i="59"/>
  <c r="C59" i="59"/>
  <c r="B59" i="59"/>
  <c r="N58" i="59"/>
  <c r="M58" i="59"/>
  <c r="L58" i="59"/>
  <c r="K58" i="59"/>
  <c r="D58" i="59"/>
  <c r="C58" i="59"/>
  <c r="B58" i="59"/>
  <c r="N57" i="59"/>
  <c r="M57" i="59"/>
  <c r="L57" i="59"/>
  <c r="K57" i="59"/>
  <c r="D57" i="59"/>
  <c r="C57" i="59"/>
  <c r="B57" i="59"/>
  <c r="N56" i="59"/>
  <c r="M56" i="59"/>
  <c r="L56" i="59"/>
  <c r="K56" i="59"/>
  <c r="D56" i="59"/>
  <c r="C56" i="59"/>
  <c r="B56" i="59"/>
  <c r="N55" i="59"/>
  <c r="M55" i="59"/>
  <c r="L55" i="59"/>
  <c r="K55" i="59"/>
  <c r="D55" i="59"/>
  <c r="C55" i="59"/>
  <c r="B55" i="59"/>
  <c r="N54" i="59"/>
  <c r="M54" i="59"/>
  <c r="L54" i="59"/>
  <c r="K54" i="59"/>
  <c r="D54" i="59"/>
  <c r="C54" i="59"/>
  <c r="B54" i="59"/>
  <c r="N53" i="59"/>
  <c r="M53" i="59"/>
  <c r="L53" i="59"/>
  <c r="K53" i="59"/>
  <c r="D53" i="59"/>
  <c r="C53" i="59"/>
  <c r="B53" i="59"/>
  <c r="N52" i="59"/>
  <c r="M52" i="59"/>
  <c r="L52" i="59"/>
  <c r="K52" i="59"/>
  <c r="D52" i="59"/>
  <c r="C52" i="59"/>
  <c r="B52" i="59"/>
  <c r="N51" i="59"/>
  <c r="M51" i="59"/>
  <c r="L51" i="59"/>
  <c r="K51" i="59"/>
  <c r="D51" i="59"/>
  <c r="C51" i="59"/>
  <c r="B51" i="59"/>
  <c r="N50" i="59"/>
  <c r="M50" i="59"/>
  <c r="L50" i="59"/>
  <c r="K50" i="59"/>
  <c r="D50" i="59"/>
  <c r="C50" i="59"/>
  <c r="B50" i="59"/>
  <c r="N49" i="59"/>
  <c r="M49" i="59"/>
  <c r="L49" i="59"/>
  <c r="K49" i="59"/>
  <c r="D49" i="59"/>
  <c r="C49" i="59"/>
  <c r="B49" i="59"/>
  <c r="N48" i="59"/>
  <c r="M48" i="59"/>
  <c r="L48" i="59"/>
  <c r="K48" i="59"/>
  <c r="D48" i="59"/>
  <c r="C48" i="59"/>
  <c r="B48" i="59"/>
  <c r="N47" i="59"/>
  <c r="M47" i="59"/>
  <c r="L47" i="59"/>
  <c r="K47" i="59"/>
  <c r="D47" i="59"/>
  <c r="C47" i="59"/>
  <c r="B47" i="59"/>
  <c r="N46" i="59"/>
  <c r="M46" i="59"/>
  <c r="L46" i="59"/>
  <c r="K46" i="59"/>
  <c r="D46" i="59"/>
  <c r="C46" i="59"/>
  <c r="B46" i="59"/>
  <c r="N45" i="59"/>
  <c r="M45" i="59"/>
  <c r="L45" i="59"/>
  <c r="K45" i="59"/>
  <c r="D45" i="59"/>
  <c r="C45" i="59"/>
  <c r="B45" i="59"/>
  <c r="N44" i="59"/>
  <c r="M44" i="59"/>
  <c r="L44" i="59"/>
  <c r="K44" i="59"/>
  <c r="D44" i="59"/>
  <c r="C44" i="59"/>
  <c r="B44" i="59"/>
  <c r="N43" i="59"/>
  <c r="M43" i="59"/>
  <c r="L43" i="59"/>
  <c r="K43" i="59"/>
  <c r="D43" i="59"/>
  <c r="C43" i="59"/>
  <c r="B43" i="59"/>
  <c r="N42" i="59"/>
  <c r="M42" i="59"/>
  <c r="L42" i="59"/>
  <c r="K42" i="59"/>
  <c r="D42" i="59"/>
  <c r="C42" i="59"/>
  <c r="B42" i="59"/>
  <c r="N41" i="59"/>
  <c r="M41" i="59"/>
  <c r="L41" i="59"/>
  <c r="K41" i="59"/>
  <c r="D41" i="59"/>
  <c r="C41" i="59"/>
  <c r="B41" i="59"/>
  <c r="N40" i="59"/>
  <c r="M40" i="59"/>
  <c r="L40" i="59"/>
  <c r="K40" i="59"/>
  <c r="D40" i="59"/>
  <c r="C40" i="59"/>
  <c r="B40" i="59"/>
  <c r="N39" i="59"/>
  <c r="M39" i="59"/>
  <c r="L39" i="59"/>
  <c r="K39" i="59"/>
  <c r="D39" i="59"/>
  <c r="C39" i="59"/>
  <c r="B39" i="59"/>
  <c r="N38" i="59"/>
  <c r="M38" i="59"/>
  <c r="L38" i="59"/>
  <c r="K38" i="59"/>
  <c r="D38" i="59"/>
  <c r="C38" i="59"/>
  <c r="B38" i="59"/>
  <c r="N37" i="59"/>
  <c r="M37" i="59"/>
  <c r="L37" i="59"/>
  <c r="K37" i="59"/>
  <c r="D37" i="59"/>
  <c r="C37" i="59"/>
  <c r="B37" i="59"/>
  <c r="N36" i="59"/>
  <c r="M36" i="59"/>
  <c r="L36" i="59"/>
  <c r="K36" i="59"/>
  <c r="D36" i="59"/>
  <c r="C36" i="59"/>
  <c r="B36" i="59"/>
  <c r="N35" i="59"/>
  <c r="M35" i="59"/>
  <c r="L35" i="59"/>
  <c r="K35" i="59"/>
  <c r="D35" i="59"/>
  <c r="C35" i="59"/>
  <c r="B35" i="59"/>
  <c r="N34" i="59"/>
  <c r="M34" i="59"/>
  <c r="L34" i="59"/>
  <c r="K34" i="59"/>
  <c r="D34" i="59"/>
  <c r="C34" i="59"/>
  <c r="B34" i="59"/>
  <c r="N33" i="59"/>
  <c r="M33" i="59"/>
  <c r="L33" i="59"/>
  <c r="K33" i="59"/>
  <c r="D33" i="59"/>
  <c r="C33" i="59"/>
  <c r="B33" i="59"/>
  <c r="N32" i="59"/>
  <c r="M32" i="59"/>
  <c r="L32" i="59"/>
  <c r="K32" i="59"/>
  <c r="D32" i="59"/>
  <c r="C32" i="59"/>
  <c r="B32" i="59"/>
  <c r="N31" i="59"/>
  <c r="M31" i="59"/>
  <c r="L31" i="59"/>
  <c r="K31" i="59"/>
  <c r="D31" i="59"/>
  <c r="C31" i="59"/>
  <c r="B31" i="59"/>
  <c r="N30" i="59"/>
  <c r="M30" i="59"/>
  <c r="L30" i="59"/>
  <c r="K30" i="59"/>
  <c r="D30" i="59"/>
  <c r="C30" i="59"/>
  <c r="B30" i="59"/>
  <c r="N29" i="59"/>
  <c r="M29" i="59"/>
  <c r="L29" i="59"/>
  <c r="K29" i="59"/>
  <c r="D29" i="59"/>
  <c r="C29" i="59"/>
  <c r="B29" i="59"/>
  <c r="N28" i="59"/>
  <c r="M28" i="59"/>
  <c r="L28" i="59"/>
  <c r="K28" i="59"/>
  <c r="D28" i="59"/>
  <c r="C28" i="59"/>
  <c r="B28" i="59"/>
  <c r="N27" i="59"/>
  <c r="M27" i="59"/>
  <c r="L27" i="59"/>
  <c r="K27" i="59"/>
  <c r="D27" i="59"/>
  <c r="C27" i="59"/>
  <c r="B27" i="59"/>
  <c r="N26" i="59"/>
  <c r="M26" i="59"/>
  <c r="L26" i="59"/>
  <c r="K26" i="59"/>
  <c r="D26" i="59"/>
  <c r="C26" i="59"/>
  <c r="B26" i="59"/>
  <c r="N25" i="59"/>
  <c r="M25" i="59"/>
  <c r="L25" i="59"/>
  <c r="K25" i="59"/>
  <c r="D25" i="59"/>
  <c r="C25" i="59"/>
  <c r="B25" i="59"/>
  <c r="N24" i="59"/>
  <c r="M24" i="59"/>
  <c r="L24" i="59"/>
  <c r="K24" i="59"/>
  <c r="D24" i="59"/>
  <c r="C24" i="59"/>
  <c r="B24" i="59"/>
  <c r="N23" i="59"/>
  <c r="M23" i="59"/>
  <c r="L23" i="59"/>
  <c r="K23" i="59"/>
  <c r="D23" i="59"/>
  <c r="C23" i="59"/>
  <c r="B23" i="59"/>
  <c r="N22" i="59"/>
  <c r="M22" i="59"/>
  <c r="L22" i="59"/>
  <c r="K22" i="59"/>
  <c r="D22" i="59"/>
  <c r="C22" i="59"/>
  <c r="B22" i="59"/>
  <c r="N21" i="59"/>
  <c r="M21" i="59"/>
  <c r="L21" i="59"/>
  <c r="K21" i="59"/>
  <c r="D21" i="59"/>
  <c r="C21" i="59"/>
  <c r="B21" i="59"/>
  <c r="N20" i="59"/>
  <c r="M20" i="59"/>
  <c r="L20" i="59"/>
  <c r="K20" i="59"/>
  <c r="D20" i="59"/>
  <c r="C20" i="59"/>
  <c r="B20" i="59"/>
  <c r="N19" i="59"/>
  <c r="M19" i="59"/>
  <c r="L19" i="59"/>
  <c r="K19" i="59"/>
  <c r="D19" i="59"/>
  <c r="C19" i="59"/>
  <c r="B19" i="59"/>
  <c r="N18" i="59"/>
  <c r="M18" i="59"/>
  <c r="L18" i="59"/>
  <c r="K18" i="59"/>
  <c r="D18" i="59"/>
  <c r="C18" i="59"/>
  <c r="B18" i="59"/>
  <c r="N17" i="59"/>
  <c r="M17" i="59"/>
  <c r="L17" i="59"/>
  <c r="K17" i="59"/>
  <c r="D17" i="59"/>
  <c r="C17" i="59"/>
  <c r="B17" i="59"/>
  <c r="N16" i="59"/>
  <c r="M16" i="59"/>
  <c r="L16" i="59"/>
  <c r="K16" i="59"/>
  <c r="D16" i="59"/>
  <c r="C16" i="59"/>
  <c r="B16" i="59"/>
  <c r="N15" i="59"/>
  <c r="M15" i="59"/>
  <c r="L15" i="59"/>
  <c r="K15" i="59"/>
  <c r="D15" i="59"/>
  <c r="C15" i="59"/>
  <c r="B15" i="59"/>
  <c r="N14" i="59"/>
  <c r="M14" i="59"/>
  <c r="L14" i="59"/>
  <c r="K14" i="59"/>
  <c r="D14" i="59"/>
  <c r="C14" i="59"/>
  <c r="B14" i="59"/>
  <c r="N13" i="59"/>
  <c r="M13" i="59"/>
  <c r="L13" i="59"/>
  <c r="K13" i="59"/>
  <c r="D13" i="59"/>
  <c r="C13" i="59"/>
  <c r="B13" i="59"/>
  <c r="N12" i="59"/>
  <c r="M12" i="59"/>
  <c r="L12" i="59"/>
  <c r="K12" i="59"/>
  <c r="D12" i="59"/>
  <c r="C12" i="59"/>
  <c r="B12" i="59"/>
  <c r="N11" i="59"/>
  <c r="M11" i="59"/>
  <c r="L11" i="59"/>
  <c r="K11" i="59"/>
  <c r="D11" i="59"/>
  <c r="C11" i="59"/>
  <c r="B11" i="59"/>
  <c r="N10" i="59"/>
  <c r="M10" i="59"/>
  <c r="L10" i="59"/>
  <c r="K10" i="59"/>
  <c r="D10" i="59"/>
  <c r="C10" i="59"/>
  <c r="B10" i="59"/>
  <c r="N9" i="59"/>
  <c r="M9" i="59"/>
  <c r="L9" i="59"/>
  <c r="K9" i="59"/>
  <c r="D9" i="59"/>
  <c r="C9" i="59"/>
  <c r="B9" i="59"/>
  <c r="N8" i="59"/>
  <c r="M8" i="59"/>
  <c r="L8" i="59"/>
  <c r="K8" i="59"/>
  <c r="D8" i="59"/>
  <c r="C8" i="59"/>
  <c r="B8" i="59"/>
  <c r="N7" i="59"/>
  <c r="M7" i="59"/>
  <c r="L7" i="59"/>
  <c r="K7" i="59"/>
  <c r="D7" i="59"/>
  <c r="C7" i="59"/>
  <c r="B7" i="59"/>
  <c r="N6" i="59"/>
  <c r="M6" i="59"/>
  <c r="L6" i="59"/>
  <c r="K6" i="59"/>
  <c r="D6" i="59"/>
  <c r="C6" i="59"/>
  <c r="B6" i="59"/>
  <c r="N5" i="59"/>
  <c r="M5" i="59"/>
  <c r="L5" i="59"/>
  <c r="K5" i="59"/>
  <c r="D5" i="59"/>
  <c r="C5" i="59"/>
  <c r="B5" i="59"/>
  <c r="N4" i="59"/>
  <c r="M4" i="59"/>
  <c r="L4" i="59"/>
  <c r="K4" i="59"/>
  <c r="D4" i="59"/>
  <c r="C4" i="59"/>
  <c r="B4" i="59"/>
  <c r="N3" i="59"/>
  <c r="M3" i="59"/>
  <c r="L3" i="59"/>
  <c r="K3" i="59"/>
  <c r="D3" i="59"/>
  <c r="C3" i="59"/>
  <c r="B3" i="59"/>
  <c r="F2" i="59"/>
  <c r="E2" i="59"/>
  <c r="D2" i="59"/>
  <c r="A168" i="58"/>
  <c r="A167" i="58"/>
  <c r="C158" i="58"/>
  <c r="B158" i="58"/>
  <c r="C157" i="58"/>
  <c r="B157" i="58"/>
  <c r="K156" i="58"/>
  <c r="C156" i="58"/>
  <c r="B156" i="58"/>
  <c r="K155" i="58"/>
  <c r="C155" i="58"/>
  <c r="B155" i="58"/>
  <c r="C154" i="58"/>
  <c r="B154" i="58"/>
  <c r="C153" i="58"/>
  <c r="B153" i="58"/>
  <c r="C152" i="58"/>
  <c r="B152" i="58"/>
  <c r="C151" i="58"/>
  <c r="B151" i="58"/>
  <c r="K150" i="58"/>
  <c r="C150" i="58"/>
  <c r="B150" i="58"/>
  <c r="C149" i="58"/>
  <c r="B149" i="58"/>
  <c r="K148" i="58"/>
  <c r="C148" i="58"/>
  <c r="B148" i="58"/>
  <c r="K147" i="58"/>
  <c r="C147" i="58"/>
  <c r="B147" i="58"/>
  <c r="C146" i="58"/>
  <c r="B146" i="58"/>
  <c r="C145" i="58"/>
  <c r="B145" i="58"/>
  <c r="K144" i="58"/>
  <c r="C144" i="58"/>
  <c r="B144" i="58"/>
  <c r="K143" i="58"/>
  <c r="C143" i="58"/>
  <c r="B143" i="58"/>
  <c r="K142" i="58"/>
  <c r="K154" i="58" s="1"/>
  <c r="C142" i="58"/>
  <c r="B142" i="58"/>
  <c r="C141" i="58"/>
  <c r="B141" i="58"/>
  <c r="K140" i="58"/>
  <c r="K152" i="58" s="1"/>
  <c r="C140" i="58"/>
  <c r="B140" i="58"/>
  <c r="C139" i="58"/>
  <c r="B139" i="58"/>
  <c r="C138" i="58"/>
  <c r="B138" i="58"/>
  <c r="C137" i="58"/>
  <c r="B137" i="58"/>
  <c r="M136" i="58"/>
  <c r="M137" i="58" s="1"/>
  <c r="M138" i="58" s="1"/>
  <c r="M139" i="58" s="1"/>
  <c r="M140" i="58" s="1"/>
  <c r="M141" i="58" s="1"/>
  <c r="M142" i="58" s="1"/>
  <c r="M143" i="58" s="1"/>
  <c r="M144" i="58" s="1"/>
  <c r="M145" i="58" s="1"/>
  <c r="M146" i="58" s="1"/>
  <c r="M147" i="58" s="1"/>
  <c r="M148" i="58" s="1"/>
  <c r="M149" i="58" s="1"/>
  <c r="M150" i="58" s="1"/>
  <c r="M151" i="58" s="1"/>
  <c r="M152" i="58" s="1"/>
  <c r="M153" i="58" s="1"/>
  <c r="M154" i="58" s="1"/>
  <c r="M155" i="58" s="1"/>
  <c r="M156" i="58" s="1"/>
  <c r="M157" i="58" s="1"/>
  <c r="M158" i="58" s="1"/>
  <c r="K136" i="58"/>
  <c r="C136" i="58"/>
  <c r="B136" i="58"/>
  <c r="K135" i="58"/>
  <c r="C135" i="58"/>
  <c r="B135" i="58"/>
  <c r="N134" i="58"/>
  <c r="M134" i="58"/>
  <c r="M135" i="58" s="1"/>
  <c r="L134" i="58"/>
  <c r="K134" i="58"/>
  <c r="D134" i="58"/>
  <c r="C134" i="58"/>
  <c r="B134" i="58"/>
  <c r="N133" i="58"/>
  <c r="M133" i="58"/>
  <c r="L133" i="58"/>
  <c r="K133" i="58"/>
  <c r="D133" i="58"/>
  <c r="C133" i="58"/>
  <c r="B133" i="58"/>
  <c r="N132" i="58"/>
  <c r="M132" i="58"/>
  <c r="L132" i="58"/>
  <c r="K132" i="58"/>
  <c r="D132" i="58"/>
  <c r="C132" i="58"/>
  <c r="B132" i="58"/>
  <c r="N131" i="58"/>
  <c r="M131" i="58"/>
  <c r="L131" i="58"/>
  <c r="K131" i="58"/>
  <c r="D131" i="58"/>
  <c r="C131" i="58"/>
  <c r="B131" i="58"/>
  <c r="N130" i="58"/>
  <c r="M130" i="58"/>
  <c r="L130" i="58"/>
  <c r="K130" i="58"/>
  <c r="D130" i="58"/>
  <c r="C130" i="58"/>
  <c r="B130" i="58"/>
  <c r="N129" i="58"/>
  <c r="M129" i="58"/>
  <c r="L129" i="58"/>
  <c r="K129" i="58"/>
  <c r="D129" i="58"/>
  <c r="C129" i="58"/>
  <c r="B129" i="58"/>
  <c r="N128" i="58"/>
  <c r="M128" i="58"/>
  <c r="L128" i="58"/>
  <c r="K128" i="58"/>
  <c r="D128" i="58"/>
  <c r="C128" i="58"/>
  <c r="B128" i="58"/>
  <c r="N127" i="58"/>
  <c r="M127" i="58"/>
  <c r="L127" i="58"/>
  <c r="K127" i="58"/>
  <c r="D127" i="58"/>
  <c r="C127" i="58"/>
  <c r="B127" i="58"/>
  <c r="N126" i="58"/>
  <c r="M126" i="58"/>
  <c r="L126" i="58"/>
  <c r="K126" i="58"/>
  <c r="D126" i="58"/>
  <c r="C126" i="58"/>
  <c r="B126" i="58"/>
  <c r="N125" i="58"/>
  <c r="M125" i="58"/>
  <c r="L125" i="58"/>
  <c r="K125" i="58"/>
  <c r="D125" i="58"/>
  <c r="C125" i="58"/>
  <c r="B125" i="58"/>
  <c r="N124" i="58"/>
  <c r="M124" i="58"/>
  <c r="L124" i="58"/>
  <c r="K124" i="58"/>
  <c r="D124" i="58"/>
  <c r="C124" i="58"/>
  <c r="B124" i="58"/>
  <c r="N123" i="58"/>
  <c r="M123" i="58"/>
  <c r="L123" i="58"/>
  <c r="K123" i="58"/>
  <c r="D123" i="58"/>
  <c r="C123" i="58"/>
  <c r="B123" i="58"/>
  <c r="N122" i="58"/>
  <c r="M122" i="58"/>
  <c r="L122" i="58"/>
  <c r="K122" i="58"/>
  <c r="K146" i="58" s="1"/>
  <c r="K158" i="58" s="1"/>
  <c r="D122" i="58"/>
  <c r="C122" i="58"/>
  <c r="B122" i="58"/>
  <c r="N121" i="58"/>
  <c r="M121" i="58"/>
  <c r="L121" i="58"/>
  <c r="K121" i="58"/>
  <c r="K145" i="58" s="1"/>
  <c r="K157" i="58" s="1"/>
  <c r="D121" i="58"/>
  <c r="C121" i="58"/>
  <c r="B121" i="58"/>
  <c r="N120" i="58"/>
  <c r="M120" i="58"/>
  <c r="L120" i="58"/>
  <c r="K120" i="58"/>
  <c r="D120" i="58"/>
  <c r="C120" i="58"/>
  <c r="B120" i="58"/>
  <c r="N119" i="58"/>
  <c r="M119" i="58"/>
  <c r="L119" i="58"/>
  <c r="K119" i="58"/>
  <c r="D119" i="58"/>
  <c r="C119" i="58"/>
  <c r="B119" i="58"/>
  <c r="N118" i="58"/>
  <c r="M118" i="58"/>
  <c r="L118" i="58"/>
  <c r="K118" i="58"/>
  <c r="D118" i="58"/>
  <c r="C118" i="58"/>
  <c r="B118" i="58"/>
  <c r="N117" i="58"/>
  <c r="M117" i="58"/>
  <c r="L117" i="58"/>
  <c r="K117" i="58"/>
  <c r="K141" i="58" s="1"/>
  <c r="K153" i="58" s="1"/>
  <c r="D117" i="58"/>
  <c r="C117" i="58"/>
  <c r="B117" i="58"/>
  <c r="N116" i="58"/>
  <c r="M116" i="58"/>
  <c r="L116" i="58"/>
  <c r="K116" i="58"/>
  <c r="D116" i="58"/>
  <c r="C116" i="58"/>
  <c r="B116" i="58"/>
  <c r="N115" i="58"/>
  <c r="M115" i="58"/>
  <c r="L115" i="58"/>
  <c r="K115" i="58"/>
  <c r="K139" i="58" s="1"/>
  <c r="K151" i="58" s="1"/>
  <c r="D115" i="58"/>
  <c r="C115" i="58"/>
  <c r="B115" i="58"/>
  <c r="N114" i="58"/>
  <c r="M114" i="58"/>
  <c r="L114" i="58"/>
  <c r="K114" i="58"/>
  <c r="K138" i="58" s="1"/>
  <c r="D114" i="58"/>
  <c r="C114" i="58"/>
  <c r="B114" i="58"/>
  <c r="N113" i="58"/>
  <c r="M113" i="58"/>
  <c r="L113" i="58"/>
  <c r="K113" i="58"/>
  <c r="K137" i="58" s="1"/>
  <c r="K149" i="58" s="1"/>
  <c r="D113" i="58"/>
  <c r="C113" i="58"/>
  <c r="B113" i="58"/>
  <c r="N112" i="58"/>
  <c r="M112" i="58"/>
  <c r="L112" i="58"/>
  <c r="K112" i="58"/>
  <c r="D112" i="58"/>
  <c r="C112" i="58"/>
  <c r="B112" i="58"/>
  <c r="N111" i="58"/>
  <c r="M111" i="58"/>
  <c r="L111" i="58"/>
  <c r="K111" i="58"/>
  <c r="D111" i="58"/>
  <c r="C111" i="58"/>
  <c r="B111" i="58"/>
  <c r="N110" i="58"/>
  <c r="M110" i="58"/>
  <c r="L110" i="58"/>
  <c r="K110" i="58"/>
  <c r="D110" i="58"/>
  <c r="C110" i="58"/>
  <c r="B110" i="58"/>
  <c r="N109" i="58"/>
  <c r="M109" i="58"/>
  <c r="L109" i="58"/>
  <c r="K109" i="58"/>
  <c r="D109" i="58"/>
  <c r="C109" i="58"/>
  <c r="B109" i="58"/>
  <c r="N108" i="58"/>
  <c r="M108" i="58"/>
  <c r="L108" i="58"/>
  <c r="K108" i="58"/>
  <c r="D108" i="58"/>
  <c r="C108" i="58"/>
  <c r="B108" i="58"/>
  <c r="N107" i="58"/>
  <c r="M107" i="58"/>
  <c r="L107" i="58"/>
  <c r="K107" i="58"/>
  <c r="D107" i="58"/>
  <c r="C107" i="58"/>
  <c r="B107" i="58"/>
  <c r="N106" i="58"/>
  <c r="M106" i="58"/>
  <c r="L106" i="58"/>
  <c r="K106" i="58"/>
  <c r="D106" i="58"/>
  <c r="C106" i="58"/>
  <c r="B106" i="58"/>
  <c r="N105" i="58"/>
  <c r="M105" i="58"/>
  <c r="L105" i="58"/>
  <c r="K105" i="58"/>
  <c r="D105" i="58"/>
  <c r="C105" i="58"/>
  <c r="B105" i="58"/>
  <c r="N104" i="58"/>
  <c r="M104" i="58"/>
  <c r="L104" i="58"/>
  <c r="K104" i="58"/>
  <c r="D104" i="58"/>
  <c r="C104" i="58"/>
  <c r="B104" i="58"/>
  <c r="N103" i="58"/>
  <c r="M103" i="58"/>
  <c r="L103" i="58"/>
  <c r="K103" i="58"/>
  <c r="D103" i="58"/>
  <c r="C103" i="58"/>
  <c r="B103" i="58"/>
  <c r="N102" i="58"/>
  <c r="M102" i="58"/>
  <c r="L102" i="58"/>
  <c r="K102" i="58"/>
  <c r="D102" i="58"/>
  <c r="C102" i="58"/>
  <c r="B102" i="58"/>
  <c r="N101" i="58"/>
  <c r="M101" i="58"/>
  <c r="L101" i="58"/>
  <c r="K101" i="58"/>
  <c r="D101" i="58"/>
  <c r="C101" i="58"/>
  <c r="B101" i="58"/>
  <c r="N100" i="58"/>
  <c r="M100" i="58"/>
  <c r="L100" i="58"/>
  <c r="K100" i="58"/>
  <c r="D100" i="58"/>
  <c r="C100" i="58"/>
  <c r="B100" i="58"/>
  <c r="N99" i="58"/>
  <c r="M99" i="58"/>
  <c r="L99" i="58"/>
  <c r="K99" i="58"/>
  <c r="D99" i="58"/>
  <c r="C99" i="58"/>
  <c r="B99" i="58"/>
  <c r="N98" i="58"/>
  <c r="M98" i="58"/>
  <c r="L98" i="58"/>
  <c r="K98" i="58"/>
  <c r="D98" i="58"/>
  <c r="C98" i="58"/>
  <c r="B98" i="58"/>
  <c r="N97" i="58"/>
  <c r="M97" i="58"/>
  <c r="L97" i="58"/>
  <c r="K97" i="58"/>
  <c r="D97" i="58"/>
  <c r="C97" i="58"/>
  <c r="B97" i="58"/>
  <c r="N96" i="58"/>
  <c r="M96" i="58"/>
  <c r="L96" i="58"/>
  <c r="K96" i="58"/>
  <c r="D96" i="58"/>
  <c r="C96" i="58"/>
  <c r="B96" i="58"/>
  <c r="N95" i="58"/>
  <c r="M95" i="58"/>
  <c r="L95" i="58"/>
  <c r="K95" i="58"/>
  <c r="D95" i="58"/>
  <c r="C95" i="58"/>
  <c r="B95" i="58"/>
  <c r="N94" i="58"/>
  <c r="M94" i="58"/>
  <c r="L94" i="58"/>
  <c r="K94" i="58"/>
  <c r="D94" i="58"/>
  <c r="C94" i="58"/>
  <c r="B94" i="58"/>
  <c r="N93" i="58"/>
  <c r="M93" i="58"/>
  <c r="L93" i="58"/>
  <c r="K93" i="58"/>
  <c r="D93" i="58"/>
  <c r="C93" i="58"/>
  <c r="B93" i="58"/>
  <c r="N92" i="58"/>
  <c r="M92" i="58"/>
  <c r="L92" i="58"/>
  <c r="K92" i="58"/>
  <c r="D92" i="58"/>
  <c r="C92" i="58"/>
  <c r="B92" i="58"/>
  <c r="N91" i="58"/>
  <c r="M91" i="58"/>
  <c r="L91" i="58"/>
  <c r="K91" i="58"/>
  <c r="D91" i="58"/>
  <c r="C91" i="58"/>
  <c r="B91" i="58"/>
  <c r="N90" i="58"/>
  <c r="M90" i="58"/>
  <c r="L90" i="58"/>
  <c r="K90" i="58"/>
  <c r="D90" i="58"/>
  <c r="C90" i="58"/>
  <c r="B90" i="58"/>
  <c r="N89" i="58"/>
  <c r="M89" i="58"/>
  <c r="L89" i="58"/>
  <c r="K89" i="58"/>
  <c r="D89" i="58"/>
  <c r="C89" i="58"/>
  <c r="B89" i="58"/>
  <c r="N88" i="58"/>
  <c r="M88" i="58"/>
  <c r="L88" i="58"/>
  <c r="K88" i="58"/>
  <c r="D88" i="58"/>
  <c r="C88" i="58"/>
  <c r="B88" i="58"/>
  <c r="N87" i="58"/>
  <c r="M87" i="58"/>
  <c r="L87" i="58"/>
  <c r="K87" i="58"/>
  <c r="D87" i="58"/>
  <c r="C87" i="58"/>
  <c r="B87" i="58"/>
  <c r="N86" i="58"/>
  <c r="M86" i="58"/>
  <c r="L86" i="58"/>
  <c r="K86" i="58"/>
  <c r="D86" i="58"/>
  <c r="C86" i="58"/>
  <c r="B86" i="58"/>
  <c r="N85" i="58"/>
  <c r="M85" i="58"/>
  <c r="L85" i="58"/>
  <c r="K85" i="58"/>
  <c r="D85" i="58"/>
  <c r="C85" i="58"/>
  <c r="B85" i="58"/>
  <c r="N84" i="58"/>
  <c r="M84" i="58"/>
  <c r="L84" i="58"/>
  <c r="K84" i="58"/>
  <c r="D84" i="58"/>
  <c r="C84" i="58"/>
  <c r="B84" i="58"/>
  <c r="N83" i="58"/>
  <c r="M83" i="58"/>
  <c r="L83" i="58"/>
  <c r="K83" i="58"/>
  <c r="D83" i="58"/>
  <c r="C83" i="58"/>
  <c r="B83" i="58"/>
  <c r="N82" i="58"/>
  <c r="M82" i="58"/>
  <c r="L82" i="58"/>
  <c r="K82" i="58"/>
  <c r="D82" i="58"/>
  <c r="C82" i="58"/>
  <c r="B82" i="58"/>
  <c r="N81" i="58"/>
  <c r="M81" i="58"/>
  <c r="L81" i="58"/>
  <c r="K81" i="58"/>
  <c r="D81" i="58"/>
  <c r="C81" i="58"/>
  <c r="B81" i="58"/>
  <c r="N80" i="58"/>
  <c r="M80" i="58"/>
  <c r="L80" i="58"/>
  <c r="K80" i="58"/>
  <c r="D80" i="58"/>
  <c r="C80" i="58"/>
  <c r="B80" i="58"/>
  <c r="N79" i="58"/>
  <c r="M79" i="58"/>
  <c r="L79" i="58"/>
  <c r="K79" i="58"/>
  <c r="D79" i="58"/>
  <c r="C79" i="58"/>
  <c r="B79" i="58"/>
  <c r="N78" i="58"/>
  <c r="M78" i="58"/>
  <c r="L78" i="58"/>
  <c r="K78" i="58"/>
  <c r="D78" i="58"/>
  <c r="C78" i="58"/>
  <c r="B78" i="58"/>
  <c r="N77" i="58"/>
  <c r="M77" i="58"/>
  <c r="L77" i="58"/>
  <c r="K77" i="58"/>
  <c r="D77" i="58"/>
  <c r="C77" i="58"/>
  <c r="B77" i="58"/>
  <c r="N76" i="58"/>
  <c r="M76" i="58"/>
  <c r="L76" i="58"/>
  <c r="K76" i="58"/>
  <c r="D76" i="58"/>
  <c r="C76" i="58"/>
  <c r="B76" i="58"/>
  <c r="N75" i="58"/>
  <c r="M75" i="58"/>
  <c r="L75" i="58"/>
  <c r="K75" i="58"/>
  <c r="D75" i="58"/>
  <c r="C75" i="58"/>
  <c r="B75" i="58"/>
  <c r="N74" i="58"/>
  <c r="M74" i="58"/>
  <c r="L74" i="58"/>
  <c r="K74" i="58"/>
  <c r="D74" i="58"/>
  <c r="C74" i="58"/>
  <c r="B74" i="58"/>
  <c r="N73" i="58"/>
  <c r="M73" i="58"/>
  <c r="L73" i="58"/>
  <c r="K73" i="58"/>
  <c r="D73" i="58"/>
  <c r="C73" i="58"/>
  <c r="B73" i="58"/>
  <c r="N72" i="58"/>
  <c r="M72" i="58"/>
  <c r="L72" i="58"/>
  <c r="K72" i="58"/>
  <c r="D72" i="58"/>
  <c r="C72" i="58"/>
  <c r="B72" i="58"/>
  <c r="N71" i="58"/>
  <c r="M71" i="58"/>
  <c r="L71" i="58"/>
  <c r="K71" i="58"/>
  <c r="D71" i="58"/>
  <c r="C71" i="58"/>
  <c r="B71" i="58"/>
  <c r="N70" i="58"/>
  <c r="M70" i="58"/>
  <c r="L70" i="58"/>
  <c r="K70" i="58"/>
  <c r="D70" i="58"/>
  <c r="C70" i="58"/>
  <c r="B70" i="58"/>
  <c r="N69" i="58"/>
  <c r="M69" i="58"/>
  <c r="L69" i="58"/>
  <c r="K69" i="58"/>
  <c r="D69" i="58"/>
  <c r="C69" i="58"/>
  <c r="B69" i="58"/>
  <c r="N68" i="58"/>
  <c r="M68" i="58"/>
  <c r="L68" i="58"/>
  <c r="K68" i="58"/>
  <c r="D68" i="58"/>
  <c r="C68" i="58"/>
  <c r="B68" i="58"/>
  <c r="N67" i="58"/>
  <c r="M67" i="58"/>
  <c r="L67" i="58"/>
  <c r="K67" i="58"/>
  <c r="D67" i="58"/>
  <c r="C67" i="58"/>
  <c r="B67" i="58"/>
  <c r="N66" i="58"/>
  <c r="M66" i="58"/>
  <c r="L66" i="58"/>
  <c r="K66" i="58"/>
  <c r="D66" i="58"/>
  <c r="C66" i="58"/>
  <c r="B66" i="58"/>
  <c r="N65" i="58"/>
  <c r="M65" i="58"/>
  <c r="L65" i="58"/>
  <c r="K65" i="58"/>
  <c r="D65" i="58"/>
  <c r="C65" i="58"/>
  <c r="B65" i="58"/>
  <c r="N64" i="58"/>
  <c r="M64" i="58"/>
  <c r="L64" i="58"/>
  <c r="K64" i="58"/>
  <c r="D64" i="58"/>
  <c r="C64" i="58"/>
  <c r="B64" i="58"/>
  <c r="N63" i="58"/>
  <c r="M63" i="58"/>
  <c r="L63" i="58"/>
  <c r="K63" i="58"/>
  <c r="D63" i="58"/>
  <c r="C63" i="58"/>
  <c r="B63" i="58"/>
  <c r="N62" i="58"/>
  <c r="M62" i="58"/>
  <c r="L62" i="58"/>
  <c r="K62" i="58"/>
  <c r="D62" i="58"/>
  <c r="C62" i="58"/>
  <c r="B62" i="58"/>
  <c r="N61" i="58"/>
  <c r="M61" i="58"/>
  <c r="L61" i="58"/>
  <c r="K61" i="58"/>
  <c r="D61" i="58"/>
  <c r="C61" i="58"/>
  <c r="B61" i="58"/>
  <c r="N60" i="58"/>
  <c r="M60" i="58"/>
  <c r="L60" i="58"/>
  <c r="K60" i="58"/>
  <c r="D60" i="58"/>
  <c r="C60" i="58"/>
  <c r="B60" i="58"/>
  <c r="N59" i="58"/>
  <c r="M59" i="58"/>
  <c r="L59" i="58"/>
  <c r="K59" i="58"/>
  <c r="D59" i="58"/>
  <c r="C59" i="58"/>
  <c r="B59" i="58"/>
  <c r="N58" i="58"/>
  <c r="M58" i="58"/>
  <c r="L58" i="58"/>
  <c r="K58" i="58"/>
  <c r="D58" i="58"/>
  <c r="C58" i="58"/>
  <c r="B58" i="58"/>
  <c r="N57" i="58"/>
  <c r="M57" i="58"/>
  <c r="L57" i="58"/>
  <c r="K57" i="58"/>
  <c r="D57" i="58"/>
  <c r="C57" i="58"/>
  <c r="B57" i="58"/>
  <c r="N56" i="58"/>
  <c r="M56" i="58"/>
  <c r="L56" i="58"/>
  <c r="K56" i="58"/>
  <c r="D56" i="58"/>
  <c r="C56" i="58"/>
  <c r="B56" i="58"/>
  <c r="N55" i="58"/>
  <c r="M55" i="58"/>
  <c r="L55" i="58"/>
  <c r="K55" i="58"/>
  <c r="D55" i="58"/>
  <c r="C55" i="58"/>
  <c r="B55" i="58"/>
  <c r="N54" i="58"/>
  <c r="M54" i="58"/>
  <c r="L54" i="58"/>
  <c r="K54" i="58"/>
  <c r="D54" i="58"/>
  <c r="C54" i="58"/>
  <c r="B54" i="58"/>
  <c r="N53" i="58"/>
  <c r="M53" i="58"/>
  <c r="L53" i="58"/>
  <c r="K53" i="58"/>
  <c r="D53" i="58"/>
  <c r="C53" i="58"/>
  <c r="B53" i="58"/>
  <c r="N52" i="58"/>
  <c r="M52" i="58"/>
  <c r="L52" i="58"/>
  <c r="K52" i="58"/>
  <c r="D52" i="58"/>
  <c r="C52" i="58"/>
  <c r="B52" i="58"/>
  <c r="N51" i="58"/>
  <c r="M51" i="58"/>
  <c r="L51" i="58"/>
  <c r="K51" i="58"/>
  <c r="D51" i="58"/>
  <c r="C51" i="58"/>
  <c r="B51" i="58"/>
  <c r="N50" i="58"/>
  <c r="M50" i="58"/>
  <c r="L50" i="58"/>
  <c r="K50" i="58"/>
  <c r="D50" i="58"/>
  <c r="C50" i="58"/>
  <c r="B50" i="58"/>
  <c r="N49" i="58"/>
  <c r="M49" i="58"/>
  <c r="L49" i="58"/>
  <c r="K49" i="58"/>
  <c r="D49" i="58"/>
  <c r="C49" i="58"/>
  <c r="B49" i="58"/>
  <c r="N48" i="58"/>
  <c r="M48" i="58"/>
  <c r="L48" i="58"/>
  <c r="K48" i="58"/>
  <c r="D48" i="58"/>
  <c r="C48" i="58"/>
  <c r="B48" i="58"/>
  <c r="N47" i="58"/>
  <c r="M47" i="58"/>
  <c r="L47" i="58"/>
  <c r="K47" i="58"/>
  <c r="D47" i="58"/>
  <c r="C47" i="58"/>
  <c r="B47" i="58"/>
  <c r="N46" i="58"/>
  <c r="M46" i="58"/>
  <c r="L46" i="58"/>
  <c r="K46" i="58"/>
  <c r="D46" i="58"/>
  <c r="C46" i="58"/>
  <c r="B46" i="58"/>
  <c r="N45" i="58"/>
  <c r="M45" i="58"/>
  <c r="L45" i="58"/>
  <c r="K45" i="58"/>
  <c r="D45" i="58"/>
  <c r="C45" i="58"/>
  <c r="B45" i="58"/>
  <c r="N44" i="58"/>
  <c r="M44" i="58"/>
  <c r="L44" i="58"/>
  <c r="K44" i="58"/>
  <c r="D44" i="58"/>
  <c r="C44" i="58"/>
  <c r="B44" i="58"/>
  <c r="N43" i="58"/>
  <c r="M43" i="58"/>
  <c r="L43" i="58"/>
  <c r="K43" i="58"/>
  <c r="D43" i="58"/>
  <c r="C43" i="58"/>
  <c r="B43" i="58"/>
  <c r="N42" i="58"/>
  <c r="M42" i="58"/>
  <c r="L42" i="58"/>
  <c r="K42" i="58"/>
  <c r="D42" i="58"/>
  <c r="C42" i="58"/>
  <c r="B42" i="58"/>
  <c r="N41" i="58"/>
  <c r="M41" i="58"/>
  <c r="L41" i="58"/>
  <c r="K41" i="58"/>
  <c r="D41" i="58"/>
  <c r="C41" i="58"/>
  <c r="B41" i="58"/>
  <c r="N40" i="58"/>
  <c r="M40" i="58"/>
  <c r="L40" i="58"/>
  <c r="K40" i="58"/>
  <c r="D40" i="58"/>
  <c r="C40" i="58"/>
  <c r="B40" i="58"/>
  <c r="N39" i="58"/>
  <c r="M39" i="58"/>
  <c r="L39" i="58"/>
  <c r="K39" i="58"/>
  <c r="D39" i="58"/>
  <c r="C39" i="58"/>
  <c r="B39" i="58"/>
  <c r="N38" i="58"/>
  <c r="M38" i="58"/>
  <c r="L38" i="58"/>
  <c r="K38" i="58"/>
  <c r="D38" i="58"/>
  <c r="C38" i="58"/>
  <c r="B38" i="58"/>
  <c r="N37" i="58"/>
  <c r="M37" i="58"/>
  <c r="L37" i="58"/>
  <c r="K37" i="58"/>
  <c r="D37" i="58"/>
  <c r="C37" i="58"/>
  <c r="B37" i="58"/>
  <c r="N36" i="58"/>
  <c r="M36" i="58"/>
  <c r="L36" i="58"/>
  <c r="K36" i="58"/>
  <c r="D36" i="58"/>
  <c r="C36" i="58"/>
  <c r="B36" i="58"/>
  <c r="N35" i="58"/>
  <c r="M35" i="58"/>
  <c r="L35" i="58"/>
  <c r="K35" i="58"/>
  <c r="D35" i="58"/>
  <c r="C35" i="58"/>
  <c r="B35" i="58"/>
  <c r="N34" i="58"/>
  <c r="M34" i="58"/>
  <c r="L34" i="58"/>
  <c r="K34" i="58"/>
  <c r="D34" i="58"/>
  <c r="C34" i="58"/>
  <c r="B34" i="58"/>
  <c r="N33" i="58"/>
  <c r="M33" i="58"/>
  <c r="L33" i="58"/>
  <c r="K33" i="58"/>
  <c r="D33" i="58"/>
  <c r="C33" i="58"/>
  <c r="B33" i="58"/>
  <c r="N32" i="58"/>
  <c r="M32" i="58"/>
  <c r="L32" i="58"/>
  <c r="K32" i="58"/>
  <c r="D32" i="58"/>
  <c r="C32" i="58"/>
  <c r="B32" i="58"/>
  <c r="N31" i="58"/>
  <c r="M31" i="58"/>
  <c r="L31" i="58"/>
  <c r="K31" i="58"/>
  <c r="D31" i="58"/>
  <c r="C31" i="58"/>
  <c r="B31" i="58"/>
  <c r="N30" i="58"/>
  <c r="M30" i="58"/>
  <c r="L30" i="58"/>
  <c r="K30" i="58"/>
  <c r="D30" i="58"/>
  <c r="C30" i="58"/>
  <c r="B30" i="58"/>
  <c r="N29" i="58"/>
  <c r="M29" i="58"/>
  <c r="L29" i="58"/>
  <c r="K29" i="58"/>
  <c r="D29" i="58"/>
  <c r="C29" i="58"/>
  <c r="B29" i="58"/>
  <c r="N28" i="58"/>
  <c r="M28" i="58"/>
  <c r="L28" i="58"/>
  <c r="K28" i="58"/>
  <c r="D28" i="58"/>
  <c r="C28" i="58"/>
  <c r="B28" i="58"/>
  <c r="N27" i="58"/>
  <c r="M27" i="58"/>
  <c r="L27" i="58"/>
  <c r="K27" i="58"/>
  <c r="D27" i="58"/>
  <c r="C27" i="58"/>
  <c r="B27" i="58"/>
  <c r="N26" i="58"/>
  <c r="M26" i="58"/>
  <c r="L26" i="58"/>
  <c r="K26" i="58"/>
  <c r="D26" i="58"/>
  <c r="C26" i="58"/>
  <c r="B26" i="58"/>
  <c r="N25" i="58"/>
  <c r="M25" i="58"/>
  <c r="L25" i="58"/>
  <c r="K25" i="58"/>
  <c r="D25" i="58"/>
  <c r="C25" i="58"/>
  <c r="B25" i="58"/>
  <c r="N24" i="58"/>
  <c r="M24" i="58"/>
  <c r="L24" i="58"/>
  <c r="K24" i="58"/>
  <c r="D24" i="58"/>
  <c r="C24" i="58"/>
  <c r="B24" i="58"/>
  <c r="N23" i="58"/>
  <c r="M23" i="58"/>
  <c r="L23" i="58"/>
  <c r="K23" i="58"/>
  <c r="D23" i="58"/>
  <c r="C23" i="58"/>
  <c r="B23" i="58"/>
  <c r="N22" i="58"/>
  <c r="M22" i="58"/>
  <c r="L22" i="58"/>
  <c r="K22" i="58"/>
  <c r="D22" i="58"/>
  <c r="C22" i="58"/>
  <c r="B22" i="58"/>
  <c r="N21" i="58"/>
  <c r="M21" i="58"/>
  <c r="L21" i="58"/>
  <c r="K21" i="58"/>
  <c r="D21" i="58"/>
  <c r="C21" i="58"/>
  <c r="B21" i="58"/>
  <c r="N20" i="58"/>
  <c r="M20" i="58"/>
  <c r="L20" i="58"/>
  <c r="K20" i="58"/>
  <c r="D20" i="58"/>
  <c r="C20" i="58"/>
  <c r="B20" i="58"/>
  <c r="N19" i="58"/>
  <c r="M19" i="58"/>
  <c r="L19" i="58"/>
  <c r="K19" i="58"/>
  <c r="D19" i="58"/>
  <c r="C19" i="58"/>
  <c r="B19" i="58"/>
  <c r="N18" i="58"/>
  <c r="M18" i="58"/>
  <c r="L18" i="58"/>
  <c r="K18" i="58"/>
  <c r="D18" i="58"/>
  <c r="C18" i="58"/>
  <c r="B18" i="58"/>
  <c r="N17" i="58"/>
  <c r="M17" i="58"/>
  <c r="L17" i="58"/>
  <c r="K17" i="58"/>
  <c r="D17" i="58"/>
  <c r="C17" i="58"/>
  <c r="B17" i="58"/>
  <c r="N16" i="58"/>
  <c r="M16" i="58"/>
  <c r="L16" i="58"/>
  <c r="K16" i="58"/>
  <c r="D16" i="58"/>
  <c r="C16" i="58"/>
  <c r="B16" i="58"/>
  <c r="N15" i="58"/>
  <c r="M15" i="58"/>
  <c r="L15" i="58"/>
  <c r="K15" i="58"/>
  <c r="D15" i="58"/>
  <c r="C15" i="58"/>
  <c r="B15" i="58"/>
  <c r="N14" i="58"/>
  <c r="M14" i="58"/>
  <c r="L14" i="58"/>
  <c r="K14" i="58"/>
  <c r="D14" i="58"/>
  <c r="C14" i="58"/>
  <c r="B14" i="58"/>
  <c r="N13" i="58"/>
  <c r="M13" i="58"/>
  <c r="L13" i="58"/>
  <c r="K13" i="58"/>
  <c r="D13" i="58"/>
  <c r="C13" i="58"/>
  <c r="B13" i="58"/>
  <c r="N12" i="58"/>
  <c r="M12" i="58"/>
  <c r="L12" i="58"/>
  <c r="K12" i="58"/>
  <c r="D12" i="58"/>
  <c r="C12" i="58"/>
  <c r="B12" i="58"/>
  <c r="N11" i="58"/>
  <c r="M11" i="58"/>
  <c r="L11" i="58"/>
  <c r="K11" i="58"/>
  <c r="D11" i="58"/>
  <c r="C11" i="58"/>
  <c r="B11" i="58"/>
  <c r="N10" i="58"/>
  <c r="M10" i="58"/>
  <c r="L10" i="58"/>
  <c r="K10" i="58"/>
  <c r="D10" i="58"/>
  <c r="C10" i="58"/>
  <c r="B10" i="58"/>
  <c r="N9" i="58"/>
  <c r="M9" i="58"/>
  <c r="L9" i="58"/>
  <c r="K9" i="58"/>
  <c r="D9" i="58"/>
  <c r="C9" i="58"/>
  <c r="B9" i="58"/>
  <c r="N8" i="58"/>
  <c r="M8" i="58"/>
  <c r="L8" i="58"/>
  <c r="K8" i="58"/>
  <c r="D8" i="58"/>
  <c r="C8" i="58"/>
  <c r="B8" i="58"/>
  <c r="N7" i="58"/>
  <c r="M7" i="58"/>
  <c r="L7" i="58"/>
  <c r="K7" i="58"/>
  <c r="D7" i="58"/>
  <c r="C7" i="58"/>
  <c r="B7" i="58"/>
  <c r="N6" i="58"/>
  <c r="M6" i="58"/>
  <c r="L6" i="58"/>
  <c r="K6" i="58"/>
  <c r="D6" i="58"/>
  <c r="C6" i="58"/>
  <c r="B6" i="58"/>
  <c r="N5" i="58"/>
  <c r="M5" i="58"/>
  <c r="L5" i="58"/>
  <c r="K5" i="58"/>
  <c r="D5" i="58"/>
  <c r="C5" i="58"/>
  <c r="B5" i="58"/>
  <c r="N4" i="58"/>
  <c r="M4" i="58"/>
  <c r="L4" i="58"/>
  <c r="K4" i="58"/>
  <c r="D4" i="58"/>
  <c r="C4" i="58"/>
  <c r="B4" i="58"/>
  <c r="N3" i="58"/>
  <c r="M3" i="58"/>
  <c r="L3" i="58"/>
  <c r="K3" i="58"/>
  <c r="D3" i="58"/>
  <c r="C3" i="58"/>
  <c r="B3" i="58"/>
  <c r="N2" i="58"/>
  <c r="F2" i="58"/>
  <c r="E2" i="58"/>
  <c r="D2" i="58"/>
  <c r="A167" i="57"/>
  <c r="N158" i="57"/>
  <c r="L158" i="57"/>
  <c r="C158" i="57"/>
  <c r="B158" i="57"/>
  <c r="N157" i="57"/>
  <c r="L157" i="57"/>
  <c r="C157" i="57"/>
  <c r="B157" i="57"/>
  <c r="N156" i="57"/>
  <c r="C156" i="57"/>
  <c r="B156" i="57"/>
  <c r="N155" i="57"/>
  <c r="C155" i="57"/>
  <c r="B155" i="57"/>
  <c r="N154" i="57"/>
  <c r="L154" i="57"/>
  <c r="C154" i="57"/>
  <c r="B154" i="57"/>
  <c r="N153" i="57"/>
  <c r="C153" i="57"/>
  <c r="B153" i="57"/>
  <c r="N152" i="57"/>
  <c r="C152" i="57"/>
  <c r="B152" i="57"/>
  <c r="N151" i="57"/>
  <c r="L151" i="57"/>
  <c r="C151" i="57"/>
  <c r="B151" i="57"/>
  <c r="N150" i="57"/>
  <c r="M150" i="57"/>
  <c r="L150" i="57"/>
  <c r="C150" i="57"/>
  <c r="B150" i="57"/>
  <c r="N149" i="57"/>
  <c r="L149" i="57"/>
  <c r="C149" i="57"/>
  <c r="B149" i="57"/>
  <c r="N148" i="57"/>
  <c r="C148" i="57"/>
  <c r="B148" i="57"/>
  <c r="N147" i="57"/>
  <c r="M147" i="57"/>
  <c r="C147" i="57"/>
  <c r="B147" i="57"/>
  <c r="N146" i="57"/>
  <c r="L146" i="57"/>
  <c r="C146" i="57"/>
  <c r="B146" i="57"/>
  <c r="N145" i="57"/>
  <c r="M145" i="57"/>
  <c r="M157" i="57" s="1"/>
  <c r="K145" i="57"/>
  <c r="C145" i="57"/>
  <c r="B145" i="57"/>
  <c r="N144" i="57"/>
  <c r="L144" i="57"/>
  <c r="C144" i="57"/>
  <c r="B144" i="57"/>
  <c r="N143" i="57"/>
  <c r="M143" i="57"/>
  <c r="M155" i="57" s="1"/>
  <c r="C143" i="57"/>
  <c r="B143" i="57"/>
  <c r="N142" i="57"/>
  <c r="L142" i="57"/>
  <c r="C142" i="57"/>
  <c r="B142" i="57"/>
  <c r="N141" i="57"/>
  <c r="M141" i="57"/>
  <c r="M153" i="57" s="1"/>
  <c r="L141" i="57"/>
  <c r="K141" i="57"/>
  <c r="C141" i="57"/>
  <c r="B141" i="57"/>
  <c r="N140" i="57"/>
  <c r="C140" i="57"/>
  <c r="B140" i="57"/>
  <c r="N139" i="57"/>
  <c r="M139" i="57"/>
  <c r="M151" i="57" s="1"/>
  <c r="C139" i="57"/>
  <c r="B139" i="57"/>
  <c r="N138" i="57"/>
  <c r="L138" i="57"/>
  <c r="C138" i="57"/>
  <c r="B138" i="57"/>
  <c r="N137" i="57"/>
  <c r="K137" i="57"/>
  <c r="C137" i="57"/>
  <c r="B137" i="57"/>
  <c r="N136" i="57"/>
  <c r="L136" i="57"/>
  <c r="C136" i="57"/>
  <c r="B136" i="57"/>
  <c r="N135" i="57"/>
  <c r="M135" i="57"/>
  <c r="C135" i="57"/>
  <c r="B135" i="57"/>
  <c r="N134" i="57"/>
  <c r="M134" i="57"/>
  <c r="M146" i="57" s="1"/>
  <c r="M158" i="57" s="1"/>
  <c r="L134" i="57"/>
  <c r="D134" i="57"/>
  <c r="C134" i="57"/>
  <c r="B134" i="57"/>
  <c r="N133" i="57"/>
  <c r="M133" i="57"/>
  <c r="L133" i="57"/>
  <c r="D133" i="57"/>
  <c r="C133" i="57"/>
  <c r="B133" i="57"/>
  <c r="N132" i="57"/>
  <c r="M132" i="57"/>
  <c r="M144" i="57" s="1"/>
  <c r="M156" i="57" s="1"/>
  <c r="L132" i="57"/>
  <c r="K132" i="57"/>
  <c r="D132" i="57"/>
  <c r="C132" i="57"/>
  <c r="B132" i="57"/>
  <c r="N131" i="57"/>
  <c r="M131" i="57"/>
  <c r="L131" i="57"/>
  <c r="K131" i="57"/>
  <c r="D131" i="57"/>
  <c r="C131" i="57"/>
  <c r="B131" i="57"/>
  <c r="N130" i="57"/>
  <c r="M130" i="57"/>
  <c r="M142" i="57" s="1"/>
  <c r="M154" i="57" s="1"/>
  <c r="L130" i="57"/>
  <c r="K130" i="57"/>
  <c r="D130" i="57"/>
  <c r="C130" i="57"/>
  <c r="B130" i="57"/>
  <c r="N129" i="57"/>
  <c r="M129" i="57"/>
  <c r="L129" i="57"/>
  <c r="K129" i="57"/>
  <c r="D129" i="57"/>
  <c r="C129" i="57"/>
  <c r="B129" i="57"/>
  <c r="N128" i="57"/>
  <c r="M128" i="57"/>
  <c r="M140" i="57" s="1"/>
  <c r="M152" i="57" s="1"/>
  <c r="L128" i="57"/>
  <c r="K128" i="57"/>
  <c r="D128" i="57"/>
  <c r="C128" i="57"/>
  <c r="B128" i="57"/>
  <c r="N127" i="57"/>
  <c r="M127" i="57"/>
  <c r="L127" i="57"/>
  <c r="D127" i="57"/>
  <c r="C127" i="57"/>
  <c r="B127" i="57"/>
  <c r="N126" i="57"/>
  <c r="M126" i="57"/>
  <c r="M138" i="57" s="1"/>
  <c r="L126" i="57"/>
  <c r="K126" i="57"/>
  <c r="D126" i="57"/>
  <c r="C126" i="57"/>
  <c r="B126" i="57"/>
  <c r="N125" i="57"/>
  <c r="M125" i="57"/>
  <c r="M137" i="57" s="1"/>
  <c r="M149" i="57" s="1"/>
  <c r="L125" i="57"/>
  <c r="K125" i="57"/>
  <c r="D125" i="57"/>
  <c r="C125" i="57"/>
  <c r="B125" i="57"/>
  <c r="N124" i="57"/>
  <c r="M124" i="57"/>
  <c r="M136" i="57" s="1"/>
  <c r="M148" i="57" s="1"/>
  <c r="L124" i="57"/>
  <c r="K124" i="57"/>
  <c r="D124" i="57"/>
  <c r="C124" i="57"/>
  <c r="B124" i="57"/>
  <c r="N123" i="57"/>
  <c r="M123" i="57"/>
  <c r="L123" i="57"/>
  <c r="K123" i="57"/>
  <c r="D123" i="57"/>
  <c r="C123" i="57"/>
  <c r="B123" i="57"/>
  <c r="N122" i="57"/>
  <c r="M122" i="57"/>
  <c r="L122" i="57"/>
  <c r="K122" i="57"/>
  <c r="D122" i="57"/>
  <c r="C122" i="57"/>
  <c r="B122" i="57"/>
  <c r="N121" i="57"/>
  <c r="M121" i="57"/>
  <c r="L121" i="57"/>
  <c r="K121" i="57"/>
  <c r="D121" i="57"/>
  <c r="C121" i="57"/>
  <c r="B121" i="57"/>
  <c r="N120" i="57"/>
  <c r="M120" i="57"/>
  <c r="L120" i="57"/>
  <c r="K120" i="57"/>
  <c r="D120" i="57"/>
  <c r="C120" i="57"/>
  <c r="B120" i="57"/>
  <c r="N119" i="57"/>
  <c r="M119" i="57"/>
  <c r="L119" i="57"/>
  <c r="K119" i="57"/>
  <c r="D119" i="57"/>
  <c r="C119" i="57"/>
  <c r="B119" i="57"/>
  <c r="N118" i="57"/>
  <c r="M118" i="57"/>
  <c r="L118" i="57"/>
  <c r="K118" i="57"/>
  <c r="D118" i="57"/>
  <c r="C118" i="57"/>
  <c r="B118" i="57"/>
  <c r="N117" i="57"/>
  <c r="M117" i="57"/>
  <c r="L117" i="57"/>
  <c r="K117" i="57"/>
  <c r="D117" i="57"/>
  <c r="C117" i="57"/>
  <c r="B117" i="57"/>
  <c r="N116" i="57"/>
  <c r="M116" i="57"/>
  <c r="L116" i="57"/>
  <c r="K116" i="57"/>
  <c r="D116" i="57"/>
  <c r="C116" i="57"/>
  <c r="B116" i="57"/>
  <c r="N115" i="57"/>
  <c r="M115" i="57"/>
  <c r="L115" i="57"/>
  <c r="K115" i="57"/>
  <c r="D115" i="57"/>
  <c r="C115" i="57"/>
  <c r="B115" i="57"/>
  <c r="N114" i="57"/>
  <c r="M114" i="57"/>
  <c r="L114" i="57"/>
  <c r="K114" i="57"/>
  <c r="D114" i="57"/>
  <c r="C114" i="57"/>
  <c r="B114" i="57"/>
  <c r="N113" i="57"/>
  <c r="M113" i="57"/>
  <c r="L113" i="57"/>
  <c r="K113" i="57"/>
  <c r="D113" i="57"/>
  <c r="C113" i="57"/>
  <c r="B113" i="57"/>
  <c r="N112" i="57"/>
  <c r="M112" i="57"/>
  <c r="L112" i="57"/>
  <c r="K112" i="57"/>
  <c r="D112" i="57"/>
  <c r="C112" i="57"/>
  <c r="B112" i="57"/>
  <c r="N111" i="57"/>
  <c r="M111" i="57"/>
  <c r="L111" i="57"/>
  <c r="K111" i="57"/>
  <c r="D111" i="57"/>
  <c r="C111" i="57"/>
  <c r="B111" i="57"/>
  <c r="N110" i="57"/>
  <c r="M110" i="57"/>
  <c r="L110" i="57"/>
  <c r="K110" i="57"/>
  <c r="K158" i="57" s="1"/>
  <c r="D110" i="57"/>
  <c r="C110" i="57"/>
  <c r="B110" i="57"/>
  <c r="N109" i="57"/>
  <c r="M109" i="57"/>
  <c r="L109" i="57"/>
  <c r="K109" i="57"/>
  <c r="K157" i="57" s="1"/>
  <c r="D109" i="57"/>
  <c r="C109" i="57"/>
  <c r="B109" i="57"/>
  <c r="N108" i="57"/>
  <c r="M108" i="57"/>
  <c r="L108" i="57"/>
  <c r="L156" i="57" s="1"/>
  <c r="K108" i="57"/>
  <c r="K156" i="57" s="1"/>
  <c r="D108" i="57"/>
  <c r="C108" i="57"/>
  <c r="B108" i="57"/>
  <c r="N107" i="57"/>
  <c r="M107" i="57"/>
  <c r="L107" i="57"/>
  <c r="L155" i="57" s="1"/>
  <c r="K107" i="57"/>
  <c r="K155" i="57" s="1"/>
  <c r="D107" i="57"/>
  <c r="C107" i="57"/>
  <c r="B107" i="57"/>
  <c r="N106" i="57"/>
  <c r="M106" i="57"/>
  <c r="L106" i="57"/>
  <c r="K106" i="57"/>
  <c r="K154" i="57" s="1"/>
  <c r="D106" i="57"/>
  <c r="C106" i="57"/>
  <c r="B106" i="57"/>
  <c r="N105" i="57"/>
  <c r="M105" i="57"/>
  <c r="L105" i="57"/>
  <c r="L153" i="57" s="1"/>
  <c r="K105" i="57"/>
  <c r="K153" i="57" s="1"/>
  <c r="D105" i="57"/>
  <c r="C105" i="57"/>
  <c r="B105" i="57"/>
  <c r="N104" i="57"/>
  <c r="M104" i="57"/>
  <c r="L104" i="57"/>
  <c r="L152" i="57" s="1"/>
  <c r="K104" i="57"/>
  <c r="K152" i="57" s="1"/>
  <c r="D104" i="57"/>
  <c r="C104" i="57"/>
  <c r="B104" i="57"/>
  <c r="N103" i="57"/>
  <c r="M103" i="57"/>
  <c r="L103" i="57"/>
  <c r="K103" i="57"/>
  <c r="K151" i="57" s="1"/>
  <c r="D103" i="57"/>
  <c r="C103" i="57"/>
  <c r="B103" i="57"/>
  <c r="N102" i="57"/>
  <c r="M102" i="57"/>
  <c r="L102" i="57"/>
  <c r="K102" i="57"/>
  <c r="K150" i="57" s="1"/>
  <c r="D102" i="57"/>
  <c r="C102" i="57"/>
  <c r="B102" i="57"/>
  <c r="N101" i="57"/>
  <c r="M101" i="57"/>
  <c r="L101" i="57"/>
  <c r="K101" i="57"/>
  <c r="K149" i="57" s="1"/>
  <c r="D101" i="57"/>
  <c r="C101" i="57"/>
  <c r="B101" i="57"/>
  <c r="N100" i="57"/>
  <c r="M100" i="57"/>
  <c r="L100" i="57"/>
  <c r="L148" i="57" s="1"/>
  <c r="K100" i="57"/>
  <c r="K148" i="57" s="1"/>
  <c r="D100" i="57"/>
  <c r="C100" i="57"/>
  <c r="B100" i="57"/>
  <c r="N99" i="57"/>
  <c r="M99" i="57"/>
  <c r="L99" i="57"/>
  <c r="L147" i="57" s="1"/>
  <c r="K99" i="57"/>
  <c r="K147" i="57" s="1"/>
  <c r="D99" i="57"/>
  <c r="C99" i="57"/>
  <c r="B99" i="57"/>
  <c r="N98" i="57"/>
  <c r="M98" i="57"/>
  <c r="L98" i="57"/>
  <c r="K98" i="57"/>
  <c r="K146" i="57" s="1"/>
  <c r="D98" i="57"/>
  <c r="C98" i="57"/>
  <c r="B98" i="57"/>
  <c r="N97" i="57"/>
  <c r="M97" i="57"/>
  <c r="L97" i="57"/>
  <c r="L145" i="57" s="1"/>
  <c r="K97" i="57"/>
  <c r="D97" i="57"/>
  <c r="C97" i="57"/>
  <c r="B97" i="57"/>
  <c r="N96" i="57"/>
  <c r="M96" i="57"/>
  <c r="L96" i="57"/>
  <c r="K96" i="57"/>
  <c r="K144" i="57" s="1"/>
  <c r="D96" i="57"/>
  <c r="C96" i="57"/>
  <c r="B96" i="57"/>
  <c r="N95" i="57"/>
  <c r="M95" i="57"/>
  <c r="L95" i="57"/>
  <c r="L143" i="57" s="1"/>
  <c r="K95" i="57"/>
  <c r="K143" i="57" s="1"/>
  <c r="D95" i="57"/>
  <c r="C95" i="57"/>
  <c r="B95" i="57"/>
  <c r="N94" i="57"/>
  <c r="M94" i="57"/>
  <c r="L94" i="57"/>
  <c r="K94" i="57"/>
  <c r="K142" i="57" s="1"/>
  <c r="D94" i="57"/>
  <c r="C94" i="57"/>
  <c r="B94" i="57"/>
  <c r="N93" i="57"/>
  <c r="M93" i="57"/>
  <c r="L93" i="57"/>
  <c r="K93" i="57"/>
  <c r="D93" i="57"/>
  <c r="C93" i="57"/>
  <c r="B93" i="57"/>
  <c r="N92" i="57"/>
  <c r="M92" i="57"/>
  <c r="L92" i="57"/>
  <c r="L140" i="57" s="1"/>
  <c r="K92" i="57"/>
  <c r="K140" i="57" s="1"/>
  <c r="D92" i="57"/>
  <c r="C92" i="57"/>
  <c r="B92" i="57"/>
  <c r="N91" i="57"/>
  <c r="M91" i="57"/>
  <c r="L91" i="57"/>
  <c r="L139" i="57" s="1"/>
  <c r="K91" i="57"/>
  <c r="K139" i="57" s="1"/>
  <c r="D91" i="57"/>
  <c r="C91" i="57"/>
  <c r="B91" i="57"/>
  <c r="N90" i="57"/>
  <c r="M90" i="57"/>
  <c r="L90" i="57"/>
  <c r="K90" i="57"/>
  <c r="K138" i="57" s="1"/>
  <c r="D90" i="57"/>
  <c r="C90" i="57"/>
  <c r="B90" i="57"/>
  <c r="N89" i="57"/>
  <c r="M89" i="57"/>
  <c r="L89" i="57"/>
  <c r="L137" i="57" s="1"/>
  <c r="K89" i="57"/>
  <c r="D89" i="57"/>
  <c r="C89" i="57"/>
  <c r="B89" i="57"/>
  <c r="N88" i="57"/>
  <c r="M88" i="57"/>
  <c r="L88" i="57"/>
  <c r="K88" i="57"/>
  <c r="K136" i="57" s="1"/>
  <c r="D88" i="57"/>
  <c r="C88" i="57"/>
  <c r="B88" i="57"/>
  <c r="N87" i="57"/>
  <c r="M87" i="57"/>
  <c r="L87" i="57"/>
  <c r="L135" i="57" s="1"/>
  <c r="K87" i="57"/>
  <c r="K135" i="57" s="1"/>
  <c r="D87" i="57"/>
  <c r="C87" i="57"/>
  <c r="B87" i="57"/>
  <c r="N86" i="57"/>
  <c r="M86" i="57"/>
  <c r="L86" i="57"/>
  <c r="K86" i="57"/>
  <c r="K134" i="57" s="1"/>
  <c r="D86" i="57"/>
  <c r="C86" i="57"/>
  <c r="B86" i="57"/>
  <c r="N85" i="57"/>
  <c r="M85" i="57"/>
  <c r="L85" i="57"/>
  <c r="K85" i="57"/>
  <c r="K133" i="57" s="1"/>
  <c r="D85" i="57"/>
  <c r="C85" i="57"/>
  <c r="B85" i="57"/>
  <c r="N84" i="57"/>
  <c r="M84" i="57"/>
  <c r="L84" i="57"/>
  <c r="K84" i="57"/>
  <c r="D84" i="57"/>
  <c r="C84" i="57"/>
  <c r="B84" i="57"/>
  <c r="N83" i="57"/>
  <c r="M83" i="57"/>
  <c r="L83" i="57"/>
  <c r="K83" i="57"/>
  <c r="D83" i="57"/>
  <c r="C83" i="57"/>
  <c r="B83" i="57"/>
  <c r="N82" i="57"/>
  <c r="M82" i="57"/>
  <c r="L82" i="57"/>
  <c r="K82" i="57"/>
  <c r="D82" i="57"/>
  <c r="C82" i="57"/>
  <c r="B82" i="57"/>
  <c r="N81" i="57"/>
  <c r="M81" i="57"/>
  <c r="L81" i="57"/>
  <c r="K81" i="57"/>
  <c r="D81" i="57"/>
  <c r="C81" i="57"/>
  <c r="B81" i="57"/>
  <c r="N80" i="57"/>
  <c r="M80" i="57"/>
  <c r="L80" i="57"/>
  <c r="K80" i="57"/>
  <c r="D80" i="57"/>
  <c r="C80" i="57"/>
  <c r="B80" i="57"/>
  <c r="N79" i="57"/>
  <c r="M79" i="57"/>
  <c r="L79" i="57"/>
  <c r="K79" i="57"/>
  <c r="K127" i="57" s="1"/>
  <c r="D79" i="57"/>
  <c r="C79" i="57"/>
  <c r="B79" i="57"/>
  <c r="N78" i="57"/>
  <c r="M78" i="57"/>
  <c r="L78" i="57"/>
  <c r="K78" i="57"/>
  <c r="D78" i="57"/>
  <c r="C78" i="57"/>
  <c r="B78" i="57"/>
  <c r="N77" i="57"/>
  <c r="M77" i="57"/>
  <c r="L77" i="57"/>
  <c r="K77" i="57"/>
  <c r="D77" i="57"/>
  <c r="C77" i="57"/>
  <c r="B77" i="57"/>
  <c r="N76" i="57"/>
  <c r="M76" i="57"/>
  <c r="L76" i="57"/>
  <c r="K76" i="57"/>
  <c r="D76" i="57"/>
  <c r="C76" i="57"/>
  <c r="B76" i="57"/>
  <c r="N75" i="57"/>
  <c r="M75" i="57"/>
  <c r="L75" i="57"/>
  <c r="K75" i="57"/>
  <c r="D75" i="57"/>
  <c r="C75" i="57"/>
  <c r="B75" i="57"/>
  <c r="N74" i="57"/>
  <c r="M74" i="57"/>
  <c r="L74" i="57"/>
  <c r="K74" i="57"/>
  <c r="D74" i="57"/>
  <c r="C74" i="57"/>
  <c r="B74" i="57"/>
  <c r="N73" i="57"/>
  <c r="M73" i="57"/>
  <c r="L73" i="57"/>
  <c r="K73" i="57"/>
  <c r="D73" i="57"/>
  <c r="C73" i="57"/>
  <c r="B73" i="57"/>
  <c r="N72" i="57"/>
  <c r="M72" i="57"/>
  <c r="L72" i="57"/>
  <c r="K72" i="57"/>
  <c r="D72" i="57"/>
  <c r="C72" i="57"/>
  <c r="B72" i="57"/>
  <c r="N71" i="57"/>
  <c r="M71" i="57"/>
  <c r="L71" i="57"/>
  <c r="K71" i="57"/>
  <c r="D71" i="57"/>
  <c r="C71" i="57"/>
  <c r="B71" i="57"/>
  <c r="N70" i="57"/>
  <c r="M70" i="57"/>
  <c r="L70" i="57"/>
  <c r="K70" i="57"/>
  <c r="D70" i="57"/>
  <c r="C70" i="57"/>
  <c r="B70" i="57"/>
  <c r="N69" i="57"/>
  <c r="M69" i="57"/>
  <c r="L69" i="57"/>
  <c r="K69" i="57"/>
  <c r="D69" i="57"/>
  <c r="C69" i="57"/>
  <c r="B69" i="57"/>
  <c r="N68" i="57"/>
  <c r="M68" i="57"/>
  <c r="L68" i="57"/>
  <c r="K68" i="57"/>
  <c r="D68" i="57"/>
  <c r="C68" i="57"/>
  <c r="B68" i="57"/>
  <c r="N67" i="57"/>
  <c r="M67" i="57"/>
  <c r="L67" i="57"/>
  <c r="K67" i="57"/>
  <c r="D67" i="57"/>
  <c r="C67" i="57"/>
  <c r="B67" i="57"/>
  <c r="N66" i="57"/>
  <c r="M66" i="57"/>
  <c r="L66" i="57"/>
  <c r="K66" i="57"/>
  <c r="D66" i="57"/>
  <c r="C66" i="57"/>
  <c r="B66" i="57"/>
  <c r="N65" i="57"/>
  <c r="M65" i="57"/>
  <c r="L65" i="57"/>
  <c r="K65" i="57"/>
  <c r="D65" i="57"/>
  <c r="C65" i="57"/>
  <c r="B65" i="57"/>
  <c r="N64" i="57"/>
  <c r="M64" i="57"/>
  <c r="L64" i="57"/>
  <c r="K64" i="57"/>
  <c r="D64" i="57"/>
  <c r="C64" i="57"/>
  <c r="B64" i="57"/>
  <c r="N63" i="57"/>
  <c r="M63" i="57"/>
  <c r="L63" i="57"/>
  <c r="K63" i="57"/>
  <c r="D63" i="57"/>
  <c r="C63" i="57"/>
  <c r="B63" i="57"/>
  <c r="N62" i="57"/>
  <c r="M62" i="57"/>
  <c r="L62" i="57"/>
  <c r="K62" i="57"/>
  <c r="D62" i="57"/>
  <c r="C62" i="57"/>
  <c r="B62" i="57"/>
  <c r="N61" i="57"/>
  <c r="M61" i="57"/>
  <c r="L61" i="57"/>
  <c r="K61" i="57"/>
  <c r="D61" i="57"/>
  <c r="C61" i="57"/>
  <c r="B61" i="57"/>
  <c r="N60" i="57"/>
  <c r="M60" i="57"/>
  <c r="L60" i="57"/>
  <c r="K60" i="57"/>
  <c r="D60" i="57"/>
  <c r="C60" i="57"/>
  <c r="B60" i="57"/>
  <c r="N59" i="57"/>
  <c r="M59" i="57"/>
  <c r="L59" i="57"/>
  <c r="K59" i="57"/>
  <c r="D59" i="57"/>
  <c r="C59" i="57"/>
  <c r="B59" i="57"/>
  <c r="N58" i="57"/>
  <c r="M58" i="57"/>
  <c r="L58" i="57"/>
  <c r="K58" i="57"/>
  <c r="D58" i="57"/>
  <c r="C58" i="57"/>
  <c r="B58" i="57"/>
  <c r="N57" i="57"/>
  <c r="M57" i="57"/>
  <c r="L57" i="57"/>
  <c r="K57" i="57"/>
  <c r="D57" i="57"/>
  <c r="C57" i="57"/>
  <c r="B57" i="57"/>
  <c r="N56" i="57"/>
  <c r="M56" i="57"/>
  <c r="L56" i="57"/>
  <c r="K56" i="57"/>
  <c r="D56" i="57"/>
  <c r="C56" i="57"/>
  <c r="B56" i="57"/>
  <c r="N55" i="57"/>
  <c r="M55" i="57"/>
  <c r="L55" i="57"/>
  <c r="K55" i="57"/>
  <c r="D55" i="57"/>
  <c r="C55" i="57"/>
  <c r="B55" i="57"/>
  <c r="N54" i="57"/>
  <c r="M54" i="57"/>
  <c r="L54" i="57"/>
  <c r="K54" i="57"/>
  <c r="D54" i="57"/>
  <c r="C54" i="57"/>
  <c r="B54" i="57"/>
  <c r="N53" i="57"/>
  <c r="M53" i="57"/>
  <c r="L53" i="57"/>
  <c r="K53" i="57"/>
  <c r="D53" i="57"/>
  <c r="C53" i="57"/>
  <c r="B53" i="57"/>
  <c r="N52" i="57"/>
  <c r="M52" i="57"/>
  <c r="L52" i="57"/>
  <c r="K52" i="57"/>
  <c r="D52" i="57"/>
  <c r="C52" i="57"/>
  <c r="B52" i="57"/>
  <c r="N51" i="57"/>
  <c r="M51" i="57"/>
  <c r="L51" i="57"/>
  <c r="K51" i="57"/>
  <c r="D51" i="57"/>
  <c r="C51" i="57"/>
  <c r="B51" i="57"/>
  <c r="N50" i="57"/>
  <c r="M50" i="57"/>
  <c r="L50" i="57"/>
  <c r="K50" i="57"/>
  <c r="D50" i="57"/>
  <c r="C50" i="57"/>
  <c r="B50" i="57"/>
  <c r="N49" i="57"/>
  <c r="M49" i="57"/>
  <c r="L49" i="57"/>
  <c r="K49" i="57"/>
  <c r="D49" i="57"/>
  <c r="C49" i="57"/>
  <c r="B49" i="57"/>
  <c r="N48" i="57"/>
  <c r="M48" i="57"/>
  <c r="L48" i="57"/>
  <c r="K48" i="57"/>
  <c r="D48" i="57"/>
  <c r="C48" i="57"/>
  <c r="B48" i="57"/>
  <c r="N47" i="57"/>
  <c r="M47" i="57"/>
  <c r="L47" i="57"/>
  <c r="K47" i="57"/>
  <c r="D47" i="57"/>
  <c r="C47" i="57"/>
  <c r="B47" i="57"/>
  <c r="N46" i="57"/>
  <c r="M46" i="57"/>
  <c r="L46" i="57"/>
  <c r="K46" i="57"/>
  <c r="D46" i="57"/>
  <c r="C46" i="57"/>
  <c r="B46" i="57"/>
  <c r="N45" i="57"/>
  <c r="M45" i="57"/>
  <c r="L45" i="57"/>
  <c r="K45" i="57"/>
  <c r="D45" i="57"/>
  <c r="C45" i="57"/>
  <c r="B45" i="57"/>
  <c r="N44" i="57"/>
  <c r="M44" i="57"/>
  <c r="L44" i="57"/>
  <c r="K44" i="57"/>
  <c r="D44" i="57"/>
  <c r="C44" i="57"/>
  <c r="B44" i="57"/>
  <c r="N43" i="57"/>
  <c r="M43" i="57"/>
  <c r="L43" i="57"/>
  <c r="K43" i="57"/>
  <c r="D43" i="57"/>
  <c r="C43" i="57"/>
  <c r="B43" i="57"/>
  <c r="N42" i="57"/>
  <c r="M42" i="57"/>
  <c r="L42" i="57"/>
  <c r="K42" i="57"/>
  <c r="D42" i="57"/>
  <c r="C42" i="57"/>
  <c r="B42" i="57"/>
  <c r="N41" i="57"/>
  <c r="M41" i="57"/>
  <c r="L41" i="57"/>
  <c r="K41" i="57"/>
  <c r="D41" i="57"/>
  <c r="C41" i="57"/>
  <c r="B41" i="57"/>
  <c r="N40" i="57"/>
  <c r="M40" i="57"/>
  <c r="L40" i="57"/>
  <c r="K40" i="57"/>
  <c r="D40" i="57"/>
  <c r="C40" i="57"/>
  <c r="B40" i="57"/>
  <c r="N39" i="57"/>
  <c r="M39" i="57"/>
  <c r="L39" i="57"/>
  <c r="K39" i="57"/>
  <c r="D39" i="57"/>
  <c r="C39" i="57"/>
  <c r="B39" i="57"/>
  <c r="N38" i="57"/>
  <c r="M38" i="57"/>
  <c r="L38" i="57"/>
  <c r="K38" i="57"/>
  <c r="D38" i="57"/>
  <c r="C38" i="57"/>
  <c r="B38" i="57"/>
  <c r="N37" i="57"/>
  <c r="M37" i="57"/>
  <c r="L37" i="57"/>
  <c r="K37" i="57"/>
  <c r="D37" i="57"/>
  <c r="C37" i="57"/>
  <c r="B37" i="57"/>
  <c r="N36" i="57"/>
  <c r="M36" i="57"/>
  <c r="L36" i="57"/>
  <c r="K36" i="57"/>
  <c r="D36" i="57"/>
  <c r="C36" i="57"/>
  <c r="B36" i="57"/>
  <c r="N35" i="57"/>
  <c r="M35" i="57"/>
  <c r="L35" i="57"/>
  <c r="K35" i="57"/>
  <c r="D35" i="57"/>
  <c r="C35" i="57"/>
  <c r="B35" i="57"/>
  <c r="N34" i="57"/>
  <c r="M34" i="57"/>
  <c r="L34" i="57"/>
  <c r="K34" i="57"/>
  <c r="D34" i="57"/>
  <c r="C34" i="57"/>
  <c r="B34" i="57"/>
  <c r="N33" i="57"/>
  <c r="M33" i="57"/>
  <c r="L33" i="57"/>
  <c r="K33" i="57"/>
  <c r="D33" i="57"/>
  <c r="C33" i="57"/>
  <c r="B33" i="57"/>
  <c r="N32" i="57"/>
  <c r="M32" i="57"/>
  <c r="L32" i="57"/>
  <c r="K32" i="57"/>
  <c r="D32" i="57"/>
  <c r="C32" i="57"/>
  <c r="B32" i="57"/>
  <c r="N31" i="57"/>
  <c r="M31" i="57"/>
  <c r="L31" i="57"/>
  <c r="K31" i="57"/>
  <c r="D31" i="57"/>
  <c r="C31" i="57"/>
  <c r="B31" i="57"/>
  <c r="N30" i="57"/>
  <c r="M30" i="57"/>
  <c r="L30" i="57"/>
  <c r="K30" i="57"/>
  <c r="D30" i="57"/>
  <c r="C30" i="57"/>
  <c r="B30" i="57"/>
  <c r="N29" i="57"/>
  <c r="M29" i="57"/>
  <c r="L29" i="57"/>
  <c r="K29" i="57"/>
  <c r="D29" i="57"/>
  <c r="C29" i="57"/>
  <c r="B29" i="57"/>
  <c r="N28" i="57"/>
  <c r="M28" i="57"/>
  <c r="L28" i="57"/>
  <c r="K28" i="57"/>
  <c r="D28" i="57"/>
  <c r="C28" i="57"/>
  <c r="B28" i="57"/>
  <c r="N27" i="57"/>
  <c r="M27" i="57"/>
  <c r="L27" i="57"/>
  <c r="K27" i="57"/>
  <c r="D27" i="57"/>
  <c r="C27" i="57"/>
  <c r="B27" i="57"/>
  <c r="N26" i="57"/>
  <c r="M26" i="57"/>
  <c r="L26" i="57"/>
  <c r="K26" i="57"/>
  <c r="D26" i="57"/>
  <c r="C26" i="57"/>
  <c r="B26" i="57"/>
  <c r="N25" i="57"/>
  <c r="M25" i="57"/>
  <c r="L25" i="57"/>
  <c r="K25" i="57"/>
  <c r="D25" i="57"/>
  <c r="C25" i="57"/>
  <c r="B25" i="57"/>
  <c r="N24" i="57"/>
  <c r="M24" i="57"/>
  <c r="L24" i="57"/>
  <c r="K24" i="57"/>
  <c r="D24" i="57"/>
  <c r="C24" i="57"/>
  <c r="B24" i="57"/>
  <c r="N23" i="57"/>
  <c r="M23" i="57"/>
  <c r="L23" i="57"/>
  <c r="K23" i="57"/>
  <c r="D23" i="57"/>
  <c r="C23" i="57"/>
  <c r="B23" i="57"/>
  <c r="N22" i="57"/>
  <c r="M22" i="57"/>
  <c r="L22" i="57"/>
  <c r="K22" i="57"/>
  <c r="D22" i="57"/>
  <c r="C22" i="57"/>
  <c r="B22" i="57"/>
  <c r="N21" i="57"/>
  <c r="M21" i="57"/>
  <c r="L21" i="57"/>
  <c r="K21" i="57"/>
  <c r="D21" i="57"/>
  <c r="C21" i="57"/>
  <c r="B21" i="57"/>
  <c r="N20" i="57"/>
  <c r="M20" i="57"/>
  <c r="L20" i="57"/>
  <c r="K20" i="57"/>
  <c r="D20" i="57"/>
  <c r="C20" i="57"/>
  <c r="B20" i="57"/>
  <c r="N19" i="57"/>
  <c r="M19" i="57"/>
  <c r="L19" i="57"/>
  <c r="K19" i="57"/>
  <c r="D19" i="57"/>
  <c r="C19" i="57"/>
  <c r="B19" i="57"/>
  <c r="N18" i="57"/>
  <c r="M18" i="57"/>
  <c r="L18" i="57"/>
  <c r="K18" i="57"/>
  <c r="D18" i="57"/>
  <c r="C18" i="57"/>
  <c r="B18" i="57"/>
  <c r="N17" i="57"/>
  <c r="M17" i="57"/>
  <c r="L17" i="57"/>
  <c r="K17" i="57"/>
  <c r="D17" i="57"/>
  <c r="C17" i="57"/>
  <c r="B17" i="57"/>
  <c r="N16" i="57"/>
  <c r="M16" i="57"/>
  <c r="L16" i="57"/>
  <c r="K16" i="57"/>
  <c r="D16" i="57"/>
  <c r="C16" i="57"/>
  <c r="B16" i="57"/>
  <c r="N15" i="57"/>
  <c r="M15" i="57"/>
  <c r="L15" i="57"/>
  <c r="K15" i="57"/>
  <c r="D15" i="57"/>
  <c r="C15" i="57"/>
  <c r="B15" i="57"/>
  <c r="N14" i="57"/>
  <c r="M14" i="57"/>
  <c r="L14" i="57"/>
  <c r="K14" i="57"/>
  <c r="D14" i="57"/>
  <c r="C14" i="57"/>
  <c r="B14" i="57"/>
  <c r="N13" i="57"/>
  <c r="M13" i="57"/>
  <c r="L13" i="57"/>
  <c r="K13" i="57"/>
  <c r="D13" i="57"/>
  <c r="C13" i="57"/>
  <c r="B13" i="57"/>
  <c r="N12" i="57"/>
  <c r="M12" i="57"/>
  <c r="L12" i="57"/>
  <c r="K12" i="57"/>
  <c r="D12" i="57"/>
  <c r="C12" i="57"/>
  <c r="B12" i="57"/>
  <c r="N11" i="57"/>
  <c r="M11" i="57"/>
  <c r="L11" i="57"/>
  <c r="K11" i="57"/>
  <c r="D11" i="57"/>
  <c r="C11" i="57"/>
  <c r="B11" i="57"/>
  <c r="N10" i="57"/>
  <c r="M10" i="57"/>
  <c r="L10" i="57"/>
  <c r="K10" i="57"/>
  <c r="D10" i="57"/>
  <c r="C10" i="57"/>
  <c r="B10" i="57"/>
  <c r="N9" i="57"/>
  <c r="M9" i="57"/>
  <c r="L9" i="57"/>
  <c r="K9" i="57"/>
  <c r="D9" i="57"/>
  <c r="C9" i="57"/>
  <c r="B9" i="57"/>
  <c r="N8" i="57"/>
  <c r="M8" i="57"/>
  <c r="L8" i="57"/>
  <c r="K8" i="57"/>
  <c r="D8" i="57"/>
  <c r="C8" i="57"/>
  <c r="B8" i="57"/>
  <c r="N7" i="57"/>
  <c r="M7" i="57"/>
  <c r="L7" i="57"/>
  <c r="K7" i="57"/>
  <c r="D7" i="57"/>
  <c r="C7" i="57"/>
  <c r="B7" i="57"/>
  <c r="N6" i="57"/>
  <c r="M6" i="57"/>
  <c r="L6" i="57"/>
  <c r="K6" i="57"/>
  <c r="D6" i="57"/>
  <c r="C6" i="57"/>
  <c r="B6" i="57"/>
  <c r="N5" i="57"/>
  <c r="M5" i="57"/>
  <c r="L5" i="57"/>
  <c r="K5" i="57"/>
  <c r="D5" i="57"/>
  <c r="C5" i="57"/>
  <c r="B5" i="57"/>
  <c r="N4" i="57"/>
  <c r="M4" i="57"/>
  <c r="L4" i="57"/>
  <c r="K4" i="57"/>
  <c r="D4" i="57"/>
  <c r="C4" i="57"/>
  <c r="B4" i="57"/>
  <c r="N3" i="57"/>
  <c r="M3" i="57"/>
  <c r="L3" i="57"/>
  <c r="K3" i="57"/>
  <c r="D3" i="57"/>
  <c r="C3" i="57"/>
  <c r="B3" i="57"/>
  <c r="N4" i="46"/>
  <c r="N5" i="46"/>
  <c r="N6" i="46"/>
  <c r="N7" i="46"/>
  <c r="N8" i="46"/>
  <c r="N9" i="46"/>
  <c r="N10" i="46"/>
  <c r="N11" i="46"/>
  <c r="N12" i="46"/>
  <c r="N13" i="46"/>
  <c r="N14" i="46"/>
  <c r="N15" i="46"/>
  <c r="N16" i="46"/>
  <c r="N17" i="46"/>
  <c r="N18" i="46"/>
  <c r="N19" i="46"/>
  <c r="N20" i="46"/>
  <c r="N21" i="46"/>
  <c r="N22" i="46"/>
  <c r="N23" i="46"/>
  <c r="N24" i="46"/>
  <c r="N25" i="46"/>
  <c r="N26" i="46"/>
  <c r="N27" i="46"/>
  <c r="N28" i="46"/>
  <c r="N29" i="46"/>
  <c r="N30" i="46"/>
  <c r="N31" i="46"/>
  <c r="N32" i="46"/>
  <c r="N33" i="46"/>
  <c r="N34" i="46"/>
  <c r="N35" i="46"/>
  <c r="N36" i="46"/>
  <c r="N37" i="46"/>
  <c r="N38" i="46"/>
  <c r="N39" i="46"/>
  <c r="N40" i="46"/>
  <c r="N41" i="46"/>
  <c r="N42" i="46"/>
  <c r="N43" i="46"/>
  <c r="N44" i="46"/>
  <c r="N45" i="46"/>
  <c r="N46" i="46"/>
  <c r="N47" i="46"/>
  <c r="N48" i="46"/>
  <c r="N49" i="46"/>
  <c r="N50" i="46"/>
  <c r="N51" i="46"/>
  <c r="N52" i="46"/>
  <c r="N53" i="46"/>
  <c r="N54" i="46"/>
  <c r="N55" i="46"/>
  <c r="N56" i="46"/>
  <c r="N57" i="46"/>
  <c r="N58" i="46"/>
  <c r="N59" i="46"/>
  <c r="N60" i="46"/>
  <c r="N61" i="46"/>
  <c r="N62" i="46"/>
  <c r="N63" i="46"/>
  <c r="N64" i="46"/>
  <c r="N65" i="46"/>
  <c r="N66" i="46"/>
  <c r="N67" i="46"/>
  <c r="N68" i="46"/>
  <c r="N69" i="46"/>
  <c r="N70" i="46"/>
  <c r="N71" i="46"/>
  <c r="N72" i="46"/>
  <c r="N73" i="46"/>
  <c r="N74" i="46"/>
  <c r="N75" i="46"/>
  <c r="N76" i="46"/>
  <c r="N77" i="46"/>
  <c r="N78" i="46"/>
  <c r="N79" i="46"/>
  <c r="N80" i="46"/>
  <c r="N81" i="46"/>
  <c r="N82" i="46"/>
  <c r="N83" i="46"/>
  <c r="N84" i="46"/>
  <c r="N85" i="46"/>
  <c r="N86" i="46"/>
  <c r="N87" i="46"/>
  <c r="N88" i="46"/>
  <c r="N89" i="46"/>
  <c r="N90" i="46"/>
  <c r="N91" i="46"/>
  <c r="N92" i="46"/>
  <c r="N93" i="46"/>
  <c r="N94" i="46"/>
  <c r="N95" i="46"/>
  <c r="N96" i="46"/>
  <c r="N97" i="46"/>
  <c r="N98" i="46"/>
  <c r="N99" i="46"/>
  <c r="N100" i="46"/>
  <c r="N101" i="46"/>
  <c r="N102" i="46"/>
  <c r="N103" i="46"/>
  <c r="N104" i="46"/>
  <c r="N105" i="46"/>
  <c r="N106" i="46"/>
  <c r="N107" i="46"/>
  <c r="N108" i="46"/>
  <c r="N109" i="46"/>
  <c r="N110" i="46"/>
  <c r="N111" i="46"/>
  <c r="N112" i="46"/>
  <c r="N113" i="46"/>
  <c r="N114" i="46"/>
  <c r="N115" i="46"/>
  <c r="N116" i="46"/>
  <c r="N117" i="46"/>
  <c r="N118" i="46"/>
  <c r="N119" i="46"/>
  <c r="N120" i="46"/>
  <c r="N121" i="46"/>
  <c r="N122" i="46"/>
  <c r="N123" i="46"/>
  <c r="N124" i="46"/>
  <c r="N125" i="46"/>
  <c r="N126" i="46"/>
  <c r="N127" i="46"/>
  <c r="N128" i="46"/>
  <c r="N129" i="46"/>
  <c r="N130" i="46"/>
  <c r="N131" i="46"/>
  <c r="N132" i="46"/>
  <c r="N133" i="46"/>
  <c r="N134" i="46"/>
  <c r="N3" i="46"/>
  <c r="L4" i="22"/>
  <c r="L5" i="22"/>
  <c r="L6" i="22"/>
  <c r="L7" i="22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4" i="22"/>
  <c r="L55" i="22"/>
  <c r="L56" i="22"/>
  <c r="L57" i="22"/>
  <c r="L58" i="22"/>
  <c r="L59" i="22"/>
  <c r="L60" i="22"/>
  <c r="L61" i="22"/>
  <c r="L62" i="22"/>
  <c r="L63" i="22"/>
  <c r="L64" i="22"/>
  <c r="L65" i="22"/>
  <c r="L66" i="22"/>
  <c r="L67" i="22"/>
  <c r="L68" i="22"/>
  <c r="L69" i="22"/>
  <c r="L70" i="22"/>
  <c r="L71" i="22"/>
  <c r="L72" i="22"/>
  <c r="L73" i="22"/>
  <c r="L74" i="22"/>
  <c r="L75" i="22"/>
  <c r="L76" i="22"/>
  <c r="L77" i="22"/>
  <c r="L78" i="22"/>
  <c r="L79" i="22"/>
  <c r="L80" i="22"/>
  <c r="L81" i="22"/>
  <c r="L82" i="22"/>
  <c r="L83" i="22"/>
  <c r="L84" i="22"/>
  <c r="L85" i="22"/>
  <c r="L86" i="22"/>
  <c r="L87" i="22"/>
  <c r="L88" i="22"/>
  <c r="L89" i="22"/>
  <c r="L90" i="22"/>
  <c r="L91" i="22"/>
  <c r="L92" i="22"/>
  <c r="L93" i="22"/>
  <c r="L94" i="22"/>
  <c r="L95" i="22"/>
  <c r="L96" i="22"/>
  <c r="L97" i="22"/>
  <c r="L98" i="22"/>
  <c r="L99" i="22"/>
  <c r="L100" i="22"/>
  <c r="L101" i="22"/>
  <c r="L102" i="22"/>
  <c r="L103" i="22"/>
  <c r="L104" i="22"/>
  <c r="L105" i="22"/>
  <c r="L106" i="22"/>
  <c r="L107" i="22"/>
  <c r="L108" i="22"/>
  <c r="L109" i="22"/>
  <c r="L110" i="22"/>
  <c r="L111" i="22"/>
  <c r="L112" i="22"/>
  <c r="L113" i="22"/>
  <c r="L114" i="22"/>
  <c r="L115" i="22"/>
  <c r="L116" i="22"/>
  <c r="L117" i="22"/>
  <c r="L118" i="22"/>
  <c r="L119" i="22"/>
  <c r="L120" i="22"/>
  <c r="L121" i="22"/>
  <c r="L122" i="22"/>
  <c r="L123" i="22"/>
  <c r="L124" i="22"/>
  <c r="L125" i="22"/>
  <c r="L126" i="22"/>
  <c r="L127" i="22"/>
  <c r="L128" i="22"/>
  <c r="L129" i="22"/>
  <c r="L130" i="22"/>
  <c r="L131" i="22"/>
  <c r="L132" i="22"/>
  <c r="L133" i="22"/>
  <c r="L134" i="22"/>
  <c r="L3" i="22"/>
  <c r="K151" i="20"/>
  <c r="K146" i="20"/>
  <c r="K158" i="20" s="1"/>
  <c r="K145" i="20"/>
  <c r="K157" i="20" s="1"/>
  <c r="K144" i="20"/>
  <c r="K156" i="20" s="1"/>
  <c r="K143" i="20"/>
  <c r="K155" i="20" s="1"/>
  <c r="K142" i="20"/>
  <c r="K154" i="20" s="1"/>
  <c r="K141" i="20"/>
  <c r="K153" i="20" s="1"/>
  <c r="K140" i="20"/>
  <c r="K152" i="20" s="1"/>
  <c r="K139" i="20"/>
  <c r="K138" i="20"/>
  <c r="K150" i="20" s="1"/>
  <c r="K137" i="20"/>
  <c r="K149" i="20" s="1"/>
  <c r="K136" i="20"/>
  <c r="K148" i="20" s="1"/>
  <c r="K135" i="20"/>
  <c r="K147" i="20" s="1"/>
  <c r="M136" i="44"/>
  <c r="M137" i="44"/>
  <c r="M138" i="44"/>
  <c r="M139" i="44"/>
  <c r="M140" i="44"/>
  <c r="M141" i="44"/>
  <c r="M142" i="44"/>
  <c r="M154" i="44" s="1"/>
  <c r="M143" i="44"/>
  <c r="M155" i="44" s="1"/>
  <c r="M144" i="44"/>
  <c r="M145" i="44"/>
  <c r="M146" i="44"/>
  <c r="M147" i="44"/>
  <c r="M148" i="44"/>
  <c r="M149" i="44"/>
  <c r="M150" i="44"/>
  <c r="M151" i="44"/>
  <c r="M152" i="44"/>
  <c r="M153" i="44"/>
  <c r="M156" i="44"/>
  <c r="M157" i="44"/>
  <c r="M158" i="44"/>
  <c r="M135" i="44"/>
  <c r="M4" i="44"/>
  <c r="M5" i="44"/>
  <c r="M6" i="44"/>
  <c r="M7" i="44"/>
  <c r="M8" i="44"/>
  <c r="M9" i="44"/>
  <c r="M10" i="44"/>
  <c r="M11" i="44"/>
  <c r="M12" i="44"/>
  <c r="M13" i="44"/>
  <c r="M14" i="44"/>
  <c r="M15" i="44"/>
  <c r="M16" i="44"/>
  <c r="M17" i="44"/>
  <c r="M18" i="44"/>
  <c r="M19" i="44"/>
  <c r="M20" i="44"/>
  <c r="M21" i="44"/>
  <c r="M22" i="44"/>
  <c r="M23" i="44"/>
  <c r="M24" i="44"/>
  <c r="M25" i="44"/>
  <c r="M26" i="44"/>
  <c r="M27" i="44"/>
  <c r="M28" i="44"/>
  <c r="M29" i="44"/>
  <c r="M30" i="44"/>
  <c r="M31" i="44"/>
  <c r="M32" i="44"/>
  <c r="M33" i="44"/>
  <c r="M34" i="44"/>
  <c r="M35" i="44"/>
  <c r="M36" i="44"/>
  <c r="M37" i="44"/>
  <c r="M38" i="44"/>
  <c r="M39" i="44"/>
  <c r="M40" i="44"/>
  <c r="M41" i="44"/>
  <c r="M42" i="44"/>
  <c r="M43" i="44"/>
  <c r="M44" i="44"/>
  <c r="M45" i="44"/>
  <c r="M46" i="44"/>
  <c r="M47" i="44"/>
  <c r="M48" i="44"/>
  <c r="M49" i="44"/>
  <c r="M50" i="44"/>
  <c r="M51" i="44"/>
  <c r="M52" i="44"/>
  <c r="M53" i="44"/>
  <c r="M54" i="44"/>
  <c r="M55" i="44"/>
  <c r="M56" i="44"/>
  <c r="M57" i="44"/>
  <c r="M58" i="44"/>
  <c r="M59" i="44"/>
  <c r="M60" i="44"/>
  <c r="M61" i="44"/>
  <c r="M62" i="44"/>
  <c r="M63" i="44"/>
  <c r="M64" i="44"/>
  <c r="M65" i="44"/>
  <c r="M66" i="44"/>
  <c r="M67" i="44"/>
  <c r="M68" i="44"/>
  <c r="M69" i="44"/>
  <c r="M70" i="44"/>
  <c r="M71" i="44"/>
  <c r="M72" i="44"/>
  <c r="M73" i="44"/>
  <c r="M74" i="44"/>
  <c r="M75" i="44"/>
  <c r="M76" i="44"/>
  <c r="M77" i="44"/>
  <c r="M78" i="44"/>
  <c r="M79" i="44"/>
  <c r="M80" i="44"/>
  <c r="M81" i="44"/>
  <c r="M82" i="44"/>
  <c r="M83" i="44"/>
  <c r="M84" i="44"/>
  <c r="M85" i="44"/>
  <c r="M86" i="44"/>
  <c r="M87" i="44"/>
  <c r="M88" i="44"/>
  <c r="M89" i="44"/>
  <c r="M90" i="44"/>
  <c r="M91" i="44"/>
  <c r="M92" i="44"/>
  <c r="M93" i="44"/>
  <c r="M94" i="44"/>
  <c r="M95" i="44"/>
  <c r="M96" i="44"/>
  <c r="M97" i="44"/>
  <c r="M98" i="44"/>
  <c r="M99" i="44"/>
  <c r="M100" i="44"/>
  <c r="M101" i="44"/>
  <c r="M102" i="44"/>
  <c r="M103" i="44"/>
  <c r="M104" i="44"/>
  <c r="M105" i="44"/>
  <c r="M106" i="44"/>
  <c r="M107" i="44"/>
  <c r="M108" i="44"/>
  <c r="M109" i="44"/>
  <c r="M110" i="44"/>
  <c r="M111" i="44"/>
  <c r="M112" i="44"/>
  <c r="M113" i="44"/>
  <c r="M114" i="44"/>
  <c r="M115" i="44"/>
  <c r="M116" i="44"/>
  <c r="M117" i="44"/>
  <c r="M118" i="44"/>
  <c r="M119" i="44"/>
  <c r="M120" i="44"/>
  <c r="M121" i="44"/>
  <c r="M122" i="44"/>
  <c r="M123" i="44"/>
  <c r="M124" i="44"/>
  <c r="M125" i="44"/>
  <c r="M126" i="44"/>
  <c r="M127" i="44"/>
  <c r="M128" i="44"/>
  <c r="M129" i="44"/>
  <c r="M130" i="44"/>
  <c r="M131" i="44"/>
  <c r="M132" i="44"/>
  <c r="M133" i="44"/>
  <c r="M134" i="44"/>
  <c r="M3" i="44"/>
  <c r="N4" i="45"/>
  <c r="N5" i="45"/>
  <c r="N6" i="45"/>
  <c r="N7" i="45"/>
  <c r="N8" i="45"/>
  <c r="N9" i="45"/>
  <c r="N10" i="45"/>
  <c r="N11" i="45"/>
  <c r="N12" i="45"/>
  <c r="N13" i="45"/>
  <c r="N14" i="45"/>
  <c r="N15" i="45"/>
  <c r="N16" i="45"/>
  <c r="N17" i="45"/>
  <c r="N18" i="45"/>
  <c r="N19" i="45"/>
  <c r="N20" i="45"/>
  <c r="N21" i="45"/>
  <c r="N22" i="45"/>
  <c r="N23" i="45"/>
  <c r="N24" i="45"/>
  <c r="N25" i="45"/>
  <c r="N26" i="45"/>
  <c r="N27" i="45"/>
  <c r="N28" i="45"/>
  <c r="N29" i="45"/>
  <c r="N30" i="45"/>
  <c r="N31" i="45"/>
  <c r="N32" i="45"/>
  <c r="N33" i="45"/>
  <c r="N34" i="45"/>
  <c r="N35" i="45"/>
  <c r="N36" i="45"/>
  <c r="N37" i="45"/>
  <c r="N38" i="45"/>
  <c r="N39" i="45"/>
  <c r="N40" i="45"/>
  <c r="N41" i="45"/>
  <c r="N42" i="45"/>
  <c r="N43" i="45"/>
  <c r="N44" i="45"/>
  <c r="N45" i="45"/>
  <c r="N46" i="45"/>
  <c r="N47" i="45"/>
  <c r="N48" i="45"/>
  <c r="N49" i="45"/>
  <c r="N50" i="45"/>
  <c r="N51" i="45"/>
  <c r="N52" i="45"/>
  <c r="N53" i="45"/>
  <c r="N54" i="45"/>
  <c r="N55" i="45"/>
  <c r="N56" i="45"/>
  <c r="N57" i="45"/>
  <c r="N58" i="45"/>
  <c r="N59" i="45"/>
  <c r="N60" i="45"/>
  <c r="N61" i="45"/>
  <c r="N62" i="45"/>
  <c r="N63" i="45"/>
  <c r="N64" i="45"/>
  <c r="N65" i="45"/>
  <c r="N66" i="45"/>
  <c r="N67" i="45"/>
  <c r="N68" i="45"/>
  <c r="N69" i="45"/>
  <c r="N70" i="45"/>
  <c r="N71" i="45"/>
  <c r="N72" i="45"/>
  <c r="N73" i="45"/>
  <c r="N74" i="45"/>
  <c r="N75" i="45"/>
  <c r="N76" i="45"/>
  <c r="N77" i="45"/>
  <c r="N78" i="45"/>
  <c r="N79" i="45"/>
  <c r="N80" i="45"/>
  <c r="N81" i="45"/>
  <c r="N82" i="45"/>
  <c r="N83" i="45"/>
  <c r="N84" i="45"/>
  <c r="N85" i="45"/>
  <c r="N86" i="45"/>
  <c r="N87" i="45"/>
  <c r="N88" i="45"/>
  <c r="N89" i="45"/>
  <c r="N90" i="45"/>
  <c r="N91" i="45"/>
  <c r="N92" i="45"/>
  <c r="N93" i="45"/>
  <c r="N94" i="45"/>
  <c r="N95" i="45"/>
  <c r="N96" i="45"/>
  <c r="N97" i="45"/>
  <c r="N98" i="45"/>
  <c r="N99" i="45"/>
  <c r="N100" i="45"/>
  <c r="N101" i="45"/>
  <c r="N102" i="45"/>
  <c r="N103" i="45"/>
  <c r="N104" i="45"/>
  <c r="N105" i="45"/>
  <c r="N106" i="45"/>
  <c r="N107" i="45"/>
  <c r="N108" i="45"/>
  <c r="N109" i="45"/>
  <c r="N110" i="45"/>
  <c r="N111" i="45"/>
  <c r="N112" i="45"/>
  <c r="N113" i="45"/>
  <c r="N114" i="45"/>
  <c r="N115" i="45"/>
  <c r="N116" i="45"/>
  <c r="N117" i="45"/>
  <c r="N118" i="45"/>
  <c r="N119" i="45"/>
  <c r="N120" i="45"/>
  <c r="N121" i="45"/>
  <c r="N122" i="45"/>
  <c r="N123" i="45"/>
  <c r="N124" i="45"/>
  <c r="N125" i="45"/>
  <c r="N126" i="45"/>
  <c r="N127" i="45"/>
  <c r="N128" i="45"/>
  <c r="N129" i="45"/>
  <c r="N130" i="45"/>
  <c r="N131" i="45"/>
  <c r="N132" i="45"/>
  <c r="N133" i="45"/>
  <c r="N134" i="45"/>
  <c r="N3" i="45"/>
  <c r="N2" i="45"/>
  <c r="L3" i="37"/>
  <c r="L4" i="37"/>
  <c r="L5" i="37"/>
  <c r="L6" i="37"/>
  <c r="L7" i="37"/>
  <c r="L8" i="37"/>
  <c r="L9" i="37"/>
  <c r="L10" i="37"/>
  <c r="L11" i="37"/>
  <c r="L12" i="37"/>
  <c r="L13" i="37"/>
  <c r="L14" i="37"/>
  <c r="L15" i="37"/>
  <c r="L16" i="37"/>
  <c r="L17" i="37"/>
  <c r="L18" i="37"/>
  <c r="L19" i="37"/>
  <c r="L20" i="37"/>
  <c r="L21" i="37"/>
  <c r="L22" i="37"/>
  <c r="L23" i="37"/>
  <c r="L24" i="37"/>
  <c r="L25" i="37"/>
  <c r="L26" i="37"/>
  <c r="L27" i="37"/>
  <c r="L28" i="37"/>
  <c r="L29" i="37"/>
  <c r="L30" i="37"/>
  <c r="L31" i="37"/>
  <c r="L32" i="37"/>
  <c r="L33" i="37"/>
  <c r="L34" i="37"/>
  <c r="L35" i="37"/>
  <c r="L36" i="37"/>
  <c r="L37" i="37"/>
  <c r="L38" i="37"/>
  <c r="L39" i="37"/>
  <c r="L40" i="37"/>
  <c r="L41" i="37"/>
  <c r="L42" i="37"/>
  <c r="L43" i="37"/>
  <c r="L44" i="37"/>
  <c r="L45" i="37"/>
  <c r="L46" i="37"/>
  <c r="L47" i="37"/>
  <c r="L48" i="37"/>
  <c r="L49" i="37"/>
  <c r="L50" i="37"/>
  <c r="L51" i="37"/>
  <c r="L52" i="37"/>
  <c r="L53" i="37"/>
  <c r="L54" i="37"/>
  <c r="L55" i="37"/>
  <c r="L56" i="37"/>
  <c r="L57" i="37"/>
  <c r="L58" i="37"/>
  <c r="L59" i="37"/>
  <c r="L60" i="37"/>
  <c r="L61" i="37"/>
  <c r="L62" i="37"/>
  <c r="L63" i="37"/>
  <c r="L64" i="37"/>
  <c r="L65" i="37"/>
  <c r="L66" i="37"/>
  <c r="L67" i="37"/>
  <c r="L68" i="37"/>
  <c r="L69" i="37"/>
  <c r="L70" i="37"/>
  <c r="L71" i="37"/>
  <c r="L72" i="37"/>
  <c r="L73" i="37"/>
  <c r="L74" i="37"/>
  <c r="L75" i="37"/>
  <c r="L76" i="37"/>
  <c r="L77" i="37"/>
  <c r="L78" i="37"/>
  <c r="L79" i="37"/>
  <c r="L80" i="37"/>
  <c r="L81" i="37"/>
  <c r="L82" i="37"/>
  <c r="L83" i="37"/>
  <c r="L84" i="37"/>
  <c r="L85" i="37"/>
  <c r="L86" i="37"/>
  <c r="L87" i="37"/>
  <c r="L88" i="37"/>
  <c r="L89" i="37"/>
  <c r="L90" i="37"/>
  <c r="L91" i="37"/>
  <c r="L92" i="37"/>
  <c r="L93" i="37"/>
  <c r="L94" i="37"/>
  <c r="L95" i="37"/>
  <c r="L96" i="37"/>
  <c r="L97" i="37"/>
  <c r="L98" i="37"/>
  <c r="L99" i="37"/>
  <c r="L100" i="37"/>
  <c r="L101" i="37"/>
  <c r="L102" i="37"/>
  <c r="L103" i="37"/>
  <c r="L104" i="37"/>
  <c r="L105" i="37"/>
  <c r="L106" i="37"/>
  <c r="L107" i="37"/>
  <c r="L108" i="37"/>
  <c r="L109" i="37"/>
  <c r="L110" i="37"/>
  <c r="L111" i="37"/>
  <c r="L112" i="37"/>
  <c r="L113" i="37"/>
  <c r="L114" i="37"/>
  <c r="L115" i="37"/>
  <c r="L116" i="37"/>
  <c r="L117" i="37"/>
  <c r="L118" i="37"/>
  <c r="L119" i="37"/>
  <c r="L120" i="37"/>
  <c r="L121" i="37"/>
  <c r="L122" i="37"/>
  <c r="L123" i="37"/>
  <c r="L124" i="37"/>
  <c r="L125" i="37"/>
  <c r="L126" i="37"/>
  <c r="L127" i="37"/>
  <c r="L128" i="37"/>
  <c r="L129" i="37"/>
  <c r="L130" i="37"/>
  <c r="L131" i="37"/>
  <c r="L132" i="37"/>
  <c r="L133" i="37"/>
  <c r="L134" i="37"/>
  <c r="L2" i="37"/>
  <c r="D166" i="57" l="1"/>
  <c r="D167" i="57"/>
  <c r="A168" i="57"/>
  <c r="D168" i="59"/>
  <c r="N135" i="58"/>
  <c r="D167" i="58"/>
  <c r="D166" i="58"/>
  <c r="D168" i="58"/>
  <c r="A169" i="58"/>
  <c r="N147" i="58"/>
  <c r="D167" i="59"/>
  <c r="N147" i="59"/>
  <c r="D169" i="59"/>
  <c r="A170" i="59"/>
  <c r="N135" i="59"/>
  <c r="N148" i="59" l="1"/>
  <c r="N136" i="58"/>
  <c r="A170" i="58"/>
  <c r="D169" i="58"/>
  <c r="N136" i="59"/>
  <c r="A171" i="59"/>
  <c r="D170" i="59"/>
  <c r="N148" i="58"/>
  <c r="D168" i="57"/>
  <c r="A169" i="57"/>
  <c r="N149" i="58" l="1"/>
  <c r="N137" i="58"/>
  <c r="A170" i="57"/>
  <c r="D169" i="57"/>
  <c r="N137" i="59"/>
  <c r="A171" i="58"/>
  <c r="D170" i="58"/>
  <c r="N149" i="59"/>
  <c r="A172" i="59"/>
  <c r="D171" i="59"/>
  <c r="N138" i="58" l="1"/>
  <c r="N150" i="59"/>
  <c r="N138" i="59"/>
  <c r="A172" i="58"/>
  <c r="D171" i="58"/>
  <c r="A171" i="57"/>
  <c r="D170" i="57"/>
  <c r="N150" i="58"/>
  <c r="D172" i="59"/>
  <c r="A173" i="59"/>
  <c r="N139" i="58" l="1"/>
  <c r="D171" i="57"/>
  <c r="A172" i="57"/>
  <c r="D173" i="59"/>
  <c r="A174" i="59"/>
  <c r="D172" i="58"/>
  <c r="A173" i="58"/>
  <c r="N151" i="59"/>
  <c r="N151" i="58"/>
  <c r="N139" i="59"/>
  <c r="N152" i="58" l="1"/>
  <c r="N140" i="59"/>
  <c r="A174" i="58"/>
  <c r="D173" i="58"/>
  <c r="N152" i="59"/>
  <c r="A175" i="59"/>
  <c r="D174" i="59"/>
  <c r="A173" i="57"/>
  <c r="D172" i="57"/>
  <c r="N140" i="58"/>
  <c r="A176" i="59" l="1"/>
  <c r="D175" i="59"/>
  <c r="N141" i="59"/>
  <c r="N153" i="58"/>
  <c r="N153" i="59"/>
  <c r="N141" i="58"/>
  <c r="A174" i="57"/>
  <c r="D173" i="57"/>
  <c r="A175" i="58"/>
  <c r="D174" i="58"/>
  <c r="D174" i="57" l="1"/>
  <c r="A175" i="57"/>
  <c r="N154" i="59"/>
  <c r="N142" i="59"/>
  <c r="D175" i="58"/>
  <c r="A176" i="58"/>
  <c r="D176" i="59"/>
  <c r="A177" i="59"/>
  <c r="N142" i="58"/>
  <c r="N154" i="58"/>
  <c r="N155" i="59" l="1"/>
  <c r="N143" i="58"/>
  <c r="D175" i="57"/>
  <c r="A176" i="57"/>
  <c r="N155" i="58"/>
  <c r="D177" i="59"/>
  <c r="A178" i="59"/>
  <c r="D176" i="58"/>
  <c r="A177" i="58"/>
  <c r="N143" i="59"/>
  <c r="A178" i="58" l="1"/>
  <c r="N156" i="58"/>
  <c r="N144" i="58"/>
  <c r="N144" i="59"/>
  <c r="A177" i="57"/>
  <c r="D176" i="57"/>
  <c r="A179" i="59"/>
  <c r="N156" i="59"/>
  <c r="N146" i="59" l="1"/>
  <c r="N145" i="59"/>
  <c r="N146" i="58"/>
  <c r="N145" i="58"/>
  <c r="N158" i="59"/>
  <c r="N157" i="59"/>
  <c r="A178" i="57"/>
  <c r="N158" i="58"/>
  <c r="N157" i="58"/>
  <c r="K22" i="20" l="1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65" i="20"/>
  <c r="K66" i="20"/>
  <c r="K67" i="20"/>
  <c r="K68" i="20"/>
  <c r="K69" i="20"/>
  <c r="K70" i="20"/>
  <c r="K71" i="20"/>
  <c r="K72" i="20"/>
  <c r="K73" i="20"/>
  <c r="K74" i="20"/>
  <c r="K75" i="20"/>
  <c r="K76" i="20"/>
  <c r="K77" i="20"/>
  <c r="K78" i="20"/>
  <c r="K79" i="20"/>
  <c r="K80" i="20"/>
  <c r="K81" i="20"/>
  <c r="K82" i="20"/>
  <c r="K83" i="20"/>
  <c r="K84" i="20"/>
  <c r="K85" i="20"/>
  <c r="K86" i="20"/>
  <c r="K87" i="20"/>
  <c r="K88" i="20"/>
  <c r="K89" i="20"/>
  <c r="K90" i="20"/>
  <c r="K91" i="20"/>
  <c r="K92" i="20"/>
  <c r="K93" i="20"/>
  <c r="K94" i="20"/>
  <c r="K95" i="20"/>
  <c r="K96" i="20"/>
  <c r="K97" i="20"/>
  <c r="K98" i="20"/>
  <c r="K99" i="20"/>
  <c r="K100" i="20"/>
  <c r="K101" i="20"/>
  <c r="K102" i="20"/>
  <c r="K103" i="20"/>
  <c r="K104" i="20"/>
  <c r="K105" i="20"/>
  <c r="K106" i="20"/>
  <c r="K107" i="20"/>
  <c r="K108" i="20"/>
  <c r="K109" i="20"/>
  <c r="K110" i="20"/>
  <c r="K111" i="20"/>
  <c r="K112" i="20"/>
  <c r="K113" i="20"/>
  <c r="K114" i="20"/>
  <c r="K115" i="20"/>
  <c r="K116" i="20"/>
  <c r="K117" i="20"/>
  <c r="K118" i="20"/>
  <c r="K119" i="20"/>
  <c r="K120" i="20"/>
  <c r="K121" i="20"/>
  <c r="K122" i="20"/>
  <c r="K123" i="20"/>
  <c r="K124" i="20"/>
  <c r="K125" i="20"/>
  <c r="K126" i="20"/>
  <c r="K127" i="20"/>
  <c r="K128" i="20"/>
  <c r="K129" i="20"/>
  <c r="K130" i="20"/>
  <c r="K131" i="20"/>
  <c r="K132" i="20"/>
  <c r="K133" i="20"/>
  <c r="K134" i="20"/>
  <c r="K4" i="20"/>
  <c r="K5" i="20"/>
  <c r="K6" i="20"/>
  <c r="K7" i="20"/>
  <c r="K8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3" i="20"/>
  <c r="BA132" i="24"/>
  <c r="BB132" i="24"/>
  <c r="BC132" i="24"/>
  <c r="BD132" i="24"/>
  <c r="BE132" i="24"/>
  <c r="BA133" i="24"/>
  <c r="BB133" i="24"/>
  <c r="BC133" i="24"/>
  <c r="BD133" i="24"/>
  <c r="BE133" i="24"/>
  <c r="BF133" i="24"/>
  <c r="BF132" i="24"/>
  <c r="C27" i="17"/>
  <c r="H15" i="17"/>
  <c r="H16" i="17"/>
  <c r="H17" i="17"/>
  <c r="H18" i="17"/>
  <c r="E15" i="17"/>
  <c r="E16" i="17"/>
  <c r="E17" i="17"/>
  <c r="E18" i="17"/>
  <c r="Z4" i="17" l="1"/>
  <c r="Z5" i="17"/>
  <c r="Z6" i="17"/>
  <c r="Z7" i="17"/>
  <c r="Z8" i="17"/>
  <c r="Z9" i="17"/>
  <c r="Z10" i="17"/>
  <c r="Z11" i="17"/>
  <c r="Z12" i="17"/>
  <c r="Z13" i="17"/>
  <c r="Z14" i="17"/>
  <c r="G30" i="54"/>
  <c r="B30" i="54"/>
  <c r="C30" i="54" s="1"/>
  <c r="B29" i="54"/>
  <c r="C29" i="54" s="1"/>
  <c r="G28" i="54"/>
  <c r="B28" i="54"/>
  <c r="C28" i="54" s="1"/>
  <c r="H28" i="54" s="1"/>
  <c r="B27" i="54"/>
  <c r="G27" i="54" s="1"/>
  <c r="G26" i="54"/>
  <c r="B26" i="54"/>
  <c r="C26" i="54" s="1"/>
  <c r="B25" i="54"/>
  <c r="C25" i="54" s="1"/>
  <c r="G24" i="54"/>
  <c r="C24" i="54"/>
  <c r="H24" i="54" s="1"/>
  <c r="B24" i="54"/>
  <c r="B23" i="54"/>
  <c r="G23" i="54" s="1"/>
  <c r="K13" i="54"/>
  <c r="L13" i="54" s="1"/>
  <c r="M13" i="54" s="1"/>
  <c r="J13" i="54"/>
  <c r="I13" i="54"/>
  <c r="H13" i="54"/>
  <c r="G13" i="54"/>
  <c r="K12" i="54"/>
  <c r="L12" i="54" s="1"/>
  <c r="M12" i="54" s="1"/>
  <c r="J12" i="54"/>
  <c r="I12" i="54"/>
  <c r="H12" i="54"/>
  <c r="G12" i="54"/>
  <c r="K11" i="54"/>
  <c r="L11" i="54" s="1"/>
  <c r="M11" i="54" s="1"/>
  <c r="J11" i="54"/>
  <c r="I11" i="54"/>
  <c r="N11" i="54" s="1"/>
  <c r="H11" i="54"/>
  <c r="G11" i="54"/>
  <c r="K10" i="54"/>
  <c r="L10" i="54" s="1"/>
  <c r="M10" i="54" s="1"/>
  <c r="J10" i="54"/>
  <c r="I10" i="54"/>
  <c r="H10" i="54"/>
  <c r="G10" i="54"/>
  <c r="K9" i="54"/>
  <c r="L9" i="54" s="1"/>
  <c r="M9" i="54" s="1"/>
  <c r="J9" i="54"/>
  <c r="I9" i="54"/>
  <c r="H9" i="54"/>
  <c r="G9" i="54"/>
  <c r="K8" i="54"/>
  <c r="L8" i="54" s="1"/>
  <c r="M8" i="54" s="1"/>
  <c r="J8" i="54"/>
  <c r="I8" i="54"/>
  <c r="H8" i="54"/>
  <c r="K7" i="54"/>
  <c r="L7" i="54" s="1"/>
  <c r="M7" i="54" s="1"/>
  <c r="J7" i="54"/>
  <c r="I7" i="54"/>
  <c r="N7" i="54" s="1"/>
  <c r="H7" i="54"/>
  <c r="K6" i="54"/>
  <c r="L6" i="54" s="1"/>
  <c r="M6" i="54" s="1"/>
  <c r="J6" i="54"/>
  <c r="I6" i="54"/>
  <c r="N6" i="54" s="1"/>
  <c r="H6" i="54"/>
  <c r="G25" i="54" l="1"/>
  <c r="G29" i="54"/>
  <c r="N10" i="54"/>
  <c r="D26" i="54"/>
  <c r="I26" i="54" s="1"/>
  <c r="J26" i="54" s="1"/>
  <c r="H26" i="54"/>
  <c r="D30" i="54"/>
  <c r="I30" i="54" s="1"/>
  <c r="H30" i="54"/>
  <c r="J30" i="54"/>
  <c r="N8" i="54"/>
  <c r="N12" i="54"/>
  <c r="H25" i="54"/>
  <c r="D25" i="54"/>
  <c r="I25" i="54" s="1"/>
  <c r="H29" i="54"/>
  <c r="D29" i="54"/>
  <c r="I29" i="54" s="1"/>
  <c r="N9" i="54"/>
  <c r="N13" i="54"/>
  <c r="B44" i="54" s="1"/>
  <c r="C23" i="54"/>
  <c r="D24" i="54"/>
  <c r="I24" i="54" s="1"/>
  <c r="J24" i="54" s="1"/>
  <c r="B38" i="54" s="1"/>
  <c r="C27" i="54"/>
  <c r="D28" i="54"/>
  <c r="I28" i="54" s="1"/>
  <c r="J28" i="54" s="1"/>
  <c r="B42" i="54" s="1"/>
  <c r="J25" i="54" l="1"/>
  <c r="K42" i="54"/>
  <c r="J42" i="54"/>
  <c r="L42" i="54"/>
  <c r="M42" i="54"/>
  <c r="I42" i="54"/>
  <c r="M38" i="54"/>
  <c r="I38" i="54"/>
  <c r="L38" i="54"/>
  <c r="K38" i="54"/>
  <c r="J38" i="54"/>
  <c r="H23" i="54"/>
  <c r="D23" i="54"/>
  <c r="I23" i="54" s="1"/>
  <c r="J29" i="54"/>
  <c r="L44" i="54"/>
  <c r="K44" i="54"/>
  <c r="I44" i="54"/>
  <c r="J44" i="54"/>
  <c r="M44" i="54"/>
  <c r="B43" i="54"/>
  <c r="H27" i="54"/>
  <c r="D27" i="54"/>
  <c r="I27" i="54" s="1"/>
  <c r="B40" i="54"/>
  <c r="B39" i="54"/>
  <c r="N42" i="54" l="1"/>
  <c r="N44" i="54"/>
  <c r="M40" i="54"/>
  <c r="I40" i="54"/>
  <c r="L40" i="54"/>
  <c r="J40" i="54"/>
  <c r="K40" i="54"/>
  <c r="M43" i="54"/>
  <c r="I43" i="54"/>
  <c r="L43" i="54"/>
  <c r="J43" i="54"/>
  <c r="K43" i="54"/>
  <c r="J23" i="54"/>
  <c r="N38" i="54"/>
  <c r="M39" i="54"/>
  <c r="I39" i="54"/>
  <c r="L39" i="54"/>
  <c r="K39" i="54"/>
  <c r="J39" i="54"/>
  <c r="J27" i="54"/>
  <c r="B41" i="54" s="1"/>
  <c r="J41" i="54" s="1"/>
  <c r="K37" i="54" l="1"/>
  <c r="J37" i="54"/>
  <c r="L37" i="54"/>
  <c r="M37" i="54"/>
  <c r="I37" i="54"/>
  <c r="N43" i="54"/>
  <c r="L41" i="54"/>
  <c r="M41" i="54"/>
  <c r="K41" i="54"/>
  <c r="I41" i="54"/>
  <c r="N40" i="54"/>
  <c r="N39" i="54"/>
  <c r="M45" i="54" l="1"/>
  <c r="L45" i="54"/>
  <c r="J45" i="54"/>
  <c r="N41" i="54"/>
  <c r="I45" i="54"/>
  <c r="N37" i="54"/>
  <c r="K45" i="54"/>
  <c r="J59" i="54" l="1"/>
  <c r="J62" i="54" s="1"/>
  <c r="K59" i="54"/>
  <c r="K62" i="54" s="1"/>
  <c r="I59" i="54"/>
  <c r="M59" i="54"/>
  <c r="M62" i="54" s="1"/>
  <c r="L59" i="54"/>
  <c r="L62" i="54" s="1"/>
  <c r="E20" i="9"/>
  <c r="D20" i="9"/>
  <c r="F20" i="9"/>
  <c r="C20" i="9"/>
  <c r="G20" i="9"/>
  <c r="N45" i="54"/>
  <c r="N59" i="54" l="1"/>
  <c r="I62" i="54"/>
  <c r="N62" i="54" s="1"/>
  <c r="T178" i="57"/>
  <c r="T177" i="57"/>
  <c r="T179" i="59"/>
  <c r="T178" i="59"/>
  <c r="S177" i="58"/>
  <c r="S178" i="58"/>
  <c r="T135" i="46"/>
  <c r="N135" i="46" s="1"/>
  <c r="L135" i="46"/>
  <c r="J135" i="22"/>
  <c r="F7" i="18"/>
  <c r="F8" i="18"/>
  <c r="F9" i="18"/>
  <c r="F10" i="18"/>
  <c r="F11" i="18"/>
  <c r="F12" i="18"/>
  <c r="F6" i="18"/>
  <c r="K61" i="17"/>
  <c r="N61" i="17"/>
  <c r="O62" i="17"/>
  <c r="O63" i="17" s="1"/>
  <c r="O64" i="17" s="1"/>
  <c r="O65" i="17" s="1"/>
  <c r="O66" i="17" s="1"/>
  <c r="O67" i="17" s="1"/>
  <c r="O68" i="17" s="1"/>
  <c r="O69" i="17" s="1"/>
  <c r="O70" i="17" s="1"/>
  <c r="O71" i="17" s="1"/>
  <c r="O73" i="17" s="1"/>
  <c r="O74" i="17" s="1"/>
  <c r="O75" i="17" s="1"/>
  <c r="O76" i="17" s="1"/>
  <c r="O77" i="17" s="1"/>
  <c r="O78" i="17" s="1"/>
  <c r="O79" i="17" s="1"/>
  <c r="O80" i="17" s="1"/>
  <c r="O81" i="17" s="1"/>
  <c r="O82" i="17" s="1"/>
  <c r="O83" i="17" s="1"/>
  <c r="K49" i="17"/>
  <c r="N49" i="17"/>
  <c r="Q49" i="17"/>
  <c r="T49" i="17"/>
  <c r="W49" i="17"/>
  <c r="K50" i="17"/>
  <c r="N50" i="17"/>
  <c r="Q50" i="17"/>
  <c r="T50" i="17"/>
  <c r="W50" i="17"/>
  <c r="K51" i="17"/>
  <c r="N51" i="17"/>
  <c r="Q51" i="17"/>
  <c r="T51" i="17"/>
  <c r="W51" i="17"/>
  <c r="K52" i="17"/>
  <c r="N52" i="17"/>
  <c r="Q52" i="17"/>
  <c r="T52" i="17"/>
  <c r="W52" i="17"/>
  <c r="K53" i="17"/>
  <c r="N53" i="17"/>
  <c r="Q53" i="17"/>
  <c r="T53" i="17"/>
  <c r="W53" i="17"/>
  <c r="K54" i="17"/>
  <c r="N54" i="17"/>
  <c r="Q54" i="17"/>
  <c r="T54" i="17"/>
  <c r="W54" i="17"/>
  <c r="K55" i="17"/>
  <c r="N55" i="17"/>
  <c r="Q55" i="17"/>
  <c r="T55" i="17"/>
  <c r="W55" i="17"/>
  <c r="K56" i="17"/>
  <c r="N56" i="17"/>
  <c r="Q56" i="17"/>
  <c r="T56" i="17"/>
  <c r="W56" i="17"/>
  <c r="K57" i="17"/>
  <c r="N57" i="17"/>
  <c r="Q57" i="17"/>
  <c r="T57" i="17"/>
  <c r="W57" i="17"/>
  <c r="K58" i="17"/>
  <c r="N58" i="17"/>
  <c r="Q58" i="17"/>
  <c r="T58" i="17"/>
  <c r="W58" i="17"/>
  <c r="K59" i="17"/>
  <c r="N59" i="17"/>
  <c r="Q59" i="17"/>
  <c r="T59" i="17"/>
  <c r="W59" i="17"/>
  <c r="T48" i="17"/>
  <c r="W48" i="17"/>
  <c r="H49" i="17"/>
  <c r="H50" i="17"/>
  <c r="H51" i="17"/>
  <c r="H52" i="17"/>
  <c r="H53" i="17"/>
  <c r="H54" i="17"/>
  <c r="H55" i="17"/>
  <c r="H56" i="17"/>
  <c r="H57" i="17"/>
  <c r="H58" i="17"/>
  <c r="H59" i="17"/>
  <c r="E49" i="17"/>
  <c r="E50" i="17"/>
  <c r="E51" i="17"/>
  <c r="E52" i="17"/>
  <c r="E53" i="17"/>
  <c r="E54" i="17"/>
  <c r="E55" i="17"/>
  <c r="E56" i="17"/>
  <c r="E57" i="17"/>
  <c r="E58" i="17"/>
  <c r="E59" i="17"/>
  <c r="Q48" i="17"/>
  <c r="N48" i="17"/>
  <c r="K48" i="17"/>
  <c r="H48" i="17"/>
  <c r="E48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 s="1"/>
  <c r="N135" i="44" s="1"/>
  <c r="X18" i="17"/>
  <c r="X17" i="17"/>
  <c r="X16" i="17"/>
  <c r="X15" i="17"/>
  <c r="X14" i="17"/>
  <c r="X13" i="17"/>
  <c r="X12" i="17"/>
  <c r="X11" i="17"/>
  <c r="X10" i="17"/>
  <c r="X9" i="17"/>
  <c r="X8" i="17"/>
  <c r="X7" i="17"/>
  <c r="X6" i="17"/>
  <c r="U18" i="17"/>
  <c r="U17" i="17"/>
  <c r="U16" i="17"/>
  <c r="U15" i="17"/>
  <c r="U14" i="17"/>
  <c r="U13" i="17"/>
  <c r="U12" i="17"/>
  <c r="U11" i="17"/>
  <c r="U10" i="17"/>
  <c r="U9" i="17"/>
  <c r="U8" i="17"/>
  <c r="U7" i="17"/>
  <c r="U6" i="17"/>
  <c r="U5" i="17"/>
  <c r="R18" i="17"/>
  <c r="R17" i="17"/>
  <c r="R16" i="17"/>
  <c r="R15" i="17"/>
  <c r="R14" i="17"/>
  <c r="R13" i="17"/>
  <c r="R12" i="17"/>
  <c r="R11" i="17"/>
  <c r="R10" i="17"/>
  <c r="R9" i="17"/>
  <c r="R8" i="17"/>
  <c r="R7" i="17"/>
  <c r="R6" i="17"/>
  <c r="R5" i="17"/>
  <c r="O18" i="17"/>
  <c r="O17" i="17"/>
  <c r="O16" i="17"/>
  <c r="O15" i="17"/>
  <c r="O14" i="17"/>
  <c r="O13" i="17"/>
  <c r="O12" i="17"/>
  <c r="O11" i="17"/>
  <c r="O10" i="17"/>
  <c r="O9" i="17"/>
  <c r="O8" i="17"/>
  <c r="O7" i="17"/>
  <c r="O6" i="17"/>
  <c r="O5" i="17"/>
  <c r="L18" i="17"/>
  <c r="L17" i="17"/>
  <c r="L16" i="17"/>
  <c r="L15" i="17"/>
  <c r="L12" i="17"/>
  <c r="L11" i="17"/>
  <c r="L10" i="17"/>
  <c r="L9" i="17"/>
  <c r="L8" i="17"/>
  <c r="L7" i="17"/>
  <c r="L6" i="17"/>
  <c r="L5" i="17"/>
  <c r="I18" i="17"/>
  <c r="I17" i="17"/>
  <c r="I16" i="17"/>
  <c r="I15" i="17"/>
  <c r="I14" i="17"/>
  <c r="I13" i="17"/>
  <c r="I12" i="17"/>
  <c r="I11" i="17"/>
  <c r="I10" i="17"/>
  <c r="I9" i="17"/>
  <c r="I8" i="17"/>
  <c r="I7" i="17"/>
  <c r="I6" i="17"/>
  <c r="I5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C5" i="17"/>
  <c r="C6" i="17"/>
  <c r="C7" i="17"/>
  <c r="C8" i="17"/>
  <c r="C9" i="17"/>
  <c r="C10" i="17"/>
  <c r="C11" i="17"/>
  <c r="C12" i="17"/>
  <c r="C13" i="17"/>
  <c r="C14" i="17"/>
  <c r="M136" i="46"/>
  <c r="M137" i="46"/>
  <c r="M138" i="46"/>
  <c r="M139" i="46"/>
  <c r="M140" i="46"/>
  <c r="M141" i="46"/>
  <c r="M142" i="46"/>
  <c r="M143" i="46"/>
  <c r="M144" i="46"/>
  <c r="M147" i="46"/>
  <c r="M148" i="46"/>
  <c r="M149" i="46"/>
  <c r="M150" i="46"/>
  <c r="M151" i="46"/>
  <c r="M152" i="46"/>
  <c r="M153" i="46"/>
  <c r="M154" i="46"/>
  <c r="M155" i="46"/>
  <c r="M156" i="46"/>
  <c r="M135" i="46"/>
  <c r="M133" i="46"/>
  <c r="M134" i="46"/>
  <c r="B128" i="46"/>
  <c r="C128" i="46"/>
  <c r="D128" i="46"/>
  <c r="L128" i="46"/>
  <c r="B129" i="46"/>
  <c r="C129" i="46"/>
  <c r="D129" i="46"/>
  <c r="L129" i="46"/>
  <c r="B130" i="46"/>
  <c r="C130" i="46"/>
  <c r="D130" i="46"/>
  <c r="L130" i="46"/>
  <c r="B131" i="46"/>
  <c r="C131" i="46"/>
  <c r="D131" i="46"/>
  <c r="L131" i="46"/>
  <c r="B132" i="46"/>
  <c r="C132" i="46"/>
  <c r="D132" i="46"/>
  <c r="L132" i="46"/>
  <c r="B133" i="46"/>
  <c r="C133" i="46"/>
  <c r="D133" i="46"/>
  <c r="L133" i="46"/>
  <c r="B134" i="46"/>
  <c r="C134" i="46"/>
  <c r="D134" i="46"/>
  <c r="L134" i="46"/>
  <c r="B128" i="45"/>
  <c r="C128" i="45"/>
  <c r="D128" i="45"/>
  <c r="L128" i="45"/>
  <c r="B129" i="45"/>
  <c r="C129" i="45"/>
  <c r="D129" i="45"/>
  <c r="L129" i="45"/>
  <c r="B130" i="45"/>
  <c r="C130" i="45"/>
  <c r="D130" i="45"/>
  <c r="L130" i="45"/>
  <c r="B131" i="45"/>
  <c r="C131" i="45"/>
  <c r="D131" i="45"/>
  <c r="L131" i="45"/>
  <c r="B132" i="45"/>
  <c r="C132" i="45"/>
  <c r="D132" i="45"/>
  <c r="L132" i="45"/>
  <c r="B133" i="45"/>
  <c r="C133" i="45"/>
  <c r="D133" i="45"/>
  <c r="L133" i="45"/>
  <c r="B134" i="45"/>
  <c r="C134" i="45"/>
  <c r="D134" i="45"/>
  <c r="L134" i="45"/>
  <c r="B128" i="44"/>
  <c r="C128" i="44"/>
  <c r="D128" i="44"/>
  <c r="N128" i="44"/>
  <c r="B129" i="44"/>
  <c r="C129" i="44"/>
  <c r="D129" i="44"/>
  <c r="N129" i="44"/>
  <c r="B130" i="44"/>
  <c r="C130" i="44"/>
  <c r="D130" i="44"/>
  <c r="N130" i="44"/>
  <c r="B131" i="44"/>
  <c r="C131" i="44"/>
  <c r="D131" i="44"/>
  <c r="N131" i="44"/>
  <c r="B132" i="44"/>
  <c r="C132" i="44"/>
  <c r="D132" i="44"/>
  <c r="N132" i="44"/>
  <c r="B133" i="44"/>
  <c r="C133" i="44"/>
  <c r="D133" i="44"/>
  <c r="N133" i="44"/>
  <c r="B134" i="44"/>
  <c r="C134" i="44"/>
  <c r="D134" i="44"/>
  <c r="N134" i="44"/>
  <c r="B128" i="22"/>
  <c r="C128" i="22"/>
  <c r="D128" i="22"/>
  <c r="J128" i="22"/>
  <c r="B129" i="22"/>
  <c r="C129" i="22"/>
  <c r="D129" i="22"/>
  <c r="J129" i="22"/>
  <c r="B130" i="22"/>
  <c r="C130" i="22"/>
  <c r="D130" i="22"/>
  <c r="J130" i="22"/>
  <c r="B131" i="22"/>
  <c r="C131" i="22"/>
  <c r="D131" i="22"/>
  <c r="J131" i="22"/>
  <c r="B132" i="22"/>
  <c r="C132" i="22"/>
  <c r="D132" i="22"/>
  <c r="J132" i="22"/>
  <c r="B133" i="22"/>
  <c r="C133" i="22"/>
  <c r="D133" i="22"/>
  <c r="J133" i="22"/>
  <c r="K133" i="22"/>
  <c r="B134" i="22"/>
  <c r="C134" i="22"/>
  <c r="D134" i="22"/>
  <c r="J134" i="22"/>
  <c r="K134" i="22"/>
  <c r="B128" i="37"/>
  <c r="C128" i="37"/>
  <c r="D128" i="37"/>
  <c r="J128" i="37"/>
  <c r="B129" i="37"/>
  <c r="C129" i="37"/>
  <c r="D129" i="37"/>
  <c r="J129" i="37"/>
  <c r="B130" i="37"/>
  <c r="C130" i="37"/>
  <c r="D130" i="37"/>
  <c r="J130" i="37"/>
  <c r="B131" i="37"/>
  <c r="C131" i="37"/>
  <c r="D131" i="37"/>
  <c r="J131" i="37"/>
  <c r="B132" i="37"/>
  <c r="C132" i="37"/>
  <c r="D132" i="37"/>
  <c r="J132" i="37"/>
  <c r="B133" i="37"/>
  <c r="C133" i="37"/>
  <c r="D133" i="37"/>
  <c r="J133" i="37"/>
  <c r="B134" i="37"/>
  <c r="C134" i="37"/>
  <c r="D134" i="37"/>
  <c r="J134" i="37"/>
  <c r="AI130" i="24"/>
  <c r="AJ130" i="24"/>
  <c r="AK130" i="24"/>
  <c r="AL130" i="24"/>
  <c r="AM130" i="24"/>
  <c r="AN130" i="24"/>
  <c r="AO130" i="24"/>
  <c r="AP130" i="24"/>
  <c r="AQ130" i="24"/>
  <c r="H131" i="57" s="1"/>
  <c r="AR130" i="24"/>
  <c r="AS130" i="24"/>
  <c r="AT130" i="24"/>
  <c r="AU130" i="24"/>
  <c r="AV130" i="24"/>
  <c r="AW130" i="24"/>
  <c r="AX130" i="24"/>
  <c r="AY130" i="24"/>
  <c r="AI131" i="24"/>
  <c r="AJ131" i="24"/>
  <c r="AK131" i="24"/>
  <c r="AL131" i="24"/>
  <c r="AM131" i="24"/>
  <c r="AN131" i="24"/>
  <c r="AO131" i="24"/>
  <c r="AP131" i="24"/>
  <c r="AQ131" i="24"/>
  <c r="H132" i="57" s="1"/>
  <c r="AR131" i="24"/>
  <c r="AS131" i="24"/>
  <c r="AT131" i="24"/>
  <c r="AU131" i="24"/>
  <c r="AV131" i="24"/>
  <c r="AW131" i="24"/>
  <c r="AX131" i="24"/>
  <c r="AY131" i="24"/>
  <c r="AI132" i="24"/>
  <c r="AJ132" i="24"/>
  <c r="AK132" i="24"/>
  <c r="AL132" i="24"/>
  <c r="AM132" i="24"/>
  <c r="AN132" i="24"/>
  <c r="AO132" i="24"/>
  <c r="AP132" i="24"/>
  <c r="AQ132" i="24"/>
  <c r="H133" i="20" s="1"/>
  <c r="AR132" i="24"/>
  <c r="AS132" i="24"/>
  <c r="AT132" i="24"/>
  <c r="AU132" i="24"/>
  <c r="AV132" i="24"/>
  <c r="AW132" i="24"/>
  <c r="AX132" i="24"/>
  <c r="AY132" i="24"/>
  <c r="AI133" i="24"/>
  <c r="AJ133" i="24"/>
  <c r="AK133" i="24"/>
  <c r="AL133" i="24"/>
  <c r="AM133" i="24"/>
  <c r="AN133" i="24"/>
  <c r="AO133" i="24"/>
  <c r="AP133" i="24"/>
  <c r="AQ133" i="24"/>
  <c r="AR133" i="24"/>
  <c r="AS133" i="24"/>
  <c r="AT133" i="24"/>
  <c r="AU133" i="24"/>
  <c r="AV133" i="24"/>
  <c r="AW133" i="24"/>
  <c r="AX133" i="24"/>
  <c r="AY133" i="24"/>
  <c r="B128" i="20"/>
  <c r="C128" i="20"/>
  <c r="D128" i="20"/>
  <c r="L128" i="20"/>
  <c r="B129" i="20"/>
  <c r="C129" i="20"/>
  <c r="D129" i="20"/>
  <c r="L129" i="20"/>
  <c r="B130" i="20"/>
  <c r="C130" i="20"/>
  <c r="D130" i="20"/>
  <c r="L130" i="20"/>
  <c r="B131" i="20"/>
  <c r="C131" i="20"/>
  <c r="D131" i="20"/>
  <c r="H131" i="20"/>
  <c r="L131" i="20"/>
  <c r="B132" i="20"/>
  <c r="C132" i="20"/>
  <c r="D132" i="20"/>
  <c r="H132" i="20"/>
  <c r="L132" i="20"/>
  <c r="B133" i="20"/>
  <c r="C133" i="20"/>
  <c r="D133" i="20"/>
  <c r="L133" i="20"/>
  <c r="B134" i="20"/>
  <c r="C134" i="20"/>
  <c r="D134" i="20"/>
  <c r="L134" i="20"/>
  <c r="Y50" i="32"/>
  <c r="Z50" i="32"/>
  <c r="AA50" i="32"/>
  <c r="AB50" i="32"/>
  <c r="AC50" i="32"/>
  <c r="AD50" i="32"/>
  <c r="AE50" i="32"/>
  <c r="AF50" i="32"/>
  <c r="AG50" i="32"/>
  <c r="AH50" i="32"/>
  <c r="AI50" i="32"/>
  <c r="AJ50" i="32"/>
  <c r="AM50" i="32"/>
  <c r="AN50" i="32"/>
  <c r="AO50" i="32"/>
  <c r="AP50" i="32"/>
  <c r="AQ50" i="32"/>
  <c r="AR50" i="32"/>
  <c r="AS50" i="32"/>
  <c r="AT50" i="32"/>
  <c r="AU50" i="32"/>
  <c r="AV50" i="32"/>
  <c r="AW50" i="32"/>
  <c r="AX50" i="32"/>
  <c r="BA50" i="32"/>
  <c r="BB50" i="32"/>
  <c r="BC50" i="32"/>
  <c r="BD50" i="32"/>
  <c r="BE50" i="32"/>
  <c r="BF50" i="32"/>
  <c r="BG50" i="32"/>
  <c r="BH50" i="32"/>
  <c r="BI50" i="32"/>
  <c r="BJ50" i="32"/>
  <c r="BK50" i="32"/>
  <c r="BL50" i="32"/>
  <c r="BO50" i="32"/>
  <c r="BP50" i="32"/>
  <c r="BQ50" i="32"/>
  <c r="BR50" i="32"/>
  <c r="BS50" i="32"/>
  <c r="BT50" i="32"/>
  <c r="BU50" i="32"/>
  <c r="BV50" i="32"/>
  <c r="BW50" i="32"/>
  <c r="BX50" i="32"/>
  <c r="BY50" i="32"/>
  <c r="BZ50" i="32"/>
  <c r="CC50" i="32"/>
  <c r="CD50" i="32"/>
  <c r="CE50" i="32"/>
  <c r="CF50" i="32"/>
  <c r="CG50" i="32"/>
  <c r="CH50" i="32"/>
  <c r="CI50" i="32"/>
  <c r="CJ50" i="32"/>
  <c r="CK50" i="32"/>
  <c r="CL50" i="32"/>
  <c r="CM50" i="32"/>
  <c r="CN50" i="32"/>
  <c r="CQ50" i="32"/>
  <c r="CR50" i="32"/>
  <c r="CS50" i="32"/>
  <c r="CT50" i="32"/>
  <c r="CU50" i="32"/>
  <c r="CV50" i="32"/>
  <c r="CW50" i="32"/>
  <c r="CX50" i="32"/>
  <c r="CY50" i="32"/>
  <c r="CZ50" i="32"/>
  <c r="DA50" i="32"/>
  <c r="DB50" i="32"/>
  <c r="DE50" i="32"/>
  <c r="DF50" i="32"/>
  <c r="DG50" i="32"/>
  <c r="DH50" i="32"/>
  <c r="DI50" i="32"/>
  <c r="DJ50" i="32"/>
  <c r="DK50" i="32"/>
  <c r="DL50" i="32"/>
  <c r="DM50" i="32"/>
  <c r="DN50" i="32"/>
  <c r="DO50" i="32"/>
  <c r="DP50" i="32"/>
  <c r="DS50" i="32"/>
  <c r="DT50" i="32"/>
  <c r="DU50" i="32"/>
  <c r="DV50" i="32"/>
  <c r="DW50" i="32"/>
  <c r="DX50" i="32"/>
  <c r="DY50" i="32"/>
  <c r="DZ50" i="32"/>
  <c r="EA50" i="32"/>
  <c r="EB50" i="32"/>
  <c r="EC50" i="32"/>
  <c r="ED50" i="32"/>
  <c r="Y51" i="32"/>
  <c r="Z51" i="32"/>
  <c r="AA51" i="32"/>
  <c r="AB51" i="32"/>
  <c r="AC51" i="32"/>
  <c r="AD51" i="32"/>
  <c r="AE51" i="32"/>
  <c r="AF51" i="32"/>
  <c r="AG51" i="32"/>
  <c r="AH51" i="32"/>
  <c r="AI51" i="32"/>
  <c r="AJ51" i="32"/>
  <c r="AM51" i="32"/>
  <c r="AN51" i="32"/>
  <c r="AO51" i="32"/>
  <c r="AP51" i="32"/>
  <c r="AQ51" i="32"/>
  <c r="AR51" i="32"/>
  <c r="AS51" i="32"/>
  <c r="AT51" i="32"/>
  <c r="AU51" i="32"/>
  <c r="AV51" i="32"/>
  <c r="AW51" i="32"/>
  <c r="AX51" i="32"/>
  <c r="BA51" i="32"/>
  <c r="BB51" i="32"/>
  <c r="BC51" i="32"/>
  <c r="BD51" i="32"/>
  <c r="BE51" i="32"/>
  <c r="BF51" i="32"/>
  <c r="BG51" i="32"/>
  <c r="BH51" i="32"/>
  <c r="BI51" i="32"/>
  <c r="BJ51" i="32"/>
  <c r="BK51" i="32"/>
  <c r="BL51" i="32"/>
  <c r="BO51" i="32"/>
  <c r="BP51" i="32"/>
  <c r="BQ51" i="32"/>
  <c r="BR51" i="32"/>
  <c r="BS51" i="32"/>
  <c r="BT51" i="32"/>
  <c r="BU51" i="32"/>
  <c r="BV51" i="32"/>
  <c r="BW51" i="32"/>
  <c r="BX51" i="32"/>
  <c r="BY51" i="32"/>
  <c r="BZ51" i="32"/>
  <c r="CC51" i="32"/>
  <c r="CD51" i="32"/>
  <c r="CE51" i="32"/>
  <c r="CF51" i="32"/>
  <c r="CG51" i="32"/>
  <c r="CH51" i="32"/>
  <c r="CI51" i="32"/>
  <c r="CJ51" i="32"/>
  <c r="CK51" i="32"/>
  <c r="CL51" i="32"/>
  <c r="CM51" i="32"/>
  <c r="CN51" i="32"/>
  <c r="CQ51" i="32"/>
  <c r="CR51" i="32"/>
  <c r="CS51" i="32"/>
  <c r="CT51" i="32"/>
  <c r="CU51" i="32"/>
  <c r="CV51" i="32"/>
  <c r="CW51" i="32"/>
  <c r="CX51" i="32"/>
  <c r="CY51" i="32"/>
  <c r="CZ51" i="32"/>
  <c r="DA51" i="32"/>
  <c r="DB51" i="32"/>
  <c r="DE51" i="32"/>
  <c r="DF51" i="32"/>
  <c r="DG51" i="32"/>
  <c r="DH51" i="32"/>
  <c r="DI51" i="32"/>
  <c r="DJ51" i="32"/>
  <c r="DK51" i="32"/>
  <c r="DL51" i="32"/>
  <c r="DM51" i="32"/>
  <c r="DN51" i="32"/>
  <c r="DO51" i="32"/>
  <c r="DP51" i="32"/>
  <c r="DS51" i="32"/>
  <c r="DT51" i="32"/>
  <c r="DU51" i="32"/>
  <c r="DV51" i="32"/>
  <c r="DW51" i="32"/>
  <c r="DX51" i="32"/>
  <c r="DY51" i="32"/>
  <c r="DZ51" i="32"/>
  <c r="EA51" i="32"/>
  <c r="EB51" i="32"/>
  <c r="EC51" i="32"/>
  <c r="ED51" i="32"/>
  <c r="Y24" i="32"/>
  <c r="Z24" i="32"/>
  <c r="AA24" i="32"/>
  <c r="AB24" i="32"/>
  <c r="AC24" i="32"/>
  <c r="AD24" i="32"/>
  <c r="AE24" i="32"/>
  <c r="AF24" i="32"/>
  <c r="AG24" i="32"/>
  <c r="AH24" i="32"/>
  <c r="AI24" i="32"/>
  <c r="AJ24" i="32"/>
  <c r="AM24" i="32"/>
  <c r="AN24" i="32"/>
  <c r="AO24" i="32"/>
  <c r="AP24" i="32"/>
  <c r="AQ24" i="32"/>
  <c r="AR24" i="32"/>
  <c r="AS24" i="32"/>
  <c r="AT24" i="32"/>
  <c r="AU24" i="32"/>
  <c r="AV24" i="32"/>
  <c r="AW24" i="32"/>
  <c r="AX24" i="32"/>
  <c r="BA24" i="32"/>
  <c r="BB24" i="32"/>
  <c r="BC24" i="32"/>
  <c r="BD24" i="32"/>
  <c r="BE24" i="32"/>
  <c r="BF24" i="32"/>
  <c r="BG24" i="32"/>
  <c r="BH24" i="32"/>
  <c r="BI24" i="32"/>
  <c r="BJ24" i="32"/>
  <c r="BK24" i="32"/>
  <c r="BL24" i="32"/>
  <c r="BO24" i="32"/>
  <c r="BP24" i="32"/>
  <c r="BQ24" i="32"/>
  <c r="BR24" i="32"/>
  <c r="BS24" i="32"/>
  <c r="BT24" i="32"/>
  <c r="BU24" i="32"/>
  <c r="BV24" i="32"/>
  <c r="BW24" i="32"/>
  <c r="BX24" i="32"/>
  <c r="BY24" i="32"/>
  <c r="BZ24" i="32"/>
  <c r="CC24" i="32"/>
  <c r="CD24" i="32"/>
  <c r="CE24" i="32"/>
  <c r="CF24" i="32"/>
  <c r="CG24" i="32"/>
  <c r="CH24" i="32"/>
  <c r="CI24" i="32"/>
  <c r="CJ24" i="32"/>
  <c r="CK24" i="32"/>
  <c r="CL24" i="32"/>
  <c r="CM24" i="32"/>
  <c r="CN24" i="32"/>
  <c r="CQ24" i="32"/>
  <c r="CR24" i="32"/>
  <c r="CS24" i="32"/>
  <c r="CT24" i="32"/>
  <c r="CU24" i="32"/>
  <c r="CV24" i="32"/>
  <c r="CW24" i="32"/>
  <c r="CX24" i="32"/>
  <c r="CY24" i="32"/>
  <c r="CZ24" i="32"/>
  <c r="DA24" i="32"/>
  <c r="DB24" i="32"/>
  <c r="DE24" i="32"/>
  <c r="DF24" i="32"/>
  <c r="DG24" i="32"/>
  <c r="DH24" i="32"/>
  <c r="DI24" i="32"/>
  <c r="DJ24" i="32"/>
  <c r="DK24" i="32"/>
  <c r="DL24" i="32"/>
  <c r="DM24" i="32"/>
  <c r="DN24" i="32"/>
  <c r="DO24" i="32"/>
  <c r="DP24" i="32"/>
  <c r="DS24" i="32"/>
  <c r="DT24" i="32"/>
  <c r="DU24" i="32"/>
  <c r="DV24" i="32"/>
  <c r="DW24" i="32"/>
  <c r="DX24" i="32"/>
  <c r="DY24" i="32"/>
  <c r="DZ24" i="32"/>
  <c r="EA24" i="32"/>
  <c r="EB24" i="32"/>
  <c r="EC24" i="32"/>
  <c r="ED24" i="32"/>
  <c r="H134" i="59" l="1"/>
  <c r="H134" i="46"/>
  <c r="H134" i="22"/>
  <c r="H134" i="44"/>
  <c r="H134" i="57"/>
  <c r="G133" i="59"/>
  <c r="G133" i="46"/>
  <c r="G133" i="22"/>
  <c r="G133" i="58"/>
  <c r="G133" i="37"/>
  <c r="G133" i="45"/>
  <c r="H132" i="58"/>
  <c r="H132" i="37"/>
  <c r="H132" i="45"/>
  <c r="G131" i="57"/>
  <c r="G131" i="44"/>
  <c r="G131" i="20"/>
  <c r="G134" i="57"/>
  <c r="G134" i="44"/>
  <c r="G134" i="20"/>
  <c r="H133" i="59"/>
  <c r="H133" i="46"/>
  <c r="H133" i="22"/>
  <c r="H133" i="44"/>
  <c r="H133" i="57"/>
  <c r="G132" i="59"/>
  <c r="G132" i="46"/>
  <c r="G132" i="22"/>
  <c r="G132" i="58"/>
  <c r="G132" i="37"/>
  <c r="G132" i="45"/>
  <c r="H131" i="58"/>
  <c r="H131" i="45"/>
  <c r="H131" i="37"/>
  <c r="H134" i="58"/>
  <c r="H134" i="37"/>
  <c r="H134" i="45"/>
  <c r="G133" i="57"/>
  <c r="G133" i="20"/>
  <c r="G133" i="44"/>
  <c r="H132" i="59"/>
  <c r="H132" i="46"/>
  <c r="H132" i="22"/>
  <c r="G131" i="59"/>
  <c r="G131" i="46"/>
  <c r="G131" i="22"/>
  <c r="G131" i="58"/>
  <c r="G131" i="45"/>
  <c r="G131" i="37"/>
  <c r="G134" i="59"/>
  <c r="G134" i="46"/>
  <c r="G134" i="22"/>
  <c r="G134" i="58"/>
  <c r="G134" i="45"/>
  <c r="G134" i="37"/>
  <c r="H133" i="58"/>
  <c r="H133" i="45"/>
  <c r="H133" i="37"/>
  <c r="G132" i="57"/>
  <c r="G132" i="20"/>
  <c r="G132" i="44"/>
  <c r="H131" i="59"/>
  <c r="H131" i="46"/>
  <c r="H131" i="22"/>
  <c r="L135" i="20"/>
  <c r="B61" i="17"/>
  <c r="C60" i="17"/>
  <c r="L62" i="17"/>
  <c r="L63" i="17" s="1"/>
  <c r="L64" i="17" s="1"/>
  <c r="L65" i="17" s="1"/>
  <c r="L66" i="17" s="1"/>
  <c r="L67" i="17" s="1"/>
  <c r="L68" i="17" s="1"/>
  <c r="L69" i="17" s="1"/>
  <c r="L70" i="17" s="1"/>
  <c r="L71" i="17" s="1"/>
  <c r="L73" i="17" s="1"/>
  <c r="L74" i="17" s="1"/>
  <c r="L75" i="17" s="1"/>
  <c r="L76" i="17" s="1"/>
  <c r="L77" i="17" s="1"/>
  <c r="L78" i="17" s="1"/>
  <c r="L79" i="17" s="1"/>
  <c r="L80" i="17" s="1"/>
  <c r="L81" i="17" s="1"/>
  <c r="L82" i="17" s="1"/>
  <c r="L83" i="17" s="1"/>
  <c r="N62" i="17"/>
  <c r="N63" i="17" s="1"/>
  <c r="N64" i="17" s="1"/>
  <c r="N65" i="17" s="1"/>
  <c r="N66" i="17" s="1"/>
  <c r="N67" i="17" s="1"/>
  <c r="N68" i="17" s="1"/>
  <c r="N69" i="17" s="1"/>
  <c r="N70" i="17" s="1"/>
  <c r="N71" i="17" s="1"/>
  <c r="N72" i="17" s="1"/>
  <c r="H132" i="44"/>
  <c r="H131" i="44"/>
  <c r="H134" i="20"/>
  <c r="BM50" i="32"/>
  <c r="BM51" i="32"/>
  <c r="BM24" i="32"/>
  <c r="C61" i="17" l="1"/>
  <c r="N136" i="44"/>
  <c r="L136" i="20"/>
  <c r="B62" i="17"/>
  <c r="B63" i="17"/>
  <c r="K62" i="17"/>
  <c r="K63" i="17" s="1"/>
  <c r="K64" i="17" s="1"/>
  <c r="K65" i="17" s="1"/>
  <c r="K66" i="17" s="1"/>
  <c r="K67" i="17" s="1"/>
  <c r="K68" i="17" s="1"/>
  <c r="K69" i="17" s="1"/>
  <c r="K70" i="17" s="1"/>
  <c r="K71" i="17" s="1"/>
  <c r="K72" i="17" s="1"/>
  <c r="K73" i="17" s="1"/>
  <c r="K74" i="17" s="1"/>
  <c r="K75" i="17" s="1"/>
  <c r="K76" i="17" s="1"/>
  <c r="K77" i="17" s="1"/>
  <c r="K78" i="17" s="1"/>
  <c r="K79" i="17" s="1"/>
  <c r="K80" i="17" s="1"/>
  <c r="K81" i="17" s="1"/>
  <c r="K82" i="17" s="1"/>
  <c r="K83" i="17" s="1"/>
  <c r="N73" i="17"/>
  <c r="N74" i="17" s="1"/>
  <c r="N75" i="17" s="1"/>
  <c r="N76" i="17" s="1"/>
  <c r="N77" i="17" s="1"/>
  <c r="N78" i="17" s="1"/>
  <c r="N79" i="17" s="1"/>
  <c r="N80" i="17" s="1"/>
  <c r="N81" i="17" s="1"/>
  <c r="N82" i="17" s="1"/>
  <c r="N83" i="17" s="1"/>
  <c r="N32" i="17"/>
  <c r="N138" i="44" l="1"/>
  <c r="L138" i="20"/>
  <c r="C62" i="17"/>
  <c r="N137" i="44"/>
  <c r="L137" i="20"/>
  <c r="C63" i="17"/>
  <c r="B64" i="17"/>
  <c r="K32" i="17"/>
  <c r="K40" i="17" s="1"/>
  <c r="N24" i="11" s="1"/>
  <c r="N33" i="17"/>
  <c r="K33" i="17"/>
  <c r="K41" i="17" s="1"/>
  <c r="O24" i="11" s="1"/>
  <c r="N139" i="44" l="1"/>
  <c r="L139" i="20"/>
  <c r="C64" i="17"/>
  <c r="B65" i="17"/>
  <c r="N140" i="44" l="1"/>
  <c r="L140" i="20"/>
  <c r="C65" i="17"/>
  <c r="N141" i="44" l="1"/>
  <c r="L141" i="20"/>
  <c r="B67" i="17"/>
  <c r="C66" i="17"/>
  <c r="N142" i="44" l="1"/>
  <c r="L142" i="20"/>
  <c r="B68" i="17"/>
  <c r="C67" i="17"/>
  <c r="B69" i="17" l="1"/>
  <c r="N143" i="44"/>
  <c r="L143" i="20"/>
  <c r="C68" i="17"/>
  <c r="N144" i="44" l="1"/>
  <c r="L144" i="20"/>
  <c r="B70" i="17"/>
  <c r="C69" i="17"/>
  <c r="N145" i="44" l="1"/>
  <c r="L145" i="20"/>
  <c r="B71" i="17"/>
  <c r="C70" i="17"/>
  <c r="B72" i="17" l="1"/>
  <c r="N146" i="44"/>
  <c r="L146" i="20"/>
  <c r="C71" i="17"/>
  <c r="B73" i="17" l="1"/>
  <c r="N147" i="44"/>
  <c r="L147" i="20"/>
  <c r="C72" i="17"/>
  <c r="BA130" i="24"/>
  <c r="BB130" i="24"/>
  <c r="BC130" i="24"/>
  <c r="BD130" i="24"/>
  <c r="BE130" i="24"/>
  <c r="BF130" i="24"/>
  <c r="BA131" i="24"/>
  <c r="BB131" i="24"/>
  <c r="BC131" i="24"/>
  <c r="BD131" i="24"/>
  <c r="BE131" i="24"/>
  <c r="BF131" i="24"/>
  <c r="CA130" i="24"/>
  <c r="CB130" i="24"/>
  <c r="CC130" i="24"/>
  <c r="CD130" i="24"/>
  <c r="CE130" i="24"/>
  <c r="CF130" i="24"/>
  <c r="CG130" i="24"/>
  <c r="CH130" i="24"/>
  <c r="P131" i="57" s="1"/>
  <c r="CI130" i="24"/>
  <c r="CJ130" i="24"/>
  <c r="CK130" i="24"/>
  <c r="CL130" i="24"/>
  <c r="CM130" i="24"/>
  <c r="CN130" i="24"/>
  <c r="CO130" i="24"/>
  <c r="CP130" i="24"/>
  <c r="CA131" i="24"/>
  <c r="CB131" i="24"/>
  <c r="CC131" i="24"/>
  <c r="CD131" i="24"/>
  <c r="CE131" i="24"/>
  <c r="CF131" i="24"/>
  <c r="CG131" i="24"/>
  <c r="CH131" i="24"/>
  <c r="P132" i="57" s="1"/>
  <c r="CI131" i="24"/>
  <c r="CJ131" i="24"/>
  <c r="CK131" i="24"/>
  <c r="CL131" i="24"/>
  <c r="CM131" i="24"/>
  <c r="CN131" i="24"/>
  <c r="CO131" i="24"/>
  <c r="CP131" i="24"/>
  <c r="CA132" i="24"/>
  <c r="CB132" i="24"/>
  <c r="CC132" i="24"/>
  <c r="CD132" i="24"/>
  <c r="CE132" i="24"/>
  <c r="CF132" i="24"/>
  <c r="CG132" i="24"/>
  <c r="CH132" i="24"/>
  <c r="P133" i="57" s="1"/>
  <c r="CI132" i="24"/>
  <c r="CJ132" i="24"/>
  <c r="CK132" i="24"/>
  <c r="CL132" i="24"/>
  <c r="CM132" i="24"/>
  <c r="CN132" i="24"/>
  <c r="CO132" i="24"/>
  <c r="CP132" i="24"/>
  <c r="CA133" i="24"/>
  <c r="CB133" i="24"/>
  <c r="CC133" i="24"/>
  <c r="CD133" i="24"/>
  <c r="CE133" i="24"/>
  <c r="CF133" i="24"/>
  <c r="CG133" i="24"/>
  <c r="CH133" i="24"/>
  <c r="P134" i="57" s="1"/>
  <c r="CI133" i="24"/>
  <c r="CJ133" i="24"/>
  <c r="CK133" i="24"/>
  <c r="CL133" i="24"/>
  <c r="CM133" i="24"/>
  <c r="CN133" i="24"/>
  <c r="CO133" i="24"/>
  <c r="CP133" i="24"/>
  <c r="AZ130" i="24"/>
  <c r="AZ131" i="24"/>
  <c r="AZ132" i="24"/>
  <c r="AZ133" i="24"/>
  <c r="B130" i="24"/>
  <c r="B131" i="24"/>
  <c r="C127" i="24"/>
  <c r="C128" i="24"/>
  <c r="C129" i="24"/>
  <c r="C130" i="24"/>
  <c r="C131" i="24"/>
  <c r="C132" i="24"/>
  <c r="C133" i="24"/>
  <c r="O134" i="57" l="1"/>
  <c r="O134" i="44"/>
  <c r="M134" i="20"/>
  <c r="O133" i="57"/>
  <c r="O133" i="44"/>
  <c r="M133" i="20"/>
  <c r="O132" i="57"/>
  <c r="O132" i="44"/>
  <c r="M132" i="20"/>
  <c r="O131" i="57"/>
  <c r="O131" i="44"/>
  <c r="M131" i="20"/>
  <c r="O131" i="20" s="1"/>
  <c r="B74" i="17"/>
  <c r="N148" i="44"/>
  <c r="L148" i="20"/>
  <c r="C73" i="17"/>
  <c r="M131" i="46"/>
  <c r="K131" i="22"/>
  <c r="N134" i="20"/>
  <c r="P134" i="44"/>
  <c r="N133" i="20"/>
  <c r="P133" i="44"/>
  <c r="N132" i="20"/>
  <c r="P132" i="44"/>
  <c r="N131" i="20"/>
  <c r="P131" i="44"/>
  <c r="M132" i="46"/>
  <c r="K132" i="22"/>
  <c r="O134" i="20" l="1"/>
  <c r="O133" i="20"/>
  <c r="O132" i="20"/>
  <c r="B75" i="17"/>
  <c r="N149" i="44"/>
  <c r="L149" i="20"/>
  <c r="C74" i="17"/>
  <c r="B76" i="17" l="1"/>
  <c r="N150" i="44"/>
  <c r="L150" i="20"/>
  <c r="C75" i="17"/>
  <c r="B77" i="17" l="1"/>
  <c r="N151" i="44"/>
  <c r="L151" i="20"/>
  <c r="C76" i="17"/>
  <c r="B78" i="17" l="1"/>
  <c r="N152" i="44"/>
  <c r="L152" i="20"/>
  <c r="C77" i="17"/>
  <c r="B79" i="17" l="1"/>
  <c r="N153" i="44"/>
  <c r="L153" i="20"/>
  <c r="C78" i="17"/>
  <c r="B80" i="17" l="1"/>
  <c r="N154" i="44"/>
  <c r="L154" i="20"/>
  <c r="C79" i="17"/>
  <c r="B81" i="17" l="1"/>
  <c r="N155" i="44"/>
  <c r="L155" i="20"/>
  <c r="C80" i="17"/>
  <c r="B82" i="17" l="1"/>
  <c r="N156" i="44"/>
  <c r="L156" i="20"/>
  <c r="C81" i="17"/>
  <c r="B83" i="17" l="1"/>
  <c r="N157" i="44"/>
  <c r="L157" i="20"/>
  <c r="C83" i="17"/>
  <c r="C82" i="17"/>
  <c r="N158" i="44" l="1"/>
  <c r="L158" i="20"/>
  <c r="L53" i="20" l="1"/>
  <c r="DX86" i="32" l="1"/>
  <c r="DW86" i="32"/>
  <c r="DX85" i="32"/>
  <c r="DW85" i="32"/>
  <c r="DX84" i="32"/>
  <c r="DW84" i="32"/>
  <c r="DX83" i="32"/>
  <c r="DW83" i="32"/>
  <c r="DX82" i="32"/>
  <c r="DW82" i="32"/>
  <c r="DX81" i="32"/>
  <c r="DW81" i="32"/>
  <c r="DX80" i="32"/>
  <c r="DW80" i="32"/>
  <c r="DX79" i="32"/>
  <c r="DW79" i="32"/>
  <c r="DX78" i="32"/>
  <c r="DW78" i="32"/>
  <c r="DX77" i="32"/>
  <c r="DW77" i="32"/>
  <c r="DX76" i="32"/>
  <c r="DW76" i="32"/>
  <c r="DX75" i="32"/>
  <c r="DW75" i="32"/>
  <c r="DJ86" i="32"/>
  <c r="DI86" i="32"/>
  <c r="DJ85" i="32"/>
  <c r="DI85" i="32"/>
  <c r="DJ84" i="32"/>
  <c r="DI84" i="32"/>
  <c r="DJ83" i="32"/>
  <c r="DI83" i="32"/>
  <c r="DJ82" i="32"/>
  <c r="DI82" i="32"/>
  <c r="DJ81" i="32"/>
  <c r="DI81" i="32"/>
  <c r="DJ80" i="32"/>
  <c r="DI80" i="32"/>
  <c r="DJ79" i="32"/>
  <c r="DI79" i="32"/>
  <c r="DJ78" i="32"/>
  <c r="DI78" i="32"/>
  <c r="DJ77" i="32"/>
  <c r="DI77" i="32"/>
  <c r="DJ76" i="32"/>
  <c r="DI76" i="32"/>
  <c r="DJ75" i="32"/>
  <c r="DI75" i="32"/>
  <c r="CV86" i="32"/>
  <c r="CU86" i="32"/>
  <c r="CV85" i="32"/>
  <c r="CU85" i="32"/>
  <c r="CV84" i="32"/>
  <c r="CU84" i="32"/>
  <c r="CV83" i="32"/>
  <c r="CU83" i="32"/>
  <c r="CV82" i="32"/>
  <c r="CU82" i="32"/>
  <c r="CV81" i="32"/>
  <c r="CU81" i="32"/>
  <c r="CV80" i="32"/>
  <c r="CU80" i="32"/>
  <c r="CV79" i="32"/>
  <c r="CU79" i="32"/>
  <c r="CV78" i="32"/>
  <c r="CU78" i="32"/>
  <c r="CV77" i="32"/>
  <c r="CU77" i="32"/>
  <c r="CV76" i="32"/>
  <c r="CU76" i="32"/>
  <c r="CV75" i="32"/>
  <c r="CU75" i="32"/>
  <c r="CH86" i="32"/>
  <c r="CG86" i="32"/>
  <c r="CH85" i="32"/>
  <c r="CG85" i="32"/>
  <c r="CH84" i="32"/>
  <c r="CG84" i="32"/>
  <c r="CH83" i="32"/>
  <c r="CG83" i="32"/>
  <c r="CH82" i="32"/>
  <c r="CG82" i="32"/>
  <c r="CH81" i="32"/>
  <c r="CG81" i="32"/>
  <c r="CH80" i="32"/>
  <c r="CG80" i="32"/>
  <c r="CH79" i="32"/>
  <c r="CG79" i="32"/>
  <c r="CH78" i="32"/>
  <c r="CG78" i="32"/>
  <c r="CH77" i="32"/>
  <c r="CG77" i="32"/>
  <c r="CH76" i="32"/>
  <c r="CG76" i="32"/>
  <c r="CH75" i="32"/>
  <c r="CG75" i="32"/>
  <c r="BT86" i="32"/>
  <c r="BS86" i="32"/>
  <c r="BT85" i="32"/>
  <c r="BS85" i="32"/>
  <c r="BT84" i="32"/>
  <c r="BS84" i="32"/>
  <c r="BT83" i="32"/>
  <c r="BS83" i="32"/>
  <c r="BT82" i="32"/>
  <c r="BS82" i="32"/>
  <c r="BT81" i="32"/>
  <c r="BS81" i="32"/>
  <c r="BT80" i="32"/>
  <c r="BS80" i="32"/>
  <c r="BT79" i="32"/>
  <c r="BS79" i="32"/>
  <c r="BT78" i="32"/>
  <c r="BS78" i="32"/>
  <c r="BT77" i="32"/>
  <c r="BS77" i="32"/>
  <c r="BT76" i="32"/>
  <c r="BS76" i="32"/>
  <c r="BT75" i="32"/>
  <c r="BS75" i="32"/>
  <c r="BF86" i="32"/>
  <c r="BE86" i="32"/>
  <c r="BF85" i="32"/>
  <c r="BE85" i="32"/>
  <c r="BF84" i="32"/>
  <c r="BE84" i="32"/>
  <c r="BF83" i="32"/>
  <c r="BE83" i="32"/>
  <c r="BF82" i="32"/>
  <c r="BE82" i="32"/>
  <c r="BF81" i="32"/>
  <c r="BE81" i="32"/>
  <c r="BF80" i="32"/>
  <c r="BE80" i="32"/>
  <c r="BF79" i="32"/>
  <c r="BE79" i="32"/>
  <c r="BF78" i="32"/>
  <c r="BE78" i="32"/>
  <c r="BF77" i="32"/>
  <c r="BE77" i="32"/>
  <c r="BF76" i="32"/>
  <c r="BE76" i="32"/>
  <c r="BF75" i="32"/>
  <c r="BE75" i="32"/>
  <c r="AR86" i="32"/>
  <c r="AQ86" i="32"/>
  <c r="AR85" i="32"/>
  <c r="AQ85" i="32"/>
  <c r="AR84" i="32"/>
  <c r="AQ84" i="32"/>
  <c r="AR83" i="32"/>
  <c r="AQ83" i="32"/>
  <c r="AR82" i="32"/>
  <c r="AQ82" i="32"/>
  <c r="AR81" i="32"/>
  <c r="AQ81" i="32"/>
  <c r="AR80" i="32"/>
  <c r="AQ80" i="32"/>
  <c r="AR79" i="32"/>
  <c r="AQ79" i="32"/>
  <c r="AR78" i="32"/>
  <c r="AQ78" i="32"/>
  <c r="AR77" i="32"/>
  <c r="AQ77" i="32"/>
  <c r="AR76" i="32"/>
  <c r="AQ76" i="32"/>
  <c r="AR75" i="32"/>
  <c r="AQ75" i="32"/>
  <c r="AC76" i="32"/>
  <c r="AD76" i="32"/>
  <c r="AC77" i="32"/>
  <c r="AD77" i="32"/>
  <c r="AC78" i="32"/>
  <c r="AD78" i="32"/>
  <c r="AC79" i="32"/>
  <c r="AD79" i="32"/>
  <c r="AC80" i="32"/>
  <c r="AD80" i="32"/>
  <c r="AC81" i="32"/>
  <c r="AD81" i="32"/>
  <c r="AC82" i="32"/>
  <c r="AD82" i="32"/>
  <c r="AC83" i="32"/>
  <c r="AD83" i="32"/>
  <c r="AC84" i="32"/>
  <c r="AD84" i="32"/>
  <c r="AC85" i="32"/>
  <c r="AD85" i="32"/>
  <c r="AC86" i="32"/>
  <c r="AD86" i="32"/>
  <c r="AD75" i="32"/>
  <c r="AC75" i="32"/>
  <c r="U136" i="44"/>
  <c r="U137" i="44" s="1"/>
  <c r="U138" i="44" s="1"/>
  <c r="U139" i="44" s="1"/>
  <c r="U140" i="44" s="1"/>
  <c r="U141" i="44" s="1"/>
  <c r="U142" i="44" s="1"/>
  <c r="U143" i="44" s="1"/>
  <c r="U144" i="44" s="1"/>
  <c r="U145" i="44" s="1"/>
  <c r="U146" i="44" s="1"/>
  <c r="U148" i="44"/>
  <c r="U149" i="44" s="1"/>
  <c r="U150" i="44" s="1"/>
  <c r="U151" i="44" s="1"/>
  <c r="U152" i="44" s="1"/>
  <c r="U153" i="44" s="1"/>
  <c r="U154" i="44" s="1"/>
  <c r="U155" i="44" s="1"/>
  <c r="U156" i="44" s="1"/>
  <c r="U157" i="44" s="1"/>
  <c r="U158" i="44" s="1"/>
  <c r="T147" i="46"/>
  <c r="T136" i="46"/>
  <c r="S147" i="45"/>
  <c r="S135" i="45"/>
  <c r="Q147" i="37"/>
  <c r="Q135" i="37"/>
  <c r="T137" i="46" l="1"/>
  <c r="N136" i="46"/>
  <c r="Q147" i="22"/>
  <c r="L147" i="22" s="1"/>
  <c r="L147" i="37"/>
  <c r="T148" i="46"/>
  <c r="N147" i="46"/>
  <c r="Q135" i="22"/>
  <c r="L135" i="22" s="1"/>
  <c r="L135" i="37"/>
  <c r="S136" i="45"/>
  <c r="N135" i="45"/>
  <c r="S148" i="45"/>
  <c r="N147" i="45"/>
  <c r="T149" i="46" l="1"/>
  <c r="N148" i="46"/>
  <c r="T138" i="46"/>
  <c r="N137" i="46"/>
  <c r="S149" i="45"/>
  <c r="N148" i="45"/>
  <c r="S137" i="45"/>
  <c r="N136" i="45"/>
  <c r="Q148" i="22"/>
  <c r="L148" i="22" s="1"/>
  <c r="Q136" i="22"/>
  <c r="Q148" i="37"/>
  <c r="Q136" i="37"/>
  <c r="S136" i="20"/>
  <c r="S137" i="20" s="1"/>
  <c r="S138" i="20" s="1"/>
  <c r="S139" i="20" s="1"/>
  <c r="S140" i="20" s="1"/>
  <c r="S141" i="20" s="1"/>
  <c r="S142" i="20" s="1"/>
  <c r="S143" i="20" s="1"/>
  <c r="S144" i="20" s="1"/>
  <c r="S145" i="20" s="1"/>
  <c r="S146" i="20" s="1"/>
  <c r="S148" i="20" s="1"/>
  <c r="S149" i="20" s="1"/>
  <c r="S150" i="20" s="1"/>
  <c r="S151" i="20" s="1"/>
  <c r="S152" i="20" s="1"/>
  <c r="S153" i="20" s="1"/>
  <c r="S154" i="20" s="1"/>
  <c r="S155" i="20" s="1"/>
  <c r="S156" i="20" s="1"/>
  <c r="S157" i="20" s="1"/>
  <c r="S158" i="20" s="1"/>
  <c r="Q137" i="22" l="1"/>
  <c r="L136" i="22"/>
  <c r="Q137" i="37"/>
  <c r="L136" i="37"/>
  <c r="T150" i="46"/>
  <c r="N149" i="46"/>
  <c r="T139" i="46"/>
  <c r="N138" i="46"/>
  <c r="Q149" i="37"/>
  <c r="L148" i="37"/>
  <c r="S138" i="45"/>
  <c r="N137" i="45"/>
  <c r="S150" i="45"/>
  <c r="N149" i="45"/>
  <c r="Q149" i="22"/>
  <c r="L149" i="22" s="1"/>
  <c r="T140" i="46" l="1"/>
  <c r="N139" i="46"/>
  <c r="Q138" i="37"/>
  <c r="L137" i="37"/>
  <c r="Q150" i="37"/>
  <c r="L149" i="37"/>
  <c r="T151" i="46"/>
  <c r="N150" i="46"/>
  <c r="Q138" i="22"/>
  <c r="L137" i="22"/>
  <c r="S151" i="45"/>
  <c r="N150" i="45"/>
  <c r="S139" i="45"/>
  <c r="N138" i="45"/>
  <c r="Q150" i="22"/>
  <c r="L150" i="22" s="1"/>
  <c r="T152" i="46" l="1"/>
  <c r="N151" i="46"/>
  <c r="Q139" i="37"/>
  <c r="L138" i="37"/>
  <c r="Q139" i="22"/>
  <c r="L138" i="22"/>
  <c r="Q151" i="37"/>
  <c r="L150" i="37"/>
  <c r="T141" i="46"/>
  <c r="N140" i="46"/>
  <c r="S140" i="45"/>
  <c r="N139" i="45"/>
  <c r="S152" i="45"/>
  <c r="N151" i="45"/>
  <c r="Q151" i="22"/>
  <c r="L151" i="22" s="1"/>
  <c r="Q152" i="37" l="1"/>
  <c r="L151" i="37"/>
  <c r="Q140" i="37"/>
  <c r="L139" i="37"/>
  <c r="T142" i="46"/>
  <c r="N141" i="46"/>
  <c r="Q140" i="22"/>
  <c r="L139" i="22"/>
  <c r="T153" i="46"/>
  <c r="N152" i="46"/>
  <c r="S153" i="45"/>
  <c r="N152" i="45"/>
  <c r="S141" i="45"/>
  <c r="N140" i="45"/>
  <c r="Q152" i="22"/>
  <c r="L152" i="22" s="1"/>
  <c r="Q141" i="22" l="1"/>
  <c r="L140" i="22"/>
  <c r="Q141" i="37"/>
  <c r="L140" i="37"/>
  <c r="T154" i="46"/>
  <c r="N153" i="46"/>
  <c r="T143" i="46"/>
  <c r="N142" i="46"/>
  <c r="Q153" i="37"/>
  <c r="L152" i="37"/>
  <c r="S142" i="45"/>
  <c r="N141" i="45"/>
  <c r="S154" i="45"/>
  <c r="N153" i="45"/>
  <c r="Q153" i="22"/>
  <c r="L153" i="22" s="1"/>
  <c r="T144" i="46" l="1"/>
  <c r="N143" i="46"/>
  <c r="Q142" i="37"/>
  <c r="L141" i="37"/>
  <c r="Q154" i="37"/>
  <c r="L153" i="37"/>
  <c r="T155" i="46"/>
  <c r="N154" i="46"/>
  <c r="Q142" i="22"/>
  <c r="L141" i="22"/>
  <c r="S155" i="45"/>
  <c r="N154" i="45"/>
  <c r="S143" i="45"/>
  <c r="N142" i="45"/>
  <c r="Q154" i="22"/>
  <c r="L154" i="22" s="1"/>
  <c r="T156" i="46" l="1"/>
  <c r="N155" i="46"/>
  <c r="Q143" i="37"/>
  <c r="L142" i="37"/>
  <c r="Q143" i="22"/>
  <c r="L142" i="22"/>
  <c r="Q155" i="37"/>
  <c r="L154" i="37"/>
  <c r="T145" i="46"/>
  <c r="N144" i="46"/>
  <c r="S144" i="45"/>
  <c r="N143" i="45"/>
  <c r="S156" i="45"/>
  <c r="N155" i="45"/>
  <c r="Q155" i="22"/>
  <c r="L155" i="22" s="1"/>
  <c r="Q156" i="37" l="1"/>
  <c r="L155" i="37"/>
  <c r="Q144" i="37"/>
  <c r="L143" i="37"/>
  <c r="T146" i="46"/>
  <c r="N146" i="46" s="1"/>
  <c r="N145" i="46"/>
  <c r="Q144" i="22"/>
  <c r="L143" i="22"/>
  <c r="T157" i="46"/>
  <c r="N156" i="46"/>
  <c r="S157" i="45"/>
  <c r="N156" i="45"/>
  <c r="S145" i="45"/>
  <c r="N144" i="45"/>
  <c r="Q156" i="22"/>
  <c r="L156" i="22" s="1"/>
  <c r="Q145" i="22" l="1"/>
  <c r="L144" i="22"/>
  <c r="Q145" i="37"/>
  <c r="L144" i="37"/>
  <c r="T158" i="46"/>
  <c r="N158" i="46" s="1"/>
  <c r="N157" i="46"/>
  <c r="Q157" i="37"/>
  <c r="L156" i="37"/>
  <c r="S146" i="45"/>
  <c r="N146" i="45" s="1"/>
  <c r="N145" i="45"/>
  <c r="S158" i="45"/>
  <c r="N158" i="45" s="1"/>
  <c r="N157" i="45"/>
  <c r="Q157" i="22"/>
  <c r="L157" i="22" s="1"/>
  <c r="Q158" i="37" l="1"/>
  <c r="L158" i="37" s="1"/>
  <c r="L157" i="37"/>
  <c r="Q146" i="37"/>
  <c r="L146" i="37" s="1"/>
  <c r="L145" i="37"/>
  <c r="Q146" i="22"/>
  <c r="L146" i="22" s="1"/>
  <c r="L145" i="22"/>
  <c r="Q158" i="22"/>
  <c r="L158" i="22" s="1"/>
  <c r="AF76" i="24" l="1"/>
  <c r="AF77" i="24" s="1"/>
  <c r="AF78" i="24" s="1"/>
  <c r="AF79" i="24" s="1"/>
  <c r="AF80" i="24" s="1"/>
  <c r="AF81" i="24" s="1"/>
  <c r="AF82" i="24" s="1"/>
  <c r="AF83" i="24" s="1"/>
  <c r="AF84" i="24" s="1"/>
  <c r="AF85" i="24" s="1"/>
  <c r="AF62" i="24"/>
  <c r="AF63" i="24" s="1"/>
  <c r="AF64" i="24" s="1"/>
  <c r="AF65" i="24" s="1"/>
  <c r="AF66" i="24" s="1"/>
  <c r="AF67" i="24" s="1"/>
  <c r="AF68" i="24" s="1"/>
  <c r="AF69" i="24" s="1"/>
  <c r="AF70" i="24" s="1"/>
  <c r="AF71" i="24" s="1"/>
  <c r="AF72" i="24" s="1"/>
  <c r="AF73" i="24" s="1"/>
  <c r="AF74" i="24" s="1"/>
  <c r="AF75" i="24" s="1"/>
  <c r="AF52" i="24"/>
  <c r="AF53" i="24" s="1"/>
  <c r="AF54" i="24" s="1"/>
  <c r="AF55" i="24" s="1"/>
  <c r="AF56" i="24" s="1"/>
  <c r="AF57" i="24" s="1"/>
  <c r="AF58" i="24" s="1"/>
  <c r="AF59" i="24" s="1"/>
  <c r="AF60" i="24" s="1"/>
  <c r="AF61" i="24" s="1"/>
  <c r="AF51" i="24"/>
  <c r="AF50" i="24"/>
  <c r="S8" i="33" l="1"/>
  <c r="CM23" i="32"/>
  <c r="CN23" i="32"/>
  <c r="AC45" i="49" l="1"/>
  <c r="AC44" i="49"/>
  <c r="AC43" i="49"/>
  <c r="AC42" i="49"/>
  <c r="AC39" i="49"/>
  <c r="AC38" i="49"/>
  <c r="AC37" i="49"/>
  <c r="AC36" i="49"/>
  <c r="AC33" i="49"/>
  <c r="AC32" i="49"/>
  <c r="AC31" i="49"/>
  <c r="AC30" i="49"/>
  <c r="AC25" i="49"/>
  <c r="AC24" i="49"/>
  <c r="AC23" i="49"/>
  <c r="AC20" i="49"/>
  <c r="AC19" i="49"/>
  <c r="AC18" i="49"/>
  <c r="AC13" i="49"/>
  <c r="AC14" i="49"/>
  <c r="AC15" i="49"/>
  <c r="C19" i="49"/>
  <c r="C20" i="49"/>
  <c r="C21" i="49"/>
  <c r="C22" i="49"/>
  <c r="C23" i="49"/>
  <c r="C24" i="49"/>
  <c r="C25" i="49"/>
  <c r="C26" i="49"/>
  <c r="C18" i="49"/>
  <c r="C17" i="49"/>
  <c r="A168" i="46" l="1"/>
  <c r="C158" i="46"/>
  <c r="B158" i="46"/>
  <c r="C157" i="46"/>
  <c r="B157" i="46"/>
  <c r="C156" i="46"/>
  <c r="B156" i="46"/>
  <c r="C155" i="46"/>
  <c r="B155" i="46"/>
  <c r="C154" i="46"/>
  <c r="B154" i="46"/>
  <c r="C153" i="46"/>
  <c r="B153" i="46"/>
  <c r="C152" i="46"/>
  <c r="B152" i="46"/>
  <c r="C151" i="46"/>
  <c r="B151" i="46"/>
  <c r="C150" i="46"/>
  <c r="B150" i="46"/>
  <c r="C149" i="46"/>
  <c r="B149" i="46"/>
  <c r="C148" i="46"/>
  <c r="B148" i="46"/>
  <c r="C147" i="46"/>
  <c r="B147" i="46"/>
  <c r="C146" i="46"/>
  <c r="B146" i="46"/>
  <c r="C145" i="46"/>
  <c r="B145" i="46"/>
  <c r="C144" i="46"/>
  <c r="B144" i="46"/>
  <c r="C143" i="46"/>
  <c r="B143" i="46"/>
  <c r="C142" i="46"/>
  <c r="B142" i="46"/>
  <c r="C141" i="46"/>
  <c r="B141" i="46"/>
  <c r="C140" i="46"/>
  <c r="B140" i="46"/>
  <c r="C139" i="46"/>
  <c r="B139" i="46"/>
  <c r="C138" i="46"/>
  <c r="B138" i="46"/>
  <c r="C137" i="46"/>
  <c r="B137" i="46"/>
  <c r="C136" i="46"/>
  <c r="B136" i="46"/>
  <c r="C135" i="46"/>
  <c r="B135" i="46"/>
  <c r="L127" i="46"/>
  <c r="D127" i="46"/>
  <c r="C127" i="46"/>
  <c r="B127" i="46"/>
  <c r="L126" i="46"/>
  <c r="D126" i="46"/>
  <c r="C126" i="46"/>
  <c r="B126" i="46"/>
  <c r="L125" i="46"/>
  <c r="D125" i="46"/>
  <c r="C125" i="46"/>
  <c r="B125" i="46"/>
  <c r="L124" i="46"/>
  <c r="D124" i="46"/>
  <c r="C124" i="46"/>
  <c r="B124" i="46"/>
  <c r="L123" i="46"/>
  <c r="D123" i="46"/>
  <c r="C123" i="46"/>
  <c r="B123" i="46"/>
  <c r="L122" i="46"/>
  <c r="D122" i="46"/>
  <c r="C122" i="46"/>
  <c r="B122" i="46"/>
  <c r="L121" i="46"/>
  <c r="D121" i="46"/>
  <c r="C121" i="46"/>
  <c r="B121" i="46"/>
  <c r="L120" i="46"/>
  <c r="D120" i="46"/>
  <c r="C120" i="46"/>
  <c r="B120" i="46"/>
  <c r="L119" i="46"/>
  <c r="D119" i="46"/>
  <c r="C119" i="46"/>
  <c r="B119" i="46"/>
  <c r="L118" i="46"/>
  <c r="D118" i="46"/>
  <c r="C118" i="46"/>
  <c r="B118" i="46"/>
  <c r="L117" i="46"/>
  <c r="D117" i="46"/>
  <c r="C117" i="46"/>
  <c r="B117" i="46"/>
  <c r="L116" i="46"/>
  <c r="D116" i="46"/>
  <c r="C116" i="46"/>
  <c r="B116" i="46"/>
  <c r="L115" i="46"/>
  <c r="D115" i="46"/>
  <c r="C115" i="46"/>
  <c r="B115" i="46"/>
  <c r="L114" i="46"/>
  <c r="D114" i="46"/>
  <c r="C114" i="46"/>
  <c r="B114" i="46"/>
  <c r="L113" i="46"/>
  <c r="D113" i="46"/>
  <c r="C113" i="46"/>
  <c r="B113" i="46"/>
  <c r="L112" i="46"/>
  <c r="D112" i="46"/>
  <c r="C112" i="46"/>
  <c r="B112" i="46"/>
  <c r="L111" i="46"/>
  <c r="D111" i="46"/>
  <c r="C111" i="46"/>
  <c r="B111" i="46"/>
  <c r="L110" i="46"/>
  <c r="D110" i="46"/>
  <c r="C110" i="46"/>
  <c r="B110" i="46"/>
  <c r="L109" i="46"/>
  <c r="D109" i="46"/>
  <c r="C109" i="46"/>
  <c r="B109" i="46"/>
  <c r="L108" i="46"/>
  <c r="D108" i="46"/>
  <c r="C108" i="46"/>
  <c r="B108" i="46"/>
  <c r="L107" i="46"/>
  <c r="D107" i="46"/>
  <c r="C107" i="46"/>
  <c r="B107" i="46"/>
  <c r="L106" i="46"/>
  <c r="D106" i="46"/>
  <c r="C106" i="46"/>
  <c r="B106" i="46"/>
  <c r="L105" i="46"/>
  <c r="D105" i="46"/>
  <c r="C105" i="46"/>
  <c r="B105" i="46"/>
  <c r="L104" i="46"/>
  <c r="D104" i="46"/>
  <c r="C104" i="46"/>
  <c r="B104" i="46"/>
  <c r="L103" i="46"/>
  <c r="D103" i="46"/>
  <c r="C103" i="46"/>
  <c r="B103" i="46"/>
  <c r="L102" i="46"/>
  <c r="D102" i="46"/>
  <c r="C102" i="46"/>
  <c r="B102" i="46"/>
  <c r="L101" i="46"/>
  <c r="D101" i="46"/>
  <c r="C101" i="46"/>
  <c r="B101" i="46"/>
  <c r="L100" i="46"/>
  <c r="D100" i="46"/>
  <c r="C100" i="46"/>
  <c r="B100" i="46"/>
  <c r="L99" i="46"/>
  <c r="D99" i="46"/>
  <c r="C99" i="46"/>
  <c r="B99" i="46"/>
  <c r="L98" i="46"/>
  <c r="D98" i="46"/>
  <c r="C98" i="46"/>
  <c r="B98" i="46"/>
  <c r="L97" i="46"/>
  <c r="D97" i="46"/>
  <c r="C97" i="46"/>
  <c r="B97" i="46"/>
  <c r="L96" i="46"/>
  <c r="D96" i="46"/>
  <c r="C96" i="46"/>
  <c r="B96" i="46"/>
  <c r="L95" i="46"/>
  <c r="D95" i="46"/>
  <c r="C95" i="46"/>
  <c r="B95" i="46"/>
  <c r="L94" i="46"/>
  <c r="D94" i="46"/>
  <c r="C94" i="46"/>
  <c r="B94" i="46"/>
  <c r="L93" i="46"/>
  <c r="D93" i="46"/>
  <c r="C93" i="46"/>
  <c r="B93" i="46"/>
  <c r="L92" i="46"/>
  <c r="D92" i="46"/>
  <c r="C92" i="46"/>
  <c r="B92" i="46"/>
  <c r="L91" i="46"/>
  <c r="D91" i="46"/>
  <c r="C91" i="46"/>
  <c r="B91" i="46"/>
  <c r="L90" i="46"/>
  <c r="D90" i="46"/>
  <c r="C90" i="46"/>
  <c r="B90" i="46"/>
  <c r="L89" i="46"/>
  <c r="D89" i="46"/>
  <c r="C89" i="46"/>
  <c r="B89" i="46"/>
  <c r="L88" i="46"/>
  <c r="D88" i="46"/>
  <c r="C88" i="46"/>
  <c r="B88" i="46"/>
  <c r="L87" i="46"/>
  <c r="D87" i="46"/>
  <c r="C87" i="46"/>
  <c r="B87" i="46"/>
  <c r="L86" i="46"/>
  <c r="D86" i="46"/>
  <c r="C86" i="46"/>
  <c r="B86" i="46"/>
  <c r="L85" i="46"/>
  <c r="D85" i="46"/>
  <c r="C85" i="46"/>
  <c r="B85" i="46"/>
  <c r="L84" i="46"/>
  <c r="D84" i="46"/>
  <c r="C84" i="46"/>
  <c r="B84" i="46"/>
  <c r="L83" i="46"/>
  <c r="D83" i="46"/>
  <c r="C83" i="46"/>
  <c r="B83" i="46"/>
  <c r="L82" i="46"/>
  <c r="D82" i="46"/>
  <c r="C82" i="46"/>
  <c r="B82" i="46"/>
  <c r="L81" i="46"/>
  <c r="D81" i="46"/>
  <c r="C81" i="46"/>
  <c r="B81" i="46"/>
  <c r="L80" i="46"/>
  <c r="D80" i="46"/>
  <c r="C80" i="46"/>
  <c r="B80" i="46"/>
  <c r="L79" i="46"/>
  <c r="D79" i="46"/>
  <c r="C79" i="46"/>
  <c r="B79" i="46"/>
  <c r="L78" i="46"/>
  <c r="D78" i="46"/>
  <c r="C78" i="46"/>
  <c r="B78" i="46"/>
  <c r="L77" i="46"/>
  <c r="D77" i="46"/>
  <c r="C77" i="46"/>
  <c r="B77" i="46"/>
  <c r="L76" i="46"/>
  <c r="D76" i="46"/>
  <c r="C76" i="46"/>
  <c r="B76" i="46"/>
  <c r="L75" i="46"/>
  <c r="D75" i="46"/>
  <c r="C75" i="46"/>
  <c r="B75" i="46"/>
  <c r="L74" i="46"/>
  <c r="D74" i="46"/>
  <c r="C74" i="46"/>
  <c r="B74" i="46"/>
  <c r="L73" i="46"/>
  <c r="D73" i="46"/>
  <c r="C73" i="46"/>
  <c r="B73" i="46"/>
  <c r="L72" i="46"/>
  <c r="D72" i="46"/>
  <c r="C72" i="46"/>
  <c r="B72" i="46"/>
  <c r="L71" i="46"/>
  <c r="D71" i="46"/>
  <c r="C71" i="46"/>
  <c r="B71" i="46"/>
  <c r="L70" i="46"/>
  <c r="D70" i="46"/>
  <c r="C70" i="46"/>
  <c r="B70" i="46"/>
  <c r="L69" i="46"/>
  <c r="D69" i="46"/>
  <c r="C69" i="46"/>
  <c r="B69" i="46"/>
  <c r="L68" i="46"/>
  <c r="D68" i="46"/>
  <c r="C68" i="46"/>
  <c r="B68" i="46"/>
  <c r="L67" i="46"/>
  <c r="D67" i="46"/>
  <c r="C67" i="46"/>
  <c r="B67" i="46"/>
  <c r="L66" i="46"/>
  <c r="D66" i="46"/>
  <c r="C66" i="46"/>
  <c r="B66" i="46"/>
  <c r="L65" i="46"/>
  <c r="D65" i="46"/>
  <c r="C65" i="46"/>
  <c r="B65" i="46"/>
  <c r="L64" i="46"/>
  <c r="D64" i="46"/>
  <c r="C64" i="46"/>
  <c r="B64" i="46"/>
  <c r="L63" i="46"/>
  <c r="D63" i="46"/>
  <c r="C63" i="46"/>
  <c r="B63" i="46"/>
  <c r="L62" i="46"/>
  <c r="D62" i="46"/>
  <c r="C62" i="46"/>
  <c r="B62" i="46"/>
  <c r="L61" i="46"/>
  <c r="D61" i="46"/>
  <c r="C61" i="46"/>
  <c r="B61" i="46"/>
  <c r="L60" i="46"/>
  <c r="D60" i="46"/>
  <c r="C60" i="46"/>
  <c r="B60" i="46"/>
  <c r="L59" i="46"/>
  <c r="D59" i="46"/>
  <c r="C59" i="46"/>
  <c r="B59" i="46"/>
  <c r="L58" i="46"/>
  <c r="D58" i="46"/>
  <c r="C58" i="46"/>
  <c r="B58" i="46"/>
  <c r="L57" i="46"/>
  <c r="D57" i="46"/>
  <c r="C57" i="46"/>
  <c r="B57" i="46"/>
  <c r="L56" i="46"/>
  <c r="D56" i="46"/>
  <c r="C56" i="46"/>
  <c r="B56" i="46"/>
  <c r="L55" i="46"/>
  <c r="D55" i="46"/>
  <c r="C55" i="46"/>
  <c r="B55" i="46"/>
  <c r="L54" i="46"/>
  <c r="D54" i="46"/>
  <c r="C54" i="46"/>
  <c r="B54" i="46"/>
  <c r="L53" i="46"/>
  <c r="D53" i="46"/>
  <c r="C53" i="46"/>
  <c r="B53" i="46"/>
  <c r="L52" i="46"/>
  <c r="D52" i="46"/>
  <c r="C52" i="46"/>
  <c r="B52" i="46"/>
  <c r="L51" i="46"/>
  <c r="D51" i="46"/>
  <c r="C51" i="46"/>
  <c r="B51" i="46"/>
  <c r="L50" i="46"/>
  <c r="C50" i="46"/>
  <c r="B50" i="46"/>
  <c r="L49" i="46"/>
  <c r="C49" i="46"/>
  <c r="B49" i="46"/>
  <c r="L48" i="46"/>
  <c r="C48" i="46"/>
  <c r="B48" i="46"/>
  <c r="L47" i="46"/>
  <c r="C47" i="46"/>
  <c r="B47" i="46"/>
  <c r="L46" i="46"/>
  <c r="C46" i="46"/>
  <c r="B46" i="46"/>
  <c r="L45" i="46"/>
  <c r="C45" i="46"/>
  <c r="B45" i="46"/>
  <c r="L44" i="46"/>
  <c r="C44" i="46"/>
  <c r="B44" i="46"/>
  <c r="L43" i="46"/>
  <c r="C43" i="46"/>
  <c r="B43" i="46"/>
  <c r="L42" i="46"/>
  <c r="C42" i="46"/>
  <c r="B42" i="46"/>
  <c r="L41" i="46"/>
  <c r="C41" i="46"/>
  <c r="B41" i="46"/>
  <c r="L40" i="46"/>
  <c r="C40" i="46"/>
  <c r="B40" i="46"/>
  <c r="L39" i="46"/>
  <c r="C39" i="46"/>
  <c r="B39" i="46"/>
  <c r="L38" i="46"/>
  <c r="C38" i="46"/>
  <c r="B38" i="46"/>
  <c r="L37" i="46"/>
  <c r="C37" i="46"/>
  <c r="B37" i="46"/>
  <c r="L36" i="46"/>
  <c r="C36" i="46"/>
  <c r="B36" i="46"/>
  <c r="L35" i="46"/>
  <c r="C35" i="46"/>
  <c r="B35" i="46"/>
  <c r="L34" i="46"/>
  <c r="C34" i="46"/>
  <c r="B34" i="46"/>
  <c r="L33" i="46"/>
  <c r="C33" i="46"/>
  <c r="B33" i="46"/>
  <c r="L32" i="46"/>
  <c r="C32" i="46"/>
  <c r="B32" i="46"/>
  <c r="L31" i="46"/>
  <c r="C31" i="46"/>
  <c r="B31" i="46"/>
  <c r="L30" i="46"/>
  <c r="C30" i="46"/>
  <c r="B30" i="46"/>
  <c r="L29" i="46"/>
  <c r="C29" i="46"/>
  <c r="B29" i="46"/>
  <c r="L28" i="46"/>
  <c r="K28" i="46"/>
  <c r="C28" i="46"/>
  <c r="B28" i="46"/>
  <c r="L27" i="46"/>
  <c r="C27" i="46"/>
  <c r="B27" i="46"/>
  <c r="L26" i="46"/>
  <c r="C26" i="46"/>
  <c r="B26" i="46"/>
  <c r="L25" i="46"/>
  <c r="C25" i="46"/>
  <c r="B25" i="46"/>
  <c r="L24" i="46"/>
  <c r="C24" i="46"/>
  <c r="B24" i="46"/>
  <c r="L23" i="46"/>
  <c r="C23" i="46"/>
  <c r="B23" i="46"/>
  <c r="L22" i="46"/>
  <c r="C22" i="46"/>
  <c r="B22" i="46"/>
  <c r="L21" i="46"/>
  <c r="C21" i="46"/>
  <c r="B21" i="46"/>
  <c r="L20" i="46"/>
  <c r="C20" i="46"/>
  <c r="B20" i="46"/>
  <c r="L19" i="46"/>
  <c r="C19" i="46"/>
  <c r="B19" i="46"/>
  <c r="L18" i="46"/>
  <c r="C18" i="46"/>
  <c r="B18" i="46"/>
  <c r="L17" i="46"/>
  <c r="C17" i="46"/>
  <c r="B17" i="46"/>
  <c r="L16" i="46"/>
  <c r="K16" i="46"/>
  <c r="C16" i="46"/>
  <c r="B16" i="46"/>
  <c r="L15" i="46"/>
  <c r="C15" i="46"/>
  <c r="B15" i="46"/>
  <c r="L14" i="46"/>
  <c r="K14" i="46"/>
  <c r="C14" i="46"/>
  <c r="B14" i="46"/>
  <c r="L13" i="46"/>
  <c r="K13" i="46"/>
  <c r="C13" i="46"/>
  <c r="B13" i="46"/>
  <c r="L12" i="46"/>
  <c r="K12" i="46"/>
  <c r="C12" i="46"/>
  <c r="B12" i="46"/>
  <c r="L11" i="46"/>
  <c r="K11" i="46"/>
  <c r="C11" i="46"/>
  <c r="B11" i="46"/>
  <c r="L10" i="46"/>
  <c r="K10" i="46"/>
  <c r="C10" i="46"/>
  <c r="B10" i="46"/>
  <c r="L9" i="46"/>
  <c r="K9" i="46"/>
  <c r="C9" i="46"/>
  <c r="B9" i="46"/>
  <c r="L8" i="46"/>
  <c r="K8" i="46"/>
  <c r="C8" i="46"/>
  <c r="B8" i="46"/>
  <c r="L7" i="46"/>
  <c r="K7" i="46"/>
  <c r="C7" i="46"/>
  <c r="B7" i="46"/>
  <c r="L6" i="46"/>
  <c r="K6" i="46"/>
  <c r="C6" i="46"/>
  <c r="B6" i="46"/>
  <c r="L5" i="46"/>
  <c r="K5" i="46"/>
  <c r="C5" i="46"/>
  <c r="B5" i="46"/>
  <c r="L4" i="46"/>
  <c r="K4" i="46"/>
  <c r="C4" i="46"/>
  <c r="B4" i="46"/>
  <c r="L3" i="46"/>
  <c r="K3" i="46"/>
  <c r="C3" i="46"/>
  <c r="B3" i="46"/>
  <c r="F2" i="46"/>
  <c r="E2" i="46"/>
  <c r="D2" i="46"/>
  <c r="A167" i="45"/>
  <c r="C158" i="45"/>
  <c r="B158" i="45"/>
  <c r="C157" i="45"/>
  <c r="B157" i="45"/>
  <c r="C156" i="45"/>
  <c r="B156" i="45"/>
  <c r="C155" i="45"/>
  <c r="B155" i="45"/>
  <c r="C154" i="45"/>
  <c r="B154" i="45"/>
  <c r="C153" i="45"/>
  <c r="B153" i="45"/>
  <c r="C152" i="45"/>
  <c r="B152" i="45"/>
  <c r="C151" i="45"/>
  <c r="B151" i="45"/>
  <c r="C150" i="45"/>
  <c r="B150" i="45"/>
  <c r="C149" i="45"/>
  <c r="B149" i="45"/>
  <c r="C148" i="45"/>
  <c r="B148" i="45"/>
  <c r="C147" i="45"/>
  <c r="B147" i="45"/>
  <c r="C146" i="45"/>
  <c r="B146" i="45"/>
  <c r="C145" i="45"/>
  <c r="B145" i="45"/>
  <c r="C144" i="45"/>
  <c r="B144" i="45"/>
  <c r="C143" i="45"/>
  <c r="B143" i="45"/>
  <c r="C142" i="45"/>
  <c r="B142" i="45"/>
  <c r="C141" i="45"/>
  <c r="B141" i="45"/>
  <c r="C140" i="45"/>
  <c r="B140" i="45"/>
  <c r="C139" i="45"/>
  <c r="B139" i="45"/>
  <c r="C138" i="45"/>
  <c r="B138" i="45"/>
  <c r="C137" i="45"/>
  <c r="B137" i="45"/>
  <c r="C136" i="45"/>
  <c r="B136" i="45"/>
  <c r="C135" i="45"/>
  <c r="B135" i="45"/>
  <c r="L127" i="45"/>
  <c r="D127" i="45"/>
  <c r="C127" i="45"/>
  <c r="B127" i="45"/>
  <c r="L126" i="45"/>
  <c r="D126" i="45"/>
  <c r="C126" i="45"/>
  <c r="B126" i="45"/>
  <c r="L125" i="45"/>
  <c r="D125" i="45"/>
  <c r="C125" i="45"/>
  <c r="B125" i="45"/>
  <c r="L124" i="45"/>
  <c r="D124" i="45"/>
  <c r="C124" i="45"/>
  <c r="B124" i="45"/>
  <c r="L123" i="45"/>
  <c r="D123" i="45"/>
  <c r="C123" i="45"/>
  <c r="B123" i="45"/>
  <c r="L122" i="45"/>
  <c r="D122" i="45"/>
  <c r="C122" i="45"/>
  <c r="B122" i="45"/>
  <c r="L121" i="45"/>
  <c r="D121" i="45"/>
  <c r="C121" i="45"/>
  <c r="B121" i="45"/>
  <c r="L120" i="45"/>
  <c r="D120" i="45"/>
  <c r="C120" i="45"/>
  <c r="B120" i="45"/>
  <c r="L119" i="45"/>
  <c r="D119" i="45"/>
  <c r="C119" i="45"/>
  <c r="B119" i="45"/>
  <c r="L118" i="45"/>
  <c r="D118" i="45"/>
  <c r="C118" i="45"/>
  <c r="B118" i="45"/>
  <c r="L117" i="45"/>
  <c r="D117" i="45"/>
  <c r="C117" i="45"/>
  <c r="B117" i="45"/>
  <c r="L116" i="45"/>
  <c r="D116" i="45"/>
  <c r="C116" i="45"/>
  <c r="B116" i="45"/>
  <c r="L115" i="45"/>
  <c r="D115" i="45"/>
  <c r="C115" i="45"/>
  <c r="B115" i="45"/>
  <c r="L114" i="45"/>
  <c r="D114" i="45"/>
  <c r="C114" i="45"/>
  <c r="B114" i="45"/>
  <c r="L113" i="45"/>
  <c r="D113" i="45"/>
  <c r="C113" i="45"/>
  <c r="B113" i="45"/>
  <c r="L112" i="45"/>
  <c r="D112" i="45"/>
  <c r="C112" i="45"/>
  <c r="B112" i="45"/>
  <c r="L111" i="45"/>
  <c r="D111" i="45"/>
  <c r="C111" i="45"/>
  <c r="B111" i="45"/>
  <c r="L110" i="45"/>
  <c r="D110" i="45"/>
  <c r="C110" i="45"/>
  <c r="B110" i="45"/>
  <c r="L109" i="45"/>
  <c r="D109" i="45"/>
  <c r="C109" i="45"/>
  <c r="B109" i="45"/>
  <c r="L108" i="45"/>
  <c r="D108" i="45"/>
  <c r="C108" i="45"/>
  <c r="B108" i="45"/>
  <c r="L107" i="45"/>
  <c r="D107" i="45"/>
  <c r="C107" i="45"/>
  <c r="B107" i="45"/>
  <c r="L106" i="45"/>
  <c r="D106" i="45"/>
  <c r="C106" i="45"/>
  <c r="B106" i="45"/>
  <c r="L105" i="45"/>
  <c r="D105" i="45"/>
  <c r="C105" i="45"/>
  <c r="B105" i="45"/>
  <c r="L104" i="45"/>
  <c r="D104" i="45"/>
  <c r="C104" i="45"/>
  <c r="B104" i="45"/>
  <c r="L103" i="45"/>
  <c r="D103" i="45"/>
  <c r="C103" i="45"/>
  <c r="B103" i="45"/>
  <c r="L102" i="45"/>
  <c r="D102" i="45"/>
  <c r="C102" i="45"/>
  <c r="B102" i="45"/>
  <c r="L101" i="45"/>
  <c r="D101" i="45"/>
  <c r="C101" i="45"/>
  <c r="B101" i="45"/>
  <c r="L100" i="45"/>
  <c r="D100" i="45"/>
  <c r="C100" i="45"/>
  <c r="B100" i="45"/>
  <c r="L99" i="45"/>
  <c r="D99" i="45"/>
  <c r="C99" i="45"/>
  <c r="B99" i="45"/>
  <c r="L98" i="45"/>
  <c r="D98" i="45"/>
  <c r="C98" i="45"/>
  <c r="B98" i="45"/>
  <c r="L97" i="45"/>
  <c r="D97" i="45"/>
  <c r="C97" i="45"/>
  <c r="B97" i="45"/>
  <c r="L96" i="45"/>
  <c r="D96" i="45"/>
  <c r="C96" i="45"/>
  <c r="B96" i="45"/>
  <c r="L95" i="45"/>
  <c r="D95" i="45"/>
  <c r="C95" i="45"/>
  <c r="B95" i="45"/>
  <c r="L94" i="45"/>
  <c r="D94" i="45"/>
  <c r="C94" i="45"/>
  <c r="B94" i="45"/>
  <c r="L93" i="45"/>
  <c r="D93" i="45"/>
  <c r="C93" i="45"/>
  <c r="B93" i="45"/>
  <c r="L92" i="45"/>
  <c r="D92" i="45"/>
  <c r="C92" i="45"/>
  <c r="B92" i="45"/>
  <c r="L91" i="45"/>
  <c r="D91" i="45"/>
  <c r="C91" i="45"/>
  <c r="B91" i="45"/>
  <c r="L90" i="45"/>
  <c r="D90" i="45"/>
  <c r="C90" i="45"/>
  <c r="B90" i="45"/>
  <c r="L89" i="45"/>
  <c r="D89" i="45"/>
  <c r="C89" i="45"/>
  <c r="B89" i="45"/>
  <c r="L88" i="45"/>
  <c r="D88" i="45"/>
  <c r="C88" i="45"/>
  <c r="B88" i="45"/>
  <c r="L87" i="45"/>
  <c r="D87" i="45"/>
  <c r="C87" i="45"/>
  <c r="B87" i="45"/>
  <c r="L86" i="45"/>
  <c r="D86" i="45"/>
  <c r="C86" i="45"/>
  <c r="B86" i="45"/>
  <c r="L85" i="45"/>
  <c r="D85" i="45"/>
  <c r="C85" i="45"/>
  <c r="B85" i="45"/>
  <c r="L84" i="45"/>
  <c r="D84" i="45"/>
  <c r="C84" i="45"/>
  <c r="B84" i="45"/>
  <c r="L83" i="45"/>
  <c r="D83" i="45"/>
  <c r="C83" i="45"/>
  <c r="B83" i="45"/>
  <c r="L82" i="45"/>
  <c r="D82" i="45"/>
  <c r="C82" i="45"/>
  <c r="B82" i="45"/>
  <c r="L81" i="45"/>
  <c r="D81" i="45"/>
  <c r="C81" i="45"/>
  <c r="B81" i="45"/>
  <c r="L80" i="45"/>
  <c r="D80" i="45"/>
  <c r="C80" i="45"/>
  <c r="B80" i="45"/>
  <c r="L79" i="45"/>
  <c r="D79" i="45"/>
  <c r="C79" i="45"/>
  <c r="B79" i="45"/>
  <c r="L78" i="45"/>
  <c r="D78" i="45"/>
  <c r="C78" i="45"/>
  <c r="B78" i="45"/>
  <c r="L77" i="45"/>
  <c r="D77" i="45"/>
  <c r="C77" i="45"/>
  <c r="B77" i="45"/>
  <c r="L76" i="45"/>
  <c r="D76" i="45"/>
  <c r="C76" i="45"/>
  <c r="B76" i="45"/>
  <c r="L75" i="45"/>
  <c r="D75" i="45"/>
  <c r="C75" i="45"/>
  <c r="B75" i="45"/>
  <c r="L74" i="45"/>
  <c r="D74" i="45"/>
  <c r="C74" i="45"/>
  <c r="B74" i="45"/>
  <c r="L73" i="45"/>
  <c r="D73" i="45"/>
  <c r="C73" i="45"/>
  <c r="B73" i="45"/>
  <c r="L72" i="45"/>
  <c r="D72" i="45"/>
  <c r="C72" i="45"/>
  <c r="B72" i="45"/>
  <c r="L71" i="45"/>
  <c r="D71" i="45"/>
  <c r="C71" i="45"/>
  <c r="B71" i="45"/>
  <c r="L70" i="45"/>
  <c r="D70" i="45"/>
  <c r="C70" i="45"/>
  <c r="B70" i="45"/>
  <c r="L69" i="45"/>
  <c r="D69" i="45"/>
  <c r="C69" i="45"/>
  <c r="B69" i="45"/>
  <c r="L68" i="45"/>
  <c r="D68" i="45"/>
  <c r="C68" i="45"/>
  <c r="B68" i="45"/>
  <c r="L67" i="45"/>
  <c r="D67" i="45"/>
  <c r="C67" i="45"/>
  <c r="B67" i="45"/>
  <c r="L66" i="45"/>
  <c r="D66" i="45"/>
  <c r="C66" i="45"/>
  <c r="B66" i="45"/>
  <c r="L65" i="45"/>
  <c r="D65" i="45"/>
  <c r="C65" i="45"/>
  <c r="B65" i="45"/>
  <c r="L64" i="45"/>
  <c r="D64" i="45"/>
  <c r="C64" i="45"/>
  <c r="B64" i="45"/>
  <c r="L63" i="45"/>
  <c r="D63" i="45"/>
  <c r="C63" i="45"/>
  <c r="B63" i="45"/>
  <c r="L62" i="45"/>
  <c r="D62" i="45"/>
  <c r="C62" i="45"/>
  <c r="B62" i="45"/>
  <c r="L61" i="45"/>
  <c r="D61" i="45"/>
  <c r="C61" i="45"/>
  <c r="B61" i="45"/>
  <c r="L60" i="45"/>
  <c r="D60" i="45"/>
  <c r="C60" i="45"/>
  <c r="B60" i="45"/>
  <c r="L59" i="45"/>
  <c r="D59" i="45"/>
  <c r="C59" i="45"/>
  <c r="B59" i="45"/>
  <c r="L58" i="45"/>
  <c r="D58" i="45"/>
  <c r="C58" i="45"/>
  <c r="B58" i="45"/>
  <c r="L57" i="45"/>
  <c r="D57" i="45"/>
  <c r="C57" i="45"/>
  <c r="B57" i="45"/>
  <c r="L56" i="45"/>
  <c r="D56" i="45"/>
  <c r="C56" i="45"/>
  <c r="B56" i="45"/>
  <c r="L55" i="45"/>
  <c r="D55" i="45"/>
  <c r="C55" i="45"/>
  <c r="B55" i="45"/>
  <c r="L54" i="45"/>
  <c r="D54" i="45"/>
  <c r="C54" i="45"/>
  <c r="B54" i="45"/>
  <c r="L53" i="45"/>
  <c r="D53" i="45"/>
  <c r="C53" i="45"/>
  <c r="B53" i="45"/>
  <c r="L52" i="45"/>
  <c r="D52" i="45"/>
  <c r="C52" i="45"/>
  <c r="B52" i="45"/>
  <c r="L51" i="45"/>
  <c r="D51" i="45"/>
  <c r="C51" i="45"/>
  <c r="B51" i="45"/>
  <c r="L50" i="45"/>
  <c r="C50" i="45"/>
  <c r="B50" i="45"/>
  <c r="L49" i="45"/>
  <c r="C49" i="45"/>
  <c r="B49" i="45"/>
  <c r="L48" i="45"/>
  <c r="C48" i="45"/>
  <c r="B48" i="45"/>
  <c r="L47" i="45"/>
  <c r="C47" i="45"/>
  <c r="B47" i="45"/>
  <c r="L46" i="45"/>
  <c r="C46" i="45"/>
  <c r="B46" i="45"/>
  <c r="L45" i="45"/>
  <c r="C45" i="45"/>
  <c r="B45" i="45"/>
  <c r="L44" i="45"/>
  <c r="C44" i="45"/>
  <c r="B44" i="45"/>
  <c r="L43" i="45"/>
  <c r="C43" i="45"/>
  <c r="B43" i="45"/>
  <c r="L42" i="45"/>
  <c r="C42" i="45"/>
  <c r="B42" i="45"/>
  <c r="L41" i="45"/>
  <c r="C41" i="45"/>
  <c r="B41" i="45"/>
  <c r="L40" i="45"/>
  <c r="C40" i="45"/>
  <c r="B40" i="45"/>
  <c r="L39" i="45"/>
  <c r="C39" i="45"/>
  <c r="B39" i="45"/>
  <c r="L38" i="45"/>
  <c r="C38" i="45"/>
  <c r="B38" i="45"/>
  <c r="L37" i="45"/>
  <c r="C37" i="45"/>
  <c r="B37" i="45"/>
  <c r="L36" i="45"/>
  <c r="C36" i="45"/>
  <c r="B36" i="45"/>
  <c r="L35" i="45"/>
  <c r="C35" i="45"/>
  <c r="B35" i="45"/>
  <c r="L34" i="45"/>
  <c r="C34" i="45"/>
  <c r="B34" i="45"/>
  <c r="L33" i="45"/>
  <c r="C33" i="45"/>
  <c r="B33" i="45"/>
  <c r="L32" i="45"/>
  <c r="C32" i="45"/>
  <c r="B32" i="45"/>
  <c r="L31" i="45"/>
  <c r="C31" i="45"/>
  <c r="B31" i="45"/>
  <c r="L30" i="45"/>
  <c r="C30" i="45"/>
  <c r="B30" i="45"/>
  <c r="L29" i="45"/>
  <c r="C29" i="45"/>
  <c r="B29" i="45"/>
  <c r="L28" i="45"/>
  <c r="C28" i="45"/>
  <c r="B28" i="45"/>
  <c r="L27" i="45"/>
  <c r="C27" i="45"/>
  <c r="B27" i="45"/>
  <c r="L26" i="45"/>
  <c r="C26" i="45"/>
  <c r="B26" i="45"/>
  <c r="L25" i="45"/>
  <c r="C25" i="45"/>
  <c r="B25" i="45"/>
  <c r="L24" i="45"/>
  <c r="C24" i="45"/>
  <c r="B24" i="45"/>
  <c r="L23" i="45"/>
  <c r="C23" i="45"/>
  <c r="B23" i="45"/>
  <c r="L22" i="45"/>
  <c r="C22" i="45"/>
  <c r="B22" i="45"/>
  <c r="L21" i="45"/>
  <c r="C21" i="45"/>
  <c r="B21" i="45"/>
  <c r="L20" i="45"/>
  <c r="C20" i="45"/>
  <c r="B20" i="45"/>
  <c r="L19" i="45"/>
  <c r="C19" i="45"/>
  <c r="B19" i="45"/>
  <c r="L18" i="45"/>
  <c r="C18" i="45"/>
  <c r="B18" i="45"/>
  <c r="L17" i="45"/>
  <c r="C17" i="45"/>
  <c r="B17" i="45"/>
  <c r="L16" i="45"/>
  <c r="C16" i="45"/>
  <c r="B16" i="45"/>
  <c r="L15" i="45"/>
  <c r="C15" i="45"/>
  <c r="B15" i="45"/>
  <c r="L14" i="45"/>
  <c r="K14" i="45"/>
  <c r="C14" i="45"/>
  <c r="B14" i="45"/>
  <c r="L13" i="45"/>
  <c r="K13" i="45"/>
  <c r="C13" i="45"/>
  <c r="B13" i="45"/>
  <c r="L12" i="45"/>
  <c r="K12" i="45"/>
  <c r="C12" i="45"/>
  <c r="B12" i="45"/>
  <c r="L11" i="45"/>
  <c r="K11" i="45"/>
  <c r="C11" i="45"/>
  <c r="B11" i="45"/>
  <c r="L10" i="45"/>
  <c r="K10" i="45"/>
  <c r="C10" i="45"/>
  <c r="B10" i="45"/>
  <c r="L9" i="45"/>
  <c r="K9" i="45"/>
  <c r="C9" i="45"/>
  <c r="B9" i="45"/>
  <c r="L8" i="45"/>
  <c r="K8" i="45"/>
  <c r="C8" i="45"/>
  <c r="B8" i="45"/>
  <c r="L7" i="45"/>
  <c r="K7" i="45"/>
  <c r="C7" i="45"/>
  <c r="B7" i="45"/>
  <c r="L6" i="45"/>
  <c r="K6" i="45"/>
  <c r="C6" i="45"/>
  <c r="B6" i="45"/>
  <c r="L5" i="45"/>
  <c r="K5" i="45"/>
  <c r="C5" i="45"/>
  <c r="B5" i="45"/>
  <c r="L4" i="45"/>
  <c r="K4" i="45"/>
  <c r="C4" i="45"/>
  <c r="B4" i="45"/>
  <c r="M3" i="45"/>
  <c r="L3" i="45"/>
  <c r="K3" i="45"/>
  <c r="C3" i="45"/>
  <c r="B3" i="45"/>
  <c r="F2" i="45"/>
  <c r="E2" i="45"/>
  <c r="D2" i="45"/>
  <c r="A167" i="44"/>
  <c r="C158" i="44"/>
  <c r="B158" i="44"/>
  <c r="C157" i="44"/>
  <c r="B157" i="44"/>
  <c r="C156" i="44"/>
  <c r="B156" i="44"/>
  <c r="C155" i="44"/>
  <c r="B155" i="44"/>
  <c r="C154" i="44"/>
  <c r="B154" i="44"/>
  <c r="C153" i="44"/>
  <c r="B153" i="44"/>
  <c r="C152" i="44"/>
  <c r="B152" i="44"/>
  <c r="C151" i="44"/>
  <c r="B151" i="44"/>
  <c r="C150" i="44"/>
  <c r="B150" i="44"/>
  <c r="C149" i="44"/>
  <c r="B149" i="44"/>
  <c r="C148" i="44"/>
  <c r="B148" i="44"/>
  <c r="C147" i="44"/>
  <c r="B147" i="44"/>
  <c r="C146" i="44"/>
  <c r="B146" i="44"/>
  <c r="C145" i="44"/>
  <c r="B145" i="44"/>
  <c r="C144" i="44"/>
  <c r="B144" i="44"/>
  <c r="C143" i="44"/>
  <c r="B143" i="44"/>
  <c r="C142" i="44"/>
  <c r="B142" i="44"/>
  <c r="C141" i="44"/>
  <c r="B141" i="44"/>
  <c r="C140" i="44"/>
  <c r="B140" i="44"/>
  <c r="C139" i="44"/>
  <c r="B139" i="44"/>
  <c r="C138" i="44"/>
  <c r="B138" i="44"/>
  <c r="C137" i="44"/>
  <c r="B137" i="44"/>
  <c r="C136" i="44"/>
  <c r="B136" i="44"/>
  <c r="C135" i="44"/>
  <c r="B135" i="44"/>
  <c r="N127" i="44"/>
  <c r="D127" i="44"/>
  <c r="C127" i="44"/>
  <c r="B127" i="44"/>
  <c r="N126" i="44"/>
  <c r="D126" i="44"/>
  <c r="C126" i="44"/>
  <c r="B126" i="44"/>
  <c r="N125" i="44"/>
  <c r="D125" i="44"/>
  <c r="C125" i="44"/>
  <c r="B125" i="44"/>
  <c r="N124" i="44"/>
  <c r="D124" i="44"/>
  <c r="C124" i="44"/>
  <c r="B124" i="44"/>
  <c r="N123" i="44"/>
  <c r="D123" i="44"/>
  <c r="C123" i="44"/>
  <c r="B123" i="44"/>
  <c r="N122" i="44"/>
  <c r="D122" i="44"/>
  <c r="C122" i="44"/>
  <c r="B122" i="44"/>
  <c r="N121" i="44"/>
  <c r="D121" i="44"/>
  <c r="C121" i="44"/>
  <c r="B121" i="44"/>
  <c r="N120" i="44"/>
  <c r="D120" i="44"/>
  <c r="C120" i="44"/>
  <c r="B120" i="44"/>
  <c r="N119" i="44"/>
  <c r="D119" i="44"/>
  <c r="C119" i="44"/>
  <c r="B119" i="44"/>
  <c r="N118" i="44"/>
  <c r="D118" i="44"/>
  <c r="C118" i="44"/>
  <c r="B118" i="44"/>
  <c r="N117" i="44"/>
  <c r="D117" i="44"/>
  <c r="C117" i="44"/>
  <c r="B117" i="44"/>
  <c r="N116" i="44"/>
  <c r="D116" i="44"/>
  <c r="C116" i="44"/>
  <c r="B116" i="44"/>
  <c r="N115" i="44"/>
  <c r="D115" i="44"/>
  <c r="C115" i="44"/>
  <c r="B115" i="44"/>
  <c r="N114" i="44"/>
  <c r="D114" i="44"/>
  <c r="C114" i="44"/>
  <c r="B114" i="44"/>
  <c r="N113" i="44"/>
  <c r="D113" i="44"/>
  <c r="C113" i="44"/>
  <c r="B113" i="44"/>
  <c r="N112" i="44"/>
  <c r="D112" i="44"/>
  <c r="C112" i="44"/>
  <c r="B112" i="44"/>
  <c r="N111" i="44"/>
  <c r="D111" i="44"/>
  <c r="C111" i="44"/>
  <c r="B111" i="44"/>
  <c r="N110" i="44"/>
  <c r="D110" i="44"/>
  <c r="C110" i="44"/>
  <c r="B110" i="44"/>
  <c r="N109" i="44"/>
  <c r="D109" i="44"/>
  <c r="C109" i="44"/>
  <c r="B109" i="44"/>
  <c r="N108" i="44"/>
  <c r="D108" i="44"/>
  <c r="C108" i="44"/>
  <c r="B108" i="44"/>
  <c r="N107" i="44"/>
  <c r="D107" i="44"/>
  <c r="C107" i="44"/>
  <c r="B107" i="44"/>
  <c r="N106" i="44"/>
  <c r="D106" i="44"/>
  <c r="C106" i="44"/>
  <c r="B106" i="44"/>
  <c r="N105" i="44"/>
  <c r="D105" i="44"/>
  <c r="C105" i="44"/>
  <c r="B105" i="44"/>
  <c r="N104" i="44"/>
  <c r="D104" i="44"/>
  <c r="C104" i="44"/>
  <c r="B104" i="44"/>
  <c r="N103" i="44"/>
  <c r="D103" i="44"/>
  <c r="C103" i="44"/>
  <c r="B103" i="44"/>
  <c r="N102" i="44"/>
  <c r="D102" i="44"/>
  <c r="C102" i="44"/>
  <c r="B102" i="44"/>
  <c r="N101" i="44"/>
  <c r="D101" i="44"/>
  <c r="C101" i="44"/>
  <c r="B101" i="44"/>
  <c r="N100" i="44"/>
  <c r="D100" i="44"/>
  <c r="C100" i="44"/>
  <c r="B100" i="44"/>
  <c r="N99" i="44"/>
  <c r="D99" i="44"/>
  <c r="C99" i="44"/>
  <c r="B99" i="44"/>
  <c r="N98" i="44"/>
  <c r="D98" i="44"/>
  <c r="C98" i="44"/>
  <c r="B98" i="44"/>
  <c r="N97" i="44"/>
  <c r="D97" i="44"/>
  <c r="C97" i="44"/>
  <c r="B97" i="44"/>
  <c r="N96" i="44"/>
  <c r="D96" i="44"/>
  <c r="C96" i="44"/>
  <c r="B96" i="44"/>
  <c r="N95" i="44"/>
  <c r="D95" i="44"/>
  <c r="C95" i="44"/>
  <c r="B95" i="44"/>
  <c r="N94" i="44"/>
  <c r="D94" i="44"/>
  <c r="C94" i="44"/>
  <c r="B94" i="44"/>
  <c r="N93" i="44"/>
  <c r="D93" i="44"/>
  <c r="C93" i="44"/>
  <c r="B93" i="44"/>
  <c r="N92" i="44"/>
  <c r="D92" i="44"/>
  <c r="C92" i="44"/>
  <c r="B92" i="44"/>
  <c r="N91" i="44"/>
  <c r="D91" i="44"/>
  <c r="C91" i="44"/>
  <c r="B91" i="44"/>
  <c r="N90" i="44"/>
  <c r="D90" i="44"/>
  <c r="C90" i="44"/>
  <c r="B90" i="44"/>
  <c r="N89" i="44"/>
  <c r="D89" i="44"/>
  <c r="C89" i="44"/>
  <c r="B89" i="44"/>
  <c r="N88" i="44"/>
  <c r="D88" i="44"/>
  <c r="C88" i="44"/>
  <c r="B88" i="44"/>
  <c r="N87" i="44"/>
  <c r="D87" i="44"/>
  <c r="C87" i="44"/>
  <c r="B87" i="44"/>
  <c r="N86" i="44"/>
  <c r="D86" i="44"/>
  <c r="C86" i="44"/>
  <c r="B86" i="44"/>
  <c r="N85" i="44"/>
  <c r="D85" i="44"/>
  <c r="C85" i="44"/>
  <c r="B85" i="44"/>
  <c r="N84" i="44"/>
  <c r="D84" i="44"/>
  <c r="C84" i="44"/>
  <c r="B84" i="44"/>
  <c r="N83" i="44"/>
  <c r="D83" i="44"/>
  <c r="C83" i="44"/>
  <c r="B83" i="44"/>
  <c r="N82" i="44"/>
  <c r="D82" i="44"/>
  <c r="C82" i="44"/>
  <c r="B82" i="44"/>
  <c r="N81" i="44"/>
  <c r="D81" i="44"/>
  <c r="C81" i="44"/>
  <c r="B81" i="44"/>
  <c r="N80" i="44"/>
  <c r="D80" i="44"/>
  <c r="C80" i="44"/>
  <c r="B80" i="44"/>
  <c r="N79" i="44"/>
  <c r="D79" i="44"/>
  <c r="C79" i="44"/>
  <c r="B79" i="44"/>
  <c r="N78" i="44"/>
  <c r="D78" i="44"/>
  <c r="C78" i="44"/>
  <c r="B78" i="44"/>
  <c r="N77" i="44"/>
  <c r="D77" i="44"/>
  <c r="C77" i="44"/>
  <c r="B77" i="44"/>
  <c r="N76" i="44"/>
  <c r="D76" i="44"/>
  <c r="C76" i="44"/>
  <c r="B76" i="44"/>
  <c r="N75" i="44"/>
  <c r="D75" i="44"/>
  <c r="C75" i="44"/>
  <c r="B75" i="44"/>
  <c r="N74" i="44"/>
  <c r="D74" i="44"/>
  <c r="C74" i="44"/>
  <c r="B74" i="44"/>
  <c r="N73" i="44"/>
  <c r="D73" i="44"/>
  <c r="C73" i="44"/>
  <c r="B73" i="44"/>
  <c r="N72" i="44"/>
  <c r="D72" i="44"/>
  <c r="C72" i="44"/>
  <c r="B72" i="44"/>
  <c r="N71" i="44"/>
  <c r="D71" i="44"/>
  <c r="C71" i="44"/>
  <c r="B71" i="44"/>
  <c r="N70" i="44"/>
  <c r="D70" i="44"/>
  <c r="C70" i="44"/>
  <c r="B70" i="44"/>
  <c r="N69" i="44"/>
  <c r="D69" i="44"/>
  <c r="C69" i="44"/>
  <c r="B69" i="44"/>
  <c r="N68" i="44"/>
  <c r="D68" i="44"/>
  <c r="C68" i="44"/>
  <c r="B68" i="44"/>
  <c r="N67" i="44"/>
  <c r="D67" i="44"/>
  <c r="C67" i="44"/>
  <c r="B67" i="44"/>
  <c r="N66" i="44"/>
  <c r="D66" i="44"/>
  <c r="C66" i="44"/>
  <c r="B66" i="44"/>
  <c r="N65" i="44"/>
  <c r="D65" i="44"/>
  <c r="C65" i="44"/>
  <c r="B65" i="44"/>
  <c r="N64" i="44"/>
  <c r="D64" i="44"/>
  <c r="C64" i="44"/>
  <c r="B64" i="44"/>
  <c r="N63" i="44"/>
  <c r="D63" i="44"/>
  <c r="C63" i="44"/>
  <c r="B63" i="44"/>
  <c r="N62" i="44"/>
  <c r="D62" i="44"/>
  <c r="C62" i="44"/>
  <c r="B62" i="44"/>
  <c r="N61" i="44"/>
  <c r="D61" i="44"/>
  <c r="C61" i="44"/>
  <c r="B61" i="44"/>
  <c r="N60" i="44"/>
  <c r="D60" i="44"/>
  <c r="C60" i="44"/>
  <c r="B60" i="44"/>
  <c r="N59" i="44"/>
  <c r="D59" i="44"/>
  <c r="C59" i="44"/>
  <c r="B59" i="44"/>
  <c r="N58" i="44"/>
  <c r="D58" i="44"/>
  <c r="C58" i="44"/>
  <c r="B58" i="44"/>
  <c r="N57" i="44"/>
  <c r="D57" i="44"/>
  <c r="C57" i="44"/>
  <c r="B57" i="44"/>
  <c r="N56" i="44"/>
  <c r="D56" i="44"/>
  <c r="C56" i="44"/>
  <c r="B56" i="44"/>
  <c r="N55" i="44"/>
  <c r="D55" i="44"/>
  <c r="C55" i="44"/>
  <c r="B55" i="44"/>
  <c r="N54" i="44"/>
  <c r="D54" i="44"/>
  <c r="C54" i="44"/>
  <c r="B54" i="44"/>
  <c r="N53" i="44"/>
  <c r="D53" i="44"/>
  <c r="C53" i="44"/>
  <c r="B53" i="44"/>
  <c r="N52" i="44"/>
  <c r="D52" i="44"/>
  <c r="C52" i="44"/>
  <c r="B52" i="44"/>
  <c r="N51" i="44"/>
  <c r="D51" i="44"/>
  <c r="C51" i="44"/>
  <c r="B51" i="44"/>
  <c r="N50" i="44"/>
  <c r="C50" i="44"/>
  <c r="B50" i="44"/>
  <c r="N49" i="44"/>
  <c r="C49" i="44"/>
  <c r="B49" i="44"/>
  <c r="N48" i="44"/>
  <c r="C48" i="44"/>
  <c r="B48" i="44"/>
  <c r="N47" i="44"/>
  <c r="C47" i="44"/>
  <c r="B47" i="44"/>
  <c r="N46" i="44"/>
  <c r="C46" i="44"/>
  <c r="B46" i="44"/>
  <c r="N45" i="44"/>
  <c r="C45" i="44"/>
  <c r="B45" i="44"/>
  <c r="N44" i="44"/>
  <c r="C44" i="44"/>
  <c r="B44" i="44"/>
  <c r="N43" i="44"/>
  <c r="C43" i="44"/>
  <c r="B43" i="44"/>
  <c r="N42" i="44"/>
  <c r="C42" i="44"/>
  <c r="B42" i="44"/>
  <c r="N41" i="44"/>
  <c r="C41" i="44"/>
  <c r="B41" i="44"/>
  <c r="N40" i="44"/>
  <c r="C40" i="44"/>
  <c r="B40" i="44"/>
  <c r="N39" i="44"/>
  <c r="C39" i="44"/>
  <c r="B39" i="44"/>
  <c r="N38" i="44"/>
  <c r="C38" i="44"/>
  <c r="B38" i="44"/>
  <c r="N37" i="44"/>
  <c r="C37" i="44"/>
  <c r="B37" i="44"/>
  <c r="N36" i="44"/>
  <c r="C36" i="44"/>
  <c r="B36" i="44"/>
  <c r="N35" i="44"/>
  <c r="C35" i="44"/>
  <c r="B35" i="44"/>
  <c r="N34" i="44"/>
  <c r="C34" i="44"/>
  <c r="B34" i="44"/>
  <c r="N33" i="44"/>
  <c r="C33" i="44"/>
  <c r="B33" i="44"/>
  <c r="N32" i="44"/>
  <c r="C32" i="44"/>
  <c r="B32" i="44"/>
  <c r="N31" i="44"/>
  <c r="C31" i="44"/>
  <c r="B31" i="44"/>
  <c r="N30" i="44"/>
  <c r="C30" i="44"/>
  <c r="B30" i="44"/>
  <c r="N29" i="44"/>
  <c r="C29" i="44"/>
  <c r="B29" i="44"/>
  <c r="N28" i="44"/>
  <c r="K28" i="44"/>
  <c r="C28" i="44"/>
  <c r="B28" i="44"/>
  <c r="N27" i="44"/>
  <c r="C27" i="44"/>
  <c r="B27" i="44"/>
  <c r="N26" i="44"/>
  <c r="C26" i="44"/>
  <c r="B26" i="44"/>
  <c r="N25" i="44"/>
  <c r="C25" i="44"/>
  <c r="B25" i="44"/>
  <c r="N24" i="44"/>
  <c r="C24" i="44"/>
  <c r="B24" i="44"/>
  <c r="N23" i="44"/>
  <c r="C23" i="44"/>
  <c r="B23" i="44"/>
  <c r="N22" i="44"/>
  <c r="C22" i="44"/>
  <c r="B22" i="44"/>
  <c r="N21" i="44"/>
  <c r="C21" i="44"/>
  <c r="B21" i="44"/>
  <c r="N20" i="44"/>
  <c r="C20" i="44"/>
  <c r="B20" i="44"/>
  <c r="N19" i="44"/>
  <c r="C19" i="44"/>
  <c r="B19" i="44"/>
  <c r="N18" i="44"/>
  <c r="C18" i="44"/>
  <c r="B18" i="44"/>
  <c r="N17" i="44"/>
  <c r="C17" i="44"/>
  <c r="B17" i="44"/>
  <c r="N16" i="44"/>
  <c r="K16" i="44"/>
  <c r="C16" i="44"/>
  <c r="B16" i="44"/>
  <c r="N15" i="44"/>
  <c r="C15" i="44"/>
  <c r="B15" i="44"/>
  <c r="N14" i="44"/>
  <c r="L14" i="44"/>
  <c r="K14" i="44"/>
  <c r="C14" i="44"/>
  <c r="B14" i="44"/>
  <c r="N13" i="44"/>
  <c r="L13" i="44"/>
  <c r="K13" i="44"/>
  <c r="C13" i="44"/>
  <c r="B13" i="44"/>
  <c r="N12" i="44"/>
  <c r="L12" i="44"/>
  <c r="K12" i="44"/>
  <c r="C12" i="44"/>
  <c r="B12" i="44"/>
  <c r="N11" i="44"/>
  <c r="L11" i="44"/>
  <c r="K11" i="44"/>
  <c r="C11" i="44"/>
  <c r="B11" i="44"/>
  <c r="N10" i="44"/>
  <c r="L10" i="44"/>
  <c r="K10" i="44"/>
  <c r="C10" i="44"/>
  <c r="B10" i="44"/>
  <c r="N9" i="44"/>
  <c r="L9" i="44"/>
  <c r="K9" i="44"/>
  <c r="C9" i="44"/>
  <c r="B9" i="44"/>
  <c r="N8" i="44"/>
  <c r="L8" i="44"/>
  <c r="K8" i="44"/>
  <c r="C8" i="44"/>
  <c r="B8" i="44"/>
  <c r="N7" i="44"/>
  <c r="L7" i="44"/>
  <c r="K7" i="44"/>
  <c r="C7" i="44"/>
  <c r="B7" i="44"/>
  <c r="N6" i="44"/>
  <c r="L6" i="44"/>
  <c r="K6" i="44"/>
  <c r="C6" i="44"/>
  <c r="B6" i="44"/>
  <c r="N5" i="44"/>
  <c r="L5" i="44"/>
  <c r="K5" i="44"/>
  <c r="C5" i="44"/>
  <c r="B5" i="44"/>
  <c r="N4" i="44"/>
  <c r="L4" i="44"/>
  <c r="K4" i="44"/>
  <c r="C4" i="44"/>
  <c r="B4" i="44"/>
  <c r="N3" i="44"/>
  <c r="L3" i="44"/>
  <c r="K3" i="44"/>
  <c r="C3" i="44"/>
  <c r="B3" i="44"/>
  <c r="D21" i="11"/>
  <c r="E21" i="11"/>
  <c r="F21" i="11"/>
  <c r="D26" i="11"/>
  <c r="E26" i="11"/>
  <c r="F26" i="11"/>
  <c r="D31" i="11"/>
  <c r="E31" i="11"/>
  <c r="F31" i="11"/>
  <c r="D36" i="11"/>
  <c r="E36" i="11"/>
  <c r="F36" i="11"/>
  <c r="D41" i="11"/>
  <c r="E41" i="11"/>
  <c r="F41" i="11"/>
  <c r="G41" i="11"/>
  <c r="H41" i="11"/>
  <c r="I41" i="11"/>
  <c r="J41" i="11"/>
  <c r="K41" i="11"/>
  <c r="L41" i="11"/>
  <c r="M41" i="11"/>
  <c r="C41" i="11"/>
  <c r="C36" i="11"/>
  <c r="C31" i="11"/>
  <c r="C26" i="11"/>
  <c r="C21" i="11"/>
  <c r="D25" i="11"/>
  <c r="E25" i="11"/>
  <c r="F25" i="11"/>
  <c r="D30" i="11"/>
  <c r="E30" i="11"/>
  <c r="F30" i="11"/>
  <c r="D35" i="11"/>
  <c r="E35" i="11"/>
  <c r="F35" i="11"/>
  <c r="D40" i="11"/>
  <c r="E40" i="11"/>
  <c r="F40" i="11"/>
  <c r="D45" i="11"/>
  <c r="E45" i="11"/>
  <c r="F45" i="11"/>
  <c r="G45" i="11"/>
  <c r="C45" i="11"/>
  <c r="C40" i="11"/>
  <c r="C35" i="11"/>
  <c r="C30" i="11"/>
  <c r="C25" i="11"/>
  <c r="D15" i="11"/>
  <c r="E15" i="11"/>
  <c r="F15" i="11"/>
  <c r="D19" i="11"/>
  <c r="E19" i="11"/>
  <c r="F19" i="11"/>
  <c r="D24" i="11"/>
  <c r="E24" i="11"/>
  <c r="F24" i="11"/>
  <c r="D29" i="11"/>
  <c r="E29" i="11"/>
  <c r="F29" i="11"/>
  <c r="D34" i="11"/>
  <c r="E34" i="11"/>
  <c r="F34" i="11"/>
  <c r="D39" i="11"/>
  <c r="E39" i="11"/>
  <c r="F39" i="11"/>
  <c r="D44" i="11"/>
  <c r="E44" i="11"/>
  <c r="F44" i="11"/>
  <c r="C44" i="11"/>
  <c r="C39" i="11"/>
  <c r="C34" i="11"/>
  <c r="C29" i="11"/>
  <c r="C24" i="11"/>
  <c r="C19" i="11"/>
  <c r="C15" i="11"/>
  <c r="E21" i="18"/>
  <c r="E22" i="18"/>
  <c r="E23" i="18"/>
  <c r="E24" i="18"/>
  <c r="F21" i="18"/>
  <c r="F22" i="18"/>
  <c r="F23" i="18"/>
  <c r="F24" i="18"/>
  <c r="F28" i="9"/>
  <c r="G28" i="9"/>
  <c r="H28" i="9"/>
  <c r="I28" i="9"/>
  <c r="J28" i="9"/>
  <c r="F29" i="9"/>
  <c r="G29" i="9"/>
  <c r="H29" i="9"/>
  <c r="I29" i="9"/>
  <c r="J29" i="9"/>
  <c r="F30" i="9"/>
  <c r="G30" i="9"/>
  <c r="H30" i="9"/>
  <c r="I30" i="9"/>
  <c r="J30" i="9"/>
  <c r="J27" i="9"/>
  <c r="F27" i="9"/>
  <c r="G27" i="9"/>
  <c r="H27" i="9"/>
  <c r="I27" i="9"/>
  <c r="A168" i="22"/>
  <c r="A169" i="22" s="1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2" i="22"/>
  <c r="E2" i="22"/>
  <c r="K3" i="37"/>
  <c r="I4" i="37"/>
  <c r="I5" i="37"/>
  <c r="I6" i="37"/>
  <c r="I7" i="37"/>
  <c r="I8" i="37"/>
  <c r="I9" i="37"/>
  <c r="I10" i="37"/>
  <c r="I11" i="37"/>
  <c r="I12" i="37"/>
  <c r="I13" i="37"/>
  <c r="I14" i="37"/>
  <c r="I3" i="37"/>
  <c r="A167" i="37"/>
  <c r="D2" i="37"/>
  <c r="E2" i="37"/>
  <c r="D51" i="37"/>
  <c r="D52" i="37"/>
  <c r="D53" i="37"/>
  <c r="D54" i="37"/>
  <c r="D55" i="37"/>
  <c r="D56" i="37"/>
  <c r="D57" i="37"/>
  <c r="D58" i="37"/>
  <c r="D59" i="37"/>
  <c r="D60" i="37"/>
  <c r="D61" i="37"/>
  <c r="D62" i="37"/>
  <c r="D63" i="37"/>
  <c r="D64" i="37"/>
  <c r="D65" i="37"/>
  <c r="D66" i="37"/>
  <c r="D67" i="37"/>
  <c r="D68" i="37"/>
  <c r="D69" i="37"/>
  <c r="D70" i="37"/>
  <c r="D71" i="37"/>
  <c r="D72" i="37"/>
  <c r="D73" i="37"/>
  <c r="D74" i="37"/>
  <c r="D75" i="37"/>
  <c r="D76" i="37"/>
  <c r="D77" i="37"/>
  <c r="D78" i="37"/>
  <c r="D79" i="37"/>
  <c r="D80" i="37"/>
  <c r="D81" i="37"/>
  <c r="D82" i="37"/>
  <c r="D83" i="37"/>
  <c r="D84" i="37"/>
  <c r="D85" i="37"/>
  <c r="D86" i="37"/>
  <c r="D87" i="37"/>
  <c r="D88" i="37"/>
  <c r="D89" i="37"/>
  <c r="D90" i="37"/>
  <c r="D91" i="37"/>
  <c r="D92" i="37"/>
  <c r="D93" i="37"/>
  <c r="D94" i="37"/>
  <c r="D95" i="37"/>
  <c r="D96" i="37"/>
  <c r="D97" i="37"/>
  <c r="D98" i="37"/>
  <c r="D99" i="37"/>
  <c r="D100" i="37"/>
  <c r="D101" i="37"/>
  <c r="D102" i="37"/>
  <c r="D103" i="37"/>
  <c r="D104" i="37"/>
  <c r="D105" i="37"/>
  <c r="D106" i="37"/>
  <c r="D107" i="37"/>
  <c r="D108" i="37"/>
  <c r="D109" i="37"/>
  <c r="D110" i="37"/>
  <c r="D111" i="37"/>
  <c r="D112" i="37"/>
  <c r="D113" i="37"/>
  <c r="D114" i="37"/>
  <c r="D115" i="37"/>
  <c r="D116" i="37"/>
  <c r="D117" i="37"/>
  <c r="D118" i="37"/>
  <c r="D119" i="37"/>
  <c r="D120" i="37"/>
  <c r="D121" i="37"/>
  <c r="D122" i="37"/>
  <c r="D123" i="37"/>
  <c r="D124" i="37"/>
  <c r="D125" i="37"/>
  <c r="D126" i="37"/>
  <c r="D127" i="37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A170" i="22" l="1"/>
  <c r="A171" i="22" s="1"/>
  <c r="A168" i="44"/>
  <c r="A168" i="45"/>
  <c r="A169" i="46"/>
  <c r="A172" i="22"/>
  <c r="A168" i="37"/>
  <c r="A170" i="46" l="1"/>
  <c r="A169" i="45"/>
  <c r="A169" i="44"/>
  <c r="A173" i="22"/>
  <c r="A169" i="37"/>
  <c r="A170" i="45" l="1"/>
  <c r="A171" i="46"/>
  <c r="A170" i="44"/>
  <c r="A174" i="22"/>
  <c r="A170" i="37"/>
  <c r="A172" i="46" l="1"/>
  <c r="D171" i="46"/>
  <c r="A171" i="45"/>
  <c r="D170" i="45"/>
  <c r="D170" i="44"/>
  <c r="A171" i="44"/>
  <c r="A175" i="22"/>
  <c r="A171" i="37"/>
  <c r="A172" i="45" l="1"/>
  <c r="D171" i="45"/>
  <c r="D171" i="44"/>
  <c r="A172" i="44"/>
  <c r="D172" i="46"/>
  <c r="A173" i="46"/>
  <c r="A176" i="22"/>
  <c r="A172" i="37"/>
  <c r="D173" i="46" l="1"/>
  <c r="A174" i="46"/>
  <c r="D172" i="45"/>
  <c r="A173" i="45"/>
  <c r="A173" i="44"/>
  <c r="D172" i="44"/>
  <c r="A177" i="22"/>
  <c r="A173" i="37"/>
  <c r="A175" i="46" l="1"/>
  <c r="D174" i="46"/>
  <c r="D173" i="45"/>
  <c r="A174" i="45"/>
  <c r="A174" i="44"/>
  <c r="D173" i="44"/>
  <c r="A178" i="22"/>
  <c r="A174" i="37"/>
  <c r="A175" i="45" l="1"/>
  <c r="D174" i="45"/>
  <c r="D174" i="44"/>
  <c r="A175" i="44"/>
  <c r="A176" i="46"/>
  <c r="D175" i="46"/>
  <c r="A179" i="22"/>
  <c r="A175" i="37"/>
  <c r="D176" i="46" l="1"/>
  <c r="A177" i="46"/>
  <c r="D175" i="44"/>
  <c r="A176" i="44"/>
  <c r="A176" i="45"/>
  <c r="D175" i="45"/>
  <c r="A176" i="37"/>
  <c r="D176" i="45" l="1"/>
  <c r="A177" i="45"/>
  <c r="D177" i="46"/>
  <c r="A178" i="46"/>
  <c r="A177" i="44"/>
  <c r="D176" i="44"/>
  <c r="A177" i="37"/>
  <c r="A178" i="37" s="1"/>
  <c r="A178" i="45" l="1"/>
  <c r="A178" i="44"/>
  <c r="A179" i="46"/>
  <c r="C21" i="18" l="1"/>
  <c r="D21" i="18"/>
  <c r="C22" i="18"/>
  <c r="D22" i="18"/>
  <c r="C23" i="18"/>
  <c r="D23" i="18"/>
  <c r="C24" i="18"/>
  <c r="D24" i="18"/>
  <c r="A7" i="9"/>
  <c r="B135" i="22"/>
  <c r="C135" i="22"/>
  <c r="B136" i="22"/>
  <c r="C136" i="22"/>
  <c r="B137" i="22"/>
  <c r="C137" i="22"/>
  <c r="B138" i="22"/>
  <c r="C138" i="22"/>
  <c r="B139" i="22"/>
  <c r="C139" i="22"/>
  <c r="B140" i="22"/>
  <c r="C140" i="22"/>
  <c r="B141" i="22"/>
  <c r="C141" i="22"/>
  <c r="B142" i="22"/>
  <c r="C142" i="22"/>
  <c r="B143" i="22"/>
  <c r="C143" i="22"/>
  <c r="B144" i="22"/>
  <c r="C144" i="22"/>
  <c r="B145" i="22"/>
  <c r="C145" i="22"/>
  <c r="B146" i="22"/>
  <c r="C146" i="22"/>
  <c r="B147" i="22"/>
  <c r="C147" i="22"/>
  <c r="B148" i="22"/>
  <c r="C148" i="22"/>
  <c r="B149" i="22"/>
  <c r="C149" i="22"/>
  <c r="B150" i="22"/>
  <c r="C150" i="22"/>
  <c r="B151" i="22"/>
  <c r="C151" i="22"/>
  <c r="B152" i="22"/>
  <c r="C152" i="22"/>
  <c r="B153" i="22"/>
  <c r="C153" i="22"/>
  <c r="B154" i="22"/>
  <c r="C154" i="22"/>
  <c r="B155" i="22"/>
  <c r="C155" i="22"/>
  <c r="B156" i="22"/>
  <c r="C156" i="22"/>
  <c r="B157" i="22"/>
  <c r="C157" i="22"/>
  <c r="B158" i="22"/>
  <c r="C158" i="22"/>
  <c r="A167" i="20"/>
  <c r="F2" i="22"/>
  <c r="F2" i="37"/>
  <c r="N3" i="42"/>
  <c r="O3" i="42"/>
  <c r="P3" i="42"/>
  <c r="Q3" i="42"/>
  <c r="R3" i="42"/>
  <c r="M3" i="42"/>
  <c r="N5" i="42"/>
  <c r="O5" i="42"/>
  <c r="P5" i="42"/>
  <c r="Q5" i="42"/>
  <c r="R5" i="42"/>
  <c r="N6" i="42"/>
  <c r="O6" i="42"/>
  <c r="P6" i="42"/>
  <c r="Q6" i="42"/>
  <c r="R6" i="42"/>
  <c r="N7" i="42"/>
  <c r="O7" i="42"/>
  <c r="P7" i="42"/>
  <c r="Q7" i="42"/>
  <c r="R7" i="42"/>
  <c r="N8" i="42"/>
  <c r="O8" i="42"/>
  <c r="P8" i="42"/>
  <c r="Q8" i="42"/>
  <c r="R8" i="42"/>
  <c r="N9" i="42"/>
  <c r="O9" i="42"/>
  <c r="P9" i="42"/>
  <c r="Q9" i="42"/>
  <c r="R9" i="42"/>
  <c r="N10" i="42"/>
  <c r="O10" i="42"/>
  <c r="P10" i="42"/>
  <c r="Q10" i="42"/>
  <c r="R10" i="42"/>
  <c r="N11" i="42"/>
  <c r="O11" i="42"/>
  <c r="P11" i="42"/>
  <c r="Q11" i="42"/>
  <c r="R11" i="42"/>
  <c r="N12" i="42"/>
  <c r="O12" i="42"/>
  <c r="P12" i="42"/>
  <c r="Q12" i="42"/>
  <c r="R12" i="42"/>
  <c r="N13" i="42"/>
  <c r="O13" i="42"/>
  <c r="P13" i="42"/>
  <c r="Q13" i="42"/>
  <c r="R13" i="42"/>
  <c r="N14" i="42"/>
  <c r="O14" i="42"/>
  <c r="P14" i="42"/>
  <c r="Q14" i="42"/>
  <c r="R14" i="42"/>
  <c r="O15" i="42"/>
  <c r="K128" i="24" s="1"/>
  <c r="E129" i="59" s="1"/>
  <c r="P15" i="42"/>
  <c r="N128" i="24" s="1"/>
  <c r="O128" i="24" s="1"/>
  <c r="Q15" i="42"/>
  <c r="R15" i="42"/>
  <c r="N16" i="42"/>
  <c r="O16" i="42"/>
  <c r="P16" i="42"/>
  <c r="Q16" i="42"/>
  <c r="R16" i="42"/>
  <c r="N17" i="42"/>
  <c r="O17" i="42"/>
  <c r="P17" i="42"/>
  <c r="Q17" i="42"/>
  <c r="R17" i="42"/>
  <c r="M6" i="42"/>
  <c r="M7" i="42"/>
  <c r="M8" i="42"/>
  <c r="P169" i="20" s="1"/>
  <c r="M9" i="42"/>
  <c r="M10" i="42"/>
  <c r="M11" i="42"/>
  <c r="M12" i="42"/>
  <c r="P173" i="20" s="1"/>
  <c r="M13" i="42"/>
  <c r="M14" i="42"/>
  <c r="P176" i="20"/>
  <c r="M16" i="42"/>
  <c r="P177" i="20" s="1"/>
  <c r="M17" i="42"/>
  <c r="M5" i="42"/>
  <c r="P166" i="20" s="1"/>
  <c r="A6" i="42"/>
  <c r="A7" i="42" s="1"/>
  <c r="R172" i="57" l="1"/>
  <c r="R172" i="44"/>
  <c r="R168" i="57"/>
  <c r="R168" i="44"/>
  <c r="Q176" i="58"/>
  <c r="H132" i="24"/>
  <c r="H133" i="24"/>
  <c r="H131" i="24"/>
  <c r="H130" i="24"/>
  <c r="Q176" i="45"/>
  <c r="O176" i="37"/>
  <c r="R176" i="59"/>
  <c r="R176" i="46"/>
  <c r="P176" i="22"/>
  <c r="Q172" i="58"/>
  <c r="O172" i="37"/>
  <c r="Q172" i="45"/>
  <c r="R172" i="59"/>
  <c r="R172" i="46"/>
  <c r="P172" i="22"/>
  <c r="Q168" i="58"/>
  <c r="Q168" i="45"/>
  <c r="O168" i="37"/>
  <c r="R168" i="59"/>
  <c r="P168" i="22"/>
  <c r="R168" i="46"/>
  <c r="H128" i="24"/>
  <c r="E129" i="58" s="1"/>
  <c r="R175" i="57"/>
  <c r="R175" i="44"/>
  <c r="R167" i="57"/>
  <c r="R167" i="44"/>
  <c r="E147" i="59"/>
  <c r="E148" i="59" s="1"/>
  <c r="E149" i="59" s="1"/>
  <c r="E150" i="59" s="1"/>
  <c r="E151" i="59" s="1"/>
  <c r="E152" i="59" s="1"/>
  <c r="E153" i="59" s="1"/>
  <c r="E154" i="59" s="1"/>
  <c r="E155" i="59" s="1"/>
  <c r="E156" i="59" s="1"/>
  <c r="E157" i="59" s="1"/>
  <c r="E158" i="59" s="1"/>
  <c r="R179" i="59"/>
  <c r="R179" i="46"/>
  <c r="E147" i="46"/>
  <c r="E148" i="46" s="1"/>
  <c r="E149" i="46" s="1"/>
  <c r="E150" i="46" s="1"/>
  <c r="E151" i="46" s="1"/>
  <c r="E152" i="46" s="1"/>
  <c r="E153" i="46" s="1"/>
  <c r="E154" i="46" s="1"/>
  <c r="E155" i="46" s="1"/>
  <c r="E156" i="46" s="1"/>
  <c r="E157" i="46" s="1"/>
  <c r="E158" i="46" s="1"/>
  <c r="E147" i="22"/>
  <c r="E148" i="22" s="1"/>
  <c r="E149" i="22" s="1"/>
  <c r="E150" i="22" s="1"/>
  <c r="E151" i="22" s="1"/>
  <c r="E152" i="22" s="1"/>
  <c r="E153" i="22" s="1"/>
  <c r="E154" i="22" s="1"/>
  <c r="E155" i="22" s="1"/>
  <c r="E156" i="22" s="1"/>
  <c r="E157" i="22" s="1"/>
  <c r="E158" i="22" s="1"/>
  <c r="P179" i="22"/>
  <c r="Q132" i="24"/>
  <c r="R132" i="24" s="1"/>
  <c r="Q133" i="24"/>
  <c r="R133" i="24" s="1"/>
  <c r="Q131" i="24"/>
  <c r="R131" i="24" s="1"/>
  <c r="Q130" i="24"/>
  <c r="R130" i="24" s="1"/>
  <c r="Q175" i="58"/>
  <c r="Q175" i="45"/>
  <c r="O175" i="37"/>
  <c r="R175" i="59"/>
  <c r="R175" i="46"/>
  <c r="P175" i="22"/>
  <c r="Q171" i="58"/>
  <c r="Q171" i="45"/>
  <c r="O171" i="37"/>
  <c r="R171" i="59"/>
  <c r="R171" i="46"/>
  <c r="P171" i="22"/>
  <c r="Q167" i="58"/>
  <c r="Q167" i="45"/>
  <c r="O167" i="37"/>
  <c r="R167" i="59"/>
  <c r="P167" i="22"/>
  <c r="R167" i="46"/>
  <c r="E129" i="24"/>
  <c r="K129" i="24"/>
  <c r="E130" i="59" s="1"/>
  <c r="Q129" i="24"/>
  <c r="R129" i="24" s="1"/>
  <c r="P172" i="20"/>
  <c r="P168" i="20"/>
  <c r="R176" i="57"/>
  <c r="E133" i="24"/>
  <c r="E132" i="24"/>
  <c r="E130" i="24"/>
  <c r="E131" i="24"/>
  <c r="R176" i="44"/>
  <c r="R171" i="57"/>
  <c r="R171" i="44"/>
  <c r="R174" i="57"/>
  <c r="R174" i="44"/>
  <c r="R170" i="57"/>
  <c r="R170" i="44"/>
  <c r="Q178" i="58"/>
  <c r="E147" i="58"/>
  <c r="E148" i="58" s="1"/>
  <c r="E149" i="58" s="1"/>
  <c r="E150" i="58" s="1"/>
  <c r="E151" i="58" s="1"/>
  <c r="E152" i="58" s="1"/>
  <c r="E153" i="58" s="1"/>
  <c r="E154" i="58" s="1"/>
  <c r="E155" i="58" s="1"/>
  <c r="E156" i="58" s="1"/>
  <c r="E157" i="58" s="1"/>
  <c r="E158" i="58" s="1"/>
  <c r="O178" i="37"/>
  <c r="Q178" i="45"/>
  <c r="E147" i="45"/>
  <c r="E148" i="45" s="1"/>
  <c r="E149" i="45" s="1"/>
  <c r="E150" i="45" s="1"/>
  <c r="E151" i="45" s="1"/>
  <c r="E152" i="45" s="1"/>
  <c r="E153" i="45" s="1"/>
  <c r="E154" i="45" s="1"/>
  <c r="E155" i="45" s="1"/>
  <c r="E156" i="45" s="1"/>
  <c r="E157" i="45" s="1"/>
  <c r="E158" i="45" s="1"/>
  <c r="E147" i="37"/>
  <c r="E148" i="37" s="1"/>
  <c r="E149" i="37" s="1"/>
  <c r="E150" i="37" s="1"/>
  <c r="E151" i="37" s="1"/>
  <c r="E152" i="37" s="1"/>
  <c r="E153" i="37" s="1"/>
  <c r="E154" i="37" s="1"/>
  <c r="E155" i="37" s="1"/>
  <c r="E156" i="37" s="1"/>
  <c r="E157" i="37" s="1"/>
  <c r="E158" i="37" s="1"/>
  <c r="R178" i="59"/>
  <c r="E135" i="59"/>
  <c r="E136" i="59" s="1"/>
  <c r="E137" i="59" s="1"/>
  <c r="E138" i="59" s="1"/>
  <c r="E139" i="59" s="1"/>
  <c r="E140" i="59" s="1"/>
  <c r="E141" i="59" s="1"/>
  <c r="E142" i="59" s="1"/>
  <c r="E143" i="59" s="1"/>
  <c r="E144" i="59" s="1"/>
  <c r="E145" i="59" s="1"/>
  <c r="E146" i="59" s="1"/>
  <c r="P178" i="22"/>
  <c r="R178" i="46"/>
  <c r="E135" i="46"/>
  <c r="E136" i="46" s="1"/>
  <c r="E137" i="46" s="1"/>
  <c r="E138" i="46" s="1"/>
  <c r="E139" i="46" s="1"/>
  <c r="E140" i="46" s="1"/>
  <c r="E141" i="46" s="1"/>
  <c r="E142" i="46" s="1"/>
  <c r="E143" i="46" s="1"/>
  <c r="E144" i="46" s="1"/>
  <c r="E145" i="46" s="1"/>
  <c r="E146" i="46" s="1"/>
  <c r="E135" i="22"/>
  <c r="E136" i="22" s="1"/>
  <c r="E137" i="22" s="1"/>
  <c r="E138" i="22" s="1"/>
  <c r="E139" i="22" s="1"/>
  <c r="E140" i="22" s="1"/>
  <c r="E141" i="22" s="1"/>
  <c r="E142" i="22" s="1"/>
  <c r="E143" i="22" s="1"/>
  <c r="E144" i="22" s="1"/>
  <c r="E145" i="22" s="1"/>
  <c r="E146" i="22" s="1"/>
  <c r="N133" i="24"/>
  <c r="O133" i="24" s="1"/>
  <c r="N132" i="24"/>
  <c r="O132" i="24" s="1"/>
  <c r="N131" i="24"/>
  <c r="O131" i="24" s="1"/>
  <c r="N130" i="24"/>
  <c r="O130" i="24" s="1"/>
  <c r="Q174" i="58"/>
  <c r="Q174" i="45"/>
  <c r="O174" i="37"/>
  <c r="R174" i="59"/>
  <c r="P174" i="22"/>
  <c r="R174" i="46"/>
  <c r="Q170" i="58"/>
  <c r="Q170" i="45"/>
  <c r="O170" i="37"/>
  <c r="R170" i="59"/>
  <c r="R170" i="46"/>
  <c r="P170" i="22"/>
  <c r="Q166" i="58"/>
  <c r="Q166" i="45"/>
  <c r="O166" i="37"/>
  <c r="E128" i="24"/>
  <c r="E129" i="57" s="1"/>
  <c r="Q128" i="24"/>
  <c r="R128" i="24" s="1"/>
  <c r="P175" i="20"/>
  <c r="P171" i="20"/>
  <c r="P167" i="20"/>
  <c r="R166" i="57"/>
  <c r="R166" i="44"/>
  <c r="E147" i="57"/>
  <c r="E148" i="57" s="1"/>
  <c r="E149" i="57" s="1"/>
  <c r="E150" i="57" s="1"/>
  <c r="E151" i="57" s="1"/>
  <c r="E152" i="57" s="1"/>
  <c r="E153" i="57" s="1"/>
  <c r="E154" i="57" s="1"/>
  <c r="E155" i="57" s="1"/>
  <c r="E156" i="57" s="1"/>
  <c r="E157" i="57" s="1"/>
  <c r="E158" i="57" s="1"/>
  <c r="R178" i="57"/>
  <c r="R178" i="44"/>
  <c r="E147" i="44"/>
  <c r="E148" i="44" s="1"/>
  <c r="E149" i="44" s="1"/>
  <c r="E150" i="44" s="1"/>
  <c r="E151" i="44" s="1"/>
  <c r="E152" i="44" s="1"/>
  <c r="E153" i="44" s="1"/>
  <c r="E154" i="44" s="1"/>
  <c r="E155" i="44" s="1"/>
  <c r="E156" i="44" s="1"/>
  <c r="E157" i="44" s="1"/>
  <c r="E158" i="44" s="1"/>
  <c r="E147" i="20"/>
  <c r="E148" i="20" s="1"/>
  <c r="E149" i="20" s="1"/>
  <c r="E150" i="20" s="1"/>
  <c r="E151" i="20" s="1"/>
  <c r="E152" i="20" s="1"/>
  <c r="E153" i="20" s="1"/>
  <c r="E154" i="20" s="1"/>
  <c r="E155" i="20" s="1"/>
  <c r="E156" i="20" s="1"/>
  <c r="E157" i="20" s="1"/>
  <c r="E158" i="20" s="1"/>
  <c r="E135" i="57"/>
  <c r="E136" i="57" s="1"/>
  <c r="E137" i="57" s="1"/>
  <c r="E138" i="57" s="1"/>
  <c r="E139" i="57" s="1"/>
  <c r="E140" i="57" s="1"/>
  <c r="E141" i="57" s="1"/>
  <c r="E142" i="57" s="1"/>
  <c r="E143" i="57" s="1"/>
  <c r="E144" i="57" s="1"/>
  <c r="E145" i="57" s="1"/>
  <c r="E146" i="57" s="1"/>
  <c r="R177" i="57"/>
  <c r="E135" i="20"/>
  <c r="E136" i="20" s="1"/>
  <c r="E137" i="20" s="1"/>
  <c r="E138" i="20" s="1"/>
  <c r="E139" i="20" s="1"/>
  <c r="E140" i="20" s="1"/>
  <c r="E141" i="20" s="1"/>
  <c r="E142" i="20" s="1"/>
  <c r="E143" i="20" s="1"/>
  <c r="E144" i="20" s="1"/>
  <c r="E145" i="20" s="1"/>
  <c r="E146" i="20" s="1"/>
  <c r="R177" i="44"/>
  <c r="E135" i="44"/>
  <c r="E136" i="44" s="1"/>
  <c r="E137" i="44" s="1"/>
  <c r="E138" i="44" s="1"/>
  <c r="E139" i="44" s="1"/>
  <c r="E140" i="44" s="1"/>
  <c r="E141" i="44" s="1"/>
  <c r="E142" i="44" s="1"/>
  <c r="E143" i="44" s="1"/>
  <c r="E144" i="44" s="1"/>
  <c r="E145" i="44" s="1"/>
  <c r="E146" i="44" s="1"/>
  <c r="R173" i="57"/>
  <c r="R173" i="44"/>
  <c r="R169" i="57"/>
  <c r="R169" i="44"/>
  <c r="Q177" i="58"/>
  <c r="E135" i="58"/>
  <c r="E136" i="58" s="1"/>
  <c r="E137" i="58" s="1"/>
  <c r="E138" i="58" s="1"/>
  <c r="E139" i="58" s="1"/>
  <c r="E140" i="58" s="1"/>
  <c r="E141" i="58" s="1"/>
  <c r="E142" i="58" s="1"/>
  <c r="E143" i="58" s="1"/>
  <c r="E144" i="58" s="1"/>
  <c r="E145" i="58" s="1"/>
  <c r="E146" i="58" s="1"/>
  <c r="E135" i="37"/>
  <c r="E136" i="37" s="1"/>
  <c r="E137" i="37" s="1"/>
  <c r="E138" i="37" s="1"/>
  <c r="E139" i="37" s="1"/>
  <c r="E140" i="37" s="1"/>
  <c r="E141" i="37" s="1"/>
  <c r="E142" i="37" s="1"/>
  <c r="E143" i="37" s="1"/>
  <c r="E144" i="37" s="1"/>
  <c r="E145" i="37" s="1"/>
  <c r="E146" i="37" s="1"/>
  <c r="Q177" i="45"/>
  <c r="E135" i="45"/>
  <c r="E136" i="45" s="1"/>
  <c r="E137" i="45" s="1"/>
  <c r="E138" i="45" s="1"/>
  <c r="E139" i="45" s="1"/>
  <c r="E140" i="45" s="1"/>
  <c r="E141" i="45" s="1"/>
  <c r="E142" i="45" s="1"/>
  <c r="E143" i="45" s="1"/>
  <c r="E144" i="45" s="1"/>
  <c r="E145" i="45" s="1"/>
  <c r="E146" i="45" s="1"/>
  <c r="O177" i="37"/>
  <c r="R177" i="59"/>
  <c r="K132" i="24"/>
  <c r="K133" i="24"/>
  <c r="K131" i="24"/>
  <c r="K130" i="24"/>
  <c r="R177" i="46"/>
  <c r="P177" i="22"/>
  <c r="Q173" i="58"/>
  <c r="O173" i="37"/>
  <c r="Q173" i="45"/>
  <c r="R173" i="59"/>
  <c r="R173" i="46"/>
  <c r="P173" i="22"/>
  <c r="Q169" i="58"/>
  <c r="Q169" i="45"/>
  <c r="O169" i="37"/>
  <c r="R169" i="59"/>
  <c r="R169" i="46"/>
  <c r="P169" i="22"/>
  <c r="H129" i="24"/>
  <c r="E130" i="58" s="1"/>
  <c r="N129" i="24"/>
  <c r="O129" i="24" s="1"/>
  <c r="P178" i="20"/>
  <c r="P174" i="20"/>
  <c r="P170" i="20"/>
  <c r="I128" i="24"/>
  <c r="EH236" i="32" s="1"/>
  <c r="E129" i="45"/>
  <c r="L129" i="24"/>
  <c r="CS129" i="24" s="1"/>
  <c r="E130" i="46"/>
  <c r="E130" i="22"/>
  <c r="L128" i="24"/>
  <c r="E129" i="46"/>
  <c r="E129" i="22"/>
  <c r="A8" i="9"/>
  <c r="A168" i="20"/>
  <c r="A8" i="42"/>
  <c r="A9" i="42" s="1"/>
  <c r="A10" i="42" s="1"/>
  <c r="A11" i="42" s="1"/>
  <c r="A12" i="42" s="1"/>
  <c r="A13" i="42" s="1"/>
  <c r="A14" i="42" s="1"/>
  <c r="A15" i="42" s="1"/>
  <c r="A16" i="42" s="1"/>
  <c r="A17" i="42" s="1"/>
  <c r="I129" i="24" l="1"/>
  <c r="EH237" i="32" s="1"/>
  <c r="E129" i="37"/>
  <c r="CR129" i="24"/>
  <c r="E130" i="45"/>
  <c r="E133" i="57"/>
  <c r="F132" i="24"/>
  <c r="E133" i="20"/>
  <c r="E133" i="44"/>
  <c r="I133" i="24"/>
  <c r="E134" i="58"/>
  <c r="E134" i="45"/>
  <c r="E134" i="37"/>
  <c r="E131" i="57"/>
  <c r="F130" i="24"/>
  <c r="E131" i="20"/>
  <c r="E131" i="44"/>
  <c r="E132" i="58"/>
  <c r="E132" i="37"/>
  <c r="I131" i="24"/>
  <c r="E132" i="45"/>
  <c r="E131" i="59"/>
  <c r="L130" i="24"/>
  <c r="E131" i="46"/>
  <c r="E131" i="22"/>
  <c r="E134" i="57"/>
  <c r="E134" i="20"/>
  <c r="E134" i="44"/>
  <c r="F133" i="24"/>
  <c r="E133" i="58"/>
  <c r="I132" i="24"/>
  <c r="E133" i="37"/>
  <c r="E133" i="45"/>
  <c r="E133" i="59"/>
  <c r="E133" i="46"/>
  <c r="L132" i="24"/>
  <c r="E133" i="22"/>
  <c r="F129" i="24"/>
  <c r="E130" i="57"/>
  <c r="E129" i="44"/>
  <c r="E130" i="44"/>
  <c r="E129" i="20"/>
  <c r="E130" i="20"/>
  <c r="E132" i="59"/>
  <c r="L131" i="24"/>
  <c r="E132" i="46"/>
  <c r="E132" i="22"/>
  <c r="E130" i="37"/>
  <c r="F128" i="24"/>
  <c r="F129" i="57" s="1"/>
  <c r="L133" i="24"/>
  <c r="E134" i="59"/>
  <c r="E134" i="46"/>
  <c r="E134" i="22"/>
  <c r="E132" i="57"/>
  <c r="E132" i="44"/>
  <c r="E132" i="20"/>
  <c r="F131" i="24"/>
  <c r="E131" i="58"/>
  <c r="E131" i="45"/>
  <c r="E131" i="37"/>
  <c r="I130" i="24"/>
  <c r="EI237" i="32"/>
  <c r="F130" i="59"/>
  <c r="CS128" i="24"/>
  <c r="F129" i="59"/>
  <c r="EI236" i="32"/>
  <c r="F130" i="58"/>
  <c r="F129" i="58"/>
  <c r="EG236" i="32"/>
  <c r="F129" i="46"/>
  <c r="F129" i="22"/>
  <c r="F130" i="46"/>
  <c r="F130" i="22"/>
  <c r="F130" i="45"/>
  <c r="F130" i="37"/>
  <c r="CR128" i="24"/>
  <c r="F129" i="45"/>
  <c r="F129" i="37"/>
  <c r="A9" i="9"/>
  <c r="A169" i="20"/>
  <c r="F132" i="57" l="1"/>
  <c r="F132" i="20"/>
  <c r="CQ131" i="24"/>
  <c r="F132" i="44"/>
  <c r="EG239" i="32"/>
  <c r="F133" i="59"/>
  <c r="F133" i="22"/>
  <c r="CS132" i="24"/>
  <c r="F133" i="46"/>
  <c r="EI240" i="32"/>
  <c r="F134" i="57"/>
  <c r="CQ133" i="24"/>
  <c r="F134" i="44"/>
  <c r="F134" i="20"/>
  <c r="EG241" i="32"/>
  <c r="F129" i="44"/>
  <c r="CR132" i="24"/>
  <c r="F133" i="45"/>
  <c r="F133" i="58"/>
  <c r="F133" i="37"/>
  <c r="EH240" i="32"/>
  <c r="F131" i="59"/>
  <c r="F131" i="22"/>
  <c r="CS130" i="24"/>
  <c r="F131" i="46"/>
  <c r="EI238" i="32"/>
  <c r="F131" i="57"/>
  <c r="F131" i="44"/>
  <c r="F131" i="20"/>
  <c r="CQ130" i="24"/>
  <c r="EG238" i="32"/>
  <c r="F133" i="57"/>
  <c r="F133" i="44"/>
  <c r="F133" i="20"/>
  <c r="CQ132" i="24"/>
  <c r="EG240" i="32"/>
  <c r="F131" i="58"/>
  <c r="F131" i="45"/>
  <c r="F131" i="37"/>
  <c r="CR130" i="24"/>
  <c r="EH238" i="32"/>
  <c r="F132" i="59"/>
  <c r="CS131" i="24"/>
  <c r="F132" i="46"/>
  <c r="F132" i="22"/>
  <c r="EI239" i="32"/>
  <c r="F129" i="20"/>
  <c r="CR131" i="24"/>
  <c r="F132" i="58"/>
  <c r="F132" i="45"/>
  <c r="F132" i="37"/>
  <c r="EH239" i="32"/>
  <c r="CQ128" i="24"/>
  <c r="F134" i="59"/>
  <c r="CS133" i="24"/>
  <c r="F134" i="46"/>
  <c r="F134" i="22"/>
  <c r="EI241" i="32"/>
  <c r="F130" i="57"/>
  <c r="CQ129" i="24"/>
  <c r="EG237" i="32"/>
  <c r="F130" i="20"/>
  <c r="F130" i="44"/>
  <c r="F134" i="45"/>
  <c r="F134" i="37"/>
  <c r="F134" i="58"/>
  <c r="CR133" i="24"/>
  <c r="EH241" i="32"/>
  <c r="A10" i="9"/>
  <c r="A170" i="20"/>
  <c r="I10" i="9" l="1"/>
  <c r="A11" i="9"/>
  <c r="A171" i="20"/>
  <c r="G40" i="11" l="1"/>
  <c r="F25" i="18"/>
  <c r="I11" i="9"/>
  <c r="J11" i="9"/>
  <c r="A12" i="9"/>
  <c r="A172" i="20"/>
  <c r="I12" i="9" l="1"/>
  <c r="H40" i="11"/>
  <c r="F26" i="18"/>
  <c r="A13" i="9"/>
  <c r="A173" i="20"/>
  <c r="I13" i="9" l="1"/>
  <c r="F27" i="18"/>
  <c r="I40" i="11"/>
  <c r="A14" i="9"/>
  <c r="A174" i="20"/>
  <c r="F28" i="18" l="1"/>
  <c r="J40" i="11"/>
  <c r="I14" i="9"/>
  <c r="A15" i="9"/>
  <c r="A175" i="20"/>
  <c r="F29" i="18" l="1"/>
  <c r="F38" i="18" s="1"/>
  <c r="I15" i="9"/>
  <c r="K40" i="11"/>
  <c r="A16" i="9"/>
  <c r="A176" i="20"/>
  <c r="F30" i="18" l="1"/>
  <c r="F35" i="18" s="1"/>
  <c r="L40" i="11"/>
  <c r="I16" i="9"/>
  <c r="J16" i="9"/>
  <c r="A177" i="20"/>
  <c r="A17" i="9"/>
  <c r="A18" i="9" l="1"/>
  <c r="F33" i="18"/>
  <c r="F32" i="18"/>
  <c r="M40" i="11"/>
  <c r="F31" i="18"/>
  <c r="A178" i="20"/>
  <c r="F39" i="18" l="1"/>
  <c r="L7" i="42"/>
  <c r="L8" i="42" s="1"/>
  <c r="L9" i="42" s="1"/>
  <c r="L10" i="42" s="1"/>
  <c r="L11" i="42" s="1"/>
  <c r="L12" i="42" s="1"/>
  <c r="L13" i="42" s="1"/>
  <c r="L14" i="42" s="1"/>
  <c r="L15" i="42" s="1"/>
  <c r="L16" i="42" s="1"/>
  <c r="L17" i="42" s="1"/>
  <c r="L6" i="42"/>
  <c r="I6" i="42"/>
  <c r="I7" i="42"/>
  <c r="I8" i="42"/>
  <c r="I9" i="42"/>
  <c r="I10" i="42"/>
  <c r="I11" i="42"/>
  <c r="I12" i="42"/>
  <c r="I13" i="42"/>
  <c r="I14" i="42"/>
  <c r="I15" i="42"/>
  <c r="I16" i="42"/>
  <c r="I17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2" i="42"/>
  <c r="I33" i="42"/>
  <c r="I34" i="42"/>
  <c r="I35" i="42"/>
  <c r="I36" i="42"/>
  <c r="I37" i="42"/>
  <c r="I38" i="42"/>
  <c r="I39" i="42"/>
  <c r="I40" i="42"/>
  <c r="I41" i="42"/>
  <c r="I42" i="42"/>
  <c r="I44" i="42"/>
  <c r="I45" i="42"/>
  <c r="I46" i="42"/>
  <c r="I47" i="42"/>
  <c r="I48" i="42"/>
  <c r="I49" i="42"/>
  <c r="I50" i="42"/>
  <c r="I51" i="42"/>
  <c r="I52" i="42"/>
  <c r="I53" i="42"/>
  <c r="I55" i="42"/>
  <c r="I56" i="42"/>
  <c r="I57" i="42"/>
  <c r="I58" i="42"/>
  <c r="I59" i="42"/>
  <c r="I60" i="42"/>
  <c r="I61" i="42"/>
  <c r="I62" i="42"/>
  <c r="I63" i="42"/>
  <c r="I65" i="42"/>
  <c r="I66" i="42"/>
  <c r="I67" i="42"/>
  <c r="I68" i="42"/>
  <c r="I69" i="42"/>
  <c r="I70" i="42"/>
  <c r="I71" i="42"/>
  <c r="I72" i="42"/>
  <c r="I74" i="42"/>
  <c r="I75" i="42"/>
  <c r="I76" i="42"/>
  <c r="I77" i="42"/>
  <c r="I78" i="42"/>
  <c r="I79" i="42"/>
  <c r="I80" i="42"/>
  <c r="I82" i="42"/>
  <c r="I83" i="42"/>
  <c r="I84" i="42"/>
  <c r="I85" i="42"/>
  <c r="I86" i="42"/>
  <c r="I87" i="42"/>
  <c r="I89" i="42"/>
  <c r="I90" i="42"/>
  <c r="I91" i="42"/>
  <c r="I92" i="42"/>
  <c r="I93" i="42"/>
  <c r="I95" i="42"/>
  <c r="I96" i="42"/>
  <c r="I97" i="42"/>
  <c r="I98" i="42"/>
  <c r="I100" i="42"/>
  <c r="I101" i="42"/>
  <c r="I102" i="42"/>
  <c r="I5" i="42"/>
  <c r="B102" i="42"/>
  <c r="B101" i="42"/>
  <c r="A101" i="42"/>
  <c r="A102" i="42" s="1"/>
  <c r="B96" i="42"/>
  <c r="B97" i="42" s="1"/>
  <c r="B98" i="42" s="1"/>
  <c r="A96" i="42"/>
  <c r="A97" i="42" s="1"/>
  <c r="A98" i="42" s="1"/>
  <c r="B90" i="42"/>
  <c r="B91" i="42" s="1"/>
  <c r="B92" i="42" s="1"/>
  <c r="B93" i="42" s="1"/>
  <c r="A90" i="42"/>
  <c r="A91" i="42" s="1"/>
  <c r="A92" i="42" s="1"/>
  <c r="A93" i="42" s="1"/>
  <c r="B83" i="42"/>
  <c r="B84" i="42" s="1"/>
  <c r="B85" i="42" s="1"/>
  <c r="B86" i="42" s="1"/>
  <c r="B87" i="42" s="1"/>
  <c r="A83" i="42"/>
  <c r="A84" i="42" s="1"/>
  <c r="A85" i="42" s="1"/>
  <c r="A86" i="42" s="1"/>
  <c r="A87" i="42" s="1"/>
  <c r="B75" i="42"/>
  <c r="B76" i="42" s="1"/>
  <c r="B77" i="42" s="1"/>
  <c r="B78" i="42" s="1"/>
  <c r="B79" i="42" s="1"/>
  <c r="B80" i="42" s="1"/>
  <c r="A75" i="42"/>
  <c r="A76" i="42" s="1"/>
  <c r="A77" i="42" s="1"/>
  <c r="A78" i="42" s="1"/>
  <c r="A79" i="42" s="1"/>
  <c r="A80" i="42" s="1"/>
  <c r="B66" i="42"/>
  <c r="B67" i="42" s="1"/>
  <c r="B68" i="42" s="1"/>
  <c r="B69" i="42" s="1"/>
  <c r="B70" i="42" s="1"/>
  <c r="B71" i="42" s="1"/>
  <c r="B72" i="42" s="1"/>
  <c r="A66" i="42"/>
  <c r="A67" i="42" s="1"/>
  <c r="A68" i="42" s="1"/>
  <c r="A69" i="42" s="1"/>
  <c r="A70" i="42" s="1"/>
  <c r="A71" i="42" s="1"/>
  <c r="A72" i="42" s="1"/>
  <c r="B56" i="42"/>
  <c r="B57" i="42" s="1"/>
  <c r="B58" i="42" s="1"/>
  <c r="B59" i="42" s="1"/>
  <c r="B60" i="42" s="1"/>
  <c r="B61" i="42" s="1"/>
  <c r="B62" i="42" s="1"/>
  <c r="B63" i="42" s="1"/>
  <c r="A56" i="42"/>
  <c r="A57" i="42" s="1"/>
  <c r="A58" i="42" s="1"/>
  <c r="A59" i="42" s="1"/>
  <c r="A60" i="42" s="1"/>
  <c r="A61" i="42" s="1"/>
  <c r="A62" i="42" s="1"/>
  <c r="A63" i="42" s="1"/>
  <c r="B45" i="42"/>
  <c r="B46" i="42" s="1"/>
  <c r="B47" i="42" s="1"/>
  <c r="B48" i="42" s="1"/>
  <c r="B49" i="42" s="1"/>
  <c r="B50" i="42" s="1"/>
  <c r="B51" i="42" s="1"/>
  <c r="B52" i="42" s="1"/>
  <c r="B53" i="42" s="1"/>
  <c r="A45" i="42"/>
  <c r="A46" i="42" s="1"/>
  <c r="A47" i="42" s="1"/>
  <c r="A48" i="42" s="1"/>
  <c r="A49" i="42" s="1"/>
  <c r="A50" i="42" s="1"/>
  <c r="A51" i="42" s="1"/>
  <c r="A52" i="42" s="1"/>
  <c r="A53" i="42" s="1"/>
  <c r="B33" i="42"/>
  <c r="B34" i="42" s="1"/>
  <c r="B35" i="42" s="1"/>
  <c r="B36" i="42" s="1"/>
  <c r="B37" i="42" s="1"/>
  <c r="B38" i="42" s="1"/>
  <c r="B39" i="42" s="1"/>
  <c r="B40" i="42" s="1"/>
  <c r="B41" i="42" s="1"/>
  <c r="B42" i="42" s="1"/>
  <c r="A33" i="42"/>
  <c r="A34" i="42" s="1"/>
  <c r="A35" i="42" s="1"/>
  <c r="A36" i="42" s="1"/>
  <c r="A37" i="42" s="1"/>
  <c r="A38" i="42" s="1"/>
  <c r="A39" i="42" s="1"/>
  <c r="A40" i="42" s="1"/>
  <c r="A41" i="42" s="1"/>
  <c r="A42" i="42" s="1"/>
  <c r="B20" i="42"/>
  <c r="B21" i="42" s="1"/>
  <c r="B22" i="42" s="1"/>
  <c r="B23" i="42" s="1"/>
  <c r="B24" i="42" s="1"/>
  <c r="B25" i="42" s="1"/>
  <c r="B26" i="42" s="1"/>
  <c r="B27" i="42" s="1"/>
  <c r="B28" i="42" s="1"/>
  <c r="B29" i="42" s="1"/>
  <c r="B30" i="42" s="1"/>
  <c r="A20" i="42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B6" i="42"/>
  <c r="B7" i="42" s="1"/>
  <c r="B8" i="42" s="1"/>
  <c r="B9" i="42" s="1"/>
  <c r="B10" i="42" s="1"/>
  <c r="B11" i="42" s="1"/>
  <c r="B12" i="42" s="1"/>
  <c r="B13" i="42" s="1"/>
  <c r="B14" i="42" s="1"/>
  <c r="B15" i="42" s="1"/>
  <c r="B16" i="42" s="1"/>
  <c r="B17" i="42" s="1"/>
  <c r="EK111" i="32" l="1"/>
  <c r="EK112" i="32"/>
  <c r="EK113" i="32"/>
  <c r="EK114" i="32"/>
  <c r="EK115" i="32"/>
  <c r="EK116" i="32"/>
  <c r="EK117" i="32"/>
  <c r="EK118" i="32"/>
  <c r="EK119" i="32"/>
  <c r="EK120" i="32"/>
  <c r="EK121" i="32"/>
  <c r="EK122" i="32"/>
  <c r="EK123" i="32"/>
  <c r="EK124" i="32"/>
  <c r="EK125" i="32"/>
  <c r="EK126" i="32"/>
  <c r="EK127" i="32"/>
  <c r="EK128" i="32"/>
  <c r="EK129" i="32"/>
  <c r="EK130" i="32"/>
  <c r="EK131" i="32"/>
  <c r="EK132" i="32"/>
  <c r="EK133" i="32"/>
  <c r="EK134" i="32"/>
  <c r="EK135" i="32"/>
  <c r="EK136" i="32"/>
  <c r="EK137" i="32"/>
  <c r="EK138" i="32"/>
  <c r="EK139" i="32"/>
  <c r="EK140" i="32"/>
  <c r="EK141" i="32"/>
  <c r="EK142" i="32"/>
  <c r="EK143" i="32"/>
  <c r="EK144" i="32"/>
  <c r="EK145" i="32"/>
  <c r="EK146" i="32"/>
  <c r="EK147" i="32"/>
  <c r="EK148" i="32"/>
  <c r="EK149" i="32"/>
  <c r="EK150" i="32"/>
  <c r="EK151" i="32"/>
  <c r="EK152" i="32"/>
  <c r="EK153" i="32"/>
  <c r="EK154" i="32"/>
  <c r="EK155" i="32"/>
  <c r="EK156" i="32"/>
  <c r="EK157" i="32"/>
  <c r="EK158" i="32"/>
  <c r="EK159" i="32"/>
  <c r="EK160" i="32"/>
  <c r="EK161" i="32"/>
  <c r="EK162" i="32"/>
  <c r="EK163" i="32"/>
  <c r="EK164" i="32"/>
  <c r="EK165" i="32"/>
  <c r="EK166" i="32"/>
  <c r="EK167" i="32"/>
  <c r="EK168" i="32"/>
  <c r="EK169" i="32"/>
  <c r="EK170" i="32"/>
  <c r="EK171" i="32"/>
  <c r="EK172" i="32"/>
  <c r="EK173" i="32"/>
  <c r="EK174" i="32"/>
  <c r="EK175" i="32"/>
  <c r="EK176" i="32"/>
  <c r="EK177" i="32"/>
  <c r="EK178" i="32"/>
  <c r="EK179" i="32"/>
  <c r="EK180" i="32"/>
  <c r="EK181" i="32"/>
  <c r="EK182" i="32"/>
  <c r="EK183" i="32"/>
  <c r="EK184" i="32"/>
  <c r="EK185" i="32"/>
  <c r="EK186" i="32"/>
  <c r="EK187" i="32"/>
  <c r="EK188" i="32"/>
  <c r="EK189" i="32"/>
  <c r="EK190" i="32"/>
  <c r="EK191" i="32"/>
  <c r="EK192" i="32"/>
  <c r="EK193" i="32"/>
  <c r="EK194" i="32"/>
  <c r="EK195" i="32"/>
  <c r="EK196" i="32"/>
  <c r="EK197" i="32"/>
  <c r="EK198" i="32"/>
  <c r="EK199" i="32"/>
  <c r="EK200" i="32"/>
  <c r="EK201" i="32"/>
  <c r="EK202" i="32"/>
  <c r="EK203" i="32"/>
  <c r="EK204" i="32"/>
  <c r="EK205" i="32"/>
  <c r="EK206" i="32"/>
  <c r="EK207" i="32"/>
  <c r="EK208" i="32"/>
  <c r="EK209" i="32"/>
  <c r="EK210" i="32"/>
  <c r="EK211" i="32"/>
  <c r="EK212" i="32"/>
  <c r="EK213" i="32"/>
  <c r="EK214" i="32"/>
  <c r="EK215" i="32"/>
  <c r="EK216" i="32"/>
  <c r="EK217" i="32"/>
  <c r="EK218" i="32"/>
  <c r="EK219" i="32"/>
  <c r="EK220" i="32"/>
  <c r="EK221" i="32"/>
  <c r="EK222" i="32"/>
  <c r="EK223" i="32"/>
  <c r="EK224" i="32"/>
  <c r="EK225" i="32"/>
  <c r="EK226" i="32"/>
  <c r="EK227" i="32"/>
  <c r="EK228" i="32"/>
  <c r="EK229" i="32"/>
  <c r="EK230" i="32"/>
  <c r="EK231" i="32"/>
  <c r="EK232" i="32"/>
  <c r="EK233" i="32"/>
  <c r="EK234" i="32"/>
  <c r="EK235" i="32"/>
  <c r="EK236" i="32"/>
  <c r="EK237" i="32"/>
  <c r="EK238" i="32"/>
  <c r="EK239" i="32"/>
  <c r="EK240" i="32"/>
  <c r="EK241" i="32"/>
  <c r="EK110" i="32"/>
  <c r="EL110" i="32"/>
  <c r="EM110" i="32"/>
  <c r="EL111" i="32"/>
  <c r="EM111" i="32"/>
  <c r="EL112" i="32"/>
  <c r="EM112" i="32"/>
  <c r="EL113" i="32"/>
  <c r="EM113" i="32"/>
  <c r="EL114" i="32"/>
  <c r="EM114" i="32"/>
  <c r="EL115" i="32"/>
  <c r="EM115" i="32"/>
  <c r="EL116" i="32"/>
  <c r="EM116" i="32"/>
  <c r="EL117" i="32"/>
  <c r="EM117" i="32"/>
  <c r="EL118" i="32"/>
  <c r="EM118" i="32"/>
  <c r="EL119" i="32"/>
  <c r="EM119" i="32"/>
  <c r="EL120" i="32"/>
  <c r="EM120" i="32"/>
  <c r="EL121" i="32"/>
  <c r="EM121" i="32"/>
  <c r="EL122" i="32"/>
  <c r="EM122" i="32"/>
  <c r="EL123" i="32"/>
  <c r="EM123" i="32"/>
  <c r="EL124" i="32"/>
  <c r="EM124" i="32"/>
  <c r="EL125" i="32"/>
  <c r="EM125" i="32"/>
  <c r="EL126" i="32"/>
  <c r="EM126" i="32"/>
  <c r="EL127" i="32"/>
  <c r="EM127" i="32"/>
  <c r="EL128" i="32"/>
  <c r="EM128" i="32"/>
  <c r="EL129" i="32"/>
  <c r="EM129" i="32"/>
  <c r="EL130" i="32"/>
  <c r="EM130" i="32"/>
  <c r="EL131" i="32"/>
  <c r="EM131" i="32"/>
  <c r="EL132" i="32"/>
  <c r="EM132" i="32"/>
  <c r="EL133" i="32"/>
  <c r="EM133" i="32"/>
  <c r="EL134" i="32"/>
  <c r="EM134" i="32"/>
  <c r="EL135" i="32"/>
  <c r="EM135" i="32"/>
  <c r="EL136" i="32"/>
  <c r="EM136" i="32"/>
  <c r="EL137" i="32"/>
  <c r="EM137" i="32"/>
  <c r="EL138" i="32"/>
  <c r="EM138" i="32"/>
  <c r="EL139" i="32"/>
  <c r="EM139" i="32"/>
  <c r="EL140" i="32"/>
  <c r="EM140" i="32"/>
  <c r="EL141" i="32"/>
  <c r="EM141" i="32"/>
  <c r="EL142" i="32"/>
  <c r="EM142" i="32"/>
  <c r="EL143" i="32"/>
  <c r="EM143" i="32"/>
  <c r="EL144" i="32"/>
  <c r="EM144" i="32"/>
  <c r="EL145" i="32"/>
  <c r="EM145" i="32"/>
  <c r="EL146" i="32"/>
  <c r="EM146" i="32"/>
  <c r="EL147" i="32"/>
  <c r="EM147" i="32"/>
  <c r="EL148" i="32"/>
  <c r="EM148" i="32"/>
  <c r="EL149" i="32"/>
  <c r="EM149" i="32"/>
  <c r="EL150" i="32"/>
  <c r="EM150" i="32"/>
  <c r="EL151" i="32"/>
  <c r="EM151" i="32"/>
  <c r="EL152" i="32"/>
  <c r="EM152" i="32"/>
  <c r="EL153" i="32"/>
  <c r="EM153" i="32"/>
  <c r="EL154" i="32"/>
  <c r="EM154" i="32"/>
  <c r="EL155" i="32"/>
  <c r="EM155" i="32"/>
  <c r="EL156" i="32"/>
  <c r="EM156" i="32"/>
  <c r="EL157" i="32"/>
  <c r="EM157" i="32"/>
  <c r="EL158" i="32"/>
  <c r="EM158" i="32"/>
  <c r="EL159" i="32"/>
  <c r="EM159" i="32"/>
  <c r="EL160" i="32"/>
  <c r="EM160" i="32"/>
  <c r="EL161" i="32"/>
  <c r="EM161" i="32"/>
  <c r="EL162" i="32"/>
  <c r="EM162" i="32"/>
  <c r="EL163" i="32"/>
  <c r="EM163" i="32"/>
  <c r="EL164" i="32"/>
  <c r="EM164" i="32"/>
  <c r="EL165" i="32"/>
  <c r="EM165" i="32"/>
  <c r="EL166" i="32"/>
  <c r="EM166" i="32"/>
  <c r="EL167" i="32"/>
  <c r="EM167" i="32"/>
  <c r="EL168" i="32"/>
  <c r="EM168" i="32"/>
  <c r="EL169" i="32"/>
  <c r="EM169" i="32"/>
  <c r="EL170" i="32"/>
  <c r="EM170" i="32"/>
  <c r="EL171" i="32"/>
  <c r="EM171" i="32"/>
  <c r="EL172" i="32"/>
  <c r="EM172" i="32"/>
  <c r="EL173" i="32"/>
  <c r="EM173" i="32"/>
  <c r="EL174" i="32"/>
  <c r="EM174" i="32"/>
  <c r="EL175" i="32"/>
  <c r="EM175" i="32"/>
  <c r="EL176" i="32"/>
  <c r="EM176" i="32"/>
  <c r="EL177" i="32"/>
  <c r="EM177" i="32"/>
  <c r="EL178" i="32"/>
  <c r="EM178" i="32"/>
  <c r="EL179" i="32"/>
  <c r="EM179" i="32"/>
  <c r="EL180" i="32"/>
  <c r="EM180" i="32"/>
  <c r="EL181" i="32"/>
  <c r="EM181" i="32"/>
  <c r="EL182" i="32"/>
  <c r="EM182" i="32"/>
  <c r="EL183" i="32"/>
  <c r="EM183" i="32"/>
  <c r="EL184" i="32"/>
  <c r="EM184" i="32"/>
  <c r="EL185" i="32"/>
  <c r="EM185" i="32"/>
  <c r="EL186" i="32"/>
  <c r="EM186" i="32"/>
  <c r="EL187" i="32"/>
  <c r="EM187" i="32"/>
  <c r="EL188" i="32"/>
  <c r="EM188" i="32"/>
  <c r="EL189" i="32"/>
  <c r="EM189" i="32"/>
  <c r="EL190" i="32"/>
  <c r="EM190" i="32"/>
  <c r="EL191" i="32"/>
  <c r="EM191" i="32"/>
  <c r="EL192" i="32"/>
  <c r="EM192" i="32"/>
  <c r="EL193" i="32"/>
  <c r="EM193" i="32"/>
  <c r="EL194" i="32"/>
  <c r="EM194" i="32"/>
  <c r="EL195" i="32"/>
  <c r="EM195" i="32"/>
  <c r="EL196" i="32"/>
  <c r="EM196" i="32"/>
  <c r="EL197" i="32"/>
  <c r="EM197" i="32"/>
  <c r="EL198" i="32"/>
  <c r="EM198" i="32"/>
  <c r="EL199" i="32"/>
  <c r="EM199" i="32"/>
  <c r="EL200" i="32"/>
  <c r="EM200" i="32"/>
  <c r="EL201" i="32"/>
  <c r="EM201" i="32"/>
  <c r="EL202" i="32"/>
  <c r="EM202" i="32"/>
  <c r="EL203" i="32"/>
  <c r="EM203" i="32"/>
  <c r="EL204" i="32"/>
  <c r="EM204" i="32"/>
  <c r="EL205" i="32"/>
  <c r="EM205" i="32"/>
  <c r="EL206" i="32"/>
  <c r="EM206" i="32"/>
  <c r="EL207" i="32"/>
  <c r="EM207" i="32"/>
  <c r="EL208" i="32"/>
  <c r="EM208" i="32"/>
  <c r="EL209" i="32"/>
  <c r="EM209" i="32"/>
  <c r="EL210" i="32"/>
  <c r="EM210" i="32"/>
  <c r="EL211" i="32"/>
  <c r="EM211" i="32"/>
  <c r="EL212" i="32"/>
  <c r="EM212" i="32"/>
  <c r="EL213" i="32"/>
  <c r="EM213" i="32"/>
  <c r="EL214" i="32"/>
  <c r="EM214" i="32"/>
  <c r="EL215" i="32"/>
  <c r="EM215" i="32"/>
  <c r="EL216" i="32"/>
  <c r="EM216" i="32"/>
  <c r="EL217" i="32"/>
  <c r="EM217" i="32"/>
  <c r="EL218" i="32"/>
  <c r="EM218" i="32"/>
  <c r="EL219" i="32"/>
  <c r="EM219" i="32"/>
  <c r="EL220" i="32"/>
  <c r="EM220" i="32"/>
  <c r="EL221" i="32"/>
  <c r="EM221" i="32"/>
  <c r="EL222" i="32"/>
  <c r="EM222" i="32"/>
  <c r="EL223" i="32"/>
  <c r="EM223" i="32"/>
  <c r="EL224" i="32"/>
  <c r="EM224" i="32"/>
  <c r="EL225" i="32"/>
  <c r="EM225" i="32"/>
  <c r="EL226" i="32"/>
  <c r="EM226" i="32"/>
  <c r="EL227" i="32"/>
  <c r="EM227" i="32"/>
  <c r="EL228" i="32"/>
  <c r="EM228" i="32"/>
  <c r="EL229" i="32"/>
  <c r="EM229" i="32"/>
  <c r="EL230" i="32"/>
  <c r="EM230" i="32"/>
  <c r="EL231" i="32"/>
  <c r="EM231" i="32"/>
  <c r="EL232" i="32"/>
  <c r="EM232" i="32"/>
  <c r="EL233" i="32"/>
  <c r="EM233" i="32"/>
  <c r="EL234" i="32"/>
  <c r="EM234" i="32"/>
  <c r="EL235" i="32"/>
  <c r="EM235" i="32"/>
  <c r="EL236" i="32"/>
  <c r="EM236" i="32"/>
  <c r="EL237" i="32"/>
  <c r="EM237" i="32"/>
  <c r="EL238" i="32"/>
  <c r="EM238" i="32"/>
  <c r="EL239" i="32"/>
  <c r="EM239" i="32"/>
  <c r="EL240" i="32"/>
  <c r="EM240" i="32"/>
  <c r="EL241" i="32"/>
  <c r="EM241" i="32"/>
  <c r="D50" i="44" l="1"/>
  <c r="D50" i="20"/>
  <c r="BI3" i="24" l="1"/>
  <c r="B2" i="24"/>
  <c r="C2" i="24"/>
  <c r="B3" i="24"/>
  <c r="C3" i="24"/>
  <c r="B4" i="24"/>
  <c r="C4" i="24"/>
  <c r="B5" i="24"/>
  <c r="C5" i="24"/>
  <c r="B6" i="24"/>
  <c r="C6" i="24"/>
  <c r="B7" i="24"/>
  <c r="C7" i="24"/>
  <c r="B8" i="24"/>
  <c r="C8" i="24"/>
  <c r="B9" i="24"/>
  <c r="C9" i="24"/>
  <c r="B10" i="24"/>
  <c r="C10" i="24"/>
  <c r="B11" i="24"/>
  <c r="C11" i="24"/>
  <c r="B12" i="24"/>
  <c r="C12" i="24"/>
  <c r="B13" i="24"/>
  <c r="C13" i="24"/>
  <c r="B14" i="24"/>
  <c r="C14" i="24"/>
  <c r="B15" i="24"/>
  <c r="C15" i="24"/>
  <c r="B16" i="24"/>
  <c r="C16" i="24"/>
  <c r="B17" i="24"/>
  <c r="C17" i="24"/>
  <c r="B18" i="24"/>
  <c r="C18" i="24"/>
  <c r="B19" i="24"/>
  <c r="C19" i="24"/>
  <c r="B20" i="24"/>
  <c r="C20" i="24"/>
  <c r="B21" i="24"/>
  <c r="C21" i="24"/>
  <c r="B22" i="24"/>
  <c r="C22" i="24"/>
  <c r="B23" i="24"/>
  <c r="C23" i="24"/>
  <c r="B24" i="24"/>
  <c r="C24" i="24"/>
  <c r="B25" i="24"/>
  <c r="C25" i="24"/>
  <c r="B26" i="24"/>
  <c r="C26" i="24"/>
  <c r="B27" i="24"/>
  <c r="C27" i="24"/>
  <c r="B28" i="24"/>
  <c r="C28" i="24"/>
  <c r="B29" i="24"/>
  <c r="C29" i="24"/>
  <c r="B30" i="24"/>
  <c r="C30" i="24"/>
  <c r="B31" i="24"/>
  <c r="C31" i="24"/>
  <c r="B32" i="24"/>
  <c r="C32" i="24"/>
  <c r="B33" i="24"/>
  <c r="C33" i="24"/>
  <c r="B34" i="24"/>
  <c r="C34" i="24"/>
  <c r="B35" i="24"/>
  <c r="C35" i="24"/>
  <c r="B36" i="24"/>
  <c r="C36" i="24"/>
  <c r="B37" i="24"/>
  <c r="C37" i="24"/>
  <c r="B38" i="24"/>
  <c r="C38" i="24"/>
  <c r="B39" i="24"/>
  <c r="C39" i="24"/>
  <c r="B40" i="24"/>
  <c r="C40" i="24"/>
  <c r="B41" i="24"/>
  <c r="C41" i="24"/>
  <c r="B42" i="24"/>
  <c r="C42" i="24"/>
  <c r="B43" i="24"/>
  <c r="C43" i="24"/>
  <c r="B44" i="24"/>
  <c r="C44" i="24"/>
  <c r="B45" i="24"/>
  <c r="C45" i="24"/>
  <c r="B46" i="24"/>
  <c r="C46" i="24"/>
  <c r="B47" i="24"/>
  <c r="C47" i="24"/>
  <c r="B48" i="24"/>
  <c r="C48" i="24"/>
  <c r="B49" i="24"/>
  <c r="C49" i="24"/>
  <c r="B50" i="24"/>
  <c r="C50" i="24"/>
  <c r="B51" i="24"/>
  <c r="C51" i="24"/>
  <c r="B52" i="24"/>
  <c r="C52" i="24"/>
  <c r="B53" i="24"/>
  <c r="C53" i="24"/>
  <c r="B54" i="24"/>
  <c r="C54" i="24"/>
  <c r="B55" i="24"/>
  <c r="C55" i="24"/>
  <c r="B56" i="24"/>
  <c r="C56" i="24"/>
  <c r="B57" i="24"/>
  <c r="C57" i="24"/>
  <c r="B58" i="24"/>
  <c r="C58" i="24"/>
  <c r="B59" i="24"/>
  <c r="C59" i="24"/>
  <c r="B60" i="24"/>
  <c r="C60" i="24"/>
  <c r="B61" i="24"/>
  <c r="C61" i="24"/>
  <c r="B62" i="24"/>
  <c r="C62" i="24"/>
  <c r="B63" i="24"/>
  <c r="C63" i="24"/>
  <c r="B64" i="24"/>
  <c r="C64" i="24"/>
  <c r="B65" i="24"/>
  <c r="C65" i="24"/>
  <c r="B66" i="24"/>
  <c r="C66" i="24"/>
  <c r="B67" i="24"/>
  <c r="C67" i="24"/>
  <c r="B68" i="24"/>
  <c r="C68" i="24"/>
  <c r="B69" i="24"/>
  <c r="C69" i="24"/>
  <c r="B70" i="24"/>
  <c r="C70" i="24"/>
  <c r="B71" i="24"/>
  <c r="C71" i="24"/>
  <c r="B72" i="24"/>
  <c r="C72" i="24"/>
  <c r="B73" i="24"/>
  <c r="C73" i="24"/>
  <c r="B74" i="24"/>
  <c r="C74" i="24"/>
  <c r="B75" i="24"/>
  <c r="C75" i="24"/>
  <c r="B76" i="24"/>
  <c r="C76" i="24"/>
  <c r="B77" i="24"/>
  <c r="C77" i="24"/>
  <c r="B78" i="24"/>
  <c r="C78" i="24"/>
  <c r="B79" i="24"/>
  <c r="C79" i="24"/>
  <c r="B80" i="24"/>
  <c r="C80" i="24"/>
  <c r="B81" i="24"/>
  <c r="C81" i="24"/>
  <c r="B82" i="24"/>
  <c r="C82" i="24"/>
  <c r="B83" i="24"/>
  <c r="C83" i="24"/>
  <c r="B84" i="24"/>
  <c r="C84" i="24"/>
  <c r="B85" i="24"/>
  <c r="C85" i="24"/>
  <c r="B86" i="24"/>
  <c r="C86" i="24"/>
  <c r="B87" i="24"/>
  <c r="C87" i="24"/>
  <c r="B88" i="24"/>
  <c r="C88" i="24"/>
  <c r="B89" i="24"/>
  <c r="C89" i="24"/>
  <c r="B90" i="24"/>
  <c r="C90" i="24"/>
  <c r="B91" i="24"/>
  <c r="C91" i="24"/>
  <c r="B92" i="24"/>
  <c r="C92" i="24"/>
  <c r="B93" i="24"/>
  <c r="C93" i="24"/>
  <c r="B94" i="24"/>
  <c r="C94" i="24"/>
  <c r="B95" i="24"/>
  <c r="C95" i="24"/>
  <c r="B96" i="24"/>
  <c r="C96" i="24"/>
  <c r="B97" i="24"/>
  <c r="C97" i="24"/>
  <c r="B98" i="24"/>
  <c r="C98" i="24"/>
  <c r="B99" i="24"/>
  <c r="C99" i="24"/>
  <c r="B100" i="24"/>
  <c r="C100" i="24"/>
  <c r="B101" i="24"/>
  <c r="C101" i="24"/>
  <c r="B102" i="24"/>
  <c r="C102" i="24"/>
  <c r="B103" i="24"/>
  <c r="C103" i="24"/>
  <c r="B104" i="24"/>
  <c r="C104" i="24"/>
  <c r="B105" i="24"/>
  <c r="C105" i="24"/>
  <c r="B106" i="24"/>
  <c r="C106" i="24"/>
  <c r="B107" i="24"/>
  <c r="C107" i="24"/>
  <c r="B108" i="24"/>
  <c r="C108" i="24"/>
  <c r="B109" i="24"/>
  <c r="C109" i="24"/>
  <c r="B110" i="24"/>
  <c r="C110" i="24"/>
  <c r="B111" i="24"/>
  <c r="C111" i="24"/>
  <c r="B112" i="24"/>
  <c r="C112" i="24"/>
  <c r="B113" i="24"/>
  <c r="C113" i="24"/>
  <c r="B114" i="24"/>
  <c r="C114" i="24"/>
  <c r="B115" i="24"/>
  <c r="C115" i="24"/>
  <c r="B116" i="24"/>
  <c r="C116" i="24"/>
  <c r="B117" i="24"/>
  <c r="C117" i="24"/>
  <c r="B118" i="24"/>
  <c r="C118" i="24"/>
  <c r="B119" i="24"/>
  <c r="C119" i="24"/>
  <c r="B120" i="24"/>
  <c r="C120" i="24"/>
  <c r="B121" i="24"/>
  <c r="C121" i="24"/>
  <c r="B122" i="24"/>
  <c r="C122" i="24"/>
  <c r="B123" i="24"/>
  <c r="C123" i="24"/>
  <c r="B124" i="24"/>
  <c r="C124" i="24"/>
  <c r="B125" i="24"/>
  <c r="C125" i="24"/>
  <c r="B126" i="24"/>
  <c r="C126" i="24"/>
  <c r="B127" i="24"/>
  <c r="AJ10" i="24"/>
  <c r="CA10" i="24" s="1"/>
  <c r="AK10" i="24"/>
  <c r="CB10" i="24" s="1"/>
  <c r="AL10" i="24"/>
  <c r="CC10" i="24" s="1"/>
  <c r="AM10" i="24"/>
  <c r="CD10" i="24" s="1"/>
  <c r="AN10" i="24"/>
  <c r="CE10" i="24" s="1"/>
  <c r="AO10" i="24"/>
  <c r="CF10" i="24" s="1"/>
  <c r="AP10" i="24"/>
  <c r="AQ10" i="24"/>
  <c r="H11" i="57" s="1"/>
  <c r="AR10" i="24"/>
  <c r="AS10" i="24"/>
  <c r="AT10" i="24"/>
  <c r="AU10" i="24"/>
  <c r="AV10" i="24"/>
  <c r="AW10" i="24"/>
  <c r="CN10" i="24" s="1"/>
  <c r="AX10" i="24"/>
  <c r="CO10" i="24" s="1"/>
  <c r="AY10" i="24"/>
  <c r="CP10" i="24" s="1"/>
  <c r="AJ11" i="24"/>
  <c r="CA11" i="24" s="1"/>
  <c r="AK11" i="24"/>
  <c r="CB11" i="24" s="1"/>
  <c r="AL11" i="24"/>
  <c r="CC11" i="24" s="1"/>
  <c r="AM11" i="24"/>
  <c r="CD11" i="24" s="1"/>
  <c r="AN11" i="24"/>
  <c r="CE11" i="24" s="1"/>
  <c r="AO11" i="24"/>
  <c r="CF11" i="24" s="1"/>
  <c r="AP11" i="24"/>
  <c r="AQ11" i="24"/>
  <c r="H12" i="57" s="1"/>
  <c r="AR11" i="24"/>
  <c r="AS11" i="24"/>
  <c r="AT11" i="24"/>
  <c r="AU11" i="24"/>
  <c r="AV11" i="24"/>
  <c r="AW11" i="24"/>
  <c r="CN11" i="24" s="1"/>
  <c r="AX11" i="24"/>
  <c r="CO11" i="24" s="1"/>
  <c r="AY11" i="24"/>
  <c r="CP11" i="24" s="1"/>
  <c r="AJ12" i="24"/>
  <c r="CA12" i="24" s="1"/>
  <c r="AK12" i="24"/>
  <c r="CB12" i="24" s="1"/>
  <c r="AL12" i="24"/>
  <c r="CC12" i="24" s="1"/>
  <c r="AM12" i="24"/>
  <c r="CD12" i="24" s="1"/>
  <c r="AN12" i="24"/>
  <c r="CE12" i="24" s="1"/>
  <c r="AO12" i="24"/>
  <c r="CF12" i="24" s="1"/>
  <c r="AP12" i="24"/>
  <c r="AQ12" i="24"/>
  <c r="H13" i="57" s="1"/>
  <c r="AR12" i="24"/>
  <c r="AS12" i="24"/>
  <c r="AT12" i="24"/>
  <c r="AU12" i="24"/>
  <c r="AV12" i="24"/>
  <c r="AW12" i="24"/>
  <c r="CN12" i="24" s="1"/>
  <c r="AX12" i="24"/>
  <c r="CO12" i="24" s="1"/>
  <c r="AY12" i="24"/>
  <c r="CP12" i="24" s="1"/>
  <c r="AJ13" i="24"/>
  <c r="CA13" i="24" s="1"/>
  <c r="AK13" i="24"/>
  <c r="CB13" i="24" s="1"/>
  <c r="AL13" i="24"/>
  <c r="CC13" i="24" s="1"/>
  <c r="AM13" i="24"/>
  <c r="CD13" i="24" s="1"/>
  <c r="AN13" i="24"/>
  <c r="CE13" i="24" s="1"/>
  <c r="AO13" i="24"/>
  <c r="CF13" i="24" s="1"/>
  <c r="AP13" i="24"/>
  <c r="AQ13" i="24"/>
  <c r="H14" i="57" s="1"/>
  <c r="AR13" i="24"/>
  <c r="AS13" i="24"/>
  <c r="AT13" i="24"/>
  <c r="AU13" i="24"/>
  <c r="AV13" i="24"/>
  <c r="AW13" i="24"/>
  <c r="CN13" i="24" s="1"/>
  <c r="AX13" i="24"/>
  <c r="CO13" i="24" s="1"/>
  <c r="AY13" i="24"/>
  <c r="CP13" i="24" s="1"/>
  <c r="AJ14" i="24"/>
  <c r="CA14" i="24" s="1"/>
  <c r="AK14" i="24"/>
  <c r="CB14" i="24" s="1"/>
  <c r="AL14" i="24"/>
  <c r="CC14" i="24" s="1"/>
  <c r="AM14" i="24"/>
  <c r="CD14" i="24" s="1"/>
  <c r="AN14" i="24"/>
  <c r="CE14" i="24" s="1"/>
  <c r="AO14" i="24"/>
  <c r="CF14" i="24" s="1"/>
  <c r="AP14" i="24"/>
  <c r="AQ14" i="24"/>
  <c r="H15" i="57" s="1"/>
  <c r="AR14" i="24"/>
  <c r="AS14" i="24"/>
  <c r="AT14" i="24"/>
  <c r="AU14" i="24"/>
  <c r="AV14" i="24"/>
  <c r="AW14" i="24"/>
  <c r="CN14" i="24" s="1"/>
  <c r="AX14" i="24"/>
  <c r="CO14" i="24" s="1"/>
  <c r="AY14" i="24"/>
  <c r="CP14" i="24" s="1"/>
  <c r="AJ15" i="24"/>
  <c r="CA15" i="24" s="1"/>
  <c r="AK15" i="24"/>
  <c r="CB15" i="24" s="1"/>
  <c r="AL15" i="24"/>
  <c r="CC15" i="24" s="1"/>
  <c r="AM15" i="24"/>
  <c r="CD15" i="24" s="1"/>
  <c r="AN15" i="24"/>
  <c r="CE15" i="24" s="1"/>
  <c r="AO15" i="24"/>
  <c r="CF15" i="24" s="1"/>
  <c r="AP15" i="24"/>
  <c r="AQ15" i="24"/>
  <c r="H16" i="57" s="1"/>
  <c r="AR15" i="24"/>
  <c r="AS15" i="24"/>
  <c r="AT15" i="24"/>
  <c r="AU15" i="24"/>
  <c r="AV15" i="24"/>
  <c r="AW15" i="24"/>
  <c r="CN15" i="24" s="1"/>
  <c r="AX15" i="24"/>
  <c r="CO15" i="24" s="1"/>
  <c r="AY15" i="24"/>
  <c r="CP15" i="24" s="1"/>
  <c r="AJ16" i="24"/>
  <c r="CA16" i="24" s="1"/>
  <c r="AK16" i="24"/>
  <c r="CB16" i="24" s="1"/>
  <c r="AL16" i="24"/>
  <c r="CC16" i="24" s="1"/>
  <c r="AM16" i="24"/>
  <c r="CD16" i="24" s="1"/>
  <c r="AN16" i="24"/>
  <c r="CE16" i="24" s="1"/>
  <c r="AO16" i="24"/>
  <c r="CF16" i="24" s="1"/>
  <c r="AP16" i="24"/>
  <c r="AQ16" i="24"/>
  <c r="H17" i="57" s="1"/>
  <c r="AR16" i="24"/>
  <c r="AS16" i="24"/>
  <c r="AT16" i="24"/>
  <c r="AU16" i="24"/>
  <c r="AV16" i="24"/>
  <c r="AW16" i="24"/>
  <c r="CN16" i="24" s="1"/>
  <c r="AX16" i="24"/>
  <c r="CO16" i="24" s="1"/>
  <c r="AY16" i="24"/>
  <c r="CP16" i="24" s="1"/>
  <c r="AJ17" i="24"/>
  <c r="CA17" i="24" s="1"/>
  <c r="AK17" i="24"/>
  <c r="CB17" i="24" s="1"/>
  <c r="AL17" i="24"/>
  <c r="CC17" i="24" s="1"/>
  <c r="AM17" i="24"/>
  <c r="CD17" i="24" s="1"/>
  <c r="AN17" i="24"/>
  <c r="CE17" i="24" s="1"/>
  <c r="AO17" i="24"/>
  <c r="CF17" i="24" s="1"/>
  <c r="AP17" i="24"/>
  <c r="AQ17" i="24"/>
  <c r="H18" i="57" s="1"/>
  <c r="AR17" i="24"/>
  <c r="AS17" i="24"/>
  <c r="AT17" i="24"/>
  <c r="AU17" i="24"/>
  <c r="AV17" i="24"/>
  <c r="AW17" i="24"/>
  <c r="CN17" i="24" s="1"/>
  <c r="AX17" i="24"/>
  <c r="CO17" i="24" s="1"/>
  <c r="AY17" i="24"/>
  <c r="CP17" i="24" s="1"/>
  <c r="AJ18" i="24"/>
  <c r="CA18" i="24" s="1"/>
  <c r="AK18" i="24"/>
  <c r="CB18" i="24" s="1"/>
  <c r="AL18" i="24"/>
  <c r="CC18" i="24" s="1"/>
  <c r="AM18" i="24"/>
  <c r="CD18" i="24" s="1"/>
  <c r="AN18" i="24"/>
  <c r="CE18" i="24" s="1"/>
  <c r="AO18" i="24"/>
  <c r="CF18" i="24" s="1"/>
  <c r="AP18" i="24"/>
  <c r="AQ18" i="24"/>
  <c r="H19" i="57" s="1"/>
  <c r="AR18" i="24"/>
  <c r="AS18" i="24"/>
  <c r="AT18" i="24"/>
  <c r="AU18" i="24"/>
  <c r="AV18" i="24"/>
  <c r="AW18" i="24"/>
  <c r="CN18" i="24" s="1"/>
  <c r="AX18" i="24"/>
  <c r="CO18" i="24" s="1"/>
  <c r="AY18" i="24"/>
  <c r="CP18" i="24" s="1"/>
  <c r="AJ19" i="24"/>
  <c r="CA19" i="24" s="1"/>
  <c r="AK19" i="24"/>
  <c r="CB19" i="24" s="1"/>
  <c r="AL19" i="24"/>
  <c r="CC19" i="24" s="1"/>
  <c r="AM19" i="24"/>
  <c r="CD19" i="24" s="1"/>
  <c r="AN19" i="24"/>
  <c r="CE19" i="24" s="1"/>
  <c r="AO19" i="24"/>
  <c r="CF19" i="24" s="1"/>
  <c r="AP19" i="24"/>
  <c r="AQ19" i="24"/>
  <c r="H20" i="57" s="1"/>
  <c r="AR19" i="24"/>
  <c r="AS19" i="24"/>
  <c r="AT19" i="24"/>
  <c r="AU19" i="24"/>
  <c r="AV19" i="24"/>
  <c r="AW19" i="24"/>
  <c r="CN19" i="24" s="1"/>
  <c r="AX19" i="24"/>
  <c r="CO19" i="24" s="1"/>
  <c r="AY19" i="24"/>
  <c r="CP19" i="24" s="1"/>
  <c r="AJ20" i="24"/>
  <c r="CA20" i="24" s="1"/>
  <c r="AK20" i="24"/>
  <c r="CB20" i="24" s="1"/>
  <c r="AL20" i="24"/>
  <c r="CC20" i="24" s="1"/>
  <c r="AM20" i="24"/>
  <c r="CD20" i="24" s="1"/>
  <c r="AN20" i="24"/>
  <c r="CE20" i="24" s="1"/>
  <c r="AO20" i="24"/>
  <c r="CF20" i="24" s="1"/>
  <c r="AP20" i="24"/>
  <c r="AQ20" i="24"/>
  <c r="H21" i="57" s="1"/>
  <c r="AR20" i="24"/>
  <c r="AS20" i="24"/>
  <c r="AT20" i="24"/>
  <c r="AU20" i="24"/>
  <c r="AV20" i="24"/>
  <c r="AW20" i="24"/>
  <c r="CN20" i="24" s="1"/>
  <c r="AX20" i="24"/>
  <c r="CO20" i="24" s="1"/>
  <c r="AY20" i="24"/>
  <c r="CP20" i="24" s="1"/>
  <c r="AJ21" i="24"/>
  <c r="CA21" i="24" s="1"/>
  <c r="AK21" i="24"/>
  <c r="CB21" i="24" s="1"/>
  <c r="AL21" i="24"/>
  <c r="CC21" i="24" s="1"/>
  <c r="AM21" i="24"/>
  <c r="CD21" i="24" s="1"/>
  <c r="AN21" i="24"/>
  <c r="CE21" i="24" s="1"/>
  <c r="AO21" i="24"/>
  <c r="CF21" i="24" s="1"/>
  <c r="AP21" i="24"/>
  <c r="AQ21" i="24"/>
  <c r="H22" i="57" s="1"/>
  <c r="AR21" i="24"/>
  <c r="AS21" i="24"/>
  <c r="AT21" i="24"/>
  <c r="AU21" i="24"/>
  <c r="AV21" i="24"/>
  <c r="AW21" i="24"/>
  <c r="CN21" i="24" s="1"/>
  <c r="AX21" i="24"/>
  <c r="CO21" i="24" s="1"/>
  <c r="AY21" i="24"/>
  <c r="CP21" i="24" s="1"/>
  <c r="AJ22" i="24"/>
  <c r="CA22" i="24" s="1"/>
  <c r="AK22" i="24"/>
  <c r="CB22" i="24" s="1"/>
  <c r="AL22" i="24"/>
  <c r="CC22" i="24" s="1"/>
  <c r="AM22" i="24"/>
  <c r="CD22" i="24" s="1"/>
  <c r="AN22" i="24"/>
  <c r="CE22" i="24" s="1"/>
  <c r="AO22" i="24"/>
  <c r="CF22" i="24" s="1"/>
  <c r="AP22" i="24"/>
  <c r="AQ22" i="24"/>
  <c r="H23" i="57" s="1"/>
  <c r="AR22" i="24"/>
  <c r="AS22" i="24"/>
  <c r="AT22" i="24"/>
  <c r="AU22" i="24"/>
  <c r="AV22" i="24"/>
  <c r="AW22" i="24"/>
  <c r="CN22" i="24" s="1"/>
  <c r="AX22" i="24"/>
  <c r="CO22" i="24" s="1"/>
  <c r="AY22" i="24"/>
  <c r="CP22" i="24" s="1"/>
  <c r="AJ23" i="24"/>
  <c r="CA23" i="24" s="1"/>
  <c r="AK23" i="24"/>
  <c r="CB23" i="24" s="1"/>
  <c r="AL23" i="24"/>
  <c r="CC23" i="24" s="1"/>
  <c r="AM23" i="24"/>
  <c r="CD23" i="24" s="1"/>
  <c r="AN23" i="24"/>
  <c r="CE23" i="24" s="1"/>
  <c r="AO23" i="24"/>
  <c r="CF23" i="24" s="1"/>
  <c r="AP23" i="24"/>
  <c r="AQ23" i="24"/>
  <c r="H24" i="57" s="1"/>
  <c r="AR23" i="24"/>
  <c r="AS23" i="24"/>
  <c r="AT23" i="24"/>
  <c r="AU23" i="24"/>
  <c r="AV23" i="24"/>
  <c r="AW23" i="24"/>
  <c r="CN23" i="24" s="1"/>
  <c r="AX23" i="24"/>
  <c r="CO23" i="24" s="1"/>
  <c r="AY23" i="24"/>
  <c r="CP23" i="24" s="1"/>
  <c r="AJ24" i="24"/>
  <c r="CA24" i="24" s="1"/>
  <c r="AK24" i="24"/>
  <c r="CB24" i="24" s="1"/>
  <c r="AL24" i="24"/>
  <c r="CC24" i="24" s="1"/>
  <c r="AM24" i="24"/>
  <c r="CD24" i="24" s="1"/>
  <c r="AN24" i="24"/>
  <c r="CE24" i="24" s="1"/>
  <c r="AO24" i="24"/>
  <c r="CF24" i="24" s="1"/>
  <c r="AP24" i="24"/>
  <c r="AQ24" i="24"/>
  <c r="H25" i="57" s="1"/>
  <c r="AR24" i="24"/>
  <c r="AS24" i="24"/>
  <c r="AT24" i="24"/>
  <c r="AU24" i="24"/>
  <c r="AV24" i="24"/>
  <c r="AW24" i="24"/>
  <c r="CN24" i="24" s="1"/>
  <c r="AX24" i="24"/>
  <c r="CO24" i="24" s="1"/>
  <c r="AY24" i="24"/>
  <c r="CP24" i="24" s="1"/>
  <c r="AJ25" i="24"/>
  <c r="CA25" i="24" s="1"/>
  <c r="AK25" i="24"/>
  <c r="CB25" i="24" s="1"/>
  <c r="AL25" i="24"/>
  <c r="CC25" i="24" s="1"/>
  <c r="AM25" i="24"/>
  <c r="CD25" i="24" s="1"/>
  <c r="AN25" i="24"/>
  <c r="CE25" i="24" s="1"/>
  <c r="AO25" i="24"/>
  <c r="CF25" i="24" s="1"/>
  <c r="AP25" i="24"/>
  <c r="AQ25" i="24"/>
  <c r="H26" i="57" s="1"/>
  <c r="AR25" i="24"/>
  <c r="AS25" i="24"/>
  <c r="AT25" i="24"/>
  <c r="AU25" i="24"/>
  <c r="AV25" i="24"/>
  <c r="AW25" i="24"/>
  <c r="CN25" i="24" s="1"/>
  <c r="AX25" i="24"/>
  <c r="CO25" i="24" s="1"/>
  <c r="AY25" i="24"/>
  <c r="CP25" i="24" s="1"/>
  <c r="AJ26" i="24"/>
  <c r="CA26" i="24" s="1"/>
  <c r="AK26" i="24"/>
  <c r="CB26" i="24" s="1"/>
  <c r="AL26" i="24"/>
  <c r="CC26" i="24" s="1"/>
  <c r="AM26" i="24"/>
  <c r="CD26" i="24" s="1"/>
  <c r="AN26" i="24"/>
  <c r="CE26" i="24" s="1"/>
  <c r="AO26" i="24"/>
  <c r="CF26" i="24" s="1"/>
  <c r="AP26" i="24"/>
  <c r="AQ26" i="24"/>
  <c r="H27" i="57" s="1"/>
  <c r="AR26" i="24"/>
  <c r="AS26" i="24"/>
  <c r="AT26" i="24"/>
  <c r="AU26" i="24"/>
  <c r="AV26" i="24"/>
  <c r="AW26" i="24"/>
  <c r="CN26" i="24" s="1"/>
  <c r="AX26" i="24"/>
  <c r="CO26" i="24" s="1"/>
  <c r="AY26" i="24"/>
  <c r="CP26" i="24" s="1"/>
  <c r="AJ27" i="24"/>
  <c r="CA27" i="24" s="1"/>
  <c r="AK27" i="24"/>
  <c r="CB27" i="24" s="1"/>
  <c r="AL27" i="24"/>
  <c r="CC27" i="24" s="1"/>
  <c r="AM27" i="24"/>
  <c r="CD27" i="24" s="1"/>
  <c r="AN27" i="24"/>
  <c r="CE27" i="24" s="1"/>
  <c r="AO27" i="24"/>
  <c r="CF27" i="24" s="1"/>
  <c r="AP27" i="24"/>
  <c r="AQ27" i="24"/>
  <c r="H28" i="57" s="1"/>
  <c r="AR27" i="24"/>
  <c r="AS27" i="24"/>
  <c r="AT27" i="24"/>
  <c r="AU27" i="24"/>
  <c r="AV27" i="24"/>
  <c r="AW27" i="24"/>
  <c r="CN27" i="24" s="1"/>
  <c r="AX27" i="24"/>
  <c r="CO27" i="24" s="1"/>
  <c r="AY27" i="24"/>
  <c r="CP27" i="24" s="1"/>
  <c r="AJ28" i="24"/>
  <c r="CA28" i="24" s="1"/>
  <c r="AK28" i="24"/>
  <c r="CB28" i="24" s="1"/>
  <c r="AL28" i="24"/>
  <c r="CC28" i="24" s="1"/>
  <c r="AM28" i="24"/>
  <c r="CD28" i="24" s="1"/>
  <c r="AN28" i="24"/>
  <c r="CE28" i="24" s="1"/>
  <c r="AO28" i="24"/>
  <c r="CF28" i="24" s="1"/>
  <c r="AP28" i="24"/>
  <c r="AQ28" i="24"/>
  <c r="H29" i="57" s="1"/>
  <c r="AR28" i="24"/>
  <c r="AS28" i="24"/>
  <c r="AT28" i="24"/>
  <c r="AU28" i="24"/>
  <c r="AV28" i="24"/>
  <c r="AW28" i="24"/>
  <c r="CN28" i="24" s="1"/>
  <c r="AX28" i="24"/>
  <c r="CO28" i="24" s="1"/>
  <c r="AY28" i="24"/>
  <c r="CP28" i="24" s="1"/>
  <c r="AJ29" i="24"/>
  <c r="CA29" i="24" s="1"/>
  <c r="AK29" i="24"/>
  <c r="CB29" i="24" s="1"/>
  <c r="AL29" i="24"/>
  <c r="CC29" i="24" s="1"/>
  <c r="AM29" i="24"/>
  <c r="CD29" i="24" s="1"/>
  <c r="AN29" i="24"/>
  <c r="CE29" i="24" s="1"/>
  <c r="AO29" i="24"/>
  <c r="CF29" i="24" s="1"/>
  <c r="AP29" i="24"/>
  <c r="AQ29" i="24"/>
  <c r="H30" i="57" s="1"/>
  <c r="AR29" i="24"/>
  <c r="AS29" i="24"/>
  <c r="AT29" i="24"/>
  <c r="AU29" i="24"/>
  <c r="AV29" i="24"/>
  <c r="AW29" i="24"/>
  <c r="CN29" i="24" s="1"/>
  <c r="AX29" i="24"/>
  <c r="CO29" i="24" s="1"/>
  <c r="AY29" i="24"/>
  <c r="CP29" i="24" s="1"/>
  <c r="AJ30" i="24"/>
  <c r="CA30" i="24" s="1"/>
  <c r="AK30" i="24"/>
  <c r="CB30" i="24" s="1"/>
  <c r="AL30" i="24"/>
  <c r="CC30" i="24" s="1"/>
  <c r="AM30" i="24"/>
  <c r="CD30" i="24" s="1"/>
  <c r="AN30" i="24"/>
  <c r="CE30" i="24" s="1"/>
  <c r="AO30" i="24"/>
  <c r="CF30" i="24" s="1"/>
  <c r="AP30" i="24"/>
  <c r="AQ30" i="24"/>
  <c r="H31" i="57" s="1"/>
  <c r="AR30" i="24"/>
  <c r="AS30" i="24"/>
  <c r="AT30" i="24"/>
  <c r="AU30" i="24"/>
  <c r="AV30" i="24"/>
  <c r="AW30" i="24"/>
  <c r="CN30" i="24" s="1"/>
  <c r="AX30" i="24"/>
  <c r="CO30" i="24" s="1"/>
  <c r="AY30" i="24"/>
  <c r="CP30" i="24" s="1"/>
  <c r="AJ31" i="24"/>
  <c r="CA31" i="24" s="1"/>
  <c r="AK31" i="24"/>
  <c r="CB31" i="24" s="1"/>
  <c r="AL31" i="24"/>
  <c r="CC31" i="24" s="1"/>
  <c r="AM31" i="24"/>
  <c r="CD31" i="24" s="1"/>
  <c r="AN31" i="24"/>
  <c r="CE31" i="24" s="1"/>
  <c r="AO31" i="24"/>
  <c r="CF31" i="24" s="1"/>
  <c r="AP31" i="24"/>
  <c r="AQ31" i="24"/>
  <c r="H32" i="57" s="1"/>
  <c r="AR31" i="24"/>
  <c r="AS31" i="24"/>
  <c r="AT31" i="24"/>
  <c r="AU31" i="24"/>
  <c r="AV31" i="24"/>
  <c r="AW31" i="24"/>
  <c r="CN31" i="24" s="1"/>
  <c r="AX31" i="24"/>
  <c r="CO31" i="24" s="1"/>
  <c r="AY31" i="24"/>
  <c r="CP31" i="24" s="1"/>
  <c r="AJ32" i="24"/>
  <c r="CA32" i="24" s="1"/>
  <c r="AK32" i="24"/>
  <c r="CB32" i="24" s="1"/>
  <c r="AL32" i="24"/>
  <c r="CC32" i="24" s="1"/>
  <c r="AM32" i="24"/>
  <c r="CD32" i="24" s="1"/>
  <c r="AN32" i="24"/>
  <c r="CE32" i="24" s="1"/>
  <c r="AO32" i="24"/>
  <c r="CF32" i="24" s="1"/>
  <c r="AP32" i="24"/>
  <c r="AQ32" i="24"/>
  <c r="H33" i="57" s="1"/>
  <c r="AR32" i="24"/>
  <c r="AS32" i="24"/>
  <c r="AT32" i="24"/>
  <c r="AU32" i="24"/>
  <c r="AV32" i="24"/>
  <c r="AW32" i="24"/>
  <c r="CN32" i="24" s="1"/>
  <c r="AX32" i="24"/>
  <c r="CO32" i="24" s="1"/>
  <c r="AY32" i="24"/>
  <c r="CP32" i="24" s="1"/>
  <c r="AJ33" i="24"/>
  <c r="CA33" i="24" s="1"/>
  <c r="AK33" i="24"/>
  <c r="CB33" i="24" s="1"/>
  <c r="AL33" i="24"/>
  <c r="CC33" i="24" s="1"/>
  <c r="AM33" i="24"/>
  <c r="CD33" i="24" s="1"/>
  <c r="AN33" i="24"/>
  <c r="CE33" i="24" s="1"/>
  <c r="AO33" i="24"/>
  <c r="CF33" i="24" s="1"/>
  <c r="AP33" i="24"/>
  <c r="AQ33" i="24"/>
  <c r="H34" i="57" s="1"/>
  <c r="AR33" i="24"/>
  <c r="AS33" i="24"/>
  <c r="AT33" i="24"/>
  <c r="AU33" i="24"/>
  <c r="AV33" i="24"/>
  <c r="AW33" i="24"/>
  <c r="CN33" i="24" s="1"/>
  <c r="AX33" i="24"/>
  <c r="CO33" i="24" s="1"/>
  <c r="AY33" i="24"/>
  <c r="CP33" i="24" s="1"/>
  <c r="AJ34" i="24"/>
  <c r="CA34" i="24" s="1"/>
  <c r="AK34" i="24"/>
  <c r="CB34" i="24" s="1"/>
  <c r="AL34" i="24"/>
  <c r="CC34" i="24" s="1"/>
  <c r="AM34" i="24"/>
  <c r="CD34" i="24" s="1"/>
  <c r="AN34" i="24"/>
  <c r="CE34" i="24" s="1"/>
  <c r="AO34" i="24"/>
  <c r="CF34" i="24" s="1"/>
  <c r="AP34" i="24"/>
  <c r="AQ34" i="24"/>
  <c r="H35" i="57" s="1"/>
  <c r="AR34" i="24"/>
  <c r="AS34" i="24"/>
  <c r="AT34" i="24"/>
  <c r="AU34" i="24"/>
  <c r="AV34" i="24"/>
  <c r="AW34" i="24"/>
  <c r="CN34" i="24" s="1"/>
  <c r="AX34" i="24"/>
  <c r="CO34" i="24" s="1"/>
  <c r="AY34" i="24"/>
  <c r="CP34" i="24" s="1"/>
  <c r="AJ35" i="24"/>
  <c r="CA35" i="24" s="1"/>
  <c r="AK35" i="24"/>
  <c r="CB35" i="24" s="1"/>
  <c r="AL35" i="24"/>
  <c r="CC35" i="24" s="1"/>
  <c r="AM35" i="24"/>
  <c r="CD35" i="24" s="1"/>
  <c r="AN35" i="24"/>
  <c r="CE35" i="24" s="1"/>
  <c r="AO35" i="24"/>
  <c r="CF35" i="24" s="1"/>
  <c r="AP35" i="24"/>
  <c r="AQ35" i="24"/>
  <c r="H36" i="57" s="1"/>
  <c r="AR35" i="24"/>
  <c r="AS35" i="24"/>
  <c r="AT35" i="24"/>
  <c r="AU35" i="24"/>
  <c r="AV35" i="24"/>
  <c r="AW35" i="24"/>
  <c r="CN35" i="24" s="1"/>
  <c r="AX35" i="24"/>
  <c r="CO35" i="24" s="1"/>
  <c r="AY35" i="24"/>
  <c r="CP35" i="24" s="1"/>
  <c r="AJ36" i="24"/>
  <c r="CA36" i="24" s="1"/>
  <c r="AK36" i="24"/>
  <c r="CB36" i="24" s="1"/>
  <c r="AL36" i="24"/>
  <c r="CC36" i="24" s="1"/>
  <c r="AM36" i="24"/>
  <c r="CD36" i="24" s="1"/>
  <c r="AN36" i="24"/>
  <c r="CE36" i="24" s="1"/>
  <c r="AO36" i="24"/>
  <c r="CF36" i="24" s="1"/>
  <c r="AP36" i="24"/>
  <c r="AQ36" i="24"/>
  <c r="H37" i="57" s="1"/>
  <c r="AR36" i="24"/>
  <c r="AS36" i="24"/>
  <c r="AT36" i="24"/>
  <c r="AU36" i="24"/>
  <c r="AV36" i="24"/>
  <c r="AW36" i="24"/>
  <c r="CN36" i="24" s="1"/>
  <c r="AX36" i="24"/>
  <c r="CO36" i="24" s="1"/>
  <c r="AY36" i="24"/>
  <c r="CP36" i="24" s="1"/>
  <c r="AJ37" i="24"/>
  <c r="CA37" i="24" s="1"/>
  <c r="AK37" i="24"/>
  <c r="CB37" i="24" s="1"/>
  <c r="AL37" i="24"/>
  <c r="CC37" i="24" s="1"/>
  <c r="AM37" i="24"/>
  <c r="CD37" i="24" s="1"/>
  <c r="AN37" i="24"/>
  <c r="CE37" i="24" s="1"/>
  <c r="AO37" i="24"/>
  <c r="CF37" i="24" s="1"/>
  <c r="AP37" i="24"/>
  <c r="AQ37" i="24"/>
  <c r="H38" i="57" s="1"/>
  <c r="AR37" i="24"/>
  <c r="AS37" i="24"/>
  <c r="AT37" i="24"/>
  <c r="AU37" i="24"/>
  <c r="AV37" i="24"/>
  <c r="AW37" i="24"/>
  <c r="CN37" i="24" s="1"/>
  <c r="AX37" i="24"/>
  <c r="CO37" i="24" s="1"/>
  <c r="AY37" i="24"/>
  <c r="CP37" i="24" s="1"/>
  <c r="AJ38" i="24"/>
  <c r="CA38" i="24" s="1"/>
  <c r="AK38" i="24"/>
  <c r="CB38" i="24" s="1"/>
  <c r="AL38" i="24"/>
  <c r="CC38" i="24" s="1"/>
  <c r="AM38" i="24"/>
  <c r="CD38" i="24" s="1"/>
  <c r="AN38" i="24"/>
  <c r="CE38" i="24" s="1"/>
  <c r="AO38" i="24"/>
  <c r="CF38" i="24" s="1"/>
  <c r="AP38" i="24"/>
  <c r="AQ38" i="24"/>
  <c r="H39" i="57" s="1"/>
  <c r="AR38" i="24"/>
  <c r="AS38" i="24"/>
  <c r="AT38" i="24"/>
  <c r="AU38" i="24"/>
  <c r="AV38" i="24"/>
  <c r="AW38" i="24"/>
  <c r="CN38" i="24" s="1"/>
  <c r="AX38" i="24"/>
  <c r="CO38" i="24" s="1"/>
  <c r="AY38" i="24"/>
  <c r="CP38" i="24" s="1"/>
  <c r="AJ39" i="24"/>
  <c r="CA39" i="24" s="1"/>
  <c r="AK39" i="24"/>
  <c r="CB39" i="24" s="1"/>
  <c r="AL39" i="24"/>
  <c r="CC39" i="24" s="1"/>
  <c r="AM39" i="24"/>
  <c r="CD39" i="24" s="1"/>
  <c r="AN39" i="24"/>
  <c r="CE39" i="24" s="1"/>
  <c r="AO39" i="24"/>
  <c r="CF39" i="24" s="1"/>
  <c r="AP39" i="24"/>
  <c r="AQ39" i="24"/>
  <c r="H40" i="57" s="1"/>
  <c r="AR39" i="24"/>
  <c r="AS39" i="24"/>
  <c r="AT39" i="24"/>
  <c r="AU39" i="24"/>
  <c r="AV39" i="24"/>
  <c r="AW39" i="24"/>
  <c r="CN39" i="24" s="1"/>
  <c r="AX39" i="24"/>
  <c r="CO39" i="24" s="1"/>
  <c r="AY39" i="24"/>
  <c r="CP39" i="24" s="1"/>
  <c r="AJ40" i="24"/>
  <c r="CA40" i="24" s="1"/>
  <c r="AK40" i="24"/>
  <c r="CB40" i="24" s="1"/>
  <c r="AL40" i="24"/>
  <c r="CC40" i="24" s="1"/>
  <c r="AM40" i="24"/>
  <c r="CD40" i="24" s="1"/>
  <c r="AN40" i="24"/>
  <c r="CE40" i="24" s="1"/>
  <c r="AO40" i="24"/>
  <c r="CF40" i="24" s="1"/>
  <c r="AP40" i="24"/>
  <c r="AQ40" i="24"/>
  <c r="H41" i="57" s="1"/>
  <c r="AR40" i="24"/>
  <c r="AS40" i="24"/>
  <c r="AT40" i="24"/>
  <c r="AU40" i="24"/>
  <c r="AV40" i="24"/>
  <c r="AW40" i="24"/>
  <c r="CN40" i="24" s="1"/>
  <c r="AX40" i="24"/>
  <c r="CO40" i="24" s="1"/>
  <c r="AY40" i="24"/>
  <c r="CP40" i="24" s="1"/>
  <c r="AJ41" i="24"/>
  <c r="CA41" i="24" s="1"/>
  <c r="AK41" i="24"/>
  <c r="CB41" i="24" s="1"/>
  <c r="AL41" i="24"/>
  <c r="CC41" i="24" s="1"/>
  <c r="AM41" i="24"/>
  <c r="CD41" i="24" s="1"/>
  <c r="AN41" i="24"/>
  <c r="CE41" i="24" s="1"/>
  <c r="AO41" i="24"/>
  <c r="CF41" i="24" s="1"/>
  <c r="AP41" i="24"/>
  <c r="AQ41" i="24"/>
  <c r="H42" i="57" s="1"/>
  <c r="AR41" i="24"/>
  <c r="AS41" i="24"/>
  <c r="AT41" i="24"/>
  <c r="AU41" i="24"/>
  <c r="AV41" i="24"/>
  <c r="AW41" i="24"/>
  <c r="CN41" i="24" s="1"/>
  <c r="AX41" i="24"/>
  <c r="CO41" i="24" s="1"/>
  <c r="AY41" i="24"/>
  <c r="CP41" i="24" s="1"/>
  <c r="AJ42" i="24"/>
  <c r="CA42" i="24" s="1"/>
  <c r="AK42" i="24"/>
  <c r="CB42" i="24" s="1"/>
  <c r="AL42" i="24"/>
  <c r="CC42" i="24" s="1"/>
  <c r="AM42" i="24"/>
  <c r="CD42" i="24" s="1"/>
  <c r="AN42" i="24"/>
  <c r="CE42" i="24" s="1"/>
  <c r="AO42" i="24"/>
  <c r="CF42" i="24" s="1"/>
  <c r="AP42" i="24"/>
  <c r="AQ42" i="24"/>
  <c r="H43" i="57" s="1"/>
  <c r="AR42" i="24"/>
  <c r="AS42" i="24"/>
  <c r="AT42" i="24"/>
  <c r="AU42" i="24"/>
  <c r="AV42" i="24"/>
  <c r="AW42" i="24"/>
  <c r="CN42" i="24" s="1"/>
  <c r="AX42" i="24"/>
  <c r="CO42" i="24" s="1"/>
  <c r="AY42" i="24"/>
  <c r="CP42" i="24" s="1"/>
  <c r="AJ43" i="24"/>
  <c r="CA43" i="24" s="1"/>
  <c r="AK43" i="24"/>
  <c r="CB43" i="24" s="1"/>
  <c r="AL43" i="24"/>
  <c r="CC43" i="24" s="1"/>
  <c r="AM43" i="24"/>
  <c r="CD43" i="24" s="1"/>
  <c r="AN43" i="24"/>
  <c r="CE43" i="24" s="1"/>
  <c r="AO43" i="24"/>
  <c r="CF43" i="24" s="1"/>
  <c r="AP43" i="24"/>
  <c r="AQ43" i="24"/>
  <c r="H44" i="57" s="1"/>
  <c r="AR43" i="24"/>
  <c r="AS43" i="24"/>
  <c r="AT43" i="24"/>
  <c r="AU43" i="24"/>
  <c r="AV43" i="24"/>
  <c r="AW43" i="24"/>
  <c r="CN43" i="24" s="1"/>
  <c r="AX43" i="24"/>
  <c r="CO43" i="24" s="1"/>
  <c r="AY43" i="24"/>
  <c r="CP43" i="24" s="1"/>
  <c r="AJ44" i="24"/>
  <c r="CA44" i="24" s="1"/>
  <c r="AK44" i="24"/>
  <c r="CB44" i="24" s="1"/>
  <c r="AL44" i="24"/>
  <c r="CC44" i="24" s="1"/>
  <c r="AM44" i="24"/>
  <c r="CD44" i="24" s="1"/>
  <c r="AN44" i="24"/>
  <c r="CE44" i="24" s="1"/>
  <c r="AO44" i="24"/>
  <c r="CF44" i="24" s="1"/>
  <c r="AP44" i="24"/>
  <c r="AQ44" i="24"/>
  <c r="H45" i="57" s="1"/>
  <c r="AR44" i="24"/>
  <c r="AS44" i="24"/>
  <c r="AT44" i="24"/>
  <c r="AU44" i="24"/>
  <c r="AV44" i="24"/>
  <c r="AW44" i="24"/>
  <c r="CN44" i="24" s="1"/>
  <c r="AX44" i="24"/>
  <c r="CO44" i="24" s="1"/>
  <c r="AY44" i="24"/>
  <c r="CP44" i="24" s="1"/>
  <c r="AJ45" i="24"/>
  <c r="CA45" i="24" s="1"/>
  <c r="AK45" i="24"/>
  <c r="CB45" i="24" s="1"/>
  <c r="AL45" i="24"/>
  <c r="CC45" i="24" s="1"/>
  <c r="AM45" i="24"/>
  <c r="CD45" i="24" s="1"/>
  <c r="AN45" i="24"/>
  <c r="CE45" i="24" s="1"/>
  <c r="AO45" i="24"/>
  <c r="CF45" i="24" s="1"/>
  <c r="AP45" i="24"/>
  <c r="AQ45" i="24"/>
  <c r="H46" i="57" s="1"/>
  <c r="AR45" i="24"/>
  <c r="AS45" i="24"/>
  <c r="AT45" i="24"/>
  <c r="AU45" i="24"/>
  <c r="AV45" i="24"/>
  <c r="AW45" i="24"/>
  <c r="CN45" i="24" s="1"/>
  <c r="AX45" i="24"/>
  <c r="CO45" i="24" s="1"/>
  <c r="AY45" i="24"/>
  <c r="CP45" i="24" s="1"/>
  <c r="AJ46" i="24"/>
  <c r="CA46" i="24" s="1"/>
  <c r="AK46" i="24"/>
  <c r="CB46" i="24" s="1"/>
  <c r="AL46" i="24"/>
  <c r="CC46" i="24" s="1"/>
  <c r="AM46" i="24"/>
  <c r="CD46" i="24" s="1"/>
  <c r="AN46" i="24"/>
  <c r="CE46" i="24" s="1"/>
  <c r="AO46" i="24"/>
  <c r="CF46" i="24" s="1"/>
  <c r="AP46" i="24"/>
  <c r="AQ46" i="24"/>
  <c r="H47" i="57" s="1"/>
  <c r="AR46" i="24"/>
  <c r="AS46" i="24"/>
  <c r="AT46" i="24"/>
  <c r="AU46" i="24"/>
  <c r="AV46" i="24"/>
  <c r="AW46" i="24"/>
  <c r="CN46" i="24" s="1"/>
  <c r="AX46" i="24"/>
  <c r="CO46" i="24" s="1"/>
  <c r="AY46" i="24"/>
  <c r="CP46" i="24" s="1"/>
  <c r="AJ47" i="24"/>
  <c r="CA47" i="24" s="1"/>
  <c r="AK47" i="24"/>
  <c r="CB47" i="24" s="1"/>
  <c r="AL47" i="24"/>
  <c r="CC47" i="24" s="1"/>
  <c r="AM47" i="24"/>
  <c r="CD47" i="24" s="1"/>
  <c r="AN47" i="24"/>
  <c r="CE47" i="24" s="1"/>
  <c r="AO47" i="24"/>
  <c r="CF47" i="24" s="1"/>
  <c r="AP47" i="24"/>
  <c r="AQ47" i="24"/>
  <c r="H48" i="57" s="1"/>
  <c r="AR47" i="24"/>
  <c r="AS47" i="24"/>
  <c r="AT47" i="24"/>
  <c r="AU47" i="24"/>
  <c r="AV47" i="24"/>
  <c r="AW47" i="24"/>
  <c r="CN47" i="24" s="1"/>
  <c r="AX47" i="24"/>
  <c r="CO47" i="24" s="1"/>
  <c r="AY47" i="24"/>
  <c r="CP47" i="24" s="1"/>
  <c r="AJ48" i="24"/>
  <c r="CA48" i="24" s="1"/>
  <c r="AK48" i="24"/>
  <c r="CB48" i="24" s="1"/>
  <c r="AL48" i="24"/>
  <c r="CC48" i="24" s="1"/>
  <c r="AM48" i="24"/>
  <c r="CD48" i="24" s="1"/>
  <c r="AN48" i="24"/>
  <c r="CE48" i="24" s="1"/>
  <c r="AO48" i="24"/>
  <c r="CF48" i="24" s="1"/>
  <c r="AP48" i="24"/>
  <c r="AQ48" i="24"/>
  <c r="H49" i="57" s="1"/>
  <c r="AR48" i="24"/>
  <c r="AS48" i="24"/>
  <c r="AT48" i="24"/>
  <c r="AU48" i="24"/>
  <c r="AV48" i="24"/>
  <c r="AW48" i="24"/>
  <c r="CN48" i="24" s="1"/>
  <c r="AX48" i="24"/>
  <c r="CO48" i="24" s="1"/>
  <c r="AY48" i="24"/>
  <c r="CP48" i="24" s="1"/>
  <c r="AJ49" i="24"/>
  <c r="CA49" i="24" s="1"/>
  <c r="AK49" i="24"/>
  <c r="CB49" i="24" s="1"/>
  <c r="AL49" i="24"/>
  <c r="CC49" i="24" s="1"/>
  <c r="AM49" i="24"/>
  <c r="CD49" i="24" s="1"/>
  <c r="AN49" i="24"/>
  <c r="CE49" i="24" s="1"/>
  <c r="AO49" i="24"/>
  <c r="CF49" i="24" s="1"/>
  <c r="AP49" i="24"/>
  <c r="AQ49" i="24"/>
  <c r="H50" i="57" s="1"/>
  <c r="AR49" i="24"/>
  <c r="AS49" i="24"/>
  <c r="AT49" i="24"/>
  <c r="AU49" i="24"/>
  <c r="AV49" i="24"/>
  <c r="AW49" i="24"/>
  <c r="CN49" i="24" s="1"/>
  <c r="AX49" i="24"/>
  <c r="CO49" i="24" s="1"/>
  <c r="AY49" i="24"/>
  <c r="CP49" i="24" s="1"/>
  <c r="AJ50" i="24"/>
  <c r="CA50" i="24" s="1"/>
  <c r="AK50" i="24"/>
  <c r="CB50" i="24" s="1"/>
  <c r="AL50" i="24"/>
  <c r="CC50" i="24" s="1"/>
  <c r="AM50" i="24"/>
  <c r="CD50" i="24" s="1"/>
  <c r="AN50" i="24"/>
  <c r="CE50" i="24" s="1"/>
  <c r="AO50" i="24"/>
  <c r="CF50" i="24" s="1"/>
  <c r="AP50" i="24"/>
  <c r="AQ50" i="24"/>
  <c r="H51" i="57" s="1"/>
  <c r="AR50" i="24"/>
  <c r="AS50" i="24"/>
  <c r="AT50" i="24"/>
  <c r="AU50" i="24"/>
  <c r="AV50" i="24"/>
  <c r="AW50" i="24"/>
  <c r="CN50" i="24" s="1"/>
  <c r="AX50" i="24"/>
  <c r="CO50" i="24" s="1"/>
  <c r="AY50" i="24"/>
  <c r="CP50" i="24" s="1"/>
  <c r="AJ51" i="24"/>
  <c r="CA51" i="24" s="1"/>
  <c r="AK51" i="24"/>
  <c r="CB51" i="24" s="1"/>
  <c r="AL51" i="24"/>
  <c r="CC51" i="24" s="1"/>
  <c r="AM51" i="24"/>
  <c r="CD51" i="24" s="1"/>
  <c r="AN51" i="24"/>
  <c r="CE51" i="24" s="1"/>
  <c r="AO51" i="24"/>
  <c r="CF51" i="24" s="1"/>
  <c r="AP51" i="24"/>
  <c r="AQ51" i="24"/>
  <c r="H52" i="57" s="1"/>
  <c r="AR51" i="24"/>
  <c r="AS51" i="24"/>
  <c r="AT51" i="24"/>
  <c r="AU51" i="24"/>
  <c r="AV51" i="24"/>
  <c r="AW51" i="24"/>
  <c r="CN51" i="24" s="1"/>
  <c r="AX51" i="24"/>
  <c r="CO51" i="24" s="1"/>
  <c r="AY51" i="24"/>
  <c r="CP51" i="24" s="1"/>
  <c r="AJ52" i="24"/>
  <c r="CA52" i="24" s="1"/>
  <c r="AK52" i="24"/>
  <c r="CB52" i="24" s="1"/>
  <c r="AL52" i="24"/>
  <c r="CC52" i="24" s="1"/>
  <c r="AM52" i="24"/>
  <c r="CD52" i="24" s="1"/>
  <c r="AN52" i="24"/>
  <c r="CE52" i="24" s="1"/>
  <c r="AO52" i="24"/>
  <c r="CF52" i="24" s="1"/>
  <c r="AP52" i="24"/>
  <c r="AQ52" i="24"/>
  <c r="H53" i="57" s="1"/>
  <c r="AR52" i="24"/>
  <c r="AS52" i="24"/>
  <c r="AT52" i="24"/>
  <c r="AU52" i="24"/>
  <c r="AV52" i="24"/>
  <c r="AW52" i="24"/>
  <c r="CN52" i="24" s="1"/>
  <c r="AX52" i="24"/>
  <c r="CO52" i="24" s="1"/>
  <c r="AY52" i="24"/>
  <c r="CP52" i="24" s="1"/>
  <c r="AJ53" i="24"/>
  <c r="CA53" i="24" s="1"/>
  <c r="AK53" i="24"/>
  <c r="CB53" i="24" s="1"/>
  <c r="AL53" i="24"/>
  <c r="CC53" i="24" s="1"/>
  <c r="AM53" i="24"/>
  <c r="CD53" i="24" s="1"/>
  <c r="AN53" i="24"/>
  <c r="CE53" i="24" s="1"/>
  <c r="AO53" i="24"/>
  <c r="CF53" i="24" s="1"/>
  <c r="AP53" i="24"/>
  <c r="AQ53" i="24"/>
  <c r="H54" i="57" s="1"/>
  <c r="AR53" i="24"/>
  <c r="AS53" i="24"/>
  <c r="AT53" i="24"/>
  <c r="AU53" i="24"/>
  <c r="AV53" i="24"/>
  <c r="AW53" i="24"/>
  <c r="CN53" i="24" s="1"/>
  <c r="AX53" i="24"/>
  <c r="CO53" i="24" s="1"/>
  <c r="AY53" i="24"/>
  <c r="CP53" i="24" s="1"/>
  <c r="AJ54" i="24"/>
  <c r="CA54" i="24" s="1"/>
  <c r="AK54" i="24"/>
  <c r="CB54" i="24" s="1"/>
  <c r="AL54" i="24"/>
  <c r="CC54" i="24" s="1"/>
  <c r="AM54" i="24"/>
  <c r="CD54" i="24" s="1"/>
  <c r="AN54" i="24"/>
  <c r="CE54" i="24" s="1"/>
  <c r="AO54" i="24"/>
  <c r="CF54" i="24" s="1"/>
  <c r="AP54" i="24"/>
  <c r="AQ54" i="24"/>
  <c r="H55" i="57" s="1"/>
  <c r="AR54" i="24"/>
  <c r="AS54" i="24"/>
  <c r="AT54" i="24"/>
  <c r="AU54" i="24"/>
  <c r="AV54" i="24"/>
  <c r="AW54" i="24"/>
  <c r="CN54" i="24" s="1"/>
  <c r="AX54" i="24"/>
  <c r="CO54" i="24" s="1"/>
  <c r="AY54" i="24"/>
  <c r="CP54" i="24" s="1"/>
  <c r="AJ55" i="24"/>
  <c r="CA55" i="24" s="1"/>
  <c r="AK55" i="24"/>
  <c r="CB55" i="24" s="1"/>
  <c r="AL55" i="24"/>
  <c r="CC55" i="24" s="1"/>
  <c r="AM55" i="24"/>
  <c r="CD55" i="24" s="1"/>
  <c r="AN55" i="24"/>
  <c r="CE55" i="24" s="1"/>
  <c r="AO55" i="24"/>
  <c r="CF55" i="24" s="1"/>
  <c r="AP55" i="24"/>
  <c r="AQ55" i="24"/>
  <c r="H56" i="57" s="1"/>
  <c r="AR55" i="24"/>
  <c r="AS55" i="24"/>
  <c r="AT55" i="24"/>
  <c r="AU55" i="24"/>
  <c r="AV55" i="24"/>
  <c r="AW55" i="24"/>
  <c r="CN55" i="24" s="1"/>
  <c r="AX55" i="24"/>
  <c r="CO55" i="24" s="1"/>
  <c r="AY55" i="24"/>
  <c r="CP55" i="24" s="1"/>
  <c r="AJ56" i="24"/>
  <c r="CA56" i="24" s="1"/>
  <c r="AK56" i="24"/>
  <c r="CB56" i="24" s="1"/>
  <c r="AL56" i="24"/>
  <c r="CC56" i="24" s="1"/>
  <c r="AM56" i="24"/>
  <c r="CD56" i="24" s="1"/>
  <c r="AN56" i="24"/>
  <c r="CE56" i="24" s="1"/>
  <c r="AO56" i="24"/>
  <c r="CF56" i="24" s="1"/>
  <c r="AP56" i="24"/>
  <c r="AQ56" i="24"/>
  <c r="H57" i="57" s="1"/>
  <c r="AR56" i="24"/>
  <c r="AS56" i="24"/>
  <c r="AT56" i="24"/>
  <c r="AU56" i="24"/>
  <c r="AV56" i="24"/>
  <c r="AW56" i="24"/>
  <c r="CN56" i="24" s="1"/>
  <c r="AX56" i="24"/>
  <c r="CO56" i="24" s="1"/>
  <c r="AY56" i="24"/>
  <c r="CP56" i="24" s="1"/>
  <c r="AJ57" i="24"/>
  <c r="CA57" i="24" s="1"/>
  <c r="AK57" i="24"/>
  <c r="CB57" i="24" s="1"/>
  <c r="AL57" i="24"/>
  <c r="CC57" i="24" s="1"/>
  <c r="AM57" i="24"/>
  <c r="CD57" i="24" s="1"/>
  <c r="AN57" i="24"/>
  <c r="CE57" i="24" s="1"/>
  <c r="AO57" i="24"/>
  <c r="CF57" i="24" s="1"/>
  <c r="AP57" i="24"/>
  <c r="AQ57" i="24"/>
  <c r="H58" i="57" s="1"/>
  <c r="AR57" i="24"/>
  <c r="AS57" i="24"/>
  <c r="AT57" i="24"/>
  <c r="AU57" i="24"/>
  <c r="AV57" i="24"/>
  <c r="AW57" i="24"/>
  <c r="CN57" i="24" s="1"/>
  <c r="AX57" i="24"/>
  <c r="CO57" i="24" s="1"/>
  <c r="AY57" i="24"/>
  <c r="CP57" i="24" s="1"/>
  <c r="AJ58" i="24"/>
  <c r="CA58" i="24" s="1"/>
  <c r="AK58" i="24"/>
  <c r="CB58" i="24" s="1"/>
  <c r="AL58" i="24"/>
  <c r="CC58" i="24" s="1"/>
  <c r="AM58" i="24"/>
  <c r="CD58" i="24" s="1"/>
  <c r="AN58" i="24"/>
  <c r="CE58" i="24" s="1"/>
  <c r="AO58" i="24"/>
  <c r="CF58" i="24" s="1"/>
  <c r="AP58" i="24"/>
  <c r="AQ58" i="24"/>
  <c r="H59" i="57" s="1"/>
  <c r="AR58" i="24"/>
  <c r="AS58" i="24"/>
  <c r="AT58" i="24"/>
  <c r="AU58" i="24"/>
  <c r="AV58" i="24"/>
  <c r="AW58" i="24"/>
  <c r="CN58" i="24" s="1"/>
  <c r="AX58" i="24"/>
  <c r="CO58" i="24" s="1"/>
  <c r="AY58" i="24"/>
  <c r="CP58" i="24" s="1"/>
  <c r="AJ59" i="24"/>
  <c r="CA59" i="24" s="1"/>
  <c r="AK59" i="24"/>
  <c r="CB59" i="24" s="1"/>
  <c r="AL59" i="24"/>
  <c r="CC59" i="24" s="1"/>
  <c r="AM59" i="24"/>
  <c r="CD59" i="24" s="1"/>
  <c r="AN59" i="24"/>
  <c r="CE59" i="24" s="1"/>
  <c r="AO59" i="24"/>
  <c r="CF59" i="24" s="1"/>
  <c r="AP59" i="24"/>
  <c r="AQ59" i="24"/>
  <c r="H60" i="57" s="1"/>
  <c r="AR59" i="24"/>
  <c r="AS59" i="24"/>
  <c r="AT59" i="24"/>
  <c r="AU59" i="24"/>
  <c r="AV59" i="24"/>
  <c r="AW59" i="24"/>
  <c r="CN59" i="24" s="1"/>
  <c r="AX59" i="24"/>
  <c r="CO59" i="24" s="1"/>
  <c r="AY59" i="24"/>
  <c r="CP59" i="24" s="1"/>
  <c r="AJ60" i="24"/>
  <c r="CA60" i="24" s="1"/>
  <c r="AK60" i="24"/>
  <c r="CB60" i="24" s="1"/>
  <c r="AL60" i="24"/>
  <c r="CC60" i="24" s="1"/>
  <c r="AM60" i="24"/>
  <c r="CD60" i="24" s="1"/>
  <c r="AN60" i="24"/>
  <c r="CE60" i="24" s="1"/>
  <c r="AO60" i="24"/>
  <c r="CF60" i="24" s="1"/>
  <c r="AP60" i="24"/>
  <c r="AQ60" i="24"/>
  <c r="H61" i="57" s="1"/>
  <c r="AR60" i="24"/>
  <c r="AS60" i="24"/>
  <c r="AT60" i="24"/>
  <c r="AU60" i="24"/>
  <c r="AV60" i="24"/>
  <c r="AW60" i="24"/>
  <c r="CN60" i="24" s="1"/>
  <c r="AX60" i="24"/>
  <c r="CO60" i="24" s="1"/>
  <c r="AY60" i="24"/>
  <c r="CP60" i="24" s="1"/>
  <c r="AJ61" i="24"/>
  <c r="CA61" i="24" s="1"/>
  <c r="AK61" i="24"/>
  <c r="CB61" i="24" s="1"/>
  <c r="AL61" i="24"/>
  <c r="CC61" i="24" s="1"/>
  <c r="AM61" i="24"/>
  <c r="CD61" i="24" s="1"/>
  <c r="AN61" i="24"/>
  <c r="CE61" i="24" s="1"/>
  <c r="AO61" i="24"/>
  <c r="CF61" i="24" s="1"/>
  <c r="AP61" i="24"/>
  <c r="AQ61" i="24"/>
  <c r="H62" i="57" s="1"/>
  <c r="AR61" i="24"/>
  <c r="AS61" i="24"/>
  <c r="AT61" i="24"/>
  <c r="AU61" i="24"/>
  <c r="AV61" i="24"/>
  <c r="AW61" i="24"/>
  <c r="CN61" i="24" s="1"/>
  <c r="AX61" i="24"/>
  <c r="CO61" i="24" s="1"/>
  <c r="AY61" i="24"/>
  <c r="CP61" i="24" s="1"/>
  <c r="AJ62" i="24"/>
  <c r="CA62" i="24" s="1"/>
  <c r="AK62" i="24"/>
  <c r="CB62" i="24" s="1"/>
  <c r="AL62" i="24"/>
  <c r="CC62" i="24" s="1"/>
  <c r="AM62" i="24"/>
  <c r="CD62" i="24" s="1"/>
  <c r="AN62" i="24"/>
  <c r="CE62" i="24" s="1"/>
  <c r="AO62" i="24"/>
  <c r="CF62" i="24" s="1"/>
  <c r="AP62" i="24"/>
  <c r="AQ62" i="24"/>
  <c r="H63" i="57" s="1"/>
  <c r="AR62" i="24"/>
  <c r="AS62" i="24"/>
  <c r="AT62" i="24"/>
  <c r="AU62" i="24"/>
  <c r="AV62" i="24"/>
  <c r="AW62" i="24"/>
  <c r="CN62" i="24" s="1"/>
  <c r="AX62" i="24"/>
  <c r="CO62" i="24" s="1"/>
  <c r="AY62" i="24"/>
  <c r="CP62" i="24" s="1"/>
  <c r="AJ63" i="24"/>
  <c r="CA63" i="24" s="1"/>
  <c r="AK63" i="24"/>
  <c r="CB63" i="24" s="1"/>
  <c r="AL63" i="24"/>
  <c r="CC63" i="24" s="1"/>
  <c r="AM63" i="24"/>
  <c r="CD63" i="24" s="1"/>
  <c r="AN63" i="24"/>
  <c r="CE63" i="24" s="1"/>
  <c r="AO63" i="24"/>
  <c r="CF63" i="24" s="1"/>
  <c r="AP63" i="24"/>
  <c r="AQ63" i="24"/>
  <c r="H64" i="57" s="1"/>
  <c r="AR63" i="24"/>
  <c r="AS63" i="24"/>
  <c r="AT63" i="24"/>
  <c r="AU63" i="24"/>
  <c r="AV63" i="24"/>
  <c r="AW63" i="24"/>
  <c r="CN63" i="24" s="1"/>
  <c r="AX63" i="24"/>
  <c r="CO63" i="24" s="1"/>
  <c r="AY63" i="24"/>
  <c r="CP63" i="24" s="1"/>
  <c r="AJ64" i="24"/>
  <c r="CA64" i="24" s="1"/>
  <c r="AK64" i="24"/>
  <c r="CB64" i="24" s="1"/>
  <c r="AL64" i="24"/>
  <c r="CC64" i="24" s="1"/>
  <c r="AM64" i="24"/>
  <c r="CD64" i="24" s="1"/>
  <c r="AN64" i="24"/>
  <c r="CE64" i="24" s="1"/>
  <c r="AO64" i="24"/>
  <c r="CF64" i="24" s="1"/>
  <c r="AP64" i="24"/>
  <c r="AQ64" i="24"/>
  <c r="H65" i="57" s="1"/>
  <c r="AR64" i="24"/>
  <c r="AS64" i="24"/>
  <c r="AT64" i="24"/>
  <c r="AU64" i="24"/>
  <c r="AV64" i="24"/>
  <c r="AW64" i="24"/>
  <c r="CN64" i="24" s="1"/>
  <c r="AX64" i="24"/>
  <c r="CO64" i="24" s="1"/>
  <c r="AY64" i="24"/>
  <c r="CP64" i="24" s="1"/>
  <c r="AJ65" i="24"/>
  <c r="CA65" i="24" s="1"/>
  <c r="AK65" i="24"/>
  <c r="CB65" i="24" s="1"/>
  <c r="AL65" i="24"/>
  <c r="CC65" i="24" s="1"/>
  <c r="AM65" i="24"/>
  <c r="CD65" i="24" s="1"/>
  <c r="AN65" i="24"/>
  <c r="CE65" i="24" s="1"/>
  <c r="AO65" i="24"/>
  <c r="CF65" i="24" s="1"/>
  <c r="AP65" i="24"/>
  <c r="AQ65" i="24"/>
  <c r="H66" i="57" s="1"/>
  <c r="AR65" i="24"/>
  <c r="AS65" i="24"/>
  <c r="AT65" i="24"/>
  <c r="AU65" i="24"/>
  <c r="AV65" i="24"/>
  <c r="AW65" i="24"/>
  <c r="CN65" i="24" s="1"/>
  <c r="AX65" i="24"/>
  <c r="CO65" i="24" s="1"/>
  <c r="AY65" i="24"/>
  <c r="CP65" i="24" s="1"/>
  <c r="AJ66" i="24"/>
  <c r="CA66" i="24" s="1"/>
  <c r="AK66" i="24"/>
  <c r="CB66" i="24" s="1"/>
  <c r="AL66" i="24"/>
  <c r="CC66" i="24" s="1"/>
  <c r="AM66" i="24"/>
  <c r="CD66" i="24" s="1"/>
  <c r="AN66" i="24"/>
  <c r="CE66" i="24" s="1"/>
  <c r="AO66" i="24"/>
  <c r="CF66" i="24" s="1"/>
  <c r="AP66" i="24"/>
  <c r="AQ66" i="24"/>
  <c r="H67" i="57" s="1"/>
  <c r="AR66" i="24"/>
  <c r="AS66" i="24"/>
  <c r="AT66" i="24"/>
  <c r="AU66" i="24"/>
  <c r="AV66" i="24"/>
  <c r="AW66" i="24"/>
  <c r="CN66" i="24" s="1"/>
  <c r="AX66" i="24"/>
  <c r="CO66" i="24" s="1"/>
  <c r="AY66" i="24"/>
  <c r="CP66" i="24" s="1"/>
  <c r="AJ67" i="24"/>
  <c r="CA67" i="24" s="1"/>
  <c r="AK67" i="24"/>
  <c r="CB67" i="24" s="1"/>
  <c r="AL67" i="24"/>
  <c r="CC67" i="24" s="1"/>
  <c r="AM67" i="24"/>
  <c r="CD67" i="24" s="1"/>
  <c r="AN67" i="24"/>
  <c r="CE67" i="24" s="1"/>
  <c r="AO67" i="24"/>
  <c r="CF67" i="24" s="1"/>
  <c r="AP67" i="24"/>
  <c r="AQ67" i="24"/>
  <c r="H68" i="57" s="1"/>
  <c r="AR67" i="24"/>
  <c r="AS67" i="24"/>
  <c r="AT67" i="24"/>
  <c r="AU67" i="24"/>
  <c r="AV67" i="24"/>
  <c r="AW67" i="24"/>
  <c r="CN67" i="24" s="1"/>
  <c r="AX67" i="24"/>
  <c r="CO67" i="24" s="1"/>
  <c r="AY67" i="24"/>
  <c r="CP67" i="24" s="1"/>
  <c r="AJ68" i="24"/>
  <c r="CA68" i="24" s="1"/>
  <c r="AK68" i="24"/>
  <c r="CB68" i="24" s="1"/>
  <c r="AL68" i="24"/>
  <c r="CC68" i="24" s="1"/>
  <c r="AM68" i="24"/>
  <c r="CD68" i="24" s="1"/>
  <c r="AN68" i="24"/>
  <c r="CE68" i="24" s="1"/>
  <c r="AO68" i="24"/>
  <c r="CF68" i="24" s="1"/>
  <c r="AP68" i="24"/>
  <c r="AQ68" i="24"/>
  <c r="H69" i="57" s="1"/>
  <c r="AR68" i="24"/>
  <c r="AS68" i="24"/>
  <c r="AT68" i="24"/>
  <c r="AU68" i="24"/>
  <c r="AV68" i="24"/>
  <c r="AW68" i="24"/>
  <c r="CN68" i="24" s="1"/>
  <c r="AX68" i="24"/>
  <c r="CO68" i="24" s="1"/>
  <c r="AY68" i="24"/>
  <c r="CP68" i="24" s="1"/>
  <c r="AJ69" i="24"/>
  <c r="CA69" i="24" s="1"/>
  <c r="AK69" i="24"/>
  <c r="CB69" i="24" s="1"/>
  <c r="AL69" i="24"/>
  <c r="CC69" i="24" s="1"/>
  <c r="AM69" i="24"/>
  <c r="CD69" i="24" s="1"/>
  <c r="AN69" i="24"/>
  <c r="CE69" i="24" s="1"/>
  <c r="AO69" i="24"/>
  <c r="CF69" i="24" s="1"/>
  <c r="AP69" i="24"/>
  <c r="AQ69" i="24"/>
  <c r="H70" i="57" s="1"/>
  <c r="AR69" i="24"/>
  <c r="AS69" i="24"/>
  <c r="AT69" i="24"/>
  <c r="AU69" i="24"/>
  <c r="AV69" i="24"/>
  <c r="AW69" i="24"/>
  <c r="CN69" i="24" s="1"/>
  <c r="AX69" i="24"/>
  <c r="CO69" i="24" s="1"/>
  <c r="AY69" i="24"/>
  <c r="CP69" i="24" s="1"/>
  <c r="AJ70" i="24"/>
  <c r="CA70" i="24" s="1"/>
  <c r="AK70" i="24"/>
  <c r="CB70" i="24" s="1"/>
  <c r="AL70" i="24"/>
  <c r="CC70" i="24" s="1"/>
  <c r="AM70" i="24"/>
  <c r="CD70" i="24" s="1"/>
  <c r="AN70" i="24"/>
  <c r="CE70" i="24" s="1"/>
  <c r="AO70" i="24"/>
  <c r="CF70" i="24" s="1"/>
  <c r="AP70" i="24"/>
  <c r="AQ70" i="24"/>
  <c r="H71" i="57" s="1"/>
  <c r="AR70" i="24"/>
  <c r="AS70" i="24"/>
  <c r="AT70" i="24"/>
  <c r="AU70" i="24"/>
  <c r="AV70" i="24"/>
  <c r="AW70" i="24"/>
  <c r="CN70" i="24" s="1"/>
  <c r="AX70" i="24"/>
  <c r="CO70" i="24" s="1"/>
  <c r="AY70" i="24"/>
  <c r="CP70" i="24" s="1"/>
  <c r="AJ71" i="24"/>
  <c r="CA71" i="24" s="1"/>
  <c r="AK71" i="24"/>
  <c r="CB71" i="24" s="1"/>
  <c r="AL71" i="24"/>
  <c r="CC71" i="24" s="1"/>
  <c r="AM71" i="24"/>
  <c r="CD71" i="24" s="1"/>
  <c r="AN71" i="24"/>
  <c r="CE71" i="24" s="1"/>
  <c r="AO71" i="24"/>
  <c r="CF71" i="24" s="1"/>
  <c r="AP71" i="24"/>
  <c r="AQ71" i="24"/>
  <c r="H72" i="57" s="1"/>
  <c r="AR71" i="24"/>
  <c r="AS71" i="24"/>
  <c r="AT71" i="24"/>
  <c r="AU71" i="24"/>
  <c r="AV71" i="24"/>
  <c r="AW71" i="24"/>
  <c r="CN71" i="24" s="1"/>
  <c r="AX71" i="24"/>
  <c r="CO71" i="24" s="1"/>
  <c r="AY71" i="24"/>
  <c r="CP71" i="24" s="1"/>
  <c r="AJ72" i="24"/>
  <c r="CA72" i="24" s="1"/>
  <c r="AK72" i="24"/>
  <c r="CB72" i="24" s="1"/>
  <c r="AL72" i="24"/>
  <c r="CC72" i="24" s="1"/>
  <c r="AM72" i="24"/>
  <c r="CD72" i="24" s="1"/>
  <c r="AN72" i="24"/>
  <c r="CE72" i="24" s="1"/>
  <c r="AO72" i="24"/>
  <c r="CF72" i="24" s="1"/>
  <c r="AP72" i="24"/>
  <c r="AQ72" i="24"/>
  <c r="H73" i="57" s="1"/>
  <c r="AR72" i="24"/>
  <c r="AS72" i="24"/>
  <c r="AT72" i="24"/>
  <c r="AU72" i="24"/>
  <c r="AV72" i="24"/>
  <c r="AW72" i="24"/>
  <c r="CN72" i="24" s="1"/>
  <c r="AX72" i="24"/>
  <c r="CO72" i="24" s="1"/>
  <c r="AY72" i="24"/>
  <c r="CP72" i="24" s="1"/>
  <c r="AJ73" i="24"/>
  <c r="CA73" i="24" s="1"/>
  <c r="AK73" i="24"/>
  <c r="CB73" i="24" s="1"/>
  <c r="AL73" i="24"/>
  <c r="CC73" i="24" s="1"/>
  <c r="AM73" i="24"/>
  <c r="CD73" i="24" s="1"/>
  <c r="AN73" i="24"/>
  <c r="CE73" i="24" s="1"/>
  <c r="AO73" i="24"/>
  <c r="CF73" i="24" s="1"/>
  <c r="AP73" i="24"/>
  <c r="AQ73" i="24"/>
  <c r="H74" i="57" s="1"/>
  <c r="AR73" i="24"/>
  <c r="AS73" i="24"/>
  <c r="AT73" i="24"/>
  <c r="AU73" i="24"/>
  <c r="AV73" i="24"/>
  <c r="AW73" i="24"/>
  <c r="CN73" i="24" s="1"/>
  <c r="AX73" i="24"/>
  <c r="CO73" i="24" s="1"/>
  <c r="AY73" i="24"/>
  <c r="CP73" i="24" s="1"/>
  <c r="AJ74" i="24"/>
  <c r="CA74" i="24" s="1"/>
  <c r="AK74" i="24"/>
  <c r="CB74" i="24" s="1"/>
  <c r="AL74" i="24"/>
  <c r="CC74" i="24" s="1"/>
  <c r="AM74" i="24"/>
  <c r="CD74" i="24" s="1"/>
  <c r="AN74" i="24"/>
  <c r="CE74" i="24" s="1"/>
  <c r="AO74" i="24"/>
  <c r="CF74" i="24" s="1"/>
  <c r="AP74" i="24"/>
  <c r="AQ74" i="24"/>
  <c r="H75" i="57" s="1"/>
  <c r="AR74" i="24"/>
  <c r="AS74" i="24"/>
  <c r="AT74" i="24"/>
  <c r="AU74" i="24"/>
  <c r="AV74" i="24"/>
  <c r="AW74" i="24"/>
  <c r="CN74" i="24" s="1"/>
  <c r="AX74" i="24"/>
  <c r="CO74" i="24" s="1"/>
  <c r="AY74" i="24"/>
  <c r="CP74" i="24" s="1"/>
  <c r="AJ75" i="24"/>
  <c r="CA75" i="24" s="1"/>
  <c r="AK75" i="24"/>
  <c r="CB75" i="24" s="1"/>
  <c r="AL75" i="24"/>
  <c r="CC75" i="24" s="1"/>
  <c r="AM75" i="24"/>
  <c r="CD75" i="24" s="1"/>
  <c r="AN75" i="24"/>
  <c r="CE75" i="24" s="1"/>
  <c r="AO75" i="24"/>
  <c r="CF75" i="24" s="1"/>
  <c r="AP75" i="24"/>
  <c r="AQ75" i="24"/>
  <c r="H76" i="57" s="1"/>
  <c r="AR75" i="24"/>
  <c r="AS75" i="24"/>
  <c r="AT75" i="24"/>
  <c r="AU75" i="24"/>
  <c r="AV75" i="24"/>
  <c r="AW75" i="24"/>
  <c r="CN75" i="24" s="1"/>
  <c r="AX75" i="24"/>
  <c r="CO75" i="24" s="1"/>
  <c r="AY75" i="24"/>
  <c r="CP75" i="24" s="1"/>
  <c r="AJ76" i="24"/>
  <c r="CA76" i="24" s="1"/>
  <c r="AK76" i="24"/>
  <c r="CB76" i="24" s="1"/>
  <c r="AL76" i="24"/>
  <c r="CC76" i="24" s="1"/>
  <c r="AM76" i="24"/>
  <c r="CD76" i="24" s="1"/>
  <c r="AN76" i="24"/>
  <c r="CE76" i="24" s="1"/>
  <c r="AO76" i="24"/>
  <c r="CF76" i="24" s="1"/>
  <c r="AP76" i="24"/>
  <c r="AQ76" i="24"/>
  <c r="H77" i="57" s="1"/>
  <c r="AR76" i="24"/>
  <c r="AS76" i="24"/>
  <c r="AT76" i="24"/>
  <c r="AU76" i="24"/>
  <c r="AV76" i="24"/>
  <c r="AW76" i="24"/>
  <c r="CN76" i="24" s="1"/>
  <c r="AX76" i="24"/>
  <c r="CO76" i="24" s="1"/>
  <c r="AY76" i="24"/>
  <c r="CP76" i="24" s="1"/>
  <c r="AJ77" i="24"/>
  <c r="CA77" i="24" s="1"/>
  <c r="AK77" i="24"/>
  <c r="CB77" i="24" s="1"/>
  <c r="AL77" i="24"/>
  <c r="CC77" i="24" s="1"/>
  <c r="AM77" i="24"/>
  <c r="CD77" i="24" s="1"/>
  <c r="AN77" i="24"/>
  <c r="CE77" i="24" s="1"/>
  <c r="AO77" i="24"/>
  <c r="CF77" i="24" s="1"/>
  <c r="AP77" i="24"/>
  <c r="AQ77" i="24"/>
  <c r="H78" i="57" s="1"/>
  <c r="AR77" i="24"/>
  <c r="AS77" i="24"/>
  <c r="AT77" i="24"/>
  <c r="AU77" i="24"/>
  <c r="AV77" i="24"/>
  <c r="AW77" i="24"/>
  <c r="CN77" i="24" s="1"/>
  <c r="AX77" i="24"/>
  <c r="CO77" i="24" s="1"/>
  <c r="AY77" i="24"/>
  <c r="CP77" i="24" s="1"/>
  <c r="AJ78" i="24"/>
  <c r="CA78" i="24" s="1"/>
  <c r="AK78" i="24"/>
  <c r="CB78" i="24" s="1"/>
  <c r="AL78" i="24"/>
  <c r="CC78" i="24" s="1"/>
  <c r="AM78" i="24"/>
  <c r="CD78" i="24" s="1"/>
  <c r="AN78" i="24"/>
  <c r="CE78" i="24" s="1"/>
  <c r="AO78" i="24"/>
  <c r="CF78" i="24" s="1"/>
  <c r="AP78" i="24"/>
  <c r="AQ78" i="24"/>
  <c r="H79" i="57" s="1"/>
  <c r="AR78" i="24"/>
  <c r="AS78" i="24"/>
  <c r="AT78" i="24"/>
  <c r="AU78" i="24"/>
  <c r="AV78" i="24"/>
  <c r="AW78" i="24"/>
  <c r="CN78" i="24" s="1"/>
  <c r="AX78" i="24"/>
  <c r="CO78" i="24" s="1"/>
  <c r="AY78" i="24"/>
  <c r="CP78" i="24" s="1"/>
  <c r="AJ79" i="24"/>
  <c r="CA79" i="24" s="1"/>
  <c r="AK79" i="24"/>
  <c r="CB79" i="24" s="1"/>
  <c r="AL79" i="24"/>
  <c r="CC79" i="24" s="1"/>
  <c r="AM79" i="24"/>
  <c r="CD79" i="24" s="1"/>
  <c r="AN79" i="24"/>
  <c r="CE79" i="24" s="1"/>
  <c r="AO79" i="24"/>
  <c r="CF79" i="24" s="1"/>
  <c r="AP79" i="24"/>
  <c r="AQ79" i="24"/>
  <c r="H80" i="57" s="1"/>
  <c r="AR79" i="24"/>
  <c r="AS79" i="24"/>
  <c r="AT79" i="24"/>
  <c r="AU79" i="24"/>
  <c r="AV79" i="24"/>
  <c r="AW79" i="24"/>
  <c r="CN79" i="24" s="1"/>
  <c r="AX79" i="24"/>
  <c r="CO79" i="24" s="1"/>
  <c r="AY79" i="24"/>
  <c r="CP79" i="24" s="1"/>
  <c r="AJ80" i="24"/>
  <c r="CA80" i="24" s="1"/>
  <c r="AK80" i="24"/>
  <c r="CB80" i="24" s="1"/>
  <c r="AL80" i="24"/>
  <c r="CC80" i="24" s="1"/>
  <c r="AM80" i="24"/>
  <c r="CD80" i="24" s="1"/>
  <c r="AN80" i="24"/>
  <c r="CE80" i="24" s="1"/>
  <c r="AO80" i="24"/>
  <c r="CF80" i="24" s="1"/>
  <c r="AP80" i="24"/>
  <c r="AQ80" i="24"/>
  <c r="H81" i="57" s="1"/>
  <c r="AR80" i="24"/>
  <c r="AS80" i="24"/>
  <c r="AT80" i="24"/>
  <c r="AU80" i="24"/>
  <c r="AV80" i="24"/>
  <c r="AW80" i="24"/>
  <c r="CN80" i="24" s="1"/>
  <c r="AX80" i="24"/>
  <c r="CO80" i="24" s="1"/>
  <c r="AY80" i="24"/>
  <c r="CP80" i="24" s="1"/>
  <c r="AJ81" i="24"/>
  <c r="CA81" i="24" s="1"/>
  <c r="AK81" i="24"/>
  <c r="CB81" i="24" s="1"/>
  <c r="AL81" i="24"/>
  <c r="CC81" i="24" s="1"/>
  <c r="AM81" i="24"/>
  <c r="CD81" i="24" s="1"/>
  <c r="AN81" i="24"/>
  <c r="CE81" i="24" s="1"/>
  <c r="AO81" i="24"/>
  <c r="CF81" i="24" s="1"/>
  <c r="AP81" i="24"/>
  <c r="AQ81" i="24"/>
  <c r="H82" i="57" s="1"/>
  <c r="AR81" i="24"/>
  <c r="AS81" i="24"/>
  <c r="AT81" i="24"/>
  <c r="AU81" i="24"/>
  <c r="AV81" i="24"/>
  <c r="AW81" i="24"/>
  <c r="CN81" i="24" s="1"/>
  <c r="AX81" i="24"/>
  <c r="CO81" i="24" s="1"/>
  <c r="AY81" i="24"/>
  <c r="CP81" i="24" s="1"/>
  <c r="AJ82" i="24"/>
  <c r="CA82" i="24" s="1"/>
  <c r="AK82" i="24"/>
  <c r="CB82" i="24" s="1"/>
  <c r="AL82" i="24"/>
  <c r="CC82" i="24" s="1"/>
  <c r="AM82" i="24"/>
  <c r="CD82" i="24" s="1"/>
  <c r="AN82" i="24"/>
  <c r="CE82" i="24" s="1"/>
  <c r="AO82" i="24"/>
  <c r="CF82" i="24" s="1"/>
  <c r="AP82" i="24"/>
  <c r="AQ82" i="24"/>
  <c r="H83" i="57" s="1"/>
  <c r="AR82" i="24"/>
  <c r="AS82" i="24"/>
  <c r="AT82" i="24"/>
  <c r="AU82" i="24"/>
  <c r="AV82" i="24"/>
  <c r="AW82" i="24"/>
  <c r="CN82" i="24" s="1"/>
  <c r="AX82" i="24"/>
  <c r="CO82" i="24" s="1"/>
  <c r="AY82" i="24"/>
  <c r="CP82" i="24" s="1"/>
  <c r="AJ83" i="24"/>
  <c r="CA83" i="24" s="1"/>
  <c r="AK83" i="24"/>
  <c r="CB83" i="24" s="1"/>
  <c r="AL83" i="24"/>
  <c r="CC83" i="24" s="1"/>
  <c r="AM83" i="24"/>
  <c r="CD83" i="24" s="1"/>
  <c r="AN83" i="24"/>
  <c r="CE83" i="24" s="1"/>
  <c r="AO83" i="24"/>
  <c r="CF83" i="24" s="1"/>
  <c r="AP83" i="24"/>
  <c r="AQ83" i="24"/>
  <c r="H84" i="57" s="1"/>
  <c r="AR83" i="24"/>
  <c r="AS83" i="24"/>
  <c r="AT83" i="24"/>
  <c r="AU83" i="24"/>
  <c r="AV83" i="24"/>
  <c r="AW83" i="24"/>
  <c r="CN83" i="24" s="1"/>
  <c r="AX83" i="24"/>
  <c r="CO83" i="24" s="1"/>
  <c r="AY83" i="24"/>
  <c r="CP83" i="24" s="1"/>
  <c r="AJ84" i="24"/>
  <c r="CA84" i="24" s="1"/>
  <c r="AK84" i="24"/>
  <c r="CB84" i="24" s="1"/>
  <c r="AL84" i="24"/>
  <c r="CC84" i="24" s="1"/>
  <c r="AM84" i="24"/>
  <c r="CD84" i="24" s="1"/>
  <c r="AN84" i="24"/>
  <c r="CE84" i="24" s="1"/>
  <c r="AO84" i="24"/>
  <c r="CF84" i="24" s="1"/>
  <c r="AP84" i="24"/>
  <c r="AQ84" i="24"/>
  <c r="H85" i="57" s="1"/>
  <c r="AR84" i="24"/>
  <c r="AS84" i="24"/>
  <c r="AT84" i="24"/>
  <c r="AU84" i="24"/>
  <c r="AV84" i="24"/>
  <c r="AW84" i="24"/>
  <c r="CN84" i="24" s="1"/>
  <c r="AX84" i="24"/>
  <c r="CO84" i="24" s="1"/>
  <c r="AY84" i="24"/>
  <c r="CP84" i="24" s="1"/>
  <c r="AJ85" i="24"/>
  <c r="CA85" i="24" s="1"/>
  <c r="AK85" i="24"/>
  <c r="CB85" i="24" s="1"/>
  <c r="AL85" i="24"/>
  <c r="CC85" i="24" s="1"/>
  <c r="AM85" i="24"/>
  <c r="CD85" i="24" s="1"/>
  <c r="AN85" i="24"/>
  <c r="CE85" i="24" s="1"/>
  <c r="AO85" i="24"/>
  <c r="CF85" i="24" s="1"/>
  <c r="AP85" i="24"/>
  <c r="AQ85" i="24"/>
  <c r="H86" i="57" s="1"/>
  <c r="AR85" i="24"/>
  <c r="AS85" i="24"/>
  <c r="AT85" i="24"/>
  <c r="AU85" i="24"/>
  <c r="AV85" i="24"/>
  <c r="AW85" i="24"/>
  <c r="CN85" i="24" s="1"/>
  <c r="AX85" i="24"/>
  <c r="CO85" i="24" s="1"/>
  <c r="AY85" i="24"/>
  <c r="CP85" i="24" s="1"/>
  <c r="AJ86" i="24"/>
  <c r="CA86" i="24" s="1"/>
  <c r="AK86" i="24"/>
  <c r="CB86" i="24" s="1"/>
  <c r="AL86" i="24"/>
  <c r="CC86" i="24" s="1"/>
  <c r="AM86" i="24"/>
  <c r="CD86" i="24" s="1"/>
  <c r="AN86" i="24"/>
  <c r="CE86" i="24" s="1"/>
  <c r="AO86" i="24"/>
  <c r="CF86" i="24" s="1"/>
  <c r="AP86" i="24"/>
  <c r="AQ86" i="24"/>
  <c r="H87" i="57" s="1"/>
  <c r="AR86" i="24"/>
  <c r="AS86" i="24"/>
  <c r="AT86" i="24"/>
  <c r="AU86" i="24"/>
  <c r="AV86" i="24"/>
  <c r="AW86" i="24"/>
  <c r="CN86" i="24" s="1"/>
  <c r="AX86" i="24"/>
  <c r="CO86" i="24" s="1"/>
  <c r="AY86" i="24"/>
  <c r="CP86" i="24" s="1"/>
  <c r="AJ87" i="24"/>
  <c r="CA87" i="24" s="1"/>
  <c r="AK87" i="24"/>
  <c r="CB87" i="24" s="1"/>
  <c r="AL87" i="24"/>
  <c r="CC87" i="24" s="1"/>
  <c r="AM87" i="24"/>
  <c r="CD87" i="24" s="1"/>
  <c r="AN87" i="24"/>
  <c r="CE87" i="24" s="1"/>
  <c r="AO87" i="24"/>
  <c r="CF87" i="24" s="1"/>
  <c r="AP87" i="24"/>
  <c r="AQ87" i="24"/>
  <c r="H88" i="57" s="1"/>
  <c r="AR87" i="24"/>
  <c r="AS87" i="24"/>
  <c r="AT87" i="24"/>
  <c r="AU87" i="24"/>
  <c r="AV87" i="24"/>
  <c r="AW87" i="24"/>
  <c r="CN87" i="24" s="1"/>
  <c r="AX87" i="24"/>
  <c r="CO87" i="24" s="1"/>
  <c r="AY87" i="24"/>
  <c r="CP87" i="24" s="1"/>
  <c r="AJ88" i="24"/>
  <c r="CA88" i="24" s="1"/>
  <c r="AK88" i="24"/>
  <c r="CB88" i="24" s="1"/>
  <c r="AL88" i="24"/>
  <c r="CC88" i="24" s="1"/>
  <c r="AM88" i="24"/>
  <c r="CD88" i="24" s="1"/>
  <c r="AN88" i="24"/>
  <c r="CE88" i="24" s="1"/>
  <c r="AO88" i="24"/>
  <c r="CF88" i="24" s="1"/>
  <c r="AP88" i="24"/>
  <c r="AQ88" i="24"/>
  <c r="H89" i="57" s="1"/>
  <c r="AR88" i="24"/>
  <c r="AS88" i="24"/>
  <c r="AT88" i="24"/>
  <c r="AU88" i="24"/>
  <c r="AV88" i="24"/>
  <c r="AW88" i="24"/>
  <c r="CN88" i="24" s="1"/>
  <c r="AX88" i="24"/>
  <c r="CO88" i="24" s="1"/>
  <c r="AY88" i="24"/>
  <c r="CP88" i="24" s="1"/>
  <c r="AJ89" i="24"/>
  <c r="CA89" i="24" s="1"/>
  <c r="AK89" i="24"/>
  <c r="CB89" i="24" s="1"/>
  <c r="AL89" i="24"/>
  <c r="CC89" i="24" s="1"/>
  <c r="AM89" i="24"/>
  <c r="CD89" i="24" s="1"/>
  <c r="AN89" i="24"/>
  <c r="CE89" i="24" s="1"/>
  <c r="AO89" i="24"/>
  <c r="CF89" i="24" s="1"/>
  <c r="AP89" i="24"/>
  <c r="AQ89" i="24"/>
  <c r="H90" i="57" s="1"/>
  <c r="AR89" i="24"/>
  <c r="AS89" i="24"/>
  <c r="AT89" i="24"/>
  <c r="AU89" i="24"/>
  <c r="AV89" i="24"/>
  <c r="AW89" i="24"/>
  <c r="CN89" i="24" s="1"/>
  <c r="AX89" i="24"/>
  <c r="CO89" i="24" s="1"/>
  <c r="AY89" i="24"/>
  <c r="CP89" i="24" s="1"/>
  <c r="AJ90" i="24"/>
  <c r="CA90" i="24" s="1"/>
  <c r="AK90" i="24"/>
  <c r="CB90" i="24" s="1"/>
  <c r="AL90" i="24"/>
  <c r="CC90" i="24" s="1"/>
  <c r="AM90" i="24"/>
  <c r="CD90" i="24" s="1"/>
  <c r="AN90" i="24"/>
  <c r="CE90" i="24" s="1"/>
  <c r="AO90" i="24"/>
  <c r="CF90" i="24" s="1"/>
  <c r="AP90" i="24"/>
  <c r="AQ90" i="24"/>
  <c r="H91" i="57" s="1"/>
  <c r="AR90" i="24"/>
  <c r="AS90" i="24"/>
  <c r="AT90" i="24"/>
  <c r="AU90" i="24"/>
  <c r="AV90" i="24"/>
  <c r="AW90" i="24"/>
  <c r="CN90" i="24" s="1"/>
  <c r="AX90" i="24"/>
  <c r="CO90" i="24" s="1"/>
  <c r="AY90" i="24"/>
  <c r="CP90" i="24" s="1"/>
  <c r="AJ91" i="24"/>
  <c r="CA91" i="24" s="1"/>
  <c r="AK91" i="24"/>
  <c r="CB91" i="24" s="1"/>
  <c r="AL91" i="24"/>
  <c r="CC91" i="24" s="1"/>
  <c r="AM91" i="24"/>
  <c r="CD91" i="24" s="1"/>
  <c r="AN91" i="24"/>
  <c r="CE91" i="24" s="1"/>
  <c r="AO91" i="24"/>
  <c r="CF91" i="24" s="1"/>
  <c r="AP91" i="24"/>
  <c r="AQ91" i="24"/>
  <c r="H92" i="57" s="1"/>
  <c r="AR91" i="24"/>
  <c r="AS91" i="24"/>
  <c r="AT91" i="24"/>
  <c r="AU91" i="24"/>
  <c r="AV91" i="24"/>
  <c r="AW91" i="24"/>
  <c r="CN91" i="24" s="1"/>
  <c r="AX91" i="24"/>
  <c r="CO91" i="24" s="1"/>
  <c r="AY91" i="24"/>
  <c r="CP91" i="24" s="1"/>
  <c r="AJ92" i="24"/>
  <c r="CA92" i="24" s="1"/>
  <c r="AK92" i="24"/>
  <c r="CB92" i="24" s="1"/>
  <c r="AL92" i="24"/>
  <c r="CC92" i="24" s="1"/>
  <c r="AM92" i="24"/>
  <c r="CD92" i="24" s="1"/>
  <c r="AN92" i="24"/>
  <c r="CE92" i="24" s="1"/>
  <c r="AO92" i="24"/>
  <c r="CF92" i="24" s="1"/>
  <c r="AP92" i="24"/>
  <c r="AQ92" i="24"/>
  <c r="H93" i="57" s="1"/>
  <c r="AR92" i="24"/>
  <c r="AS92" i="24"/>
  <c r="AT92" i="24"/>
  <c r="AU92" i="24"/>
  <c r="AV92" i="24"/>
  <c r="AW92" i="24"/>
  <c r="CN92" i="24" s="1"/>
  <c r="AX92" i="24"/>
  <c r="CO92" i="24" s="1"/>
  <c r="AY92" i="24"/>
  <c r="CP92" i="24" s="1"/>
  <c r="AJ93" i="24"/>
  <c r="CA93" i="24" s="1"/>
  <c r="AK93" i="24"/>
  <c r="CB93" i="24" s="1"/>
  <c r="AL93" i="24"/>
  <c r="CC93" i="24" s="1"/>
  <c r="AM93" i="24"/>
  <c r="CD93" i="24" s="1"/>
  <c r="AN93" i="24"/>
  <c r="CE93" i="24" s="1"/>
  <c r="AO93" i="24"/>
  <c r="CF93" i="24" s="1"/>
  <c r="AP93" i="24"/>
  <c r="AQ93" i="24"/>
  <c r="H94" i="57" s="1"/>
  <c r="AR93" i="24"/>
  <c r="AS93" i="24"/>
  <c r="AT93" i="24"/>
  <c r="AU93" i="24"/>
  <c r="AV93" i="24"/>
  <c r="AW93" i="24"/>
  <c r="CN93" i="24" s="1"/>
  <c r="AX93" i="24"/>
  <c r="CO93" i="24" s="1"/>
  <c r="AY93" i="24"/>
  <c r="CP93" i="24" s="1"/>
  <c r="AJ94" i="24"/>
  <c r="CA94" i="24" s="1"/>
  <c r="AK94" i="24"/>
  <c r="CB94" i="24" s="1"/>
  <c r="AL94" i="24"/>
  <c r="CC94" i="24" s="1"/>
  <c r="AM94" i="24"/>
  <c r="CD94" i="24" s="1"/>
  <c r="AN94" i="24"/>
  <c r="CE94" i="24" s="1"/>
  <c r="AO94" i="24"/>
  <c r="CF94" i="24" s="1"/>
  <c r="AP94" i="24"/>
  <c r="AQ94" i="24"/>
  <c r="H95" i="57" s="1"/>
  <c r="AR94" i="24"/>
  <c r="AS94" i="24"/>
  <c r="AT94" i="24"/>
  <c r="AU94" i="24"/>
  <c r="AV94" i="24"/>
  <c r="AW94" i="24"/>
  <c r="CN94" i="24" s="1"/>
  <c r="AX94" i="24"/>
  <c r="CO94" i="24" s="1"/>
  <c r="AY94" i="24"/>
  <c r="CP94" i="24" s="1"/>
  <c r="AJ95" i="24"/>
  <c r="CA95" i="24" s="1"/>
  <c r="AK95" i="24"/>
  <c r="CB95" i="24" s="1"/>
  <c r="AL95" i="24"/>
  <c r="CC95" i="24" s="1"/>
  <c r="AM95" i="24"/>
  <c r="CD95" i="24" s="1"/>
  <c r="AN95" i="24"/>
  <c r="CE95" i="24" s="1"/>
  <c r="AO95" i="24"/>
  <c r="CF95" i="24" s="1"/>
  <c r="AP95" i="24"/>
  <c r="AQ95" i="24"/>
  <c r="H96" i="57" s="1"/>
  <c r="AR95" i="24"/>
  <c r="AS95" i="24"/>
  <c r="AT95" i="24"/>
  <c r="AU95" i="24"/>
  <c r="AV95" i="24"/>
  <c r="AW95" i="24"/>
  <c r="CN95" i="24" s="1"/>
  <c r="AX95" i="24"/>
  <c r="CO95" i="24" s="1"/>
  <c r="AY95" i="24"/>
  <c r="CP95" i="24" s="1"/>
  <c r="AJ96" i="24"/>
  <c r="CA96" i="24" s="1"/>
  <c r="AK96" i="24"/>
  <c r="CB96" i="24" s="1"/>
  <c r="AL96" i="24"/>
  <c r="CC96" i="24" s="1"/>
  <c r="AM96" i="24"/>
  <c r="CD96" i="24" s="1"/>
  <c r="AN96" i="24"/>
  <c r="CE96" i="24" s="1"/>
  <c r="AO96" i="24"/>
  <c r="CF96" i="24" s="1"/>
  <c r="AP96" i="24"/>
  <c r="AQ96" i="24"/>
  <c r="H97" i="57" s="1"/>
  <c r="AR96" i="24"/>
  <c r="AS96" i="24"/>
  <c r="AT96" i="24"/>
  <c r="AU96" i="24"/>
  <c r="AV96" i="24"/>
  <c r="AW96" i="24"/>
  <c r="CN96" i="24" s="1"/>
  <c r="AX96" i="24"/>
  <c r="CO96" i="24" s="1"/>
  <c r="AY96" i="24"/>
  <c r="CP96" i="24" s="1"/>
  <c r="AJ97" i="24"/>
  <c r="CA97" i="24" s="1"/>
  <c r="AK97" i="24"/>
  <c r="CB97" i="24" s="1"/>
  <c r="AL97" i="24"/>
  <c r="CC97" i="24" s="1"/>
  <c r="AM97" i="24"/>
  <c r="CD97" i="24" s="1"/>
  <c r="AN97" i="24"/>
  <c r="CE97" i="24" s="1"/>
  <c r="AO97" i="24"/>
  <c r="CF97" i="24" s="1"/>
  <c r="AP97" i="24"/>
  <c r="AQ97" i="24"/>
  <c r="H98" i="57" s="1"/>
  <c r="AR97" i="24"/>
  <c r="AS97" i="24"/>
  <c r="AT97" i="24"/>
  <c r="AU97" i="24"/>
  <c r="AV97" i="24"/>
  <c r="AW97" i="24"/>
  <c r="CN97" i="24" s="1"/>
  <c r="AX97" i="24"/>
  <c r="CO97" i="24" s="1"/>
  <c r="AY97" i="24"/>
  <c r="CP97" i="24" s="1"/>
  <c r="AJ98" i="24"/>
  <c r="CA98" i="24" s="1"/>
  <c r="AK98" i="24"/>
  <c r="CB98" i="24" s="1"/>
  <c r="AL98" i="24"/>
  <c r="CC98" i="24" s="1"/>
  <c r="AM98" i="24"/>
  <c r="CD98" i="24" s="1"/>
  <c r="AN98" i="24"/>
  <c r="CE98" i="24" s="1"/>
  <c r="AO98" i="24"/>
  <c r="CF98" i="24" s="1"/>
  <c r="AP98" i="24"/>
  <c r="AQ98" i="24"/>
  <c r="H99" i="57" s="1"/>
  <c r="AR98" i="24"/>
  <c r="AS98" i="24"/>
  <c r="AT98" i="24"/>
  <c r="AU98" i="24"/>
  <c r="AV98" i="24"/>
  <c r="AW98" i="24"/>
  <c r="CN98" i="24" s="1"/>
  <c r="AX98" i="24"/>
  <c r="CO98" i="24" s="1"/>
  <c r="AY98" i="24"/>
  <c r="CP98" i="24" s="1"/>
  <c r="AJ99" i="24"/>
  <c r="CA99" i="24" s="1"/>
  <c r="AK99" i="24"/>
  <c r="CB99" i="24" s="1"/>
  <c r="AL99" i="24"/>
  <c r="CC99" i="24" s="1"/>
  <c r="AM99" i="24"/>
  <c r="CD99" i="24" s="1"/>
  <c r="AN99" i="24"/>
  <c r="CE99" i="24" s="1"/>
  <c r="AO99" i="24"/>
  <c r="CF99" i="24" s="1"/>
  <c r="AP99" i="24"/>
  <c r="AQ99" i="24"/>
  <c r="H100" i="57" s="1"/>
  <c r="AR99" i="24"/>
  <c r="AS99" i="24"/>
  <c r="AT99" i="24"/>
  <c r="AU99" i="24"/>
  <c r="AV99" i="24"/>
  <c r="AW99" i="24"/>
  <c r="CN99" i="24" s="1"/>
  <c r="AX99" i="24"/>
  <c r="CO99" i="24" s="1"/>
  <c r="AY99" i="24"/>
  <c r="CP99" i="24" s="1"/>
  <c r="AJ100" i="24"/>
  <c r="CA100" i="24" s="1"/>
  <c r="AK100" i="24"/>
  <c r="CB100" i="24" s="1"/>
  <c r="AL100" i="24"/>
  <c r="CC100" i="24" s="1"/>
  <c r="AM100" i="24"/>
  <c r="CD100" i="24" s="1"/>
  <c r="AN100" i="24"/>
  <c r="CE100" i="24" s="1"/>
  <c r="AO100" i="24"/>
  <c r="CF100" i="24" s="1"/>
  <c r="AP100" i="24"/>
  <c r="AQ100" i="24"/>
  <c r="H101" i="57" s="1"/>
  <c r="AR100" i="24"/>
  <c r="AS100" i="24"/>
  <c r="AT100" i="24"/>
  <c r="AU100" i="24"/>
  <c r="AV100" i="24"/>
  <c r="AW100" i="24"/>
  <c r="CN100" i="24" s="1"/>
  <c r="AX100" i="24"/>
  <c r="CO100" i="24" s="1"/>
  <c r="AY100" i="24"/>
  <c r="CP100" i="24" s="1"/>
  <c r="AJ101" i="24"/>
  <c r="CA101" i="24" s="1"/>
  <c r="AK101" i="24"/>
  <c r="CB101" i="24" s="1"/>
  <c r="AL101" i="24"/>
  <c r="CC101" i="24" s="1"/>
  <c r="AM101" i="24"/>
  <c r="CD101" i="24" s="1"/>
  <c r="AN101" i="24"/>
  <c r="CE101" i="24" s="1"/>
  <c r="AO101" i="24"/>
  <c r="CF101" i="24" s="1"/>
  <c r="AP101" i="24"/>
  <c r="AQ101" i="24"/>
  <c r="H102" i="57" s="1"/>
  <c r="AR101" i="24"/>
  <c r="AS101" i="24"/>
  <c r="AT101" i="24"/>
  <c r="AU101" i="24"/>
  <c r="AV101" i="24"/>
  <c r="AW101" i="24"/>
  <c r="CN101" i="24" s="1"/>
  <c r="AX101" i="24"/>
  <c r="CO101" i="24" s="1"/>
  <c r="AY101" i="24"/>
  <c r="CP101" i="24" s="1"/>
  <c r="AJ102" i="24"/>
  <c r="CA102" i="24" s="1"/>
  <c r="AK102" i="24"/>
  <c r="CB102" i="24" s="1"/>
  <c r="AL102" i="24"/>
  <c r="CC102" i="24" s="1"/>
  <c r="AM102" i="24"/>
  <c r="CD102" i="24" s="1"/>
  <c r="AN102" i="24"/>
  <c r="CE102" i="24" s="1"/>
  <c r="AO102" i="24"/>
  <c r="CF102" i="24" s="1"/>
  <c r="AP102" i="24"/>
  <c r="AQ102" i="24"/>
  <c r="H103" i="57" s="1"/>
  <c r="AR102" i="24"/>
  <c r="AS102" i="24"/>
  <c r="AT102" i="24"/>
  <c r="AU102" i="24"/>
  <c r="AV102" i="24"/>
  <c r="AW102" i="24"/>
  <c r="CN102" i="24" s="1"/>
  <c r="AX102" i="24"/>
  <c r="CO102" i="24" s="1"/>
  <c r="AY102" i="24"/>
  <c r="CP102" i="24" s="1"/>
  <c r="AJ103" i="24"/>
  <c r="CA103" i="24" s="1"/>
  <c r="AK103" i="24"/>
  <c r="CB103" i="24" s="1"/>
  <c r="AL103" i="24"/>
  <c r="CC103" i="24" s="1"/>
  <c r="AM103" i="24"/>
  <c r="CD103" i="24" s="1"/>
  <c r="AN103" i="24"/>
  <c r="CE103" i="24" s="1"/>
  <c r="AO103" i="24"/>
  <c r="CF103" i="24" s="1"/>
  <c r="AP103" i="24"/>
  <c r="AQ103" i="24"/>
  <c r="H104" i="57" s="1"/>
  <c r="AR103" i="24"/>
  <c r="AS103" i="24"/>
  <c r="AT103" i="24"/>
  <c r="AU103" i="24"/>
  <c r="AV103" i="24"/>
  <c r="AW103" i="24"/>
  <c r="CN103" i="24" s="1"/>
  <c r="AX103" i="24"/>
  <c r="CO103" i="24" s="1"/>
  <c r="AY103" i="24"/>
  <c r="CP103" i="24" s="1"/>
  <c r="AJ104" i="24"/>
  <c r="CA104" i="24" s="1"/>
  <c r="AK104" i="24"/>
  <c r="CB104" i="24" s="1"/>
  <c r="AL104" i="24"/>
  <c r="CC104" i="24" s="1"/>
  <c r="AM104" i="24"/>
  <c r="CD104" i="24" s="1"/>
  <c r="AN104" i="24"/>
  <c r="CE104" i="24" s="1"/>
  <c r="AO104" i="24"/>
  <c r="CF104" i="24" s="1"/>
  <c r="AP104" i="24"/>
  <c r="AQ104" i="24"/>
  <c r="H105" i="57" s="1"/>
  <c r="AR104" i="24"/>
  <c r="AS104" i="24"/>
  <c r="AT104" i="24"/>
  <c r="AU104" i="24"/>
  <c r="AV104" i="24"/>
  <c r="AW104" i="24"/>
  <c r="CN104" i="24" s="1"/>
  <c r="AX104" i="24"/>
  <c r="CO104" i="24" s="1"/>
  <c r="AY104" i="24"/>
  <c r="CP104" i="24" s="1"/>
  <c r="AJ105" i="24"/>
  <c r="CA105" i="24" s="1"/>
  <c r="AK105" i="24"/>
  <c r="CB105" i="24" s="1"/>
  <c r="AL105" i="24"/>
  <c r="CC105" i="24" s="1"/>
  <c r="AM105" i="24"/>
  <c r="CD105" i="24" s="1"/>
  <c r="AN105" i="24"/>
  <c r="CE105" i="24" s="1"/>
  <c r="AO105" i="24"/>
  <c r="CF105" i="24" s="1"/>
  <c r="AP105" i="24"/>
  <c r="AQ105" i="24"/>
  <c r="H106" i="57" s="1"/>
  <c r="AR105" i="24"/>
  <c r="AS105" i="24"/>
  <c r="AT105" i="24"/>
  <c r="AU105" i="24"/>
  <c r="AV105" i="24"/>
  <c r="AW105" i="24"/>
  <c r="CN105" i="24" s="1"/>
  <c r="AX105" i="24"/>
  <c r="CO105" i="24" s="1"/>
  <c r="AY105" i="24"/>
  <c r="CP105" i="24" s="1"/>
  <c r="AJ106" i="24"/>
  <c r="CA106" i="24" s="1"/>
  <c r="AK106" i="24"/>
  <c r="CB106" i="24" s="1"/>
  <c r="AL106" i="24"/>
  <c r="CC106" i="24" s="1"/>
  <c r="AM106" i="24"/>
  <c r="CD106" i="24" s="1"/>
  <c r="AN106" i="24"/>
  <c r="CE106" i="24" s="1"/>
  <c r="AO106" i="24"/>
  <c r="CF106" i="24" s="1"/>
  <c r="AP106" i="24"/>
  <c r="AQ106" i="24"/>
  <c r="H107" i="57" s="1"/>
  <c r="AR106" i="24"/>
  <c r="AS106" i="24"/>
  <c r="AT106" i="24"/>
  <c r="AU106" i="24"/>
  <c r="AV106" i="24"/>
  <c r="AW106" i="24"/>
  <c r="CN106" i="24" s="1"/>
  <c r="AX106" i="24"/>
  <c r="CO106" i="24" s="1"/>
  <c r="AY106" i="24"/>
  <c r="CP106" i="24" s="1"/>
  <c r="AJ107" i="24"/>
  <c r="CA107" i="24" s="1"/>
  <c r="AK107" i="24"/>
  <c r="CB107" i="24" s="1"/>
  <c r="AL107" i="24"/>
  <c r="CC107" i="24" s="1"/>
  <c r="AM107" i="24"/>
  <c r="CD107" i="24" s="1"/>
  <c r="AN107" i="24"/>
  <c r="CE107" i="24" s="1"/>
  <c r="AO107" i="24"/>
  <c r="CF107" i="24" s="1"/>
  <c r="AP107" i="24"/>
  <c r="AQ107" i="24"/>
  <c r="H108" i="57" s="1"/>
  <c r="AR107" i="24"/>
  <c r="AS107" i="24"/>
  <c r="AT107" i="24"/>
  <c r="AU107" i="24"/>
  <c r="AV107" i="24"/>
  <c r="AW107" i="24"/>
  <c r="CN107" i="24" s="1"/>
  <c r="AX107" i="24"/>
  <c r="CO107" i="24" s="1"/>
  <c r="AY107" i="24"/>
  <c r="CP107" i="24" s="1"/>
  <c r="AJ108" i="24"/>
  <c r="CA108" i="24" s="1"/>
  <c r="AK108" i="24"/>
  <c r="CB108" i="24" s="1"/>
  <c r="AL108" i="24"/>
  <c r="CC108" i="24" s="1"/>
  <c r="AM108" i="24"/>
  <c r="CD108" i="24" s="1"/>
  <c r="AN108" i="24"/>
  <c r="CE108" i="24" s="1"/>
  <c r="AO108" i="24"/>
  <c r="CF108" i="24" s="1"/>
  <c r="AP108" i="24"/>
  <c r="AQ108" i="24"/>
  <c r="H109" i="57" s="1"/>
  <c r="AR108" i="24"/>
  <c r="AS108" i="24"/>
  <c r="AT108" i="24"/>
  <c r="AU108" i="24"/>
  <c r="AV108" i="24"/>
  <c r="AW108" i="24"/>
  <c r="CN108" i="24" s="1"/>
  <c r="AX108" i="24"/>
  <c r="CO108" i="24" s="1"/>
  <c r="AY108" i="24"/>
  <c r="CP108" i="24" s="1"/>
  <c r="AJ109" i="24"/>
  <c r="CA109" i="24" s="1"/>
  <c r="AK109" i="24"/>
  <c r="CB109" i="24" s="1"/>
  <c r="AL109" i="24"/>
  <c r="CC109" i="24" s="1"/>
  <c r="AM109" i="24"/>
  <c r="CD109" i="24" s="1"/>
  <c r="AN109" i="24"/>
  <c r="CE109" i="24" s="1"/>
  <c r="AO109" i="24"/>
  <c r="CF109" i="24" s="1"/>
  <c r="AP109" i="24"/>
  <c r="AQ109" i="24"/>
  <c r="H110" i="57" s="1"/>
  <c r="AR109" i="24"/>
  <c r="AS109" i="24"/>
  <c r="AT109" i="24"/>
  <c r="AU109" i="24"/>
  <c r="AV109" i="24"/>
  <c r="AW109" i="24"/>
  <c r="CN109" i="24" s="1"/>
  <c r="AX109" i="24"/>
  <c r="CO109" i="24" s="1"/>
  <c r="AY109" i="24"/>
  <c r="CP109" i="24" s="1"/>
  <c r="AJ110" i="24"/>
  <c r="CA110" i="24" s="1"/>
  <c r="AK110" i="24"/>
  <c r="CB110" i="24" s="1"/>
  <c r="AL110" i="24"/>
  <c r="CC110" i="24" s="1"/>
  <c r="AM110" i="24"/>
  <c r="CD110" i="24" s="1"/>
  <c r="AN110" i="24"/>
  <c r="CE110" i="24" s="1"/>
  <c r="AO110" i="24"/>
  <c r="CF110" i="24" s="1"/>
  <c r="AP110" i="24"/>
  <c r="AQ110" i="24"/>
  <c r="H111" i="57" s="1"/>
  <c r="AR110" i="24"/>
  <c r="AS110" i="24"/>
  <c r="AT110" i="24"/>
  <c r="AU110" i="24"/>
  <c r="AV110" i="24"/>
  <c r="AW110" i="24"/>
  <c r="CN110" i="24" s="1"/>
  <c r="AX110" i="24"/>
  <c r="CO110" i="24" s="1"/>
  <c r="AY110" i="24"/>
  <c r="CP110" i="24" s="1"/>
  <c r="AJ111" i="24"/>
  <c r="CA111" i="24" s="1"/>
  <c r="AK111" i="24"/>
  <c r="CB111" i="24" s="1"/>
  <c r="AL111" i="24"/>
  <c r="CC111" i="24" s="1"/>
  <c r="AM111" i="24"/>
  <c r="CD111" i="24" s="1"/>
  <c r="AN111" i="24"/>
  <c r="CE111" i="24" s="1"/>
  <c r="AO111" i="24"/>
  <c r="CF111" i="24" s="1"/>
  <c r="AP111" i="24"/>
  <c r="AQ111" i="24"/>
  <c r="H112" i="57" s="1"/>
  <c r="AR111" i="24"/>
  <c r="AS111" i="24"/>
  <c r="AT111" i="24"/>
  <c r="AU111" i="24"/>
  <c r="AV111" i="24"/>
  <c r="AW111" i="24"/>
  <c r="CN111" i="24" s="1"/>
  <c r="AX111" i="24"/>
  <c r="CO111" i="24" s="1"/>
  <c r="AY111" i="24"/>
  <c r="CP111" i="24" s="1"/>
  <c r="AJ112" i="24"/>
  <c r="CA112" i="24" s="1"/>
  <c r="AK112" i="24"/>
  <c r="CB112" i="24" s="1"/>
  <c r="AL112" i="24"/>
  <c r="CC112" i="24" s="1"/>
  <c r="AM112" i="24"/>
  <c r="CD112" i="24" s="1"/>
  <c r="AN112" i="24"/>
  <c r="CE112" i="24" s="1"/>
  <c r="AO112" i="24"/>
  <c r="CF112" i="24" s="1"/>
  <c r="AP112" i="24"/>
  <c r="AQ112" i="24"/>
  <c r="H113" i="57" s="1"/>
  <c r="AR112" i="24"/>
  <c r="AS112" i="24"/>
  <c r="AT112" i="24"/>
  <c r="AU112" i="24"/>
  <c r="AV112" i="24"/>
  <c r="AW112" i="24"/>
  <c r="CN112" i="24" s="1"/>
  <c r="AX112" i="24"/>
  <c r="CO112" i="24" s="1"/>
  <c r="AY112" i="24"/>
  <c r="CP112" i="24" s="1"/>
  <c r="AJ113" i="24"/>
  <c r="CA113" i="24" s="1"/>
  <c r="AK113" i="24"/>
  <c r="CB113" i="24" s="1"/>
  <c r="AL113" i="24"/>
  <c r="CC113" i="24" s="1"/>
  <c r="AM113" i="24"/>
  <c r="CD113" i="24" s="1"/>
  <c r="AN113" i="24"/>
  <c r="CE113" i="24" s="1"/>
  <c r="AO113" i="24"/>
  <c r="CF113" i="24" s="1"/>
  <c r="AP113" i="24"/>
  <c r="AQ113" i="24"/>
  <c r="H114" i="57" s="1"/>
  <c r="AR113" i="24"/>
  <c r="AS113" i="24"/>
  <c r="AT113" i="24"/>
  <c r="AU113" i="24"/>
  <c r="AV113" i="24"/>
  <c r="AW113" i="24"/>
  <c r="CN113" i="24" s="1"/>
  <c r="AX113" i="24"/>
  <c r="CO113" i="24" s="1"/>
  <c r="AY113" i="24"/>
  <c r="CP113" i="24" s="1"/>
  <c r="AJ114" i="24"/>
  <c r="CA114" i="24" s="1"/>
  <c r="AK114" i="24"/>
  <c r="CB114" i="24" s="1"/>
  <c r="AL114" i="24"/>
  <c r="CC114" i="24" s="1"/>
  <c r="AM114" i="24"/>
  <c r="CD114" i="24" s="1"/>
  <c r="AN114" i="24"/>
  <c r="CE114" i="24" s="1"/>
  <c r="AO114" i="24"/>
  <c r="CF114" i="24" s="1"/>
  <c r="AP114" i="24"/>
  <c r="AQ114" i="24"/>
  <c r="H115" i="57" s="1"/>
  <c r="AR114" i="24"/>
  <c r="AS114" i="24"/>
  <c r="AT114" i="24"/>
  <c r="AU114" i="24"/>
  <c r="AV114" i="24"/>
  <c r="AW114" i="24"/>
  <c r="CN114" i="24" s="1"/>
  <c r="AX114" i="24"/>
  <c r="CO114" i="24" s="1"/>
  <c r="AY114" i="24"/>
  <c r="CP114" i="24" s="1"/>
  <c r="AJ115" i="24"/>
  <c r="CA115" i="24" s="1"/>
  <c r="AK115" i="24"/>
  <c r="CB115" i="24" s="1"/>
  <c r="AL115" i="24"/>
  <c r="CC115" i="24" s="1"/>
  <c r="AM115" i="24"/>
  <c r="CD115" i="24" s="1"/>
  <c r="AN115" i="24"/>
  <c r="CE115" i="24" s="1"/>
  <c r="AO115" i="24"/>
  <c r="CF115" i="24" s="1"/>
  <c r="AP115" i="24"/>
  <c r="AQ115" i="24"/>
  <c r="H116" i="57" s="1"/>
  <c r="AR115" i="24"/>
  <c r="AS115" i="24"/>
  <c r="AT115" i="24"/>
  <c r="AU115" i="24"/>
  <c r="AV115" i="24"/>
  <c r="AW115" i="24"/>
  <c r="CN115" i="24" s="1"/>
  <c r="AX115" i="24"/>
  <c r="CO115" i="24" s="1"/>
  <c r="AY115" i="24"/>
  <c r="CP115" i="24" s="1"/>
  <c r="AJ116" i="24"/>
  <c r="CA116" i="24" s="1"/>
  <c r="AK116" i="24"/>
  <c r="CB116" i="24" s="1"/>
  <c r="AL116" i="24"/>
  <c r="CC116" i="24" s="1"/>
  <c r="AM116" i="24"/>
  <c r="CD116" i="24" s="1"/>
  <c r="AN116" i="24"/>
  <c r="CE116" i="24" s="1"/>
  <c r="AO116" i="24"/>
  <c r="CF116" i="24" s="1"/>
  <c r="AP116" i="24"/>
  <c r="AQ116" i="24"/>
  <c r="H117" i="57" s="1"/>
  <c r="AR116" i="24"/>
  <c r="AS116" i="24"/>
  <c r="AT116" i="24"/>
  <c r="AU116" i="24"/>
  <c r="AV116" i="24"/>
  <c r="AW116" i="24"/>
  <c r="CN116" i="24" s="1"/>
  <c r="AX116" i="24"/>
  <c r="CO116" i="24" s="1"/>
  <c r="AY116" i="24"/>
  <c r="CP116" i="24" s="1"/>
  <c r="AJ117" i="24"/>
  <c r="CA117" i="24" s="1"/>
  <c r="AK117" i="24"/>
  <c r="CB117" i="24" s="1"/>
  <c r="AL117" i="24"/>
  <c r="CC117" i="24" s="1"/>
  <c r="AM117" i="24"/>
  <c r="CD117" i="24" s="1"/>
  <c r="AN117" i="24"/>
  <c r="CE117" i="24" s="1"/>
  <c r="AO117" i="24"/>
  <c r="CF117" i="24" s="1"/>
  <c r="AP117" i="24"/>
  <c r="AQ117" i="24"/>
  <c r="H118" i="57" s="1"/>
  <c r="AR117" i="24"/>
  <c r="AS117" i="24"/>
  <c r="AT117" i="24"/>
  <c r="AU117" i="24"/>
  <c r="AV117" i="24"/>
  <c r="AW117" i="24"/>
  <c r="CN117" i="24" s="1"/>
  <c r="AX117" i="24"/>
  <c r="CO117" i="24" s="1"/>
  <c r="AY117" i="24"/>
  <c r="CP117" i="24" s="1"/>
  <c r="AJ118" i="24"/>
  <c r="CA118" i="24" s="1"/>
  <c r="AK118" i="24"/>
  <c r="CB118" i="24" s="1"/>
  <c r="AL118" i="24"/>
  <c r="CC118" i="24" s="1"/>
  <c r="AM118" i="24"/>
  <c r="CD118" i="24" s="1"/>
  <c r="AN118" i="24"/>
  <c r="CE118" i="24" s="1"/>
  <c r="AO118" i="24"/>
  <c r="CF118" i="24" s="1"/>
  <c r="AP118" i="24"/>
  <c r="AQ118" i="24"/>
  <c r="H119" i="57" s="1"/>
  <c r="AR118" i="24"/>
  <c r="AS118" i="24"/>
  <c r="AT118" i="24"/>
  <c r="AU118" i="24"/>
  <c r="AV118" i="24"/>
  <c r="AW118" i="24"/>
  <c r="CN118" i="24" s="1"/>
  <c r="AX118" i="24"/>
  <c r="CO118" i="24" s="1"/>
  <c r="AY118" i="24"/>
  <c r="CP118" i="24" s="1"/>
  <c r="AJ119" i="24"/>
  <c r="CA119" i="24" s="1"/>
  <c r="AK119" i="24"/>
  <c r="CB119" i="24" s="1"/>
  <c r="AL119" i="24"/>
  <c r="CC119" i="24" s="1"/>
  <c r="AM119" i="24"/>
  <c r="CD119" i="24" s="1"/>
  <c r="AN119" i="24"/>
  <c r="CE119" i="24" s="1"/>
  <c r="AO119" i="24"/>
  <c r="CF119" i="24" s="1"/>
  <c r="AP119" i="24"/>
  <c r="AQ119" i="24"/>
  <c r="H120" i="57" s="1"/>
  <c r="AR119" i="24"/>
  <c r="AS119" i="24"/>
  <c r="AT119" i="24"/>
  <c r="AU119" i="24"/>
  <c r="AV119" i="24"/>
  <c r="AW119" i="24"/>
  <c r="CN119" i="24" s="1"/>
  <c r="AX119" i="24"/>
  <c r="CO119" i="24" s="1"/>
  <c r="AY119" i="24"/>
  <c r="CP119" i="24" s="1"/>
  <c r="AJ120" i="24"/>
  <c r="CA120" i="24" s="1"/>
  <c r="AK120" i="24"/>
  <c r="CB120" i="24" s="1"/>
  <c r="AL120" i="24"/>
  <c r="CC120" i="24" s="1"/>
  <c r="AM120" i="24"/>
  <c r="CD120" i="24" s="1"/>
  <c r="AN120" i="24"/>
  <c r="CE120" i="24" s="1"/>
  <c r="AO120" i="24"/>
  <c r="CF120" i="24" s="1"/>
  <c r="AP120" i="24"/>
  <c r="AQ120" i="24"/>
  <c r="H121" i="57" s="1"/>
  <c r="AR120" i="24"/>
  <c r="AS120" i="24"/>
  <c r="AT120" i="24"/>
  <c r="AU120" i="24"/>
  <c r="AV120" i="24"/>
  <c r="AW120" i="24"/>
  <c r="CN120" i="24" s="1"/>
  <c r="AX120" i="24"/>
  <c r="CO120" i="24" s="1"/>
  <c r="AY120" i="24"/>
  <c r="CP120" i="24" s="1"/>
  <c r="AJ121" i="24"/>
  <c r="CA121" i="24" s="1"/>
  <c r="AK121" i="24"/>
  <c r="CB121" i="24" s="1"/>
  <c r="AL121" i="24"/>
  <c r="CC121" i="24" s="1"/>
  <c r="AM121" i="24"/>
  <c r="CD121" i="24" s="1"/>
  <c r="AN121" i="24"/>
  <c r="CE121" i="24" s="1"/>
  <c r="AO121" i="24"/>
  <c r="CF121" i="24" s="1"/>
  <c r="AP121" i="24"/>
  <c r="AQ121" i="24"/>
  <c r="H122" i="57" s="1"/>
  <c r="AR121" i="24"/>
  <c r="AS121" i="24"/>
  <c r="AT121" i="24"/>
  <c r="AU121" i="24"/>
  <c r="AV121" i="24"/>
  <c r="AW121" i="24"/>
  <c r="CN121" i="24" s="1"/>
  <c r="AX121" i="24"/>
  <c r="CO121" i="24" s="1"/>
  <c r="AY121" i="24"/>
  <c r="CP121" i="24" s="1"/>
  <c r="AJ122" i="24"/>
  <c r="CA122" i="24" s="1"/>
  <c r="AK122" i="24"/>
  <c r="CB122" i="24" s="1"/>
  <c r="AL122" i="24"/>
  <c r="CC122" i="24" s="1"/>
  <c r="AM122" i="24"/>
  <c r="CD122" i="24" s="1"/>
  <c r="AN122" i="24"/>
  <c r="CE122" i="24" s="1"/>
  <c r="AO122" i="24"/>
  <c r="CF122" i="24" s="1"/>
  <c r="AP122" i="24"/>
  <c r="AQ122" i="24"/>
  <c r="H123" i="57" s="1"/>
  <c r="AR122" i="24"/>
  <c r="AS122" i="24"/>
  <c r="AT122" i="24"/>
  <c r="AU122" i="24"/>
  <c r="AV122" i="24"/>
  <c r="AW122" i="24"/>
  <c r="CN122" i="24" s="1"/>
  <c r="AX122" i="24"/>
  <c r="CO122" i="24" s="1"/>
  <c r="AY122" i="24"/>
  <c r="CP122" i="24" s="1"/>
  <c r="AJ123" i="24"/>
  <c r="CA123" i="24" s="1"/>
  <c r="AK123" i="24"/>
  <c r="CB123" i="24" s="1"/>
  <c r="AL123" i="24"/>
  <c r="CC123" i="24" s="1"/>
  <c r="AM123" i="24"/>
  <c r="CD123" i="24" s="1"/>
  <c r="AN123" i="24"/>
  <c r="CE123" i="24" s="1"/>
  <c r="AO123" i="24"/>
  <c r="CF123" i="24" s="1"/>
  <c r="AP123" i="24"/>
  <c r="AQ123" i="24"/>
  <c r="H124" i="57" s="1"/>
  <c r="AR123" i="24"/>
  <c r="AS123" i="24"/>
  <c r="AT123" i="24"/>
  <c r="AU123" i="24"/>
  <c r="AV123" i="24"/>
  <c r="AW123" i="24"/>
  <c r="CN123" i="24" s="1"/>
  <c r="AX123" i="24"/>
  <c r="CO123" i="24" s="1"/>
  <c r="AY123" i="24"/>
  <c r="CP123" i="24" s="1"/>
  <c r="AJ124" i="24"/>
  <c r="CA124" i="24" s="1"/>
  <c r="AK124" i="24"/>
  <c r="CB124" i="24" s="1"/>
  <c r="AL124" i="24"/>
  <c r="CC124" i="24" s="1"/>
  <c r="AM124" i="24"/>
  <c r="CD124" i="24" s="1"/>
  <c r="AN124" i="24"/>
  <c r="CE124" i="24" s="1"/>
  <c r="AO124" i="24"/>
  <c r="CF124" i="24" s="1"/>
  <c r="AP124" i="24"/>
  <c r="AQ124" i="24"/>
  <c r="H125" i="57" s="1"/>
  <c r="AR124" i="24"/>
  <c r="AS124" i="24"/>
  <c r="AT124" i="24"/>
  <c r="AU124" i="24"/>
  <c r="AV124" i="24"/>
  <c r="AW124" i="24"/>
  <c r="CN124" i="24" s="1"/>
  <c r="AX124" i="24"/>
  <c r="CO124" i="24" s="1"/>
  <c r="AY124" i="24"/>
  <c r="CP124" i="24" s="1"/>
  <c r="AJ125" i="24"/>
  <c r="CA125" i="24" s="1"/>
  <c r="AK125" i="24"/>
  <c r="CB125" i="24" s="1"/>
  <c r="AL125" i="24"/>
  <c r="CC125" i="24" s="1"/>
  <c r="AM125" i="24"/>
  <c r="CD125" i="24" s="1"/>
  <c r="AN125" i="24"/>
  <c r="CE125" i="24" s="1"/>
  <c r="AO125" i="24"/>
  <c r="CF125" i="24" s="1"/>
  <c r="AP125" i="24"/>
  <c r="AQ125" i="24"/>
  <c r="H126" i="57" s="1"/>
  <c r="AR125" i="24"/>
  <c r="AS125" i="24"/>
  <c r="AT125" i="24"/>
  <c r="AU125" i="24"/>
  <c r="AV125" i="24"/>
  <c r="AW125" i="24"/>
  <c r="CN125" i="24" s="1"/>
  <c r="AX125" i="24"/>
  <c r="CO125" i="24" s="1"/>
  <c r="AY125" i="24"/>
  <c r="CP125" i="24" s="1"/>
  <c r="AJ126" i="24"/>
  <c r="CA126" i="24" s="1"/>
  <c r="AK126" i="24"/>
  <c r="CB126" i="24" s="1"/>
  <c r="AL126" i="24"/>
  <c r="CC126" i="24" s="1"/>
  <c r="AM126" i="24"/>
  <c r="CD126" i="24" s="1"/>
  <c r="AN126" i="24"/>
  <c r="CE126" i="24" s="1"/>
  <c r="AO126" i="24"/>
  <c r="CF126" i="24" s="1"/>
  <c r="AP126" i="24"/>
  <c r="AQ126" i="24"/>
  <c r="H127" i="57" s="1"/>
  <c r="AR126" i="24"/>
  <c r="AS126" i="24"/>
  <c r="AT126" i="24"/>
  <c r="AU126" i="24"/>
  <c r="AV126" i="24"/>
  <c r="AW126" i="24"/>
  <c r="CN126" i="24" s="1"/>
  <c r="AX126" i="24"/>
  <c r="CO126" i="24" s="1"/>
  <c r="AY126" i="24"/>
  <c r="CP126" i="24" s="1"/>
  <c r="AJ127" i="24"/>
  <c r="CA127" i="24" s="1"/>
  <c r="AK127" i="24"/>
  <c r="CB127" i="24" s="1"/>
  <c r="AL127" i="24"/>
  <c r="CC127" i="24" s="1"/>
  <c r="AM127" i="24"/>
  <c r="CD127" i="24" s="1"/>
  <c r="AN127" i="24"/>
  <c r="CE127" i="24" s="1"/>
  <c r="AO127" i="24"/>
  <c r="CF127" i="24" s="1"/>
  <c r="AP127" i="24"/>
  <c r="AQ127" i="24"/>
  <c r="H128" i="57" s="1"/>
  <c r="AR127" i="24"/>
  <c r="AS127" i="24"/>
  <c r="AT127" i="24"/>
  <c r="AU127" i="24"/>
  <c r="AV127" i="24"/>
  <c r="AW127" i="24"/>
  <c r="CN127" i="24" s="1"/>
  <c r="AX127" i="24"/>
  <c r="CO127" i="24" s="1"/>
  <c r="AY127" i="24"/>
  <c r="CP127" i="24" s="1"/>
  <c r="AJ128" i="24"/>
  <c r="CA128" i="24" s="1"/>
  <c r="AK128" i="24"/>
  <c r="CB128" i="24" s="1"/>
  <c r="AL128" i="24"/>
  <c r="CC128" i="24" s="1"/>
  <c r="AM128" i="24"/>
  <c r="CD128" i="24" s="1"/>
  <c r="AN128" i="24"/>
  <c r="CE128" i="24" s="1"/>
  <c r="AO128" i="24"/>
  <c r="CF128" i="24" s="1"/>
  <c r="AP128" i="24"/>
  <c r="AQ128" i="24"/>
  <c r="H129" i="57" s="1"/>
  <c r="AR128" i="24"/>
  <c r="AS128" i="24"/>
  <c r="AT128" i="24"/>
  <c r="AU128" i="24"/>
  <c r="AV128" i="24"/>
  <c r="AW128" i="24"/>
  <c r="CN128" i="24" s="1"/>
  <c r="AX128" i="24"/>
  <c r="CO128" i="24" s="1"/>
  <c r="AY128" i="24"/>
  <c r="CP128" i="24" s="1"/>
  <c r="AJ129" i="24"/>
  <c r="CA129" i="24" s="1"/>
  <c r="AK129" i="24"/>
  <c r="CB129" i="24" s="1"/>
  <c r="AL129" i="24"/>
  <c r="CC129" i="24" s="1"/>
  <c r="AM129" i="24"/>
  <c r="CD129" i="24" s="1"/>
  <c r="AN129" i="24"/>
  <c r="CE129" i="24" s="1"/>
  <c r="AO129" i="24"/>
  <c r="CF129" i="24" s="1"/>
  <c r="AP129" i="24"/>
  <c r="AQ129" i="24"/>
  <c r="H130" i="57" s="1"/>
  <c r="AR129" i="24"/>
  <c r="AS129" i="24"/>
  <c r="AT129" i="24"/>
  <c r="AU129" i="24"/>
  <c r="AV129" i="24"/>
  <c r="AW129" i="24"/>
  <c r="CN129" i="24" s="1"/>
  <c r="AX129" i="24"/>
  <c r="CO129" i="24" s="1"/>
  <c r="AY129" i="24"/>
  <c r="CP129" i="24" s="1"/>
  <c r="AK2" i="24"/>
  <c r="CB2" i="24" s="1"/>
  <c r="AL2" i="24"/>
  <c r="CC2" i="24" s="1"/>
  <c r="AM2" i="24"/>
  <c r="CD2" i="24" s="1"/>
  <c r="AN2" i="24"/>
  <c r="CE2" i="24" s="1"/>
  <c r="AO2" i="24"/>
  <c r="CF2" i="24" s="1"/>
  <c r="AP2" i="24"/>
  <c r="AQ2" i="24"/>
  <c r="AR2" i="24"/>
  <c r="AS2" i="24"/>
  <c r="AT2" i="24"/>
  <c r="AU2" i="24"/>
  <c r="AV2" i="24"/>
  <c r="AW2" i="24"/>
  <c r="CN2" i="24" s="1"/>
  <c r="AX2" i="24"/>
  <c r="CO2" i="24" s="1"/>
  <c r="AY2" i="24"/>
  <c r="CP2" i="24" s="1"/>
  <c r="AK3" i="24"/>
  <c r="CB3" i="24" s="1"/>
  <c r="AL3" i="24"/>
  <c r="CC3" i="24" s="1"/>
  <c r="AM3" i="24"/>
  <c r="CD3" i="24" s="1"/>
  <c r="AN3" i="24"/>
  <c r="CE3" i="24" s="1"/>
  <c r="AO3" i="24"/>
  <c r="CF3" i="24" s="1"/>
  <c r="AP3" i="24"/>
  <c r="AQ3" i="24"/>
  <c r="H4" i="57" s="1"/>
  <c r="AR3" i="24"/>
  <c r="AS3" i="24"/>
  <c r="AT3" i="24"/>
  <c r="AU3" i="24"/>
  <c r="AV3" i="24"/>
  <c r="AW3" i="24"/>
  <c r="CN3" i="24" s="1"/>
  <c r="AX3" i="24"/>
  <c r="CO3" i="24" s="1"/>
  <c r="AY3" i="24"/>
  <c r="CP3" i="24" s="1"/>
  <c r="AK4" i="24"/>
  <c r="CB4" i="24" s="1"/>
  <c r="AL4" i="24"/>
  <c r="CC4" i="24" s="1"/>
  <c r="AM4" i="24"/>
  <c r="CD4" i="24" s="1"/>
  <c r="AN4" i="24"/>
  <c r="CE4" i="24" s="1"/>
  <c r="AO4" i="24"/>
  <c r="CF4" i="24" s="1"/>
  <c r="AP4" i="24"/>
  <c r="AQ4" i="24"/>
  <c r="H5" i="57" s="1"/>
  <c r="AR4" i="24"/>
  <c r="AS4" i="24"/>
  <c r="AT4" i="24"/>
  <c r="AU4" i="24"/>
  <c r="AV4" i="24"/>
  <c r="AW4" i="24"/>
  <c r="CN4" i="24" s="1"/>
  <c r="AX4" i="24"/>
  <c r="CO4" i="24" s="1"/>
  <c r="AY4" i="24"/>
  <c r="CP4" i="24" s="1"/>
  <c r="AK5" i="24"/>
  <c r="CB5" i="24" s="1"/>
  <c r="AL5" i="24"/>
  <c r="CC5" i="24" s="1"/>
  <c r="AM5" i="24"/>
  <c r="CD5" i="24" s="1"/>
  <c r="AN5" i="24"/>
  <c r="CE5" i="24" s="1"/>
  <c r="AO5" i="24"/>
  <c r="CF5" i="24" s="1"/>
  <c r="AP5" i="24"/>
  <c r="AQ5" i="24"/>
  <c r="H6" i="57" s="1"/>
  <c r="AR5" i="24"/>
  <c r="AS5" i="24"/>
  <c r="AT5" i="24"/>
  <c r="AU5" i="24"/>
  <c r="AV5" i="24"/>
  <c r="AW5" i="24"/>
  <c r="CN5" i="24" s="1"/>
  <c r="AX5" i="24"/>
  <c r="CO5" i="24" s="1"/>
  <c r="AY5" i="24"/>
  <c r="CP5" i="24" s="1"/>
  <c r="AK6" i="24"/>
  <c r="CB6" i="24" s="1"/>
  <c r="AL6" i="24"/>
  <c r="CC6" i="24" s="1"/>
  <c r="AM6" i="24"/>
  <c r="CD6" i="24" s="1"/>
  <c r="AN6" i="24"/>
  <c r="CE6" i="24" s="1"/>
  <c r="AO6" i="24"/>
  <c r="CF6" i="24" s="1"/>
  <c r="AP6" i="24"/>
  <c r="AQ6" i="24"/>
  <c r="H7" i="57" s="1"/>
  <c r="AR6" i="24"/>
  <c r="AS6" i="24"/>
  <c r="AT6" i="24"/>
  <c r="AU6" i="24"/>
  <c r="AV6" i="24"/>
  <c r="AW6" i="24"/>
  <c r="CN6" i="24" s="1"/>
  <c r="AX6" i="24"/>
  <c r="CO6" i="24" s="1"/>
  <c r="AY6" i="24"/>
  <c r="CP6" i="24" s="1"/>
  <c r="AK7" i="24"/>
  <c r="CB7" i="24" s="1"/>
  <c r="AL7" i="24"/>
  <c r="CC7" i="24" s="1"/>
  <c r="AM7" i="24"/>
  <c r="CD7" i="24" s="1"/>
  <c r="AN7" i="24"/>
  <c r="CE7" i="24" s="1"/>
  <c r="AO7" i="24"/>
  <c r="CF7" i="24" s="1"/>
  <c r="AP7" i="24"/>
  <c r="AQ7" i="24"/>
  <c r="H8" i="57" s="1"/>
  <c r="AR7" i="24"/>
  <c r="AS7" i="24"/>
  <c r="AT7" i="24"/>
  <c r="AU7" i="24"/>
  <c r="AV7" i="24"/>
  <c r="AW7" i="24"/>
  <c r="CN7" i="24" s="1"/>
  <c r="AX7" i="24"/>
  <c r="CO7" i="24" s="1"/>
  <c r="AY7" i="24"/>
  <c r="CP7" i="24" s="1"/>
  <c r="AK8" i="24"/>
  <c r="CB8" i="24" s="1"/>
  <c r="AL8" i="24"/>
  <c r="CC8" i="24" s="1"/>
  <c r="AM8" i="24"/>
  <c r="CD8" i="24" s="1"/>
  <c r="AN8" i="24"/>
  <c r="CE8" i="24" s="1"/>
  <c r="AO8" i="24"/>
  <c r="CF8" i="24" s="1"/>
  <c r="AP8" i="24"/>
  <c r="AQ8" i="24"/>
  <c r="H9" i="57" s="1"/>
  <c r="AR8" i="24"/>
  <c r="AS8" i="24"/>
  <c r="AT8" i="24"/>
  <c r="AU8" i="24"/>
  <c r="AV8" i="24"/>
  <c r="AW8" i="24"/>
  <c r="CN8" i="24" s="1"/>
  <c r="AX8" i="24"/>
  <c r="CO8" i="24" s="1"/>
  <c r="AY8" i="24"/>
  <c r="CP8" i="24" s="1"/>
  <c r="AK9" i="24"/>
  <c r="CB9" i="24" s="1"/>
  <c r="AL9" i="24"/>
  <c r="CC9" i="24" s="1"/>
  <c r="AM9" i="24"/>
  <c r="CD9" i="24" s="1"/>
  <c r="AN9" i="24"/>
  <c r="CE9" i="24" s="1"/>
  <c r="AO9" i="24"/>
  <c r="CF9" i="24" s="1"/>
  <c r="AP9" i="24"/>
  <c r="AQ9" i="24"/>
  <c r="H10" i="57" s="1"/>
  <c r="AR9" i="24"/>
  <c r="AS9" i="24"/>
  <c r="AT9" i="24"/>
  <c r="AU9" i="24"/>
  <c r="AV9" i="24"/>
  <c r="AW9" i="24"/>
  <c r="CN9" i="24" s="1"/>
  <c r="AX9" i="24"/>
  <c r="CO9" i="24" s="1"/>
  <c r="AY9" i="24"/>
  <c r="CP9" i="24" s="1"/>
  <c r="AJ3" i="24"/>
  <c r="CA3" i="24" s="1"/>
  <c r="AJ4" i="24"/>
  <c r="CA4" i="24" s="1"/>
  <c r="AJ5" i="24"/>
  <c r="CA5" i="24" s="1"/>
  <c r="AJ6" i="24"/>
  <c r="CA6" i="24" s="1"/>
  <c r="AJ7" i="24"/>
  <c r="CA7" i="24" s="1"/>
  <c r="AJ8" i="24"/>
  <c r="CA8" i="24" s="1"/>
  <c r="AJ9" i="24"/>
  <c r="CA9" i="24" s="1"/>
  <c r="AJ2" i="24"/>
  <c r="CA2" i="24" s="1"/>
  <c r="CJ6" i="24" l="1"/>
  <c r="H7" i="58"/>
  <c r="H7" i="45"/>
  <c r="H7" i="37"/>
  <c r="G6" i="58"/>
  <c r="G6" i="45"/>
  <c r="G6" i="37"/>
  <c r="G4" i="57"/>
  <c r="G4" i="44"/>
  <c r="G4" i="20"/>
  <c r="CM129" i="24"/>
  <c r="G130" i="59"/>
  <c r="G130" i="46"/>
  <c r="G130" i="22"/>
  <c r="G129" i="58"/>
  <c r="G129" i="37"/>
  <c r="G129" i="45"/>
  <c r="G128" i="58"/>
  <c r="G128" i="37"/>
  <c r="G128" i="45"/>
  <c r="G127" i="58"/>
  <c r="G127" i="45"/>
  <c r="G127" i="37"/>
  <c r="G126" i="58"/>
  <c r="G126" i="45"/>
  <c r="G126" i="37"/>
  <c r="G125" i="58"/>
  <c r="G125" i="37"/>
  <c r="G125" i="45"/>
  <c r="CM123" i="24"/>
  <c r="G124" i="59"/>
  <c r="G124" i="46"/>
  <c r="G124" i="22"/>
  <c r="G123" i="58"/>
  <c r="G123" i="45"/>
  <c r="G123" i="37"/>
  <c r="G122" i="58"/>
  <c r="G122" i="45"/>
  <c r="G122" i="37"/>
  <c r="G121" i="58"/>
  <c r="G121" i="37"/>
  <c r="G121" i="45"/>
  <c r="G120" i="58"/>
  <c r="G120" i="37"/>
  <c r="G120" i="45"/>
  <c r="G119" i="58"/>
  <c r="G119" i="37"/>
  <c r="G119" i="45"/>
  <c r="CM117" i="24"/>
  <c r="G118" i="59"/>
  <c r="G118" i="46"/>
  <c r="G118" i="22"/>
  <c r="CM116" i="24"/>
  <c r="G117" i="59"/>
  <c r="G117" i="46"/>
  <c r="G117" i="22"/>
  <c r="CM115" i="24"/>
  <c r="G116" i="59"/>
  <c r="G116" i="46"/>
  <c r="G116" i="22"/>
  <c r="CM114" i="24"/>
  <c r="G115" i="59"/>
  <c r="G115" i="46"/>
  <c r="G115" i="22"/>
  <c r="G114" i="58"/>
  <c r="G114" i="45"/>
  <c r="G114" i="37"/>
  <c r="CM112" i="24"/>
  <c r="G113" i="59"/>
  <c r="G113" i="46"/>
  <c r="G113" i="22"/>
  <c r="G112" i="58"/>
  <c r="G112" i="37"/>
  <c r="G112" i="45"/>
  <c r="G111" i="58"/>
  <c r="G111" i="45"/>
  <c r="G111" i="37"/>
  <c r="G110" i="58"/>
  <c r="G110" i="45"/>
  <c r="G110" i="37"/>
  <c r="G109" i="58"/>
  <c r="G109" i="37"/>
  <c r="G109" i="45"/>
  <c r="CM107" i="24"/>
  <c r="G108" i="59"/>
  <c r="G108" i="46"/>
  <c r="G108" i="22"/>
  <c r="G107" i="58"/>
  <c r="G107" i="37"/>
  <c r="G107" i="45"/>
  <c r="G106" i="58"/>
  <c r="G106" i="37"/>
  <c r="G106" i="45"/>
  <c r="CM104" i="24"/>
  <c r="G105" i="59"/>
  <c r="G105" i="46"/>
  <c r="G105" i="22"/>
  <c r="CM103" i="24"/>
  <c r="G104" i="59"/>
  <c r="G104" i="46"/>
  <c r="G104" i="22"/>
  <c r="CM102" i="24"/>
  <c r="G103" i="59"/>
  <c r="G103" i="46"/>
  <c r="G103" i="22"/>
  <c r="G102" i="58"/>
  <c r="G102" i="37"/>
  <c r="G102" i="45"/>
  <c r="G101" i="58"/>
  <c r="G101" i="45"/>
  <c r="G101" i="37"/>
  <c r="G100" i="58"/>
  <c r="G100" i="45"/>
  <c r="G100" i="37"/>
  <c r="G99" i="58"/>
  <c r="G99" i="37"/>
  <c r="G99" i="45"/>
  <c r="G98" i="58"/>
  <c r="G98" i="37"/>
  <c r="G98" i="45"/>
  <c r="CM96" i="24"/>
  <c r="G97" i="59"/>
  <c r="G97" i="46"/>
  <c r="G97" i="22"/>
  <c r="CM95" i="24"/>
  <c r="G96" i="59"/>
  <c r="G96" i="46"/>
  <c r="G96" i="22"/>
  <c r="CM94" i="24"/>
  <c r="G95" i="59"/>
  <c r="G95" i="46"/>
  <c r="G95" i="22"/>
  <c r="G94" i="58"/>
  <c r="G94" i="37"/>
  <c r="G94" i="45"/>
  <c r="CM92" i="24"/>
  <c r="G93" i="59"/>
  <c r="G93" i="46"/>
  <c r="G93" i="22"/>
  <c r="G92" i="58"/>
  <c r="G92" i="45"/>
  <c r="G92" i="37"/>
  <c r="G91" i="58"/>
  <c r="G91" i="37"/>
  <c r="G91" i="45"/>
  <c r="G90" i="58"/>
  <c r="G90" i="37"/>
  <c r="G90" i="45"/>
  <c r="G89" i="58"/>
  <c r="G89" i="37"/>
  <c r="G89" i="45"/>
  <c r="CM87" i="24"/>
  <c r="G88" i="59"/>
  <c r="G88" i="46"/>
  <c r="G88" i="22"/>
  <c r="CM86" i="24"/>
  <c r="G87" i="59"/>
  <c r="G87" i="46"/>
  <c r="G87" i="22"/>
  <c r="G87" i="58"/>
  <c r="G87" i="45"/>
  <c r="G87" i="37"/>
  <c r="G86" i="58"/>
  <c r="G86" i="45"/>
  <c r="G86" i="37"/>
  <c r="CM84" i="24"/>
  <c r="G85" i="59"/>
  <c r="G85" i="46"/>
  <c r="G85" i="22"/>
  <c r="CM83" i="24"/>
  <c r="G84" i="59"/>
  <c r="G84" i="46"/>
  <c r="G84" i="22"/>
  <c r="CM82" i="24"/>
  <c r="G83" i="59"/>
  <c r="G83" i="46"/>
  <c r="G83" i="22"/>
  <c r="CM81" i="24"/>
  <c r="G82" i="59"/>
  <c r="G82" i="46"/>
  <c r="G82" i="22"/>
  <c r="G81" i="58"/>
  <c r="G81" i="37"/>
  <c r="G81" i="45"/>
  <c r="CM79" i="24"/>
  <c r="G80" i="59"/>
  <c r="G80" i="46"/>
  <c r="G80" i="22"/>
  <c r="CM78" i="24"/>
  <c r="G79" i="59"/>
  <c r="G79" i="46"/>
  <c r="G79" i="22"/>
  <c r="G79" i="58"/>
  <c r="G79" i="45"/>
  <c r="G79" i="37"/>
  <c r="CL9" i="24"/>
  <c r="H10" i="59"/>
  <c r="H10" i="46"/>
  <c r="H10" i="22"/>
  <c r="CJ7" i="24"/>
  <c r="H8" i="58"/>
  <c r="H8" i="37"/>
  <c r="H8" i="45"/>
  <c r="G7" i="58"/>
  <c r="G7" i="45"/>
  <c r="G7" i="37"/>
  <c r="CL5" i="24"/>
  <c r="H6" i="59"/>
  <c r="H6" i="46"/>
  <c r="H6" i="22"/>
  <c r="CJ3" i="24"/>
  <c r="H4" i="58"/>
  <c r="H4" i="37"/>
  <c r="H4" i="45"/>
  <c r="CL128" i="24"/>
  <c r="H129" i="59"/>
  <c r="H129" i="46"/>
  <c r="H129" i="22"/>
  <c r="CL126" i="24"/>
  <c r="H127" i="59"/>
  <c r="H127" i="46"/>
  <c r="H127" i="22"/>
  <c r="CL125" i="24"/>
  <c r="H126" i="59"/>
  <c r="H126" i="46"/>
  <c r="H126" i="22"/>
  <c r="CL123" i="24"/>
  <c r="H124" i="59"/>
  <c r="H124" i="46"/>
  <c r="H124" i="22"/>
  <c r="CL120" i="24"/>
  <c r="H121" i="59"/>
  <c r="H121" i="46"/>
  <c r="H121" i="22"/>
  <c r="CL119" i="24"/>
  <c r="H120" i="59"/>
  <c r="H120" i="46"/>
  <c r="H120" i="22"/>
  <c r="CL116" i="24"/>
  <c r="H117" i="59"/>
  <c r="H117" i="46"/>
  <c r="H117" i="22"/>
  <c r="CL114" i="24"/>
  <c r="H115" i="59"/>
  <c r="H115" i="46"/>
  <c r="H115" i="22"/>
  <c r="CL112" i="24"/>
  <c r="H113" i="59"/>
  <c r="H113" i="46"/>
  <c r="H113" i="22"/>
  <c r="CL109" i="24"/>
  <c r="H110" i="59"/>
  <c r="H110" i="46"/>
  <c r="H110" i="22"/>
  <c r="CL107" i="24"/>
  <c r="H108" i="59"/>
  <c r="H108" i="46"/>
  <c r="H108" i="22"/>
  <c r="CL105" i="24"/>
  <c r="H106" i="59"/>
  <c r="H106" i="46"/>
  <c r="H106" i="22"/>
  <c r="CL102" i="24"/>
  <c r="H103" i="59"/>
  <c r="H103" i="46"/>
  <c r="H103" i="22"/>
  <c r="CL100" i="24"/>
  <c r="H101" i="59"/>
  <c r="H101" i="46"/>
  <c r="H101" i="22"/>
  <c r="CL98" i="24"/>
  <c r="H99" i="59"/>
  <c r="H99" i="46"/>
  <c r="H99" i="22"/>
  <c r="CL97" i="24"/>
  <c r="H98" i="59"/>
  <c r="H98" i="46"/>
  <c r="H98" i="22"/>
  <c r="CL95" i="24"/>
  <c r="H96" i="59"/>
  <c r="H96" i="46"/>
  <c r="H96" i="22"/>
  <c r="CL93" i="24"/>
  <c r="H94" i="59"/>
  <c r="H94" i="46"/>
  <c r="H94" i="22"/>
  <c r="CL91" i="24"/>
  <c r="H92" i="59"/>
  <c r="H92" i="46"/>
  <c r="H92" i="22"/>
  <c r="CL89" i="24"/>
  <c r="H90" i="59"/>
  <c r="H90" i="46"/>
  <c r="H90" i="22"/>
  <c r="CL87" i="24"/>
  <c r="H88" i="59"/>
  <c r="H88" i="46"/>
  <c r="H88" i="22"/>
  <c r="CL85" i="24"/>
  <c r="H86" i="59"/>
  <c r="H86" i="46"/>
  <c r="H86" i="22"/>
  <c r="CL82" i="24"/>
  <c r="H83" i="59"/>
  <c r="H83" i="46"/>
  <c r="H83" i="22"/>
  <c r="CL81" i="24"/>
  <c r="H82" i="59"/>
  <c r="H82" i="46"/>
  <c r="H82" i="22"/>
  <c r="CL80" i="24"/>
  <c r="H81" i="59"/>
  <c r="H81" i="46"/>
  <c r="H81" i="22"/>
  <c r="CL77" i="24"/>
  <c r="H78" i="59"/>
  <c r="H78" i="46"/>
  <c r="H78" i="22"/>
  <c r="CL75" i="24"/>
  <c r="H76" i="59"/>
  <c r="H76" i="46"/>
  <c r="H76" i="22"/>
  <c r="CL74" i="24"/>
  <c r="H75" i="59"/>
  <c r="H75" i="46"/>
  <c r="H75" i="22"/>
  <c r="CL72" i="24"/>
  <c r="H73" i="59"/>
  <c r="H73" i="46"/>
  <c r="H73" i="22"/>
  <c r="CL69" i="24"/>
  <c r="H70" i="59"/>
  <c r="H70" i="46"/>
  <c r="H70" i="22"/>
  <c r="CL67" i="24"/>
  <c r="H68" i="59"/>
  <c r="H68" i="46"/>
  <c r="H68" i="22"/>
  <c r="CL66" i="24"/>
  <c r="H67" i="46"/>
  <c r="H67" i="22"/>
  <c r="H67" i="59"/>
  <c r="CL63" i="24"/>
  <c r="H64" i="59"/>
  <c r="H64" i="46"/>
  <c r="H64" i="22"/>
  <c r="CL61" i="24"/>
  <c r="H62" i="59"/>
  <c r="H62" i="46"/>
  <c r="H62" i="22"/>
  <c r="CL60" i="24"/>
  <c r="H61" i="59"/>
  <c r="H61" i="46"/>
  <c r="H61" i="22"/>
  <c r="CL57" i="24"/>
  <c r="H58" i="59"/>
  <c r="H58" i="46"/>
  <c r="H58" i="22"/>
  <c r="CL56" i="24"/>
  <c r="H57" i="59"/>
  <c r="H57" i="46"/>
  <c r="H57" i="22"/>
  <c r="CL55" i="24"/>
  <c r="H56" i="59"/>
  <c r="H56" i="46"/>
  <c r="H56" i="22"/>
  <c r="CL52" i="24"/>
  <c r="H53" i="59"/>
  <c r="H53" i="46"/>
  <c r="H53" i="22"/>
  <c r="CL50" i="24"/>
  <c r="H51" i="59"/>
  <c r="H51" i="46"/>
  <c r="H51" i="22"/>
  <c r="CL48" i="24"/>
  <c r="H49" i="59"/>
  <c r="H49" i="46"/>
  <c r="H49" i="22"/>
  <c r="CL46" i="24"/>
  <c r="H47" i="59"/>
  <c r="H47" i="22"/>
  <c r="H47" i="46"/>
  <c r="CL44" i="24"/>
  <c r="H45" i="59"/>
  <c r="H45" i="22"/>
  <c r="H45" i="46"/>
  <c r="CL42" i="24"/>
  <c r="H43" i="59"/>
  <c r="H43" i="22"/>
  <c r="H43" i="46"/>
  <c r="CL40" i="24"/>
  <c r="H41" i="59"/>
  <c r="H41" i="22"/>
  <c r="H41" i="46"/>
  <c r="CL37" i="24"/>
  <c r="H38" i="59"/>
  <c r="H38" i="46"/>
  <c r="H38" i="22"/>
  <c r="CL35" i="24"/>
  <c r="H36" i="59"/>
  <c r="H36" i="46"/>
  <c r="H36" i="22"/>
  <c r="CL33" i="24"/>
  <c r="H34" i="59"/>
  <c r="H34" i="46"/>
  <c r="H34" i="22"/>
  <c r="CL32" i="24"/>
  <c r="H33" i="59"/>
  <c r="H33" i="22"/>
  <c r="H33" i="46"/>
  <c r="CL30" i="24"/>
  <c r="H31" i="59"/>
  <c r="H31" i="22"/>
  <c r="H31" i="46"/>
  <c r="CL28" i="24"/>
  <c r="H29" i="59"/>
  <c r="H29" i="22"/>
  <c r="H29" i="46"/>
  <c r="CL26" i="24"/>
  <c r="H27" i="59"/>
  <c r="H27" i="22"/>
  <c r="H27" i="46"/>
  <c r="CL24" i="24"/>
  <c r="H25" i="59"/>
  <c r="H25" i="22"/>
  <c r="H25" i="46"/>
  <c r="CL22" i="24"/>
  <c r="H23" i="59"/>
  <c r="H23" i="22"/>
  <c r="H23" i="46"/>
  <c r="CL19" i="24"/>
  <c r="H20" i="59"/>
  <c r="H20" i="46"/>
  <c r="H20" i="22"/>
  <c r="CL17" i="24"/>
  <c r="H18" i="59"/>
  <c r="H18" i="46"/>
  <c r="H18" i="22"/>
  <c r="CL15" i="24"/>
  <c r="H16" i="59"/>
  <c r="H16" i="46"/>
  <c r="H16" i="22"/>
  <c r="CL13" i="24"/>
  <c r="H14" i="59"/>
  <c r="H14" i="46"/>
  <c r="H14" i="22"/>
  <c r="CL11" i="24"/>
  <c r="H12" i="59"/>
  <c r="H12" i="46"/>
  <c r="H12" i="22"/>
  <c r="CJ8" i="24"/>
  <c r="H9" i="58"/>
  <c r="H9" i="45"/>
  <c r="H9" i="37"/>
  <c r="CM7" i="24"/>
  <c r="G8" i="59"/>
  <c r="G8" i="22"/>
  <c r="G8" i="46"/>
  <c r="G8" i="58"/>
  <c r="G8" i="45"/>
  <c r="G8" i="37"/>
  <c r="CL6" i="24"/>
  <c r="H7" i="59"/>
  <c r="H7" i="22"/>
  <c r="H7" i="46"/>
  <c r="G6" i="57"/>
  <c r="G6" i="44"/>
  <c r="G6" i="20"/>
  <c r="CJ4" i="24"/>
  <c r="H5" i="58"/>
  <c r="H5" i="45"/>
  <c r="H5" i="37"/>
  <c r="CM3" i="24"/>
  <c r="G4" i="59"/>
  <c r="G4" i="46"/>
  <c r="G4" i="22"/>
  <c r="G4" i="58"/>
  <c r="G4" i="37"/>
  <c r="G4" i="45"/>
  <c r="CL2" i="24"/>
  <c r="H3" i="59"/>
  <c r="H3" i="46"/>
  <c r="H3" i="22"/>
  <c r="H3" i="57"/>
  <c r="H3" i="20"/>
  <c r="G130" i="57"/>
  <c r="G130" i="44"/>
  <c r="G130" i="20"/>
  <c r="G129" i="57"/>
  <c r="G129" i="44"/>
  <c r="G129" i="20"/>
  <c r="G128" i="57"/>
  <c r="G128" i="44"/>
  <c r="G128" i="20"/>
  <c r="G127" i="44"/>
  <c r="G127" i="57"/>
  <c r="G127" i="20"/>
  <c r="G126" i="57"/>
  <c r="G126" i="44"/>
  <c r="G126" i="20"/>
  <c r="G125" i="57"/>
  <c r="G125" i="20"/>
  <c r="G125" i="44"/>
  <c r="G124" i="57"/>
  <c r="G124" i="20"/>
  <c r="G124" i="44"/>
  <c r="G123" i="57"/>
  <c r="G123" i="44"/>
  <c r="G123" i="20"/>
  <c r="G122" i="57"/>
  <c r="G122" i="44"/>
  <c r="G122" i="20"/>
  <c r="G121" i="57"/>
  <c r="G121" i="44"/>
  <c r="G121" i="20"/>
  <c r="G120" i="57"/>
  <c r="G120" i="44"/>
  <c r="G120" i="20"/>
  <c r="G119" i="44"/>
  <c r="G119" i="57"/>
  <c r="G119" i="20"/>
  <c r="G118" i="57"/>
  <c r="G118" i="44"/>
  <c r="G118" i="20"/>
  <c r="G117" i="57"/>
  <c r="G117" i="20"/>
  <c r="G117" i="44"/>
  <c r="G116" i="57"/>
  <c r="G116" i="20"/>
  <c r="G116" i="44"/>
  <c r="G115" i="57"/>
  <c r="G115" i="44"/>
  <c r="G115" i="20"/>
  <c r="G114" i="57"/>
  <c r="G114" i="44"/>
  <c r="G114" i="20"/>
  <c r="G113" i="57"/>
  <c r="G113" i="44"/>
  <c r="G113" i="20"/>
  <c r="G112" i="57"/>
  <c r="G112" i="44"/>
  <c r="G112" i="20"/>
  <c r="G111" i="44"/>
  <c r="G111" i="57"/>
  <c r="G111" i="20"/>
  <c r="G110" i="57"/>
  <c r="G110" i="44"/>
  <c r="G110" i="20"/>
  <c r="G109" i="57"/>
  <c r="G109" i="44"/>
  <c r="G109" i="20"/>
  <c r="G108" i="57"/>
  <c r="G108" i="44"/>
  <c r="G108" i="20"/>
  <c r="G107" i="57"/>
  <c r="G107" i="44"/>
  <c r="G107" i="20"/>
  <c r="G106" i="57"/>
  <c r="G106" i="44"/>
  <c r="G106" i="20"/>
  <c r="G105" i="57"/>
  <c r="G105" i="20"/>
  <c r="G105" i="44"/>
  <c r="G104" i="57"/>
  <c r="G104" i="44"/>
  <c r="G104" i="20"/>
  <c r="G103" i="44"/>
  <c r="G103" i="57"/>
  <c r="G103" i="20"/>
  <c r="G102" i="57"/>
  <c r="G102" i="44"/>
  <c r="G102" i="20"/>
  <c r="G101" i="57"/>
  <c r="G101" i="20"/>
  <c r="G101" i="44"/>
  <c r="G100" i="57"/>
  <c r="G100" i="44"/>
  <c r="G100" i="20"/>
  <c r="G99" i="57"/>
  <c r="G99" i="44"/>
  <c r="G99" i="20"/>
  <c r="G98" i="57"/>
  <c r="G98" i="44"/>
  <c r="G98" i="20"/>
  <c r="G97" i="57"/>
  <c r="G97" i="44"/>
  <c r="G97" i="20"/>
  <c r="G96" i="57"/>
  <c r="G96" i="44"/>
  <c r="G96" i="20"/>
  <c r="G95" i="57"/>
  <c r="G95" i="44"/>
  <c r="G95" i="20"/>
  <c r="G94" i="57"/>
  <c r="G94" i="44"/>
  <c r="G94" i="20"/>
  <c r="G93" i="57"/>
  <c r="G93" i="44"/>
  <c r="G93" i="20"/>
  <c r="G92" i="57"/>
  <c r="G92" i="44"/>
  <c r="G92" i="20"/>
  <c r="G91" i="57"/>
  <c r="G91" i="44"/>
  <c r="G91" i="20"/>
  <c r="G90" i="57"/>
  <c r="G90" i="44"/>
  <c r="G90" i="20"/>
  <c r="G89" i="57"/>
  <c r="G89" i="20"/>
  <c r="G89" i="44"/>
  <c r="G88" i="57"/>
  <c r="G88" i="44"/>
  <c r="G88" i="20"/>
  <c r="G87" i="57"/>
  <c r="G87" i="44"/>
  <c r="G87" i="20"/>
  <c r="G86" i="57"/>
  <c r="G86" i="44"/>
  <c r="G86" i="20"/>
  <c r="G85" i="57"/>
  <c r="G85" i="20"/>
  <c r="G85" i="44"/>
  <c r="G84" i="57"/>
  <c r="G84" i="44"/>
  <c r="G84" i="20"/>
  <c r="G83" i="57"/>
  <c r="G83" i="44"/>
  <c r="G83" i="20"/>
  <c r="G82" i="57"/>
  <c r="G82" i="44"/>
  <c r="G82" i="20"/>
  <c r="G81" i="57"/>
  <c r="G81" i="44"/>
  <c r="G81" i="20"/>
  <c r="G80" i="57"/>
  <c r="G80" i="44"/>
  <c r="G80" i="20"/>
  <c r="G79" i="57"/>
  <c r="G79" i="44"/>
  <c r="G79" i="20"/>
  <c r="G78" i="57"/>
  <c r="G78" i="44"/>
  <c r="G78" i="20"/>
  <c r="G77" i="57"/>
  <c r="G77" i="44"/>
  <c r="G77" i="20"/>
  <c r="G76" i="57"/>
  <c r="G76" i="44"/>
  <c r="G76" i="20"/>
  <c r="G75" i="57"/>
  <c r="G75" i="44"/>
  <c r="G75" i="20"/>
  <c r="G74" i="57"/>
  <c r="G74" i="44"/>
  <c r="G74" i="20"/>
  <c r="G73" i="57"/>
  <c r="G73" i="20"/>
  <c r="G73" i="44"/>
  <c r="G72" i="57"/>
  <c r="G72" i="44"/>
  <c r="G72" i="20"/>
  <c r="G71" i="57"/>
  <c r="G71" i="44"/>
  <c r="G71" i="20"/>
  <c r="G70" i="57"/>
  <c r="G70" i="44"/>
  <c r="G70" i="20"/>
  <c r="G69" i="57"/>
  <c r="G69" i="20"/>
  <c r="G69" i="44"/>
  <c r="G68" i="57"/>
  <c r="G68" i="44"/>
  <c r="G68" i="20"/>
  <c r="G67" i="44"/>
  <c r="G67" i="57"/>
  <c r="G67" i="20"/>
  <c r="G66" i="57"/>
  <c r="G66" i="44"/>
  <c r="G66" i="20"/>
  <c r="G65" i="57"/>
  <c r="G65" i="44"/>
  <c r="G65" i="20"/>
  <c r="G64" i="57"/>
  <c r="G64" i="44"/>
  <c r="G64" i="20"/>
  <c r="G63" i="44"/>
  <c r="G63" i="57"/>
  <c r="G63" i="20"/>
  <c r="G62" i="57"/>
  <c r="G62" i="44"/>
  <c r="G62" i="20"/>
  <c r="G61" i="57"/>
  <c r="G61" i="44"/>
  <c r="G61" i="20"/>
  <c r="G60" i="57"/>
  <c r="G60" i="44"/>
  <c r="G60" i="20"/>
  <c r="G59" i="44"/>
  <c r="G59" i="20"/>
  <c r="G59" i="57"/>
  <c r="G58" i="57"/>
  <c r="G58" i="44"/>
  <c r="G58" i="20"/>
  <c r="G57" i="57"/>
  <c r="G57" i="20"/>
  <c r="G57" i="44"/>
  <c r="G56" i="57"/>
  <c r="G56" i="44"/>
  <c r="G56" i="20"/>
  <c r="G55" i="44"/>
  <c r="G55" i="57"/>
  <c r="G55" i="20"/>
  <c r="G54" i="57"/>
  <c r="G54" i="44"/>
  <c r="G54" i="20"/>
  <c r="G53" i="57"/>
  <c r="G53" i="20"/>
  <c r="G53" i="44"/>
  <c r="G52" i="57"/>
  <c r="G52" i="44"/>
  <c r="G52" i="20"/>
  <c r="G51" i="44"/>
  <c r="G51" i="57"/>
  <c r="G51" i="20"/>
  <c r="G50" i="57"/>
  <c r="G50" i="44"/>
  <c r="G50" i="20"/>
  <c r="G49" i="57"/>
  <c r="G49" i="44"/>
  <c r="G49" i="20"/>
  <c r="G48" i="57"/>
  <c r="G48" i="44"/>
  <c r="G48" i="20"/>
  <c r="G47" i="44"/>
  <c r="G47" i="57"/>
  <c r="G47" i="20"/>
  <c r="G46" i="57"/>
  <c r="G46" i="44"/>
  <c r="G46" i="20"/>
  <c r="G45" i="57"/>
  <c r="G45" i="44"/>
  <c r="G45" i="20"/>
  <c r="G44" i="57"/>
  <c r="G44" i="44"/>
  <c r="G44" i="20"/>
  <c r="G43" i="44"/>
  <c r="G43" i="20"/>
  <c r="G43" i="57"/>
  <c r="G42" i="57"/>
  <c r="G42" i="44"/>
  <c r="G42" i="20"/>
  <c r="G41" i="57"/>
  <c r="G41" i="20"/>
  <c r="G41" i="44"/>
  <c r="G40" i="57"/>
  <c r="G40" i="44"/>
  <c r="G40" i="20"/>
  <c r="G39" i="44"/>
  <c r="G39" i="57"/>
  <c r="G39" i="20"/>
  <c r="G38" i="57"/>
  <c r="G38" i="44"/>
  <c r="G38" i="20"/>
  <c r="G37" i="57"/>
  <c r="G37" i="20"/>
  <c r="G37" i="44"/>
  <c r="G36" i="57"/>
  <c r="G36" i="44"/>
  <c r="G36" i="20"/>
  <c r="G35" i="44"/>
  <c r="G35" i="57"/>
  <c r="G35" i="20"/>
  <c r="G34" i="57"/>
  <c r="G34" i="44"/>
  <c r="G34" i="20"/>
  <c r="G33" i="57"/>
  <c r="G33" i="44"/>
  <c r="G33" i="20"/>
  <c r="G32" i="57"/>
  <c r="G32" i="44"/>
  <c r="G32" i="20"/>
  <c r="G31" i="44"/>
  <c r="G31" i="57"/>
  <c r="G31" i="20"/>
  <c r="G30" i="57"/>
  <c r="G30" i="44"/>
  <c r="G30" i="20"/>
  <c r="G29" i="57"/>
  <c r="G29" i="44"/>
  <c r="G29" i="20"/>
  <c r="G28" i="57"/>
  <c r="G28" i="44"/>
  <c r="G28" i="20"/>
  <c r="G27" i="44"/>
  <c r="G27" i="20"/>
  <c r="G27" i="57"/>
  <c r="G26" i="57"/>
  <c r="G26" i="44"/>
  <c r="G26" i="20"/>
  <c r="G25" i="57"/>
  <c r="G25" i="20"/>
  <c r="G25" i="44"/>
  <c r="G24" i="57"/>
  <c r="G24" i="44"/>
  <c r="G24" i="20"/>
  <c r="G23" i="44"/>
  <c r="G23" i="57"/>
  <c r="G23" i="20"/>
  <c r="G22" i="57"/>
  <c r="G22" i="44"/>
  <c r="G22" i="20"/>
  <c r="G21" i="57"/>
  <c r="G21" i="20"/>
  <c r="G21" i="44"/>
  <c r="G20" i="57"/>
  <c r="G20" i="44"/>
  <c r="G20" i="20"/>
  <c r="G19" i="44"/>
  <c r="G19" i="57"/>
  <c r="G19" i="20"/>
  <c r="G18" i="57"/>
  <c r="G18" i="44"/>
  <c r="G18" i="20"/>
  <c r="G17" i="57"/>
  <c r="G17" i="44"/>
  <c r="G17" i="20"/>
  <c r="G16" i="57"/>
  <c r="G16" i="44"/>
  <c r="G16" i="20"/>
  <c r="G15" i="44"/>
  <c r="G15" i="57"/>
  <c r="G15" i="20"/>
  <c r="G14" i="57"/>
  <c r="G14" i="44"/>
  <c r="G14" i="20"/>
  <c r="G13" i="57"/>
  <c r="G13" i="44"/>
  <c r="G13" i="20"/>
  <c r="G12" i="57"/>
  <c r="G12" i="44"/>
  <c r="G12" i="20"/>
  <c r="G11" i="44"/>
  <c r="G11" i="20"/>
  <c r="G11" i="57"/>
  <c r="CM9" i="24"/>
  <c r="G10" i="59"/>
  <c r="G10" i="22"/>
  <c r="G10" i="46"/>
  <c r="G10" i="58"/>
  <c r="G10" i="45"/>
  <c r="G10" i="37"/>
  <c r="CL8" i="24"/>
  <c r="H9" i="59"/>
  <c r="H9" i="22"/>
  <c r="H9" i="46"/>
  <c r="G8" i="57"/>
  <c r="G8" i="44"/>
  <c r="G8" i="20"/>
  <c r="CM5" i="24"/>
  <c r="G6" i="59"/>
  <c r="G6" i="22"/>
  <c r="G6" i="46"/>
  <c r="CL4" i="24"/>
  <c r="H5" i="59"/>
  <c r="H5" i="46"/>
  <c r="H5" i="22"/>
  <c r="CJ2" i="24"/>
  <c r="H3" i="58"/>
  <c r="H3" i="45"/>
  <c r="H3" i="37"/>
  <c r="G130" i="58"/>
  <c r="G130" i="45"/>
  <c r="G130" i="37"/>
  <c r="CM128" i="24"/>
  <c r="G129" i="59"/>
  <c r="G129" i="46"/>
  <c r="G129" i="22"/>
  <c r="CM127" i="24"/>
  <c r="G128" i="59"/>
  <c r="G128" i="46"/>
  <c r="G128" i="22"/>
  <c r="CM126" i="24"/>
  <c r="G127" i="59"/>
  <c r="G127" i="46"/>
  <c r="G127" i="22"/>
  <c r="CM125" i="24"/>
  <c r="G126" i="59"/>
  <c r="G126" i="22"/>
  <c r="G126" i="46"/>
  <c r="CM124" i="24"/>
  <c r="G125" i="59"/>
  <c r="G125" i="46"/>
  <c r="G125" i="22"/>
  <c r="G124" i="58"/>
  <c r="G124" i="45"/>
  <c r="G124" i="37"/>
  <c r="CM122" i="24"/>
  <c r="G123" i="59"/>
  <c r="G123" i="46"/>
  <c r="G123" i="22"/>
  <c r="CM121" i="24"/>
  <c r="G122" i="59"/>
  <c r="G122" i="22"/>
  <c r="G122" i="46"/>
  <c r="CM120" i="24"/>
  <c r="G121" i="59"/>
  <c r="G121" i="46"/>
  <c r="G121" i="22"/>
  <c r="CM119" i="24"/>
  <c r="G120" i="59"/>
  <c r="G120" i="46"/>
  <c r="G120" i="22"/>
  <c r="CM118" i="24"/>
  <c r="G119" i="59"/>
  <c r="G119" i="46"/>
  <c r="G119" i="22"/>
  <c r="G118" i="58"/>
  <c r="G118" i="45"/>
  <c r="G118" i="37"/>
  <c r="G117" i="58"/>
  <c r="G117" i="45"/>
  <c r="G117" i="37"/>
  <c r="G116" i="58"/>
  <c r="G116" i="37"/>
  <c r="G116" i="45"/>
  <c r="G115" i="58"/>
  <c r="G115" i="37"/>
  <c r="G115" i="45"/>
  <c r="CM113" i="24"/>
  <c r="G114" i="59"/>
  <c r="G114" i="46"/>
  <c r="G114" i="22"/>
  <c r="G113" i="58"/>
  <c r="G113" i="45"/>
  <c r="G113" i="37"/>
  <c r="CM111" i="24"/>
  <c r="G112" i="59"/>
  <c r="G112" i="46"/>
  <c r="G112" i="22"/>
  <c r="CM110" i="24"/>
  <c r="G111" i="59"/>
  <c r="G111" i="46"/>
  <c r="G111" i="22"/>
  <c r="CM109" i="24"/>
  <c r="G110" i="59"/>
  <c r="G110" i="46"/>
  <c r="G110" i="22"/>
  <c r="CM108" i="24"/>
  <c r="G109" i="59"/>
  <c r="G109" i="46"/>
  <c r="G109" i="22"/>
  <c r="G108" i="58"/>
  <c r="G108" i="45"/>
  <c r="G108" i="37"/>
  <c r="CM106" i="24"/>
  <c r="G107" i="59"/>
  <c r="G107" i="46"/>
  <c r="G107" i="22"/>
  <c r="CM105" i="24"/>
  <c r="G106" i="59"/>
  <c r="G106" i="22"/>
  <c r="G106" i="46"/>
  <c r="G105" i="58"/>
  <c r="G105" i="45"/>
  <c r="G105" i="37"/>
  <c r="G104" i="58"/>
  <c r="G104" i="45"/>
  <c r="G104" i="37"/>
  <c r="G103" i="58"/>
  <c r="G103" i="37"/>
  <c r="G103" i="45"/>
  <c r="CM101" i="24"/>
  <c r="G102" i="59"/>
  <c r="G102" i="46"/>
  <c r="G102" i="22"/>
  <c r="CM100" i="24"/>
  <c r="G101" i="59"/>
  <c r="G101" i="46"/>
  <c r="G101" i="22"/>
  <c r="CM99" i="24"/>
  <c r="G100" i="59"/>
  <c r="G100" i="46"/>
  <c r="G100" i="22"/>
  <c r="CM98" i="24"/>
  <c r="G99" i="59"/>
  <c r="G99" i="46"/>
  <c r="G99" i="22"/>
  <c r="CM97" i="24"/>
  <c r="G98" i="59"/>
  <c r="G98" i="46"/>
  <c r="G98" i="22"/>
  <c r="G97" i="58"/>
  <c r="G97" i="45"/>
  <c r="G97" i="37"/>
  <c r="G96" i="58"/>
  <c r="G96" i="45"/>
  <c r="G96" i="37"/>
  <c r="G95" i="58"/>
  <c r="G95" i="37"/>
  <c r="G95" i="45"/>
  <c r="CM93" i="24"/>
  <c r="G94" i="59"/>
  <c r="G94" i="22"/>
  <c r="G94" i="46"/>
  <c r="G93" i="58"/>
  <c r="G93" i="45"/>
  <c r="G93" i="37"/>
  <c r="CM91" i="24"/>
  <c r="G92" i="59"/>
  <c r="G92" i="46"/>
  <c r="G92" i="22"/>
  <c r="CM90" i="24"/>
  <c r="G91" i="59"/>
  <c r="G91" i="46"/>
  <c r="G91" i="22"/>
  <c r="CM89" i="24"/>
  <c r="G90" i="59"/>
  <c r="G90" i="22"/>
  <c r="G90" i="46"/>
  <c r="CM88" i="24"/>
  <c r="G89" i="59"/>
  <c r="G89" i="46"/>
  <c r="G89" i="22"/>
  <c r="G88" i="58"/>
  <c r="G88" i="45"/>
  <c r="G88" i="37"/>
  <c r="CM85" i="24"/>
  <c r="G86" i="59"/>
  <c r="G86" i="46"/>
  <c r="G86" i="22"/>
  <c r="G85" i="58"/>
  <c r="G85" i="37"/>
  <c r="G85" i="45"/>
  <c r="G84" i="58"/>
  <c r="G84" i="37"/>
  <c r="G84" i="45"/>
  <c r="G83" i="58"/>
  <c r="G83" i="45"/>
  <c r="G83" i="37"/>
  <c r="G82" i="58"/>
  <c r="G82" i="45"/>
  <c r="G82" i="37"/>
  <c r="CM80" i="24"/>
  <c r="G81" i="59"/>
  <c r="G81" i="46"/>
  <c r="G81" i="22"/>
  <c r="G80" i="58"/>
  <c r="G80" i="37"/>
  <c r="G80" i="45"/>
  <c r="G9" i="57"/>
  <c r="G9" i="20"/>
  <c r="G9" i="44"/>
  <c r="CM6" i="24"/>
  <c r="G7" i="59"/>
  <c r="G7" i="46"/>
  <c r="G7" i="22"/>
  <c r="G5" i="57"/>
  <c r="G5" i="20"/>
  <c r="G5" i="44"/>
  <c r="CM2" i="24"/>
  <c r="G3" i="59"/>
  <c r="G3" i="46"/>
  <c r="G3" i="22"/>
  <c r="G3" i="58"/>
  <c r="G3" i="37"/>
  <c r="G3" i="45"/>
  <c r="CL129" i="24"/>
  <c r="H130" i="59"/>
  <c r="H130" i="46"/>
  <c r="H130" i="22"/>
  <c r="CL127" i="24"/>
  <c r="H128" i="59"/>
  <c r="H128" i="46"/>
  <c r="H128" i="22"/>
  <c r="CL124" i="24"/>
  <c r="H125" i="59"/>
  <c r="H125" i="46"/>
  <c r="H125" i="22"/>
  <c r="CL122" i="24"/>
  <c r="H123" i="59"/>
  <c r="H123" i="46"/>
  <c r="H123" i="22"/>
  <c r="CL121" i="24"/>
  <c r="H122" i="59"/>
  <c r="H122" i="46"/>
  <c r="H122" i="22"/>
  <c r="CL118" i="24"/>
  <c r="H119" i="59"/>
  <c r="H119" i="46"/>
  <c r="H119" i="22"/>
  <c r="CL117" i="24"/>
  <c r="H118" i="59"/>
  <c r="H118" i="46"/>
  <c r="H118" i="22"/>
  <c r="CL115" i="24"/>
  <c r="H116" i="59"/>
  <c r="H116" i="46"/>
  <c r="H116" i="22"/>
  <c r="CL113" i="24"/>
  <c r="H114" i="59"/>
  <c r="H114" i="46"/>
  <c r="H114" i="22"/>
  <c r="CL111" i="24"/>
  <c r="H112" i="59"/>
  <c r="H112" i="46"/>
  <c r="H112" i="22"/>
  <c r="CL110" i="24"/>
  <c r="H111" i="59"/>
  <c r="H111" i="46"/>
  <c r="H111" i="22"/>
  <c r="CL108" i="24"/>
  <c r="H109" i="59"/>
  <c r="H109" i="46"/>
  <c r="H109" i="22"/>
  <c r="CL106" i="24"/>
  <c r="H107" i="59"/>
  <c r="H107" i="46"/>
  <c r="H107" i="22"/>
  <c r="CL104" i="24"/>
  <c r="H105" i="59"/>
  <c r="H105" i="46"/>
  <c r="H105" i="22"/>
  <c r="CL103" i="24"/>
  <c r="H104" i="59"/>
  <c r="H104" i="46"/>
  <c r="H104" i="22"/>
  <c r="CL101" i="24"/>
  <c r="H102" i="59"/>
  <c r="H102" i="46"/>
  <c r="H102" i="22"/>
  <c r="CL99" i="24"/>
  <c r="H100" i="59"/>
  <c r="H100" i="46"/>
  <c r="H100" i="22"/>
  <c r="CL96" i="24"/>
  <c r="H97" i="59"/>
  <c r="H97" i="46"/>
  <c r="H97" i="22"/>
  <c r="CL94" i="24"/>
  <c r="H95" i="59"/>
  <c r="H95" i="46"/>
  <c r="H95" i="22"/>
  <c r="CL92" i="24"/>
  <c r="H93" i="59"/>
  <c r="H93" i="46"/>
  <c r="H93" i="22"/>
  <c r="CL90" i="24"/>
  <c r="H91" i="59"/>
  <c r="H91" i="46"/>
  <c r="H91" i="22"/>
  <c r="CL88" i="24"/>
  <c r="H89" i="59"/>
  <c r="H89" i="46"/>
  <c r="H89" i="22"/>
  <c r="CL86" i="24"/>
  <c r="H87" i="59"/>
  <c r="H87" i="46"/>
  <c r="H87" i="22"/>
  <c r="CL84" i="24"/>
  <c r="H85" i="59"/>
  <c r="H85" i="46"/>
  <c r="H85" i="22"/>
  <c r="CL83" i="24"/>
  <c r="H84" i="59"/>
  <c r="H84" i="46"/>
  <c r="H84" i="22"/>
  <c r="CL79" i="24"/>
  <c r="H80" i="59"/>
  <c r="H80" i="46"/>
  <c r="H80" i="22"/>
  <c r="CL78" i="24"/>
  <c r="H79" i="59"/>
  <c r="H79" i="46"/>
  <c r="H79" i="22"/>
  <c r="CL76" i="24"/>
  <c r="H77" i="59"/>
  <c r="H77" i="46"/>
  <c r="H77" i="22"/>
  <c r="CL73" i="24"/>
  <c r="H74" i="59"/>
  <c r="H74" i="46"/>
  <c r="H74" i="22"/>
  <c r="CL71" i="24"/>
  <c r="H72" i="59"/>
  <c r="H72" i="46"/>
  <c r="H72" i="22"/>
  <c r="CL70" i="24"/>
  <c r="H71" i="59"/>
  <c r="H71" i="46"/>
  <c r="H71" i="22"/>
  <c r="CL68" i="24"/>
  <c r="H69" i="59"/>
  <c r="H69" i="46"/>
  <c r="H69" i="22"/>
  <c r="CL65" i="24"/>
  <c r="H66" i="59"/>
  <c r="H66" i="46"/>
  <c r="H66" i="22"/>
  <c r="CL64" i="24"/>
  <c r="H65" i="59"/>
  <c r="H65" i="46"/>
  <c r="H65" i="22"/>
  <c r="CL62" i="24"/>
  <c r="H63" i="59"/>
  <c r="H63" i="46"/>
  <c r="H63" i="22"/>
  <c r="CL59" i="24"/>
  <c r="H60" i="59"/>
  <c r="H60" i="46"/>
  <c r="H60" i="22"/>
  <c r="CL58" i="24"/>
  <c r="H59" i="59"/>
  <c r="H59" i="46"/>
  <c r="H59" i="22"/>
  <c r="CL54" i="24"/>
  <c r="H55" i="59"/>
  <c r="H55" i="46"/>
  <c r="H55" i="22"/>
  <c r="CL53" i="24"/>
  <c r="H54" i="59"/>
  <c r="H54" i="46"/>
  <c r="H54" i="22"/>
  <c r="CL51" i="24"/>
  <c r="H52" i="59"/>
  <c r="H52" i="46"/>
  <c r="H52" i="22"/>
  <c r="CL49" i="24"/>
  <c r="H50" i="59"/>
  <c r="H50" i="46"/>
  <c r="H50" i="22"/>
  <c r="CL47" i="24"/>
  <c r="H48" i="59"/>
  <c r="H48" i="46"/>
  <c r="H48" i="22"/>
  <c r="CL45" i="24"/>
  <c r="H46" i="59"/>
  <c r="H46" i="46"/>
  <c r="H46" i="22"/>
  <c r="CL43" i="24"/>
  <c r="H44" i="59"/>
  <c r="H44" i="46"/>
  <c r="H44" i="22"/>
  <c r="CL41" i="24"/>
  <c r="H42" i="59"/>
  <c r="H42" i="46"/>
  <c r="H42" i="22"/>
  <c r="CL39" i="24"/>
  <c r="H40" i="59"/>
  <c r="H40" i="46"/>
  <c r="H40" i="22"/>
  <c r="CL38" i="24"/>
  <c r="H39" i="59"/>
  <c r="H39" i="22"/>
  <c r="H39" i="46"/>
  <c r="CL36" i="24"/>
  <c r="H37" i="59"/>
  <c r="H37" i="22"/>
  <c r="H37" i="46"/>
  <c r="CL34" i="24"/>
  <c r="H35" i="22"/>
  <c r="H35" i="59"/>
  <c r="H35" i="46"/>
  <c r="CL31" i="24"/>
  <c r="H32" i="59"/>
  <c r="H32" i="46"/>
  <c r="H32" i="22"/>
  <c r="CL29" i="24"/>
  <c r="H30" i="59"/>
  <c r="H30" i="46"/>
  <c r="H30" i="22"/>
  <c r="CL27" i="24"/>
  <c r="H28" i="59"/>
  <c r="H28" i="46"/>
  <c r="H28" i="22"/>
  <c r="CL25" i="24"/>
  <c r="H26" i="59"/>
  <c r="H26" i="46"/>
  <c r="H26" i="22"/>
  <c r="CL23" i="24"/>
  <c r="H24" i="59"/>
  <c r="H24" i="46"/>
  <c r="H24" i="22"/>
  <c r="CL21" i="24"/>
  <c r="H22" i="59"/>
  <c r="H22" i="46"/>
  <c r="H22" i="22"/>
  <c r="CL20" i="24"/>
  <c r="H21" i="59"/>
  <c r="H21" i="22"/>
  <c r="H21" i="46"/>
  <c r="CL18" i="24"/>
  <c r="H19" i="59"/>
  <c r="H19" i="22"/>
  <c r="H19" i="46"/>
  <c r="CL16" i="24"/>
  <c r="H17" i="59"/>
  <c r="H17" i="22"/>
  <c r="H17" i="46"/>
  <c r="CL14" i="24"/>
  <c r="H15" i="59"/>
  <c r="H15" i="22"/>
  <c r="H15" i="46"/>
  <c r="CL12" i="24"/>
  <c r="H13" i="59"/>
  <c r="H13" i="22"/>
  <c r="H13" i="46"/>
  <c r="CL10" i="24"/>
  <c r="H11" i="59"/>
  <c r="H11" i="22"/>
  <c r="H11" i="46"/>
  <c r="G10" i="57"/>
  <c r="G10" i="44"/>
  <c r="G10" i="20"/>
  <c r="CJ9" i="24"/>
  <c r="H10" i="58"/>
  <c r="H10" i="37"/>
  <c r="H10" i="45"/>
  <c r="CM8" i="24"/>
  <c r="G9" i="59"/>
  <c r="G9" i="46"/>
  <c r="G9" i="22"/>
  <c r="G9" i="58"/>
  <c r="G9" i="45"/>
  <c r="G9" i="37"/>
  <c r="CL7" i="24"/>
  <c r="H8" i="59"/>
  <c r="H8" i="46"/>
  <c r="H8" i="22"/>
  <c r="G7" i="44"/>
  <c r="G7" i="57"/>
  <c r="G7" i="20"/>
  <c r="CJ5" i="24"/>
  <c r="H6" i="58"/>
  <c r="H6" i="37"/>
  <c r="H6" i="45"/>
  <c r="CM4" i="24"/>
  <c r="G5" i="59"/>
  <c r="G5" i="46"/>
  <c r="G5" i="22"/>
  <c r="G5" i="58"/>
  <c r="G5" i="45"/>
  <c r="G5" i="37"/>
  <c r="CL3" i="24"/>
  <c r="H4" i="59"/>
  <c r="H4" i="46"/>
  <c r="H4" i="22"/>
  <c r="G3" i="44"/>
  <c r="G3" i="57"/>
  <c r="G3" i="20"/>
  <c r="CJ129" i="24"/>
  <c r="H130" i="58"/>
  <c r="H130" i="37"/>
  <c r="H130" i="45"/>
  <c r="CJ128" i="24"/>
  <c r="H129" i="58"/>
  <c r="H129" i="45"/>
  <c r="H129" i="37"/>
  <c r="CJ127" i="24"/>
  <c r="H128" i="58"/>
  <c r="H128" i="37"/>
  <c r="H128" i="45"/>
  <c r="CJ126" i="24"/>
  <c r="H127" i="58"/>
  <c r="H127" i="45"/>
  <c r="H127" i="37"/>
  <c r="CJ125" i="24"/>
  <c r="H126" i="58"/>
  <c r="H126" i="37"/>
  <c r="H126" i="45"/>
  <c r="CJ124" i="24"/>
  <c r="H125" i="58"/>
  <c r="H125" i="45"/>
  <c r="H125" i="37"/>
  <c r="CJ123" i="24"/>
  <c r="H124" i="58"/>
  <c r="H124" i="37"/>
  <c r="H124" i="45"/>
  <c r="CJ122" i="24"/>
  <c r="H123" i="58"/>
  <c r="H123" i="45"/>
  <c r="H123" i="37"/>
  <c r="CJ121" i="24"/>
  <c r="H122" i="58"/>
  <c r="H122" i="37"/>
  <c r="H122" i="45"/>
  <c r="CJ120" i="24"/>
  <c r="H121" i="58"/>
  <c r="H121" i="45"/>
  <c r="H121" i="37"/>
  <c r="CJ119" i="24"/>
  <c r="H120" i="58"/>
  <c r="H120" i="37"/>
  <c r="H120" i="45"/>
  <c r="CJ118" i="24"/>
  <c r="H119" i="58"/>
  <c r="H119" i="45"/>
  <c r="H119" i="37"/>
  <c r="CJ117" i="24"/>
  <c r="H118" i="58"/>
  <c r="H118" i="37"/>
  <c r="H118" i="45"/>
  <c r="CJ116" i="24"/>
  <c r="H117" i="58"/>
  <c r="H117" i="45"/>
  <c r="H117" i="37"/>
  <c r="CJ115" i="24"/>
  <c r="H116" i="58"/>
  <c r="H116" i="37"/>
  <c r="H116" i="45"/>
  <c r="CJ114" i="24"/>
  <c r="H115" i="58"/>
  <c r="H115" i="45"/>
  <c r="H115" i="37"/>
  <c r="CJ113" i="24"/>
  <c r="H114" i="58"/>
  <c r="H114" i="37"/>
  <c r="H114" i="45"/>
  <c r="CJ112" i="24"/>
  <c r="H113" i="58"/>
  <c r="H113" i="45"/>
  <c r="H113" i="37"/>
  <c r="CJ111" i="24"/>
  <c r="H112" i="58"/>
  <c r="H112" i="37"/>
  <c r="H112" i="45"/>
  <c r="CJ110" i="24"/>
  <c r="H111" i="58"/>
  <c r="H111" i="45"/>
  <c r="H111" i="37"/>
  <c r="CJ109" i="24"/>
  <c r="H110" i="58"/>
  <c r="H110" i="37"/>
  <c r="H110" i="45"/>
  <c r="CJ108" i="24"/>
  <c r="H109" i="58"/>
  <c r="H109" i="45"/>
  <c r="H109" i="37"/>
  <c r="CJ107" i="24"/>
  <c r="H108" i="58"/>
  <c r="H108" i="37"/>
  <c r="H108" i="45"/>
  <c r="CJ106" i="24"/>
  <c r="H107" i="58"/>
  <c r="H107" i="45"/>
  <c r="H107" i="37"/>
  <c r="CJ105" i="24"/>
  <c r="H106" i="58"/>
  <c r="H106" i="37"/>
  <c r="H106" i="45"/>
  <c r="CJ104" i="24"/>
  <c r="H105" i="58"/>
  <c r="H105" i="45"/>
  <c r="H105" i="37"/>
  <c r="CJ103" i="24"/>
  <c r="H104" i="58"/>
  <c r="H104" i="37"/>
  <c r="H104" i="45"/>
  <c r="CJ102" i="24"/>
  <c r="H103" i="58"/>
  <c r="H103" i="45"/>
  <c r="H103" i="37"/>
  <c r="CJ101" i="24"/>
  <c r="H102" i="58"/>
  <c r="H102" i="37"/>
  <c r="H102" i="45"/>
  <c r="CJ100" i="24"/>
  <c r="H101" i="58"/>
  <c r="H101" i="45"/>
  <c r="H101" i="37"/>
  <c r="CJ99" i="24"/>
  <c r="H100" i="58"/>
  <c r="H100" i="37"/>
  <c r="H100" i="45"/>
  <c r="CJ98" i="24"/>
  <c r="H99" i="58"/>
  <c r="H99" i="45"/>
  <c r="H99" i="37"/>
  <c r="CJ97" i="24"/>
  <c r="H98" i="58"/>
  <c r="H98" i="37"/>
  <c r="H98" i="45"/>
  <c r="CJ96" i="24"/>
  <c r="H97" i="58"/>
  <c r="H97" i="45"/>
  <c r="H97" i="37"/>
  <c r="CJ95" i="24"/>
  <c r="H96" i="58"/>
  <c r="H96" i="37"/>
  <c r="H96" i="45"/>
  <c r="CJ94" i="24"/>
  <c r="H95" i="58"/>
  <c r="H95" i="45"/>
  <c r="H95" i="37"/>
  <c r="CJ93" i="24"/>
  <c r="H94" i="58"/>
  <c r="H94" i="37"/>
  <c r="H94" i="45"/>
  <c r="CJ92" i="24"/>
  <c r="H93" i="58"/>
  <c r="H93" i="45"/>
  <c r="H93" i="37"/>
  <c r="CJ91" i="24"/>
  <c r="H92" i="58"/>
  <c r="H92" i="37"/>
  <c r="H92" i="45"/>
  <c r="CJ90" i="24"/>
  <c r="H91" i="58"/>
  <c r="H91" i="45"/>
  <c r="H91" i="37"/>
  <c r="CJ89" i="24"/>
  <c r="H90" i="58"/>
  <c r="H90" i="37"/>
  <c r="H90" i="45"/>
  <c r="CJ88" i="24"/>
  <c r="H89" i="58"/>
  <c r="H89" i="45"/>
  <c r="H89" i="37"/>
  <c r="CJ87" i="24"/>
  <c r="H88" i="58"/>
  <c r="H88" i="37"/>
  <c r="H88" i="45"/>
  <c r="CJ86" i="24"/>
  <c r="H87" i="58"/>
  <c r="H87" i="45"/>
  <c r="H87" i="37"/>
  <c r="CJ85" i="24"/>
  <c r="H86" i="58"/>
  <c r="H86" i="37"/>
  <c r="H86" i="45"/>
  <c r="CJ84" i="24"/>
  <c r="H85" i="58"/>
  <c r="H85" i="45"/>
  <c r="H85" i="37"/>
  <c r="CJ83" i="24"/>
  <c r="H84" i="58"/>
  <c r="H84" i="37"/>
  <c r="H84" i="45"/>
  <c r="CJ82" i="24"/>
  <c r="H83" i="58"/>
  <c r="H83" i="45"/>
  <c r="H83" i="37"/>
  <c r="CJ81" i="24"/>
  <c r="H82" i="58"/>
  <c r="H82" i="37"/>
  <c r="H82" i="45"/>
  <c r="CJ80" i="24"/>
  <c r="H81" i="58"/>
  <c r="H81" i="45"/>
  <c r="H81" i="37"/>
  <c r="CJ79" i="24"/>
  <c r="H80" i="58"/>
  <c r="H80" i="37"/>
  <c r="H80" i="45"/>
  <c r="CJ78" i="24"/>
  <c r="H79" i="58"/>
  <c r="H79" i="45"/>
  <c r="H79" i="37"/>
  <c r="CJ77" i="24"/>
  <c r="H78" i="58"/>
  <c r="H78" i="37"/>
  <c r="H78" i="45"/>
  <c r="CJ76" i="24"/>
  <c r="H77" i="58"/>
  <c r="H77" i="45"/>
  <c r="H77" i="37"/>
  <c r="CJ75" i="24"/>
  <c r="H76" i="58"/>
  <c r="H76" i="37"/>
  <c r="H76" i="45"/>
  <c r="CJ74" i="24"/>
  <c r="H75" i="58"/>
  <c r="H75" i="45"/>
  <c r="H75" i="37"/>
  <c r="CJ73" i="24"/>
  <c r="H74" i="58"/>
  <c r="H74" i="37"/>
  <c r="H74" i="45"/>
  <c r="CJ72" i="24"/>
  <c r="H73" i="58"/>
  <c r="H73" i="45"/>
  <c r="H73" i="37"/>
  <c r="CJ71" i="24"/>
  <c r="H72" i="58"/>
  <c r="H72" i="37"/>
  <c r="H72" i="45"/>
  <c r="CJ70" i="24"/>
  <c r="H71" i="58"/>
  <c r="H71" i="45"/>
  <c r="H71" i="37"/>
  <c r="CJ69" i="24"/>
  <c r="H70" i="58"/>
  <c r="H70" i="37"/>
  <c r="H70" i="45"/>
  <c r="CJ68" i="24"/>
  <c r="H69" i="58"/>
  <c r="H69" i="45"/>
  <c r="H69" i="37"/>
  <c r="CJ67" i="24"/>
  <c r="H68" i="58"/>
  <c r="H68" i="37"/>
  <c r="H68" i="45"/>
  <c r="CJ66" i="24"/>
  <c r="H67" i="58"/>
  <c r="H67" i="45"/>
  <c r="H67" i="37"/>
  <c r="CJ65" i="24"/>
  <c r="H66" i="58"/>
  <c r="H66" i="37"/>
  <c r="H66" i="45"/>
  <c r="CJ64" i="24"/>
  <c r="H65" i="58"/>
  <c r="H65" i="45"/>
  <c r="H65" i="37"/>
  <c r="CJ63" i="24"/>
  <c r="H64" i="58"/>
  <c r="H64" i="37"/>
  <c r="H64" i="45"/>
  <c r="CJ62" i="24"/>
  <c r="H63" i="58"/>
  <c r="H63" i="45"/>
  <c r="H63" i="37"/>
  <c r="CJ61" i="24"/>
  <c r="H62" i="58"/>
  <c r="H62" i="37"/>
  <c r="H62" i="45"/>
  <c r="CJ60" i="24"/>
  <c r="H61" i="58"/>
  <c r="H61" i="45"/>
  <c r="H61" i="37"/>
  <c r="CJ59" i="24"/>
  <c r="H60" i="58"/>
  <c r="H60" i="37"/>
  <c r="H60" i="45"/>
  <c r="CJ58" i="24"/>
  <c r="H59" i="58"/>
  <c r="H59" i="45"/>
  <c r="H59" i="37"/>
  <c r="CJ57" i="24"/>
  <c r="H58" i="58"/>
  <c r="H58" i="37"/>
  <c r="H58" i="45"/>
  <c r="CJ56" i="24"/>
  <c r="H57" i="58"/>
  <c r="H57" i="45"/>
  <c r="H57" i="37"/>
  <c r="CJ55" i="24"/>
  <c r="H56" i="58"/>
  <c r="H56" i="37"/>
  <c r="H56" i="45"/>
  <c r="CJ54" i="24"/>
  <c r="H55" i="58"/>
  <c r="H55" i="45"/>
  <c r="H55" i="37"/>
  <c r="CJ53" i="24"/>
  <c r="H54" i="58"/>
  <c r="H54" i="37"/>
  <c r="H54" i="45"/>
  <c r="CJ52" i="24"/>
  <c r="H53" i="58"/>
  <c r="H53" i="45"/>
  <c r="H53" i="37"/>
  <c r="CJ51" i="24"/>
  <c r="H52" i="58"/>
  <c r="H52" i="37"/>
  <c r="H52" i="45"/>
  <c r="CJ50" i="24"/>
  <c r="H51" i="58"/>
  <c r="H51" i="45"/>
  <c r="H51" i="37"/>
  <c r="CJ49" i="24"/>
  <c r="H50" i="58"/>
  <c r="H50" i="37"/>
  <c r="H50" i="45"/>
  <c r="CJ48" i="24"/>
  <c r="H49" i="58"/>
  <c r="H49" i="45"/>
  <c r="H49" i="37"/>
  <c r="CJ47" i="24"/>
  <c r="H48" i="58"/>
  <c r="H48" i="37"/>
  <c r="H48" i="45"/>
  <c r="CJ46" i="24"/>
  <c r="H47" i="58"/>
  <c r="H47" i="45"/>
  <c r="H47" i="37"/>
  <c r="CJ45" i="24"/>
  <c r="H46" i="58"/>
  <c r="H46" i="37"/>
  <c r="H46" i="45"/>
  <c r="CJ44" i="24"/>
  <c r="H45" i="58"/>
  <c r="H45" i="45"/>
  <c r="H45" i="37"/>
  <c r="CJ43" i="24"/>
  <c r="H44" i="58"/>
  <c r="H44" i="37"/>
  <c r="H44" i="45"/>
  <c r="CJ42" i="24"/>
  <c r="H43" i="58"/>
  <c r="H43" i="45"/>
  <c r="H43" i="37"/>
  <c r="CJ41" i="24"/>
  <c r="H42" i="58"/>
  <c r="H42" i="37"/>
  <c r="H42" i="45"/>
  <c r="CJ40" i="24"/>
  <c r="H41" i="58"/>
  <c r="H41" i="45"/>
  <c r="H41" i="37"/>
  <c r="CJ39" i="24"/>
  <c r="H40" i="58"/>
  <c r="H40" i="37"/>
  <c r="H40" i="45"/>
  <c r="CJ38" i="24"/>
  <c r="H39" i="58"/>
  <c r="H39" i="45"/>
  <c r="H39" i="37"/>
  <c r="CJ37" i="24"/>
  <c r="H38" i="58"/>
  <c r="H38" i="37"/>
  <c r="H38" i="45"/>
  <c r="CJ36" i="24"/>
  <c r="H37" i="58"/>
  <c r="H37" i="45"/>
  <c r="H37" i="37"/>
  <c r="CJ35" i="24"/>
  <c r="H36" i="58"/>
  <c r="H36" i="37"/>
  <c r="H36" i="45"/>
  <c r="CJ34" i="24"/>
  <c r="H35" i="58"/>
  <c r="H35" i="45"/>
  <c r="H35" i="37"/>
  <c r="CJ33" i="24"/>
  <c r="H34" i="58"/>
  <c r="H34" i="37"/>
  <c r="H34" i="45"/>
  <c r="CJ32" i="24"/>
  <c r="H33" i="58"/>
  <c r="H33" i="45"/>
  <c r="H33" i="37"/>
  <c r="CJ31" i="24"/>
  <c r="H32" i="58"/>
  <c r="H32" i="37"/>
  <c r="H32" i="45"/>
  <c r="CJ30" i="24"/>
  <c r="H31" i="58"/>
  <c r="H31" i="45"/>
  <c r="H31" i="37"/>
  <c r="CJ29" i="24"/>
  <c r="H30" i="58"/>
  <c r="H30" i="37"/>
  <c r="H30" i="45"/>
  <c r="CJ28" i="24"/>
  <c r="H29" i="58"/>
  <c r="H29" i="45"/>
  <c r="H29" i="37"/>
  <c r="CJ27" i="24"/>
  <c r="H28" i="58"/>
  <c r="H28" i="37"/>
  <c r="H28" i="45"/>
  <c r="CJ26" i="24"/>
  <c r="H27" i="58"/>
  <c r="H27" i="45"/>
  <c r="H27" i="37"/>
  <c r="CJ25" i="24"/>
  <c r="H26" i="58"/>
  <c r="H26" i="37"/>
  <c r="H26" i="45"/>
  <c r="CJ24" i="24"/>
  <c r="H25" i="58"/>
  <c r="H25" i="45"/>
  <c r="H25" i="37"/>
  <c r="CJ23" i="24"/>
  <c r="H24" i="58"/>
  <c r="H24" i="37"/>
  <c r="H24" i="45"/>
  <c r="CJ22" i="24"/>
  <c r="H23" i="58"/>
  <c r="H23" i="45"/>
  <c r="H23" i="37"/>
  <c r="CJ21" i="24"/>
  <c r="H22" i="58"/>
  <c r="H22" i="37"/>
  <c r="H22" i="45"/>
  <c r="CJ20" i="24"/>
  <c r="H21" i="58"/>
  <c r="H21" i="45"/>
  <c r="H21" i="37"/>
  <c r="CJ19" i="24"/>
  <c r="H20" i="58"/>
  <c r="H20" i="37"/>
  <c r="H20" i="45"/>
  <c r="CJ18" i="24"/>
  <c r="H19" i="58"/>
  <c r="H19" i="45"/>
  <c r="H19" i="37"/>
  <c r="CJ17" i="24"/>
  <c r="H18" i="58"/>
  <c r="H18" i="37"/>
  <c r="H18" i="45"/>
  <c r="CJ16" i="24"/>
  <c r="H17" i="58"/>
  <c r="H17" i="45"/>
  <c r="H17" i="37"/>
  <c r="CJ15" i="24"/>
  <c r="H16" i="58"/>
  <c r="H16" i="37"/>
  <c r="H16" i="45"/>
  <c r="CJ14" i="24"/>
  <c r="H15" i="58"/>
  <c r="H15" i="45"/>
  <c r="H15" i="37"/>
  <c r="CJ13" i="24"/>
  <c r="H14" i="58"/>
  <c r="H14" i="37"/>
  <c r="H14" i="45"/>
  <c r="CJ12" i="24"/>
  <c r="H13" i="58"/>
  <c r="H13" i="45"/>
  <c r="H13" i="37"/>
  <c r="CJ11" i="24"/>
  <c r="H12" i="58"/>
  <c r="H12" i="37"/>
  <c r="H12" i="45"/>
  <c r="CJ10" i="24"/>
  <c r="H11" i="58"/>
  <c r="H11" i="45"/>
  <c r="H11" i="37"/>
  <c r="CM77" i="24"/>
  <c r="G78" i="59"/>
  <c r="G78" i="46"/>
  <c r="G78" i="22"/>
  <c r="G78" i="58"/>
  <c r="G78" i="45"/>
  <c r="G78" i="37"/>
  <c r="CM76" i="24"/>
  <c r="G77" i="59"/>
  <c r="G77" i="46"/>
  <c r="G77" i="22"/>
  <c r="G77" i="58"/>
  <c r="G77" i="37"/>
  <c r="G77" i="45"/>
  <c r="CM75" i="24"/>
  <c r="G76" i="59"/>
  <c r="G76" i="46"/>
  <c r="G76" i="22"/>
  <c r="G76" i="58"/>
  <c r="G76" i="37"/>
  <c r="G76" i="45"/>
  <c r="CM74" i="24"/>
  <c r="G75" i="59"/>
  <c r="G75" i="46"/>
  <c r="G75" i="22"/>
  <c r="G75" i="58"/>
  <c r="G75" i="45"/>
  <c r="G75" i="37"/>
  <c r="CM73" i="24"/>
  <c r="G74" i="59"/>
  <c r="G74" i="22"/>
  <c r="G74" i="46"/>
  <c r="G74" i="58"/>
  <c r="G74" i="45"/>
  <c r="G74" i="37"/>
  <c r="CM72" i="24"/>
  <c r="G73" i="59"/>
  <c r="G73" i="46"/>
  <c r="G73" i="22"/>
  <c r="G73" i="58"/>
  <c r="G73" i="37"/>
  <c r="G73" i="45"/>
  <c r="CM71" i="24"/>
  <c r="G72" i="59"/>
  <c r="G72" i="46"/>
  <c r="G72" i="22"/>
  <c r="G72" i="58"/>
  <c r="G72" i="37"/>
  <c r="G72" i="45"/>
  <c r="CM70" i="24"/>
  <c r="G71" i="59"/>
  <c r="G71" i="46"/>
  <c r="G71" i="22"/>
  <c r="G71" i="58"/>
  <c r="G71" i="37"/>
  <c r="G71" i="45"/>
  <c r="CM69" i="24"/>
  <c r="G70" i="59"/>
  <c r="G70" i="22"/>
  <c r="G70" i="46"/>
  <c r="G70" i="58"/>
  <c r="G70" i="45"/>
  <c r="G70" i="37"/>
  <c r="CM68" i="24"/>
  <c r="G69" i="59"/>
  <c r="G69" i="46"/>
  <c r="G69" i="22"/>
  <c r="G69" i="58"/>
  <c r="G69" i="45"/>
  <c r="G69" i="37"/>
  <c r="CM67" i="24"/>
  <c r="G68" i="46"/>
  <c r="G68" i="59"/>
  <c r="G68" i="22"/>
  <c r="G68" i="58"/>
  <c r="G68" i="37"/>
  <c r="G68" i="45"/>
  <c r="CM66" i="24"/>
  <c r="G67" i="59"/>
  <c r="G67" i="46"/>
  <c r="G67" i="22"/>
  <c r="G67" i="58"/>
  <c r="G67" i="37"/>
  <c r="G67" i="45"/>
  <c r="CM65" i="24"/>
  <c r="G66" i="59"/>
  <c r="G66" i="46"/>
  <c r="G66" i="22"/>
  <c r="G66" i="58"/>
  <c r="G66" i="37"/>
  <c r="G66" i="45"/>
  <c r="CM64" i="24"/>
  <c r="G65" i="59"/>
  <c r="G65" i="46"/>
  <c r="G65" i="22"/>
  <c r="G65" i="58"/>
  <c r="G65" i="45"/>
  <c r="G65" i="37"/>
  <c r="CM63" i="24"/>
  <c r="G64" i="59"/>
  <c r="G64" i="46"/>
  <c r="G64" i="22"/>
  <c r="G64" i="58"/>
  <c r="G64" i="45"/>
  <c r="G64" i="37"/>
  <c r="CM62" i="24"/>
  <c r="G63" i="59"/>
  <c r="G63" i="46"/>
  <c r="G63" i="22"/>
  <c r="G63" i="58"/>
  <c r="G63" i="45"/>
  <c r="G63" i="37"/>
  <c r="CM61" i="24"/>
  <c r="G62" i="59"/>
  <c r="G62" i="46"/>
  <c r="G62" i="22"/>
  <c r="G62" i="58"/>
  <c r="G62" i="45"/>
  <c r="G62" i="37"/>
  <c r="CM60" i="24"/>
  <c r="G61" i="59"/>
  <c r="G61" i="46"/>
  <c r="G61" i="22"/>
  <c r="G61" i="58"/>
  <c r="G61" i="45"/>
  <c r="G61" i="37"/>
  <c r="CM59" i="24"/>
  <c r="G60" i="59"/>
  <c r="G60" i="46"/>
  <c r="G60" i="22"/>
  <c r="G60" i="58"/>
  <c r="G60" i="37"/>
  <c r="G60" i="45"/>
  <c r="CM58" i="24"/>
  <c r="G59" i="59"/>
  <c r="G59" i="46"/>
  <c r="G59" i="22"/>
  <c r="G59" i="58"/>
  <c r="G59" i="45"/>
  <c r="G59" i="37"/>
  <c r="CM57" i="24"/>
  <c r="G58" i="59"/>
  <c r="G58" i="22"/>
  <c r="G58" i="46"/>
  <c r="G58" i="58"/>
  <c r="G58" i="45"/>
  <c r="G58" i="37"/>
  <c r="CM56" i="24"/>
  <c r="G57" i="59"/>
  <c r="G57" i="46"/>
  <c r="G57" i="22"/>
  <c r="G57" i="58"/>
  <c r="G57" i="45"/>
  <c r="G57" i="37"/>
  <c r="CM55" i="24"/>
  <c r="G56" i="59"/>
  <c r="G56" i="46"/>
  <c r="G56" i="22"/>
  <c r="G56" i="58"/>
  <c r="G56" i="37"/>
  <c r="G56" i="45"/>
  <c r="CM54" i="24"/>
  <c r="G55" i="59"/>
  <c r="G55" i="46"/>
  <c r="G55" i="22"/>
  <c r="G55" i="58"/>
  <c r="G55" i="45"/>
  <c r="G55" i="37"/>
  <c r="CM53" i="24"/>
  <c r="G54" i="59"/>
  <c r="G54" i="22"/>
  <c r="G54" i="46"/>
  <c r="G54" i="58"/>
  <c r="G54" i="45"/>
  <c r="G54" i="37"/>
  <c r="CM52" i="24"/>
  <c r="G53" i="59"/>
  <c r="G53" i="46"/>
  <c r="G53" i="22"/>
  <c r="G53" i="58"/>
  <c r="G53" i="45"/>
  <c r="G53" i="37"/>
  <c r="CM51" i="24"/>
  <c r="G52" i="59"/>
  <c r="G52" i="46"/>
  <c r="G52" i="22"/>
  <c r="G52" i="58"/>
  <c r="G52" i="45"/>
  <c r="G52" i="37"/>
  <c r="CM50" i="24"/>
  <c r="G51" i="59"/>
  <c r="G51" i="46"/>
  <c r="G51" i="22"/>
  <c r="G51" i="58"/>
  <c r="G51" i="45"/>
  <c r="G51" i="37"/>
  <c r="CM49" i="24"/>
  <c r="G50" i="59"/>
  <c r="G50" i="46"/>
  <c r="G50" i="22"/>
  <c r="G50" i="58"/>
  <c r="G50" i="45"/>
  <c r="G50" i="37"/>
  <c r="CM48" i="24"/>
  <c r="G49" i="59"/>
  <c r="G49" i="46"/>
  <c r="G49" i="22"/>
  <c r="G49" i="58"/>
  <c r="G49" i="45"/>
  <c r="G49" i="37"/>
  <c r="CM47" i="24"/>
  <c r="G48" i="59"/>
  <c r="G48" i="22"/>
  <c r="G48" i="46"/>
  <c r="G48" i="58"/>
  <c r="G48" i="45"/>
  <c r="G48" i="37"/>
  <c r="CM46" i="24"/>
  <c r="G47" i="59"/>
  <c r="G47" i="46"/>
  <c r="G47" i="22"/>
  <c r="G47" i="58"/>
  <c r="G47" i="45"/>
  <c r="G47" i="37"/>
  <c r="CM45" i="24"/>
  <c r="G46" i="59"/>
  <c r="G46" i="22"/>
  <c r="G46" i="46"/>
  <c r="G46" i="58"/>
  <c r="G46" i="45"/>
  <c r="G46" i="37"/>
  <c r="CM44" i="24"/>
  <c r="G45" i="59"/>
  <c r="G45" i="46"/>
  <c r="G45" i="22"/>
  <c r="G45" i="58"/>
  <c r="G45" i="45"/>
  <c r="G45" i="37"/>
  <c r="CM43" i="24"/>
  <c r="G44" i="59"/>
  <c r="G44" i="22"/>
  <c r="G44" i="46"/>
  <c r="G44" i="58"/>
  <c r="G44" i="45"/>
  <c r="G44" i="37"/>
  <c r="CM42" i="24"/>
  <c r="G43" i="59"/>
  <c r="G43" i="46"/>
  <c r="G43" i="22"/>
  <c r="G43" i="58"/>
  <c r="G43" i="45"/>
  <c r="G43" i="37"/>
  <c r="CM41" i="24"/>
  <c r="G42" i="59"/>
  <c r="G42" i="22"/>
  <c r="G42" i="46"/>
  <c r="G42" i="58"/>
  <c r="G42" i="45"/>
  <c r="G42" i="37"/>
  <c r="CM40" i="24"/>
  <c r="G41" i="59"/>
  <c r="G41" i="46"/>
  <c r="G41" i="22"/>
  <c r="G41" i="58"/>
  <c r="G41" i="45"/>
  <c r="G41" i="37"/>
  <c r="CM39" i="24"/>
  <c r="G40" i="59"/>
  <c r="G40" i="22"/>
  <c r="G40" i="46"/>
  <c r="G40" i="58"/>
  <c r="G40" i="45"/>
  <c r="G40" i="37"/>
  <c r="CM38" i="24"/>
  <c r="G39" i="59"/>
  <c r="G39" i="46"/>
  <c r="G39" i="22"/>
  <c r="G39" i="58"/>
  <c r="G39" i="45"/>
  <c r="G39" i="37"/>
  <c r="CM37" i="24"/>
  <c r="G38" i="59"/>
  <c r="G38" i="22"/>
  <c r="G38" i="46"/>
  <c r="G38" i="58"/>
  <c r="G38" i="45"/>
  <c r="G38" i="37"/>
  <c r="CM36" i="24"/>
  <c r="G37" i="59"/>
  <c r="G37" i="46"/>
  <c r="G37" i="22"/>
  <c r="G37" i="58"/>
  <c r="G37" i="45"/>
  <c r="G37" i="37"/>
  <c r="CM35" i="24"/>
  <c r="G36" i="59"/>
  <c r="G36" i="22"/>
  <c r="G36" i="46"/>
  <c r="G36" i="58"/>
  <c r="G36" i="45"/>
  <c r="G36" i="37"/>
  <c r="CM34" i="24"/>
  <c r="G35" i="59"/>
  <c r="G35" i="46"/>
  <c r="G35" i="22"/>
  <c r="G35" i="58"/>
  <c r="G35" i="45"/>
  <c r="G35" i="37"/>
  <c r="CM33" i="24"/>
  <c r="G34" i="59"/>
  <c r="G34" i="22"/>
  <c r="G34" i="46"/>
  <c r="G34" i="58"/>
  <c r="G34" i="45"/>
  <c r="G34" i="37"/>
  <c r="CM32" i="24"/>
  <c r="G33" i="59"/>
  <c r="G33" i="46"/>
  <c r="G33" i="22"/>
  <c r="G33" i="58"/>
  <c r="G33" i="45"/>
  <c r="G33" i="37"/>
  <c r="CM31" i="24"/>
  <c r="G32" i="59"/>
  <c r="G32" i="22"/>
  <c r="G32" i="46"/>
  <c r="G32" i="58"/>
  <c r="G32" i="45"/>
  <c r="G32" i="37"/>
  <c r="CM30" i="24"/>
  <c r="G31" i="59"/>
  <c r="G31" i="46"/>
  <c r="G31" i="22"/>
  <c r="G31" i="58"/>
  <c r="G31" i="45"/>
  <c r="G31" i="37"/>
  <c r="CM29" i="24"/>
  <c r="G30" i="59"/>
  <c r="G30" i="22"/>
  <c r="G30" i="46"/>
  <c r="G30" i="58"/>
  <c r="G30" i="45"/>
  <c r="G30" i="37"/>
  <c r="CM28" i="24"/>
  <c r="G29" i="59"/>
  <c r="G29" i="46"/>
  <c r="G29" i="22"/>
  <c r="G29" i="58"/>
  <c r="G29" i="45"/>
  <c r="G29" i="37"/>
  <c r="CM27" i="24"/>
  <c r="G28" i="59"/>
  <c r="G28" i="22"/>
  <c r="G28" i="46"/>
  <c r="G28" i="58"/>
  <c r="G28" i="37"/>
  <c r="G28" i="45"/>
  <c r="CM26" i="24"/>
  <c r="G27" i="59"/>
  <c r="G27" i="46"/>
  <c r="G27" i="22"/>
  <c r="G27" i="58"/>
  <c r="G27" i="45"/>
  <c r="G27" i="37"/>
  <c r="CM25" i="24"/>
  <c r="G26" i="59"/>
  <c r="G26" i="22"/>
  <c r="G26" i="46"/>
  <c r="G26" i="58"/>
  <c r="G26" i="45"/>
  <c r="G26" i="37"/>
  <c r="CM24" i="24"/>
  <c r="G25" i="59"/>
  <c r="G25" i="46"/>
  <c r="G25" i="22"/>
  <c r="G25" i="58"/>
  <c r="G25" i="45"/>
  <c r="G25" i="37"/>
  <c r="CM23" i="24"/>
  <c r="G24" i="59"/>
  <c r="G24" i="22"/>
  <c r="G24" i="46"/>
  <c r="G24" i="58"/>
  <c r="G24" i="37"/>
  <c r="G24" i="45"/>
  <c r="CM22" i="24"/>
  <c r="G23" i="59"/>
  <c r="G23" i="46"/>
  <c r="G23" i="22"/>
  <c r="G23" i="58"/>
  <c r="G23" i="45"/>
  <c r="G23" i="37"/>
  <c r="CM21" i="24"/>
  <c r="G22" i="59"/>
  <c r="G22" i="22"/>
  <c r="G22" i="46"/>
  <c r="G22" i="58"/>
  <c r="G22" i="45"/>
  <c r="G22" i="37"/>
  <c r="CM20" i="24"/>
  <c r="G21" i="59"/>
  <c r="G21" i="46"/>
  <c r="G21" i="22"/>
  <c r="G21" i="58"/>
  <c r="G21" i="45"/>
  <c r="G21" i="37"/>
  <c r="CM19" i="24"/>
  <c r="G20" i="59"/>
  <c r="G20" i="22"/>
  <c r="G20" i="46"/>
  <c r="G20" i="58"/>
  <c r="G20" i="37"/>
  <c r="G20" i="45"/>
  <c r="CM18" i="24"/>
  <c r="G19" i="59"/>
  <c r="G19" i="46"/>
  <c r="G19" i="22"/>
  <c r="G19" i="58"/>
  <c r="G19" i="45"/>
  <c r="G19" i="37"/>
  <c r="CM17" i="24"/>
  <c r="G18" i="59"/>
  <c r="G18" i="22"/>
  <c r="G18" i="46"/>
  <c r="G18" i="58"/>
  <c r="G18" i="45"/>
  <c r="G18" i="37"/>
  <c r="CM16" i="24"/>
  <c r="G17" i="59"/>
  <c r="G17" i="46"/>
  <c r="G17" i="22"/>
  <c r="G17" i="58"/>
  <c r="G17" i="45"/>
  <c r="G17" i="37"/>
  <c r="CM15" i="24"/>
  <c r="G16" i="59"/>
  <c r="G16" i="22"/>
  <c r="G16" i="46"/>
  <c r="G16" i="58"/>
  <c r="G16" i="45"/>
  <c r="G16" i="37"/>
  <c r="CM14" i="24"/>
  <c r="G15" i="59"/>
  <c r="G15" i="46"/>
  <c r="G15" i="22"/>
  <c r="G15" i="58"/>
  <c r="G15" i="45"/>
  <c r="G15" i="37"/>
  <c r="CM13" i="24"/>
  <c r="G14" i="59"/>
  <c r="G14" i="22"/>
  <c r="G14" i="46"/>
  <c r="G14" i="58"/>
  <c r="G14" i="45"/>
  <c r="G14" i="37"/>
  <c r="CM12" i="24"/>
  <c r="G13" i="59"/>
  <c r="G13" i="46"/>
  <c r="G13" i="22"/>
  <c r="G13" i="58"/>
  <c r="G13" i="45"/>
  <c r="G13" i="37"/>
  <c r="CM11" i="24"/>
  <c r="G12" i="59"/>
  <c r="G12" i="22"/>
  <c r="G12" i="46"/>
  <c r="G12" i="58"/>
  <c r="G12" i="45"/>
  <c r="G12" i="37"/>
  <c r="CM10" i="24"/>
  <c r="G11" i="59"/>
  <c r="G11" i="46"/>
  <c r="G11" i="22"/>
  <c r="G11" i="58"/>
  <c r="G11" i="45"/>
  <c r="G11" i="37"/>
  <c r="CI9" i="24"/>
  <c r="CI129" i="24"/>
  <c r="CI126" i="24"/>
  <c r="CI123" i="24"/>
  <c r="CI120" i="24"/>
  <c r="CI112" i="24"/>
  <c r="CI107" i="24"/>
  <c r="CI99" i="24"/>
  <c r="CI95" i="24"/>
  <c r="CI93" i="24"/>
  <c r="CI88" i="24"/>
  <c r="CI85" i="24"/>
  <c r="CI81" i="24"/>
  <c r="CI76" i="24"/>
  <c r="CI74" i="24"/>
  <c r="CI71" i="24"/>
  <c r="CI66" i="24"/>
  <c r="CI58" i="24"/>
  <c r="CI48" i="24"/>
  <c r="CI42" i="24"/>
  <c r="CI37" i="24"/>
  <c r="CI33" i="24"/>
  <c r="CI29" i="24"/>
  <c r="CI23" i="24"/>
  <c r="CI22" i="24"/>
  <c r="CI20" i="24"/>
  <c r="CI13" i="24"/>
  <c r="D17" i="45"/>
  <c r="D17" i="37"/>
  <c r="D15" i="45"/>
  <c r="D15" i="37"/>
  <c r="CI115" i="24"/>
  <c r="CI105" i="24"/>
  <c r="CI104" i="24"/>
  <c r="CI103" i="24"/>
  <c r="CI101" i="24"/>
  <c r="CI100" i="24"/>
  <c r="CI97" i="24"/>
  <c r="CI96" i="24"/>
  <c r="CI92" i="24"/>
  <c r="CI91" i="24"/>
  <c r="CI89" i="24"/>
  <c r="CI86" i="24"/>
  <c r="CI63" i="24"/>
  <c r="CI62" i="24"/>
  <c r="CI60" i="24"/>
  <c r="CI57" i="24"/>
  <c r="CI55" i="24"/>
  <c r="CI53" i="24"/>
  <c r="CI51" i="24"/>
  <c r="CI50" i="24"/>
  <c r="CI47" i="24"/>
  <c r="CI45" i="24"/>
  <c r="CI40" i="24"/>
  <c r="CI39" i="24"/>
  <c r="CI31" i="24"/>
  <c r="CI30" i="24"/>
  <c r="CI27" i="24"/>
  <c r="CI25" i="24"/>
  <c r="CI16" i="24"/>
  <c r="CI14" i="24"/>
  <c r="D18" i="44"/>
  <c r="D18" i="20"/>
  <c r="D10" i="44"/>
  <c r="D10" i="20"/>
  <c r="D45" i="44"/>
  <c r="D45" i="20"/>
  <c r="D33" i="44"/>
  <c r="D33" i="20"/>
  <c r="D21" i="44"/>
  <c r="D21" i="20"/>
  <c r="D9" i="45"/>
  <c r="D9" i="37"/>
  <c r="D5" i="45"/>
  <c r="D5" i="37"/>
  <c r="D47" i="45"/>
  <c r="D47" i="37"/>
  <c r="D41" i="45"/>
  <c r="D41" i="37"/>
  <c r="D35" i="45"/>
  <c r="D35" i="37"/>
  <c r="D29" i="45"/>
  <c r="D29" i="37"/>
  <c r="D23" i="45"/>
  <c r="D23" i="37"/>
  <c r="H10" i="44"/>
  <c r="CK8" i="24"/>
  <c r="CI6" i="24"/>
  <c r="H6" i="44"/>
  <c r="CH129" i="24"/>
  <c r="P130" i="57" s="1"/>
  <c r="H130" i="20"/>
  <c r="H130" i="44"/>
  <c r="H126" i="44"/>
  <c r="H122" i="44"/>
  <c r="H120" i="44"/>
  <c r="H118" i="44"/>
  <c r="H117" i="44"/>
  <c r="H116" i="44"/>
  <c r="H115" i="44"/>
  <c r="H114" i="44"/>
  <c r="H113" i="44"/>
  <c r="H112" i="44"/>
  <c r="H111" i="44"/>
  <c r="H110" i="44"/>
  <c r="H109" i="44"/>
  <c r="H108" i="44"/>
  <c r="H107" i="44"/>
  <c r="H106" i="44"/>
  <c r="H105" i="44"/>
  <c r="H104" i="44"/>
  <c r="H103" i="44"/>
  <c r="H102" i="44"/>
  <c r="H101" i="44"/>
  <c r="H100" i="44"/>
  <c r="H99" i="44"/>
  <c r="H98" i="44"/>
  <c r="H97" i="44"/>
  <c r="H96" i="44"/>
  <c r="H95" i="44"/>
  <c r="H94" i="44"/>
  <c r="H93" i="44"/>
  <c r="H92" i="44"/>
  <c r="H91" i="44"/>
  <c r="H90" i="44"/>
  <c r="H89" i="44"/>
  <c r="H88" i="44"/>
  <c r="H87" i="44"/>
  <c r="H86" i="44"/>
  <c r="H85" i="44"/>
  <c r="H84" i="44"/>
  <c r="H83" i="44"/>
  <c r="H82" i="44"/>
  <c r="H81" i="44"/>
  <c r="H80" i="44"/>
  <c r="H79" i="44"/>
  <c r="H78" i="44"/>
  <c r="H77" i="44"/>
  <c r="H76" i="44"/>
  <c r="H75" i="44"/>
  <c r="H74" i="44"/>
  <c r="H73" i="44"/>
  <c r="H72" i="44"/>
  <c r="H71" i="44"/>
  <c r="H70" i="44"/>
  <c r="H69" i="44"/>
  <c r="H68" i="44"/>
  <c r="H67" i="44"/>
  <c r="H66" i="44"/>
  <c r="H65" i="44"/>
  <c r="H64" i="44"/>
  <c r="H63" i="44"/>
  <c r="H62" i="44"/>
  <c r="H61" i="44"/>
  <c r="H60" i="44"/>
  <c r="H59" i="44"/>
  <c r="H58" i="44"/>
  <c r="H57" i="44"/>
  <c r="H56" i="44"/>
  <c r="H55" i="44"/>
  <c r="H54" i="44"/>
  <c r="H53" i="44"/>
  <c r="H52" i="44"/>
  <c r="H51" i="44"/>
  <c r="H50" i="44"/>
  <c r="H49" i="44"/>
  <c r="H48" i="44"/>
  <c r="H47" i="44"/>
  <c r="H46" i="44"/>
  <c r="H45" i="44"/>
  <c r="H44" i="44"/>
  <c r="H43" i="44"/>
  <c r="H42" i="44"/>
  <c r="H41" i="44"/>
  <c r="H40" i="44"/>
  <c r="H39" i="44"/>
  <c r="H38" i="44"/>
  <c r="H37" i="44"/>
  <c r="H36" i="44"/>
  <c r="H35" i="44"/>
  <c r="H34" i="44"/>
  <c r="H33" i="44"/>
  <c r="H32" i="44"/>
  <c r="H31" i="44"/>
  <c r="H30" i="44"/>
  <c r="H29" i="44"/>
  <c r="H28" i="44"/>
  <c r="H27" i="44"/>
  <c r="H26" i="44"/>
  <c r="H25" i="44"/>
  <c r="H24" i="44"/>
  <c r="H23" i="44"/>
  <c r="H22" i="44"/>
  <c r="H21" i="44"/>
  <c r="H20" i="44"/>
  <c r="H19" i="44"/>
  <c r="H18" i="44"/>
  <c r="H17" i="44"/>
  <c r="H16" i="44"/>
  <c r="H15" i="44"/>
  <c r="H14" i="44"/>
  <c r="H13" i="44"/>
  <c r="H12" i="44"/>
  <c r="H11" i="44"/>
  <c r="Q127" i="24"/>
  <c r="R127" i="24" s="1"/>
  <c r="N127" i="24"/>
  <c r="O127" i="24" s="1"/>
  <c r="Q125" i="24"/>
  <c r="N125" i="24"/>
  <c r="N123" i="24"/>
  <c r="Q123" i="24"/>
  <c r="N121" i="24"/>
  <c r="Q121" i="24"/>
  <c r="Q119" i="24"/>
  <c r="N119" i="24"/>
  <c r="Q117" i="24"/>
  <c r="N117" i="24"/>
  <c r="Q115" i="24"/>
  <c r="N115" i="24"/>
  <c r="N113" i="24"/>
  <c r="Q113" i="24"/>
  <c r="Q111" i="24"/>
  <c r="N111" i="24"/>
  <c r="Q109" i="24"/>
  <c r="N109" i="24"/>
  <c r="Q107" i="24"/>
  <c r="N107" i="24"/>
  <c r="Q105" i="24"/>
  <c r="N105" i="24"/>
  <c r="Q103" i="24"/>
  <c r="N103" i="24"/>
  <c r="Q101" i="24"/>
  <c r="N101" i="24"/>
  <c r="Q99" i="24"/>
  <c r="N99" i="24"/>
  <c r="Q97" i="24"/>
  <c r="N97" i="24"/>
  <c r="Q95" i="24"/>
  <c r="N95" i="24"/>
  <c r="Q93" i="24"/>
  <c r="N93" i="24"/>
  <c r="N91" i="24"/>
  <c r="Q91" i="24"/>
  <c r="Q89" i="24"/>
  <c r="N89" i="24"/>
  <c r="Q87" i="24"/>
  <c r="N87" i="24"/>
  <c r="N85" i="24"/>
  <c r="Q85" i="24"/>
  <c r="Q83" i="24"/>
  <c r="N83" i="24"/>
  <c r="Q81" i="24"/>
  <c r="N81" i="24"/>
  <c r="N79" i="24"/>
  <c r="Q79" i="24"/>
  <c r="Q77" i="24"/>
  <c r="N77" i="24"/>
  <c r="Q75" i="24"/>
  <c r="N75" i="24"/>
  <c r="Q73" i="24"/>
  <c r="N73" i="24"/>
  <c r="N71" i="24"/>
  <c r="Q71" i="24"/>
  <c r="N69" i="24"/>
  <c r="Q69" i="24"/>
  <c r="Q67" i="24"/>
  <c r="N67" i="24"/>
  <c r="Q65" i="24"/>
  <c r="N65" i="24"/>
  <c r="N63" i="24"/>
  <c r="Q63" i="24"/>
  <c r="N61" i="24"/>
  <c r="Q61" i="24"/>
  <c r="N59" i="24"/>
  <c r="Q59" i="24"/>
  <c r="Q57" i="24"/>
  <c r="N57" i="24"/>
  <c r="Q55" i="24"/>
  <c r="N55" i="24"/>
  <c r="Q53" i="24"/>
  <c r="N53" i="24"/>
  <c r="N51" i="24"/>
  <c r="Q51" i="24"/>
  <c r="Q49" i="24"/>
  <c r="N49" i="24"/>
  <c r="N47" i="24"/>
  <c r="Q47" i="24"/>
  <c r="Q45" i="24"/>
  <c r="N45" i="24"/>
  <c r="Q43" i="24"/>
  <c r="N43" i="24"/>
  <c r="Q41" i="24"/>
  <c r="N41" i="24"/>
  <c r="N39" i="24"/>
  <c r="Q39" i="24"/>
  <c r="N37" i="24"/>
  <c r="Q37" i="24"/>
  <c r="N35" i="24"/>
  <c r="Q35" i="24"/>
  <c r="Q33" i="24"/>
  <c r="N33" i="24"/>
  <c r="Q31" i="24"/>
  <c r="N31" i="24"/>
  <c r="Q29" i="24"/>
  <c r="N29" i="24"/>
  <c r="N27" i="24"/>
  <c r="Q27" i="24"/>
  <c r="Q25" i="24"/>
  <c r="N25" i="24"/>
  <c r="N23" i="24"/>
  <c r="Q23" i="24"/>
  <c r="N21" i="24"/>
  <c r="Q21" i="24"/>
  <c r="Q19" i="24"/>
  <c r="N19" i="24"/>
  <c r="Q17" i="24"/>
  <c r="N17" i="24"/>
  <c r="N15" i="24"/>
  <c r="Q15" i="24"/>
  <c r="N13" i="24"/>
  <c r="Q13" i="24"/>
  <c r="N11" i="24"/>
  <c r="Q11" i="24"/>
  <c r="Q9" i="24"/>
  <c r="N9" i="24"/>
  <c r="N7" i="24"/>
  <c r="Q7" i="24"/>
  <c r="N5" i="24"/>
  <c r="Q5" i="24"/>
  <c r="Q3" i="24"/>
  <c r="N3" i="24"/>
  <c r="D17" i="44"/>
  <c r="D17" i="20"/>
  <c r="D13" i="44"/>
  <c r="D13" i="20"/>
  <c r="D9" i="44"/>
  <c r="D9" i="20"/>
  <c r="D5" i="44"/>
  <c r="D5" i="20"/>
  <c r="D48" i="44"/>
  <c r="D48" i="20"/>
  <c r="D44" i="44"/>
  <c r="D44" i="20"/>
  <c r="D40" i="44"/>
  <c r="D40" i="20"/>
  <c r="D36" i="44"/>
  <c r="D36" i="20"/>
  <c r="D32" i="44"/>
  <c r="D32" i="20"/>
  <c r="D28" i="44"/>
  <c r="D28" i="20"/>
  <c r="D24" i="44"/>
  <c r="D24" i="20"/>
  <c r="D20" i="44"/>
  <c r="D20" i="20"/>
  <c r="D12" i="46"/>
  <c r="D12" i="22"/>
  <c r="D10" i="46"/>
  <c r="D10" i="22"/>
  <c r="D8" i="46"/>
  <c r="D8" i="22"/>
  <c r="D6" i="46"/>
  <c r="D6" i="22"/>
  <c r="D4" i="46"/>
  <c r="D4" i="22"/>
  <c r="D50" i="46"/>
  <c r="D50" i="22"/>
  <c r="D48" i="46"/>
  <c r="D48" i="22"/>
  <c r="D46" i="46"/>
  <c r="D46" i="22"/>
  <c r="D44" i="46"/>
  <c r="D44" i="22"/>
  <c r="D42" i="46"/>
  <c r="D42" i="22"/>
  <c r="D40" i="46"/>
  <c r="D40" i="22"/>
  <c r="D38" i="46"/>
  <c r="D38" i="22"/>
  <c r="D36" i="46"/>
  <c r="D36" i="22"/>
  <c r="D34" i="46"/>
  <c r="D34" i="22"/>
  <c r="D32" i="46"/>
  <c r="D32" i="22"/>
  <c r="D30" i="46"/>
  <c r="D30" i="22"/>
  <c r="D28" i="46"/>
  <c r="D28" i="22"/>
  <c r="D26" i="46"/>
  <c r="D26" i="22"/>
  <c r="D24" i="46"/>
  <c r="D24" i="22"/>
  <c r="D22" i="46"/>
  <c r="D22" i="22"/>
  <c r="D20" i="46"/>
  <c r="D20" i="22"/>
  <c r="D18" i="46"/>
  <c r="D18" i="22"/>
  <c r="D16" i="46"/>
  <c r="D16" i="22"/>
  <c r="D14" i="46"/>
  <c r="D14" i="22"/>
  <c r="CK7" i="24"/>
  <c r="CI5" i="24"/>
  <c r="CI128" i="24"/>
  <c r="CI125" i="24"/>
  <c r="CI121" i="24"/>
  <c r="CI116" i="24"/>
  <c r="CI111" i="24"/>
  <c r="CI108" i="24"/>
  <c r="CI102" i="24"/>
  <c r="CI98" i="24"/>
  <c r="CI94" i="24"/>
  <c r="CI90" i="24"/>
  <c r="CI87" i="24"/>
  <c r="CI80" i="24"/>
  <c r="CI75" i="24"/>
  <c r="CI72" i="24"/>
  <c r="CI69" i="24"/>
  <c r="CI67" i="24"/>
  <c r="CI65" i="24"/>
  <c r="CI61" i="24"/>
  <c r="CI59" i="24"/>
  <c r="CI56" i="24"/>
  <c r="CI46" i="24"/>
  <c r="CI41" i="24"/>
  <c r="CI38" i="24"/>
  <c r="CI34" i="24"/>
  <c r="CI32" i="24"/>
  <c r="CI28" i="24"/>
  <c r="CI18" i="24"/>
  <c r="D6" i="44"/>
  <c r="D6" i="20"/>
  <c r="D41" i="44"/>
  <c r="D41" i="20"/>
  <c r="D25" i="44"/>
  <c r="D25" i="20"/>
  <c r="D11" i="45"/>
  <c r="D11" i="37"/>
  <c r="D3" i="45"/>
  <c r="D3" i="37"/>
  <c r="D45" i="45"/>
  <c r="D45" i="37"/>
  <c r="D39" i="45"/>
  <c r="D39" i="37"/>
  <c r="D33" i="45"/>
  <c r="D33" i="37"/>
  <c r="D27" i="45"/>
  <c r="D27" i="37"/>
  <c r="D21" i="45"/>
  <c r="D21" i="37"/>
  <c r="CH127" i="24"/>
  <c r="P128" i="57" s="1"/>
  <c r="H128" i="44"/>
  <c r="H128" i="20"/>
  <c r="H121" i="44"/>
  <c r="H119" i="44"/>
  <c r="H7" i="44"/>
  <c r="H3" i="44"/>
  <c r="CG129" i="24"/>
  <c r="CK127" i="24"/>
  <c r="CK126" i="24"/>
  <c r="CK120" i="24"/>
  <c r="CK118" i="24"/>
  <c r="CK113" i="24"/>
  <c r="CK103" i="24"/>
  <c r="CK93" i="24"/>
  <c r="CK88" i="24"/>
  <c r="CK87" i="24"/>
  <c r="CK83" i="24"/>
  <c r="CK82" i="24"/>
  <c r="CK80" i="24"/>
  <c r="CK77" i="24"/>
  <c r="CK69" i="24"/>
  <c r="CK68" i="24"/>
  <c r="CK66" i="24"/>
  <c r="CK64" i="24"/>
  <c r="CK63" i="24"/>
  <c r="CK60" i="24"/>
  <c r="CK58" i="24"/>
  <c r="CK56" i="24"/>
  <c r="CK54" i="24"/>
  <c r="CK52" i="24"/>
  <c r="CK51" i="24"/>
  <c r="CK48" i="24"/>
  <c r="CK45" i="24"/>
  <c r="CK40" i="24"/>
  <c r="CK39" i="24"/>
  <c r="CK38" i="24"/>
  <c r="CK37" i="24"/>
  <c r="CK35" i="24"/>
  <c r="CK34" i="24"/>
  <c r="CK33" i="24"/>
  <c r="CK32" i="24"/>
  <c r="CK31" i="24"/>
  <c r="CK30" i="24"/>
  <c r="CK29" i="24"/>
  <c r="CK28" i="24"/>
  <c r="CK27" i="24"/>
  <c r="CK26" i="24"/>
  <c r="CK25" i="24"/>
  <c r="CK24" i="24"/>
  <c r="CK23" i="24"/>
  <c r="CK22" i="24"/>
  <c r="CK21" i="24"/>
  <c r="CK20" i="24"/>
  <c r="CK19" i="24"/>
  <c r="CK18" i="24"/>
  <c r="CK17" i="24"/>
  <c r="CK16" i="24"/>
  <c r="CK15" i="24"/>
  <c r="CK14" i="24"/>
  <c r="CK13" i="24"/>
  <c r="CK12" i="24"/>
  <c r="CK11" i="24"/>
  <c r="CK10" i="24"/>
  <c r="D16" i="44"/>
  <c r="D16" i="20"/>
  <c r="D12" i="44"/>
  <c r="D12" i="20"/>
  <c r="D8" i="44"/>
  <c r="D8" i="20"/>
  <c r="D4" i="44"/>
  <c r="D4" i="20"/>
  <c r="D47" i="44"/>
  <c r="D47" i="20"/>
  <c r="D43" i="44"/>
  <c r="D43" i="20"/>
  <c r="D39" i="44"/>
  <c r="D39" i="20"/>
  <c r="D35" i="44"/>
  <c r="D35" i="20"/>
  <c r="D31" i="44"/>
  <c r="D31" i="20"/>
  <c r="D27" i="44"/>
  <c r="D27" i="20"/>
  <c r="D23" i="44"/>
  <c r="D23" i="20"/>
  <c r="D19" i="44"/>
  <c r="D19" i="20"/>
  <c r="D12" i="45"/>
  <c r="D12" i="37"/>
  <c r="D10" i="45"/>
  <c r="D10" i="37"/>
  <c r="D8" i="45"/>
  <c r="D8" i="37"/>
  <c r="D6" i="45"/>
  <c r="D6" i="37"/>
  <c r="D4" i="45"/>
  <c r="D4" i="37"/>
  <c r="D50" i="45"/>
  <c r="D50" i="37"/>
  <c r="D48" i="45"/>
  <c r="D48" i="37"/>
  <c r="D46" i="45"/>
  <c r="D46" i="37"/>
  <c r="D44" i="45"/>
  <c r="D44" i="37"/>
  <c r="D42" i="45"/>
  <c r="D42" i="37"/>
  <c r="D40" i="45"/>
  <c r="D40" i="37"/>
  <c r="D38" i="45"/>
  <c r="D38" i="37"/>
  <c r="D36" i="45"/>
  <c r="D36" i="37"/>
  <c r="D34" i="45"/>
  <c r="D34" i="37"/>
  <c r="D32" i="45"/>
  <c r="D32" i="37"/>
  <c r="D30" i="45"/>
  <c r="D30" i="37"/>
  <c r="D28" i="45"/>
  <c r="D28" i="37"/>
  <c r="D26" i="45"/>
  <c r="D26" i="37"/>
  <c r="D24" i="45"/>
  <c r="D24" i="37"/>
  <c r="D22" i="45"/>
  <c r="D22" i="37"/>
  <c r="D20" i="45"/>
  <c r="D20" i="37"/>
  <c r="D18" i="45"/>
  <c r="D18" i="37"/>
  <c r="D16" i="45"/>
  <c r="D16" i="37"/>
  <c r="D14" i="45"/>
  <c r="D14" i="37"/>
  <c r="H9" i="44"/>
  <c r="H5" i="44"/>
  <c r="CK3" i="24"/>
  <c r="CI127" i="24"/>
  <c r="CI124" i="24"/>
  <c r="CI122" i="24"/>
  <c r="CI119" i="24"/>
  <c r="CI118" i="24"/>
  <c r="CI117" i="24"/>
  <c r="CI114" i="24"/>
  <c r="CI113" i="24"/>
  <c r="CI110" i="24"/>
  <c r="CI109" i="24"/>
  <c r="CI106" i="24"/>
  <c r="CI84" i="24"/>
  <c r="CI83" i="24"/>
  <c r="CI82" i="24"/>
  <c r="CI79" i="24"/>
  <c r="CI78" i="24"/>
  <c r="CI77" i="24"/>
  <c r="CI73" i="24"/>
  <c r="CI70" i="24"/>
  <c r="CI68" i="24"/>
  <c r="CI64" i="24"/>
  <c r="CI54" i="24"/>
  <c r="CI52" i="24"/>
  <c r="CI49" i="24"/>
  <c r="CI44" i="24"/>
  <c r="CI43" i="24"/>
  <c r="CI36" i="24"/>
  <c r="CI35" i="24"/>
  <c r="CI26" i="24"/>
  <c r="CI24" i="24"/>
  <c r="CI21" i="24"/>
  <c r="CI19" i="24"/>
  <c r="CI17" i="24"/>
  <c r="CI15" i="24"/>
  <c r="CI12" i="24"/>
  <c r="CI11" i="24"/>
  <c r="CI10" i="24"/>
  <c r="M4" i="45"/>
  <c r="K4" i="37"/>
  <c r="D14" i="44"/>
  <c r="D14" i="20"/>
  <c r="D49" i="44"/>
  <c r="D49" i="20"/>
  <c r="D37" i="44"/>
  <c r="D37" i="20"/>
  <c r="D29" i="44"/>
  <c r="D29" i="20"/>
  <c r="D13" i="45"/>
  <c r="D13" i="37"/>
  <c r="D7" i="45"/>
  <c r="D7" i="37"/>
  <c r="D49" i="45"/>
  <c r="D49" i="37"/>
  <c r="D43" i="45"/>
  <c r="D43" i="37"/>
  <c r="D37" i="45"/>
  <c r="D37" i="37"/>
  <c r="D31" i="45"/>
  <c r="D31" i="37"/>
  <c r="D25" i="45"/>
  <c r="D25" i="37"/>
  <c r="D19" i="45"/>
  <c r="D19" i="37"/>
  <c r="CK4" i="24"/>
  <c r="CI2" i="24"/>
  <c r="CH128" i="24"/>
  <c r="P129" i="57" s="1"/>
  <c r="H129" i="20"/>
  <c r="H129" i="44"/>
  <c r="H127" i="44"/>
  <c r="H125" i="44"/>
  <c r="H124" i="44"/>
  <c r="H123" i="44"/>
  <c r="CK9" i="24"/>
  <c r="CI7" i="24"/>
  <c r="CK5" i="24"/>
  <c r="CI3" i="24"/>
  <c r="CK129" i="24"/>
  <c r="CK128" i="24"/>
  <c r="CG128" i="24"/>
  <c r="CG127" i="24"/>
  <c r="CK125" i="24"/>
  <c r="CK124" i="24"/>
  <c r="CK123" i="24"/>
  <c r="CK122" i="24"/>
  <c r="CK121" i="24"/>
  <c r="CK119" i="24"/>
  <c r="CK117" i="24"/>
  <c r="CK116" i="24"/>
  <c r="CK115" i="24"/>
  <c r="CK114" i="24"/>
  <c r="CK112" i="24"/>
  <c r="CK111" i="24"/>
  <c r="CK110" i="24"/>
  <c r="CK109" i="24"/>
  <c r="CK108" i="24"/>
  <c r="CK107" i="24"/>
  <c r="CK106" i="24"/>
  <c r="CK105" i="24"/>
  <c r="CK104" i="24"/>
  <c r="CK102" i="24"/>
  <c r="CK101" i="24"/>
  <c r="CK100" i="24"/>
  <c r="CK99" i="24"/>
  <c r="CK98" i="24"/>
  <c r="CK97" i="24"/>
  <c r="CK96" i="24"/>
  <c r="CK95" i="24"/>
  <c r="CK94" i="24"/>
  <c r="CK92" i="24"/>
  <c r="CK91" i="24"/>
  <c r="CK90" i="24"/>
  <c r="CK89" i="24"/>
  <c r="CK86" i="24"/>
  <c r="CK85" i="24"/>
  <c r="CK84" i="24"/>
  <c r="CK81" i="24"/>
  <c r="CK79" i="24"/>
  <c r="CK78" i="24"/>
  <c r="CK76" i="24"/>
  <c r="CK75" i="24"/>
  <c r="CK74" i="24"/>
  <c r="CK73" i="24"/>
  <c r="CK72" i="24"/>
  <c r="CK71" i="24"/>
  <c r="CK70" i="24"/>
  <c r="CK67" i="24"/>
  <c r="CK65" i="24"/>
  <c r="CK62" i="24"/>
  <c r="CK61" i="24"/>
  <c r="CK59" i="24"/>
  <c r="CK57" i="24"/>
  <c r="CK55" i="24"/>
  <c r="CK53" i="24"/>
  <c r="CK50" i="24"/>
  <c r="CK49" i="24"/>
  <c r="CK47" i="24"/>
  <c r="CK46" i="24"/>
  <c r="CK44" i="24"/>
  <c r="CK43" i="24"/>
  <c r="CK42" i="24"/>
  <c r="CK41" i="24"/>
  <c r="CK36" i="24"/>
  <c r="CI8" i="24"/>
  <c r="H8" i="44"/>
  <c r="CK6" i="24"/>
  <c r="CI4" i="24"/>
  <c r="H4" i="44"/>
  <c r="CK2" i="24"/>
  <c r="Q126" i="24"/>
  <c r="N126" i="24"/>
  <c r="Q124" i="24"/>
  <c r="N124" i="24"/>
  <c r="Q122" i="24"/>
  <c r="N122" i="24"/>
  <c r="Q120" i="24"/>
  <c r="N120" i="24"/>
  <c r="Q118" i="24"/>
  <c r="N118" i="24"/>
  <c r="Q116" i="24"/>
  <c r="N116" i="24"/>
  <c r="Q114" i="24"/>
  <c r="N114" i="24"/>
  <c r="Q112" i="24"/>
  <c r="N112" i="24"/>
  <c r="Q110" i="24"/>
  <c r="N110" i="24"/>
  <c r="Q108" i="24"/>
  <c r="N108" i="24"/>
  <c r="Q106" i="24"/>
  <c r="N106" i="24"/>
  <c r="Q104" i="24"/>
  <c r="N104" i="24"/>
  <c r="Q102" i="24"/>
  <c r="N102" i="24"/>
  <c r="Q100" i="24"/>
  <c r="N100" i="24"/>
  <c r="Q98" i="24"/>
  <c r="N98" i="24"/>
  <c r="Q96" i="24"/>
  <c r="N96" i="24"/>
  <c r="Q94" i="24"/>
  <c r="N94" i="24"/>
  <c r="Q92" i="24"/>
  <c r="N92" i="24"/>
  <c r="Q90" i="24"/>
  <c r="N90" i="24"/>
  <c r="Q88" i="24"/>
  <c r="N88" i="24"/>
  <c r="Q86" i="24"/>
  <c r="N86" i="24"/>
  <c r="Q84" i="24"/>
  <c r="N84" i="24"/>
  <c r="Q82" i="24"/>
  <c r="N82" i="24"/>
  <c r="Q80" i="24"/>
  <c r="N80" i="24"/>
  <c r="Q78" i="24"/>
  <c r="N78" i="24"/>
  <c r="Q76" i="24"/>
  <c r="N76" i="24"/>
  <c r="Q74" i="24"/>
  <c r="N74" i="24"/>
  <c r="Q72" i="24"/>
  <c r="N72" i="24"/>
  <c r="Q70" i="24"/>
  <c r="N70" i="24"/>
  <c r="Q68" i="24"/>
  <c r="N68" i="24"/>
  <c r="Q66" i="24"/>
  <c r="N66" i="24"/>
  <c r="Q64" i="24"/>
  <c r="N64" i="24"/>
  <c r="Q62" i="24"/>
  <c r="N62" i="24"/>
  <c r="Q60" i="24"/>
  <c r="N60" i="24"/>
  <c r="Q58" i="24"/>
  <c r="N58" i="24"/>
  <c r="Q56" i="24"/>
  <c r="N56" i="24"/>
  <c r="Q54" i="24"/>
  <c r="N54" i="24"/>
  <c r="Q52" i="24"/>
  <c r="N52" i="24"/>
  <c r="Q50" i="24"/>
  <c r="N50" i="24"/>
  <c r="Q48" i="24"/>
  <c r="N48" i="24"/>
  <c r="Q46" i="24"/>
  <c r="N46" i="24"/>
  <c r="Q44" i="24"/>
  <c r="N44" i="24"/>
  <c r="Q42" i="24"/>
  <c r="N42" i="24"/>
  <c r="Q40" i="24"/>
  <c r="N40" i="24"/>
  <c r="Q38" i="24"/>
  <c r="N38" i="24"/>
  <c r="Q36" i="24"/>
  <c r="N36" i="24"/>
  <c r="Q34" i="24"/>
  <c r="N34" i="24"/>
  <c r="Q32" i="24"/>
  <c r="N32" i="24"/>
  <c r="Q30" i="24"/>
  <c r="N30" i="24"/>
  <c r="Q28" i="24"/>
  <c r="N28" i="24"/>
  <c r="Q26" i="24"/>
  <c r="N26" i="24"/>
  <c r="Q24" i="24"/>
  <c r="N24" i="24"/>
  <c r="Q22" i="24"/>
  <c r="N22" i="24"/>
  <c r="Q20" i="24"/>
  <c r="N20" i="24"/>
  <c r="Q18" i="24"/>
  <c r="N18" i="24"/>
  <c r="Q16" i="24"/>
  <c r="N16" i="24"/>
  <c r="Q14" i="24"/>
  <c r="N14" i="24"/>
  <c r="Q12" i="24"/>
  <c r="N12" i="24"/>
  <c r="Q10" i="24"/>
  <c r="N10" i="24"/>
  <c r="Q8" i="24"/>
  <c r="N8" i="24"/>
  <c r="Q6" i="24"/>
  <c r="N6" i="24"/>
  <c r="Q4" i="24"/>
  <c r="N4" i="24"/>
  <c r="E12" i="18"/>
  <c r="F16" i="9"/>
  <c r="B12" i="18"/>
  <c r="C16" i="9"/>
  <c r="G16" i="9"/>
  <c r="C12" i="18"/>
  <c r="D16" i="9"/>
  <c r="H16" i="9"/>
  <c r="D12" i="18"/>
  <c r="E16" i="9"/>
  <c r="E6" i="9"/>
  <c r="E6" i="18"/>
  <c r="C8" i="18"/>
  <c r="D9" i="18"/>
  <c r="E10" i="18"/>
  <c r="B7" i="18"/>
  <c r="B11" i="18"/>
  <c r="D6" i="9"/>
  <c r="C7" i="18"/>
  <c r="D8" i="18"/>
  <c r="E9" i="18"/>
  <c r="C11" i="18"/>
  <c r="B8" i="18"/>
  <c r="B6" i="18"/>
  <c r="C6" i="9"/>
  <c r="C6" i="18"/>
  <c r="D7" i="18"/>
  <c r="E8" i="18"/>
  <c r="C10" i="18"/>
  <c r="D11" i="18"/>
  <c r="B9" i="18"/>
  <c r="E7" i="18"/>
  <c r="B10" i="18"/>
  <c r="Q2" i="24"/>
  <c r="N2" i="24"/>
  <c r="E11" i="18"/>
  <c r="C9" i="18"/>
  <c r="D10" i="18"/>
  <c r="D6" i="18"/>
  <c r="D7" i="9"/>
  <c r="E7" i="9"/>
  <c r="C7" i="9"/>
  <c r="E8" i="9"/>
  <c r="C8" i="9"/>
  <c r="D8" i="9"/>
  <c r="D9" i="9"/>
  <c r="E9" i="9"/>
  <c r="C9" i="9"/>
  <c r="F10" i="9"/>
  <c r="C10" i="9"/>
  <c r="G10" i="9"/>
  <c r="H10" i="9"/>
  <c r="D10" i="9"/>
  <c r="E10" i="9"/>
  <c r="H11" i="9"/>
  <c r="D11" i="9"/>
  <c r="C11" i="9"/>
  <c r="G11" i="9"/>
  <c r="F11" i="9"/>
  <c r="E11" i="9"/>
  <c r="J12" i="9"/>
  <c r="C12" i="9"/>
  <c r="D12" i="9"/>
  <c r="H12" i="9"/>
  <c r="G12" i="9"/>
  <c r="E12" i="9"/>
  <c r="F12" i="9"/>
  <c r="G13" i="9"/>
  <c r="E13" i="9"/>
  <c r="H13" i="9"/>
  <c r="F13" i="9"/>
  <c r="J13" i="9"/>
  <c r="C13" i="9"/>
  <c r="D13" i="9"/>
  <c r="H14" i="9"/>
  <c r="D14" i="9"/>
  <c r="E14" i="9"/>
  <c r="G14" i="9"/>
  <c r="F14" i="9"/>
  <c r="C14" i="9"/>
  <c r="J14" i="9"/>
  <c r="J15" i="9"/>
  <c r="H15" i="9"/>
  <c r="D15" i="9"/>
  <c r="G15" i="9"/>
  <c r="E15" i="9"/>
  <c r="C15" i="9"/>
  <c r="F15" i="9"/>
  <c r="D15" i="44"/>
  <c r="D15" i="20"/>
  <c r="D11" i="44"/>
  <c r="D11" i="20"/>
  <c r="D7" i="44"/>
  <c r="D7" i="20"/>
  <c r="D3" i="44"/>
  <c r="D3" i="20"/>
  <c r="D46" i="44"/>
  <c r="D46" i="20"/>
  <c r="D42" i="44"/>
  <c r="D42" i="20"/>
  <c r="D38" i="44"/>
  <c r="D38" i="20"/>
  <c r="D34" i="44"/>
  <c r="D34" i="20"/>
  <c r="D30" i="44"/>
  <c r="D30" i="20"/>
  <c r="D26" i="44"/>
  <c r="D26" i="20"/>
  <c r="D22" i="44"/>
  <c r="D22" i="20"/>
  <c r="D13" i="46"/>
  <c r="D13" i="22"/>
  <c r="D11" i="46"/>
  <c r="D11" i="22"/>
  <c r="D9" i="46"/>
  <c r="D9" i="22"/>
  <c r="D7" i="46"/>
  <c r="D7" i="22"/>
  <c r="D5" i="46"/>
  <c r="D5" i="22"/>
  <c r="D3" i="46"/>
  <c r="D3" i="22"/>
  <c r="D49" i="46"/>
  <c r="D49" i="22"/>
  <c r="D47" i="46"/>
  <c r="D47" i="22"/>
  <c r="D45" i="46"/>
  <c r="D45" i="22"/>
  <c r="D43" i="46"/>
  <c r="D43" i="22"/>
  <c r="D41" i="46"/>
  <c r="D41" i="22"/>
  <c r="D39" i="46"/>
  <c r="D39" i="22"/>
  <c r="D37" i="46"/>
  <c r="D37" i="22"/>
  <c r="D35" i="46"/>
  <c r="D35" i="22"/>
  <c r="D33" i="46"/>
  <c r="D33" i="22"/>
  <c r="D31" i="46"/>
  <c r="D31" i="22"/>
  <c r="D29" i="46"/>
  <c r="D29" i="22"/>
  <c r="D27" i="46"/>
  <c r="D27" i="22"/>
  <c r="D25" i="46"/>
  <c r="D25" i="22"/>
  <c r="D23" i="46"/>
  <c r="D23" i="22"/>
  <c r="D21" i="46"/>
  <c r="D21" i="22"/>
  <c r="D19" i="46"/>
  <c r="D19" i="22"/>
  <c r="D17" i="46"/>
  <c r="D17" i="22"/>
  <c r="D15" i="46"/>
  <c r="D15" i="22"/>
  <c r="K126" i="24"/>
  <c r="E127" i="59" s="1"/>
  <c r="H126" i="24"/>
  <c r="E127" i="58" s="1"/>
  <c r="E126" i="24"/>
  <c r="E127" i="57" s="1"/>
  <c r="K124" i="24"/>
  <c r="E125" i="59" s="1"/>
  <c r="H124" i="24"/>
  <c r="E125" i="58" s="1"/>
  <c r="E124" i="24"/>
  <c r="E125" i="57" s="1"/>
  <c r="K122" i="24"/>
  <c r="E123" i="59" s="1"/>
  <c r="H122" i="24"/>
  <c r="E123" i="58" s="1"/>
  <c r="E122" i="24"/>
  <c r="E123" i="57" s="1"/>
  <c r="E120" i="24"/>
  <c r="E121" i="57" s="1"/>
  <c r="K120" i="24"/>
  <c r="E121" i="59" s="1"/>
  <c r="H120" i="24"/>
  <c r="E121" i="58" s="1"/>
  <c r="K118" i="24"/>
  <c r="E119" i="59" s="1"/>
  <c r="H118" i="24"/>
  <c r="E119" i="58" s="1"/>
  <c r="E118" i="24"/>
  <c r="E119" i="57" s="1"/>
  <c r="K116" i="24"/>
  <c r="E117" i="59" s="1"/>
  <c r="H116" i="24"/>
  <c r="E117" i="58" s="1"/>
  <c r="E116" i="24"/>
  <c r="E117" i="57" s="1"/>
  <c r="K114" i="24"/>
  <c r="E115" i="59" s="1"/>
  <c r="H114" i="24"/>
  <c r="E115" i="58" s="1"/>
  <c r="E114" i="24"/>
  <c r="E115" i="57" s="1"/>
  <c r="K112" i="24"/>
  <c r="E113" i="59" s="1"/>
  <c r="H112" i="24"/>
  <c r="E113" i="58" s="1"/>
  <c r="E112" i="24"/>
  <c r="E113" i="57" s="1"/>
  <c r="K110" i="24"/>
  <c r="E111" i="59" s="1"/>
  <c r="H110" i="24"/>
  <c r="E111" i="58" s="1"/>
  <c r="E110" i="24"/>
  <c r="E111" i="57" s="1"/>
  <c r="K108" i="24"/>
  <c r="E109" i="59" s="1"/>
  <c r="E108" i="24"/>
  <c r="E109" i="57" s="1"/>
  <c r="H108" i="24"/>
  <c r="E109" i="58" s="1"/>
  <c r="K106" i="24"/>
  <c r="E107" i="59" s="1"/>
  <c r="H106" i="24"/>
  <c r="E107" i="58" s="1"/>
  <c r="E106" i="24"/>
  <c r="E107" i="57" s="1"/>
  <c r="K104" i="24"/>
  <c r="E105" i="59" s="1"/>
  <c r="H104" i="24"/>
  <c r="E105" i="58" s="1"/>
  <c r="E104" i="24"/>
  <c r="E105" i="57" s="1"/>
  <c r="K102" i="24"/>
  <c r="E103" i="59" s="1"/>
  <c r="H102" i="24"/>
  <c r="E103" i="58" s="1"/>
  <c r="E102" i="24"/>
  <c r="E103" i="57" s="1"/>
  <c r="K100" i="24"/>
  <c r="E101" i="59" s="1"/>
  <c r="E100" i="24"/>
  <c r="E101" i="57" s="1"/>
  <c r="H100" i="24"/>
  <c r="E101" i="58" s="1"/>
  <c r="K98" i="24"/>
  <c r="E99" i="59" s="1"/>
  <c r="H98" i="24"/>
  <c r="E99" i="58" s="1"/>
  <c r="E98" i="24"/>
  <c r="E99" i="57" s="1"/>
  <c r="K96" i="24"/>
  <c r="E97" i="59" s="1"/>
  <c r="E96" i="24"/>
  <c r="E97" i="57" s="1"/>
  <c r="H96" i="24"/>
  <c r="E97" i="58" s="1"/>
  <c r="K94" i="24"/>
  <c r="E95" i="59" s="1"/>
  <c r="H94" i="24"/>
  <c r="E95" i="58" s="1"/>
  <c r="E94" i="24"/>
  <c r="E95" i="57" s="1"/>
  <c r="K92" i="24"/>
  <c r="E93" i="59" s="1"/>
  <c r="E92" i="24"/>
  <c r="E93" i="57" s="1"/>
  <c r="H92" i="24"/>
  <c r="E93" i="58" s="1"/>
  <c r="K90" i="24"/>
  <c r="E91" i="59" s="1"/>
  <c r="H90" i="24"/>
  <c r="E91" i="58" s="1"/>
  <c r="E90" i="24"/>
  <c r="E91" i="57" s="1"/>
  <c r="H88" i="24"/>
  <c r="E89" i="58" s="1"/>
  <c r="E88" i="24"/>
  <c r="E89" i="57" s="1"/>
  <c r="K88" i="24"/>
  <c r="E89" i="59" s="1"/>
  <c r="K86" i="24"/>
  <c r="E87" i="59" s="1"/>
  <c r="H86" i="24"/>
  <c r="E87" i="58" s="1"/>
  <c r="E86" i="24"/>
  <c r="E87" i="57" s="1"/>
  <c r="K84" i="24"/>
  <c r="E85" i="59" s="1"/>
  <c r="E84" i="24"/>
  <c r="E85" i="57" s="1"/>
  <c r="H84" i="24"/>
  <c r="E85" i="58" s="1"/>
  <c r="K82" i="24"/>
  <c r="E83" i="59" s="1"/>
  <c r="H82" i="24"/>
  <c r="E83" i="58" s="1"/>
  <c r="E82" i="24"/>
  <c r="E83" i="57" s="1"/>
  <c r="K80" i="24"/>
  <c r="E81" i="59" s="1"/>
  <c r="H80" i="24"/>
  <c r="E81" i="58" s="1"/>
  <c r="E80" i="24"/>
  <c r="E81" i="57" s="1"/>
  <c r="K78" i="24"/>
  <c r="E79" i="59" s="1"/>
  <c r="H78" i="24"/>
  <c r="E79" i="58" s="1"/>
  <c r="E78" i="24"/>
  <c r="E79" i="57" s="1"/>
  <c r="K76" i="24"/>
  <c r="E77" i="59" s="1"/>
  <c r="E76" i="24"/>
  <c r="E77" i="57" s="1"/>
  <c r="H76" i="24"/>
  <c r="E77" i="58" s="1"/>
  <c r="K74" i="24"/>
  <c r="E75" i="59" s="1"/>
  <c r="H74" i="24"/>
  <c r="E75" i="58" s="1"/>
  <c r="E74" i="24"/>
  <c r="E75" i="57" s="1"/>
  <c r="K72" i="24"/>
  <c r="E73" i="59" s="1"/>
  <c r="H72" i="24"/>
  <c r="E73" i="58" s="1"/>
  <c r="E72" i="24"/>
  <c r="E73" i="57" s="1"/>
  <c r="K70" i="24"/>
  <c r="E71" i="59" s="1"/>
  <c r="H70" i="24"/>
  <c r="E71" i="58" s="1"/>
  <c r="E70" i="24"/>
  <c r="E71" i="57" s="1"/>
  <c r="K68" i="24"/>
  <c r="E69" i="59" s="1"/>
  <c r="E68" i="24"/>
  <c r="E69" i="57" s="1"/>
  <c r="H68" i="24"/>
  <c r="E69" i="58" s="1"/>
  <c r="K66" i="24"/>
  <c r="E67" i="59" s="1"/>
  <c r="H66" i="24"/>
  <c r="E67" i="58" s="1"/>
  <c r="E66" i="24"/>
  <c r="E67" i="57" s="1"/>
  <c r="E64" i="24"/>
  <c r="E65" i="57" s="1"/>
  <c r="H64" i="24"/>
  <c r="E65" i="58" s="1"/>
  <c r="K64" i="24"/>
  <c r="E65" i="59" s="1"/>
  <c r="K62" i="24"/>
  <c r="E63" i="59" s="1"/>
  <c r="H62" i="24"/>
  <c r="E63" i="58" s="1"/>
  <c r="E62" i="24"/>
  <c r="E63" i="57" s="1"/>
  <c r="K60" i="24"/>
  <c r="E61" i="59" s="1"/>
  <c r="E60" i="24"/>
  <c r="E61" i="57" s="1"/>
  <c r="H60" i="24"/>
  <c r="E61" i="58" s="1"/>
  <c r="K58" i="24"/>
  <c r="E59" i="59" s="1"/>
  <c r="H58" i="24"/>
  <c r="E59" i="58" s="1"/>
  <c r="E58" i="24"/>
  <c r="E59" i="57" s="1"/>
  <c r="K56" i="24"/>
  <c r="E57" i="59" s="1"/>
  <c r="H56" i="24"/>
  <c r="E57" i="58" s="1"/>
  <c r="E56" i="24"/>
  <c r="E57" i="57" s="1"/>
  <c r="K54" i="24"/>
  <c r="E55" i="59" s="1"/>
  <c r="H54" i="24"/>
  <c r="E55" i="58" s="1"/>
  <c r="E54" i="24"/>
  <c r="E55" i="57" s="1"/>
  <c r="K52" i="24"/>
  <c r="E53" i="59" s="1"/>
  <c r="E52" i="24"/>
  <c r="E53" i="57" s="1"/>
  <c r="H52" i="24"/>
  <c r="E53" i="58" s="1"/>
  <c r="K50" i="24"/>
  <c r="E51" i="59" s="1"/>
  <c r="H50" i="24"/>
  <c r="E51" i="58" s="1"/>
  <c r="E50" i="24"/>
  <c r="E51" i="57" s="1"/>
  <c r="K48" i="24"/>
  <c r="E49" i="59" s="1"/>
  <c r="H48" i="24"/>
  <c r="E48" i="24"/>
  <c r="E49" i="57" s="1"/>
  <c r="K46" i="24"/>
  <c r="E47" i="59" s="1"/>
  <c r="H46" i="24"/>
  <c r="E47" i="58" s="1"/>
  <c r="E46" i="24"/>
  <c r="E47" i="57" s="1"/>
  <c r="K44" i="24"/>
  <c r="E45" i="59" s="1"/>
  <c r="E44" i="24"/>
  <c r="E45" i="57" s="1"/>
  <c r="H44" i="24"/>
  <c r="E45" i="58" s="1"/>
  <c r="K42" i="24"/>
  <c r="H42" i="24"/>
  <c r="E43" i="58" s="1"/>
  <c r="E42" i="24"/>
  <c r="K40" i="24"/>
  <c r="E41" i="59" s="1"/>
  <c r="E40" i="24"/>
  <c r="H40" i="24"/>
  <c r="E41" i="58" s="1"/>
  <c r="K38" i="24"/>
  <c r="H38" i="24"/>
  <c r="E39" i="58" s="1"/>
  <c r="E38" i="24"/>
  <c r="K36" i="24"/>
  <c r="E37" i="59" s="1"/>
  <c r="E36" i="24"/>
  <c r="H36" i="24"/>
  <c r="E37" i="58" s="1"/>
  <c r="K34" i="24"/>
  <c r="E35" i="59" s="1"/>
  <c r="H34" i="24"/>
  <c r="E35" i="58" s="1"/>
  <c r="E34" i="24"/>
  <c r="E35" i="57" s="1"/>
  <c r="K32" i="24"/>
  <c r="E33" i="59" s="1"/>
  <c r="H32" i="24"/>
  <c r="E32" i="24"/>
  <c r="E33" i="57" s="1"/>
  <c r="K30" i="24"/>
  <c r="H30" i="24"/>
  <c r="E31" i="58" s="1"/>
  <c r="E30" i="24"/>
  <c r="E31" i="57" s="1"/>
  <c r="K28" i="24"/>
  <c r="E29" i="59" s="1"/>
  <c r="E28" i="24"/>
  <c r="E29" i="57" s="1"/>
  <c r="H28" i="24"/>
  <c r="E29" i="58" s="1"/>
  <c r="K26" i="24"/>
  <c r="H26" i="24"/>
  <c r="E27" i="58" s="1"/>
  <c r="E26" i="24"/>
  <c r="H24" i="24"/>
  <c r="E25" i="58" s="1"/>
  <c r="E24" i="24"/>
  <c r="K24" i="24"/>
  <c r="E25" i="59" s="1"/>
  <c r="K22" i="24"/>
  <c r="H22" i="24"/>
  <c r="E23" i="58" s="1"/>
  <c r="E22" i="24"/>
  <c r="H20" i="24"/>
  <c r="E21" i="58" s="1"/>
  <c r="K20" i="24"/>
  <c r="E21" i="59" s="1"/>
  <c r="E20" i="24"/>
  <c r="E21" i="57" s="1"/>
  <c r="K18" i="24"/>
  <c r="H18" i="24"/>
  <c r="E19" i="58" s="1"/>
  <c r="E18" i="24"/>
  <c r="E19" i="57" s="1"/>
  <c r="H16" i="24"/>
  <c r="K16" i="24"/>
  <c r="E17" i="59" s="1"/>
  <c r="E16" i="24"/>
  <c r="E17" i="57" s="1"/>
  <c r="K14" i="24"/>
  <c r="H14" i="24"/>
  <c r="E15" i="58" s="1"/>
  <c r="E14" i="24"/>
  <c r="H12" i="24"/>
  <c r="E13" i="58" s="1"/>
  <c r="K12" i="24"/>
  <c r="E12" i="24"/>
  <c r="E13" i="57" s="1"/>
  <c r="K10" i="24"/>
  <c r="H10" i="24"/>
  <c r="E11" i="58" s="1"/>
  <c r="E10" i="24"/>
  <c r="E11" i="57" s="1"/>
  <c r="H8" i="24"/>
  <c r="K8" i="24"/>
  <c r="E8" i="24"/>
  <c r="E9" i="57" s="1"/>
  <c r="K6" i="24"/>
  <c r="E7" i="59" s="1"/>
  <c r="H6" i="24"/>
  <c r="E7" i="58" s="1"/>
  <c r="E6" i="24"/>
  <c r="H4" i="24"/>
  <c r="E5" i="58" s="1"/>
  <c r="K4" i="24"/>
  <c r="E4" i="24"/>
  <c r="E5" i="57" s="1"/>
  <c r="K2" i="24"/>
  <c r="E3" i="59" s="1"/>
  <c r="H2" i="24"/>
  <c r="E3" i="58" s="1"/>
  <c r="E2" i="24"/>
  <c r="E3" i="57" s="1"/>
  <c r="I36" i="24"/>
  <c r="K127" i="24"/>
  <c r="E128" i="59" s="1"/>
  <c r="H127" i="24"/>
  <c r="E128" i="58" s="1"/>
  <c r="E127" i="24"/>
  <c r="E128" i="57" s="1"/>
  <c r="H125" i="24"/>
  <c r="E126" i="58" s="1"/>
  <c r="E125" i="24"/>
  <c r="E126" i="57" s="1"/>
  <c r="K125" i="24"/>
  <c r="E126" i="59" s="1"/>
  <c r="K123" i="24"/>
  <c r="E124" i="59" s="1"/>
  <c r="H123" i="24"/>
  <c r="E124" i="58" s="1"/>
  <c r="E123" i="24"/>
  <c r="E124" i="57" s="1"/>
  <c r="K121" i="24"/>
  <c r="E122" i="59" s="1"/>
  <c r="H121" i="24"/>
  <c r="E122" i="58" s="1"/>
  <c r="E121" i="24"/>
  <c r="E122" i="57" s="1"/>
  <c r="K119" i="24"/>
  <c r="E120" i="59" s="1"/>
  <c r="H119" i="24"/>
  <c r="E120" i="58" s="1"/>
  <c r="E119" i="24"/>
  <c r="E120" i="57" s="1"/>
  <c r="H117" i="24"/>
  <c r="E118" i="58" s="1"/>
  <c r="E117" i="24"/>
  <c r="E118" i="57" s="1"/>
  <c r="K117" i="24"/>
  <c r="E118" i="59" s="1"/>
  <c r="K115" i="24"/>
  <c r="E116" i="59" s="1"/>
  <c r="E115" i="24"/>
  <c r="E116" i="57" s="1"/>
  <c r="H115" i="24"/>
  <c r="E116" i="58" s="1"/>
  <c r="K113" i="24"/>
  <c r="E114" i="59" s="1"/>
  <c r="H113" i="24"/>
  <c r="E114" i="58" s="1"/>
  <c r="E113" i="24"/>
  <c r="E114" i="57" s="1"/>
  <c r="K111" i="24"/>
  <c r="E112" i="59" s="1"/>
  <c r="H111" i="24"/>
  <c r="E112" i="58" s="1"/>
  <c r="E111" i="24"/>
  <c r="E112" i="57" s="1"/>
  <c r="H109" i="24"/>
  <c r="E110" i="58" s="1"/>
  <c r="E109" i="24"/>
  <c r="E110" i="57" s="1"/>
  <c r="K109" i="24"/>
  <c r="E110" i="59" s="1"/>
  <c r="K107" i="24"/>
  <c r="E108" i="59" s="1"/>
  <c r="H107" i="24"/>
  <c r="E108" i="58" s="1"/>
  <c r="E107" i="24"/>
  <c r="E108" i="57" s="1"/>
  <c r="K105" i="24"/>
  <c r="E106" i="59" s="1"/>
  <c r="H105" i="24"/>
  <c r="E106" i="58" s="1"/>
  <c r="E105" i="24"/>
  <c r="E106" i="57" s="1"/>
  <c r="K103" i="24"/>
  <c r="E104" i="59" s="1"/>
  <c r="H103" i="24"/>
  <c r="E104" i="58" s="1"/>
  <c r="E103" i="24"/>
  <c r="E104" i="57" s="1"/>
  <c r="K101" i="24"/>
  <c r="E102" i="59" s="1"/>
  <c r="H101" i="24"/>
  <c r="E102" i="58" s="1"/>
  <c r="E101" i="24"/>
  <c r="E102" i="57" s="1"/>
  <c r="K99" i="24"/>
  <c r="E100" i="59" s="1"/>
  <c r="H99" i="24"/>
  <c r="E100" i="58" s="1"/>
  <c r="E99" i="24"/>
  <c r="E100" i="57" s="1"/>
  <c r="K97" i="24"/>
  <c r="E98" i="59" s="1"/>
  <c r="H97" i="24"/>
  <c r="E98" i="58" s="1"/>
  <c r="E97" i="24"/>
  <c r="E98" i="57" s="1"/>
  <c r="K95" i="24"/>
  <c r="E96" i="59" s="1"/>
  <c r="H95" i="24"/>
  <c r="E96" i="58" s="1"/>
  <c r="E95" i="24"/>
  <c r="E96" i="57" s="1"/>
  <c r="H93" i="24"/>
  <c r="E94" i="58" s="1"/>
  <c r="E93" i="24"/>
  <c r="E94" i="57" s="1"/>
  <c r="K93" i="24"/>
  <c r="E94" i="59" s="1"/>
  <c r="K91" i="24"/>
  <c r="E92" i="59" s="1"/>
  <c r="H91" i="24"/>
  <c r="E92" i="58" s="1"/>
  <c r="E91" i="24"/>
  <c r="E92" i="57" s="1"/>
  <c r="K89" i="24"/>
  <c r="E90" i="59" s="1"/>
  <c r="H89" i="24"/>
  <c r="E90" i="58" s="1"/>
  <c r="E89" i="24"/>
  <c r="E90" i="57" s="1"/>
  <c r="K87" i="24"/>
  <c r="E88" i="59" s="1"/>
  <c r="H87" i="24"/>
  <c r="E88" i="58" s="1"/>
  <c r="E87" i="24"/>
  <c r="E88" i="57" s="1"/>
  <c r="H85" i="24"/>
  <c r="E86" i="58" s="1"/>
  <c r="E85" i="24"/>
  <c r="E86" i="57" s="1"/>
  <c r="K85" i="24"/>
  <c r="E86" i="59" s="1"/>
  <c r="K83" i="24"/>
  <c r="E84" i="59" s="1"/>
  <c r="H83" i="24"/>
  <c r="E84" i="58" s="1"/>
  <c r="E83" i="24"/>
  <c r="E84" i="57" s="1"/>
  <c r="K81" i="24"/>
  <c r="E82" i="59" s="1"/>
  <c r="H81" i="24"/>
  <c r="E82" i="58" s="1"/>
  <c r="E81" i="24"/>
  <c r="E82" i="57" s="1"/>
  <c r="K79" i="24"/>
  <c r="E80" i="59" s="1"/>
  <c r="H79" i="24"/>
  <c r="E80" i="58" s="1"/>
  <c r="E79" i="24"/>
  <c r="E80" i="57" s="1"/>
  <c r="H77" i="24"/>
  <c r="E78" i="58" s="1"/>
  <c r="E77" i="24"/>
  <c r="E78" i="57" s="1"/>
  <c r="K77" i="24"/>
  <c r="E78" i="59" s="1"/>
  <c r="K75" i="24"/>
  <c r="E76" i="59" s="1"/>
  <c r="H75" i="24"/>
  <c r="E76" i="58" s="1"/>
  <c r="E75" i="24"/>
  <c r="E76" i="57" s="1"/>
  <c r="K73" i="24"/>
  <c r="E74" i="59" s="1"/>
  <c r="H73" i="24"/>
  <c r="E74" i="58" s="1"/>
  <c r="E73" i="24"/>
  <c r="E74" i="57" s="1"/>
  <c r="K71" i="24"/>
  <c r="E72" i="59" s="1"/>
  <c r="H71" i="24"/>
  <c r="E72" i="58" s="1"/>
  <c r="E71" i="24"/>
  <c r="E72" i="57" s="1"/>
  <c r="K69" i="24"/>
  <c r="E70" i="59" s="1"/>
  <c r="H69" i="24"/>
  <c r="E70" i="58" s="1"/>
  <c r="E69" i="24"/>
  <c r="E70" i="57" s="1"/>
  <c r="K67" i="24"/>
  <c r="E68" i="59" s="1"/>
  <c r="H67" i="24"/>
  <c r="E68" i="58" s="1"/>
  <c r="E67" i="24"/>
  <c r="E68" i="57" s="1"/>
  <c r="K65" i="24"/>
  <c r="E66" i="59" s="1"/>
  <c r="H65" i="24"/>
  <c r="E66" i="58" s="1"/>
  <c r="E65" i="24"/>
  <c r="E66" i="57" s="1"/>
  <c r="K63" i="24"/>
  <c r="E64" i="59" s="1"/>
  <c r="H63" i="24"/>
  <c r="E64" i="58" s="1"/>
  <c r="E63" i="24"/>
  <c r="E64" i="57" s="1"/>
  <c r="H61" i="24"/>
  <c r="E62" i="58" s="1"/>
  <c r="E61" i="24"/>
  <c r="E62" i="57" s="1"/>
  <c r="K61" i="24"/>
  <c r="E62" i="59" s="1"/>
  <c r="K59" i="24"/>
  <c r="E60" i="59" s="1"/>
  <c r="H59" i="24"/>
  <c r="E60" i="58" s="1"/>
  <c r="E59" i="24"/>
  <c r="E60" i="57" s="1"/>
  <c r="K57" i="24"/>
  <c r="E58" i="59" s="1"/>
  <c r="H57" i="24"/>
  <c r="E58" i="58" s="1"/>
  <c r="E57" i="24"/>
  <c r="E58" i="57" s="1"/>
  <c r="K55" i="24"/>
  <c r="E56" i="59" s="1"/>
  <c r="H55" i="24"/>
  <c r="E56" i="58" s="1"/>
  <c r="E55" i="24"/>
  <c r="E56" i="57" s="1"/>
  <c r="H53" i="24"/>
  <c r="E54" i="58" s="1"/>
  <c r="E53" i="24"/>
  <c r="E54" i="57" s="1"/>
  <c r="K53" i="24"/>
  <c r="E54" i="59" s="1"/>
  <c r="K51" i="24"/>
  <c r="E52" i="59" s="1"/>
  <c r="E51" i="24"/>
  <c r="E52" i="57" s="1"/>
  <c r="H51" i="24"/>
  <c r="E52" i="58" s="1"/>
  <c r="K49" i="24"/>
  <c r="E50" i="59" s="1"/>
  <c r="H49" i="24"/>
  <c r="E50" i="58" s="1"/>
  <c r="E49" i="24"/>
  <c r="E50" i="57" s="1"/>
  <c r="K47" i="24"/>
  <c r="E48" i="59" s="1"/>
  <c r="H47" i="24"/>
  <c r="E48" i="58" s="1"/>
  <c r="E47" i="24"/>
  <c r="H45" i="24"/>
  <c r="E46" i="58" s="1"/>
  <c r="E45" i="24"/>
  <c r="E46" i="57" s="1"/>
  <c r="K45" i="24"/>
  <c r="E46" i="59" s="1"/>
  <c r="K43" i="24"/>
  <c r="E44" i="59" s="1"/>
  <c r="H43" i="24"/>
  <c r="E44" i="58" s="1"/>
  <c r="E43" i="24"/>
  <c r="E44" i="57" s="1"/>
  <c r="K41" i="24"/>
  <c r="E42" i="59" s="1"/>
  <c r="H41" i="24"/>
  <c r="E42" i="58" s="1"/>
  <c r="E41" i="24"/>
  <c r="E42" i="57" s="1"/>
  <c r="K39" i="24"/>
  <c r="E40" i="59" s="1"/>
  <c r="H39" i="24"/>
  <c r="E40" i="58" s="1"/>
  <c r="E39" i="24"/>
  <c r="K37" i="24"/>
  <c r="E38" i="59" s="1"/>
  <c r="H37" i="24"/>
  <c r="E38" i="58" s="1"/>
  <c r="E37" i="24"/>
  <c r="E38" i="57" s="1"/>
  <c r="K35" i="24"/>
  <c r="E36" i="59" s="1"/>
  <c r="H35" i="24"/>
  <c r="E36" i="58" s="1"/>
  <c r="E35" i="24"/>
  <c r="E36" i="57" s="1"/>
  <c r="K33" i="24"/>
  <c r="E34" i="59" s="1"/>
  <c r="H33" i="24"/>
  <c r="E34" i="58" s="1"/>
  <c r="E33" i="24"/>
  <c r="E34" i="57" s="1"/>
  <c r="K31" i="24"/>
  <c r="E32" i="59" s="1"/>
  <c r="H31" i="24"/>
  <c r="E32" i="58" s="1"/>
  <c r="E31" i="24"/>
  <c r="H29" i="24"/>
  <c r="E30" i="58" s="1"/>
  <c r="E29" i="24"/>
  <c r="E30" i="57" s="1"/>
  <c r="K29" i="24"/>
  <c r="E30" i="59" s="1"/>
  <c r="K27" i="24"/>
  <c r="E28" i="59" s="1"/>
  <c r="E27" i="24"/>
  <c r="E28" i="57" s="1"/>
  <c r="H27" i="24"/>
  <c r="E28" i="58" s="1"/>
  <c r="K25" i="24"/>
  <c r="E26" i="59" s="1"/>
  <c r="H25" i="24"/>
  <c r="E26" i="58" s="1"/>
  <c r="E25" i="24"/>
  <c r="E26" i="57" s="1"/>
  <c r="K23" i="24"/>
  <c r="E24" i="59" s="1"/>
  <c r="H23" i="24"/>
  <c r="E24" i="58" s="1"/>
  <c r="E23" i="24"/>
  <c r="E21" i="24"/>
  <c r="E22" i="57" s="1"/>
  <c r="H21" i="24"/>
  <c r="E22" i="58" s="1"/>
  <c r="K21" i="24"/>
  <c r="E22" i="59" s="1"/>
  <c r="K19" i="24"/>
  <c r="E20" i="59" s="1"/>
  <c r="H19" i="24"/>
  <c r="E20" i="58" s="1"/>
  <c r="E19" i="24"/>
  <c r="E20" i="57" s="1"/>
  <c r="K17" i="24"/>
  <c r="E18" i="59" s="1"/>
  <c r="E17" i="24"/>
  <c r="E18" i="57" s="1"/>
  <c r="H17" i="24"/>
  <c r="E18" i="58" s="1"/>
  <c r="K15" i="24"/>
  <c r="E16" i="59" s="1"/>
  <c r="H15" i="24"/>
  <c r="E16" i="58" s="1"/>
  <c r="E15" i="24"/>
  <c r="E16" i="57" s="1"/>
  <c r="E13" i="24"/>
  <c r="E14" i="57" s="1"/>
  <c r="H13" i="24"/>
  <c r="E14" i="58" s="1"/>
  <c r="K13" i="24"/>
  <c r="E14" i="59" s="1"/>
  <c r="K11" i="24"/>
  <c r="E12" i="59" s="1"/>
  <c r="H11" i="24"/>
  <c r="E11" i="24"/>
  <c r="E12" i="57" s="1"/>
  <c r="K9" i="24"/>
  <c r="E10" i="59" s="1"/>
  <c r="E9" i="24"/>
  <c r="E10" i="57" s="1"/>
  <c r="H9" i="24"/>
  <c r="E10" i="58" s="1"/>
  <c r="K7" i="24"/>
  <c r="E8" i="59" s="1"/>
  <c r="H7" i="24"/>
  <c r="E8" i="58" s="1"/>
  <c r="E7" i="24"/>
  <c r="K5" i="24"/>
  <c r="E6" i="59" s="1"/>
  <c r="E5" i="24"/>
  <c r="E6" i="57" s="1"/>
  <c r="H5" i="24"/>
  <c r="K3" i="24"/>
  <c r="E4" i="59" s="1"/>
  <c r="H3" i="24"/>
  <c r="E4" i="58" s="1"/>
  <c r="E3" i="24"/>
  <c r="E4" i="57" s="1"/>
  <c r="F16" i="24"/>
  <c r="F17" i="57" s="1"/>
  <c r="F8" i="24"/>
  <c r="F9" i="57" s="1"/>
  <c r="I43" i="24"/>
  <c r="H9" i="20"/>
  <c r="CH8" i="24"/>
  <c r="P9" i="57" s="1"/>
  <c r="CG7" i="24"/>
  <c r="H5" i="20"/>
  <c r="CH4" i="24"/>
  <c r="P5" i="57" s="1"/>
  <c r="CG3" i="24"/>
  <c r="H10" i="20"/>
  <c r="CH9" i="24"/>
  <c r="P10" i="57" s="1"/>
  <c r="CG8" i="24"/>
  <c r="H6" i="20"/>
  <c r="CH5" i="24"/>
  <c r="P6" i="57" s="1"/>
  <c r="CG4" i="24"/>
  <c r="H127" i="20"/>
  <c r="CH126" i="24"/>
  <c r="P127" i="57" s="1"/>
  <c r="H126" i="20"/>
  <c r="CH125" i="24"/>
  <c r="P126" i="57" s="1"/>
  <c r="H125" i="20"/>
  <c r="CH124" i="24"/>
  <c r="P125" i="57" s="1"/>
  <c r="H124" i="20"/>
  <c r="CH123" i="24"/>
  <c r="P124" i="57" s="1"/>
  <c r="H123" i="20"/>
  <c r="CH122" i="24"/>
  <c r="P123" i="57" s="1"/>
  <c r="H122" i="20"/>
  <c r="CH121" i="24"/>
  <c r="P122" i="57" s="1"/>
  <c r="H121" i="20"/>
  <c r="CH120" i="24"/>
  <c r="P121" i="57" s="1"/>
  <c r="H120" i="20"/>
  <c r="CH119" i="24"/>
  <c r="P120" i="57" s="1"/>
  <c r="H119" i="20"/>
  <c r="CH118" i="24"/>
  <c r="P119" i="57" s="1"/>
  <c r="H118" i="20"/>
  <c r="CH117" i="24"/>
  <c r="P118" i="57" s="1"/>
  <c r="H117" i="20"/>
  <c r="CH116" i="24"/>
  <c r="P117" i="57" s="1"/>
  <c r="H116" i="20"/>
  <c r="CH115" i="24"/>
  <c r="P116" i="57" s="1"/>
  <c r="H115" i="20"/>
  <c r="CH114" i="24"/>
  <c r="P115" i="57" s="1"/>
  <c r="H114" i="20"/>
  <c r="CH113" i="24"/>
  <c r="P114" i="57" s="1"/>
  <c r="H113" i="20"/>
  <c r="CH112" i="24"/>
  <c r="P113" i="57" s="1"/>
  <c r="H112" i="20"/>
  <c r="CH111" i="24"/>
  <c r="P112" i="57" s="1"/>
  <c r="H111" i="20"/>
  <c r="CH110" i="24"/>
  <c r="P111" i="57" s="1"/>
  <c r="H110" i="20"/>
  <c r="CH109" i="24"/>
  <c r="P110" i="57" s="1"/>
  <c r="H109" i="20"/>
  <c r="CH108" i="24"/>
  <c r="P109" i="57" s="1"/>
  <c r="H108" i="20"/>
  <c r="CH107" i="24"/>
  <c r="P108" i="57" s="1"/>
  <c r="H107" i="20"/>
  <c r="CH106" i="24"/>
  <c r="P107" i="57" s="1"/>
  <c r="H106" i="20"/>
  <c r="CH105" i="24"/>
  <c r="P106" i="57" s="1"/>
  <c r="H105" i="20"/>
  <c r="CH104" i="24"/>
  <c r="P105" i="57" s="1"/>
  <c r="H104" i="20"/>
  <c r="CH103" i="24"/>
  <c r="P104" i="57" s="1"/>
  <c r="H103" i="20"/>
  <c r="CH102" i="24"/>
  <c r="P103" i="57" s="1"/>
  <c r="H102" i="20"/>
  <c r="CH101" i="24"/>
  <c r="P102" i="57" s="1"/>
  <c r="H101" i="20"/>
  <c r="CH100" i="24"/>
  <c r="P101" i="57" s="1"/>
  <c r="H100" i="20"/>
  <c r="CH99" i="24"/>
  <c r="P100" i="57" s="1"/>
  <c r="H99" i="20"/>
  <c r="CH98" i="24"/>
  <c r="P99" i="57" s="1"/>
  <c r="H98" i="20"/>
  <c r="CH97" i="24"/>
  <c r="P98" i="57" s="1"/>
  <c r="H97" i="20"/>
  <c r="CH96" i="24"/>
  <c r="P97" i="57" s="1"/>
  <c r="H96" i="20"/>
  <c r="CH95" i="24"/>
  <c r="P96" i="57" s="1"/>
  <c r="H95" i="20"/>
  <c r="CH94" i="24"/>
  <c r="P95" i="57" s="1"/>
  <c r="H94" i="20"/>
  <c r="CH93" i="24"/>
  <c r="P94" i="57" s="1"/>
  <c r="H93" i="20"/>
  <c r="CH92" i="24"/>
  <c r="P93" i="57" s="1"/>
  <c r="H92" i="20"/>
  <c r="CH91" i="24"/>
  <c r="P92" i="57" s="1"/>
  <c r="H91" i="20"/>
  <c r="CH90" i="24"/>
  <c r="P91" i="57" s="1"/>
  <c r="H90" i="20"/>
  <c r="CH89" i="24"/>
  <c r="P90" i="57" s="1"/>
  <c r="H89" i="20"/>
  <c r="CH88" i="24"/>
  <c r="P89" i="57" s="1"/>
  <c r="H88" i="20"/>
  <c r="CH87" i="24"/>
  <c r="P88" i="57" s="1"/>
  <c r="H87" i="20"/>
  <c r="CH86" i="24"/>
  <c r="P87" i="57" s="1"/>
  <c r="H86" i="20"/>
  <c r="CH85" i="24"/>
  <c r="P86" i="57" s="1"/>
  <c r="H85" i="20"/>
  <c r="CH84" i="24"/>
  <c r="P85" i="57" s="1"/>
  <c r="H84" i="20"/>
  <c r="CH83" i="24"/>
  <c r="P84" i="57" s="1"/>
  <c r="H83" i="20"/>
  <c r="CH82" i="24"/>
  <c r="P83" i="57" s="1"/>
  <c r="H82" i="20"/>
  <c r="CH81" i="24"/>
  <c r="P82" i="57" s="1"/>
  <c r="H81" i="20"/>
  <c r="CH80" i="24"/>
  <c r="P81" i="57" s="1"/>
  <c r="H80" i="20"/>
  <c r="CH79" i="24"/>
  <c r="P80" i="57" s="1"/>
  <c r="H79" i="20"/>
  <c r="CH78" i="24"/>
  <c r="P79" i="57" s="1"/>
  <c r="H78" i="20"/>
  <c r="CH77" i="24"/>
  <c r="P78" i="57" s="1"/>
  <c r="H77" i="20"/>
  <c r="CH76" i="24"/>
  <c r="P77" i="57" s="1"/>
  <c r="H76" i="20"/>
  <c r="CH75" i="24"/>
  <c r="P76" i="57" s="1"/>
  <c r="H75" i="20"/>
  <c r="CH74" i="24"/>
  <c r="P75" i="57" s="1"/>
  <c r="H74" i="20"/>
  <c r="CH73" i="24"/>
  <c r="P74" i="57" s="1"/>
  <c r="H73" i="20"/>
  <c r="CH72" i="24"/>
  <c r="P73" i="57" s="1"/>
  <c r="H72" i="20"/>
  <c r="CH71" i="24"/>
  <c r="P72" i="57" s="1"/>
  <c r="H71" i="20"/>
  <c r="CH70" i="24"/>
  <c r="P71" i="57" s="1"/>
  <c r="H70" i="20"/>
  <c r="CH69" i="24"/>
  <c r="P70" i="57" s="1"/>
  <c r="H69" i="20"/>
  <c r="CH68" i="24"/>
  <c r="P69" i="57" s="1"/>
  <c r="H68" i="20"/>
  <c r="CH67" i="24"/>
  <c r="P68" i="57" s="1"/>
  <c r="H67" i="20"/>
  <c r="CH66" i="24"/>
  <c r="P67" i="57" s="1"/>
  <c r="H66" i="20"/>
  <c r="CH65" i="24"/>
  <c r="P66" i="57" s="1"/>
  <c r="H65" i="20"/>
  <c r="CH64" i="24"/>
  <c r="P65" i="57" s="1"/>
  <c r="H64" i="20"/>
  <c r="CH63" i="24"/>
  <c r="P64" i="57" s="1"/>
  <c r="H63" i="20"/>
  <c r="CH62" i="24"/>
  <c r="P63" i="57" s="1"/>
  <c r="H62" i="20"/>
  <c r="CH61" i="24"/>
  <c r="P62" i="57" s="1"/>
  <c r="H61" i="20"/>
  <c r="CH60" i="24"/>
  <c r="P61" i="57" s="1"/>
  <c r="H60" i="20"/>
  <c r="CH59" i="24"/>
  <c r="P60" i="57" s="1"/>
  <c r="H59" i="20"/>
  <c r="CH58" i="24"/>
  <c r="P59" i="57" s="1"/>
  <c r="H58" i="20"/>
  <c r="CH57" i="24"/>
  <c r="P58" i="57" s="1"/>
  <c r="H57" i="20"/>
  <c r="CH56" i="24"/>
  <c r="P57" i="57" s="1"/>
  <c r="H56" i="20"/>
  <c r="CH55" i="24"/>
  <c r="P56" i="57" s="1"/>
  <c r="H55" i="20"/>
  <c r="CH54" i="24"/>
  <c r="P55" i="57" s="1"/>
  <c r="H54" i="20"/>
  <c r="CH53" i="24"/>
  <c r="P54" i="57" s="1"/>
  <c r="H53" i="20"/>
  <c r="CH52" i="24"/>
  <c r="P53" i="57" s="1"/>
  <c r="H52" i="20"/>
  <c r="CH51" i="24"/>
  <c r="P52" i="57" s="1"/>
  <c r="H51" i="20"/>
  <c r="CH50" i="24"/>
  <c r="P51" i="57" s="1"/>
  <c r="H50" i="20"/>
  <c r="CH49" i="24"/>
  <c r="P50" i="57" s="1"/>
  <c r="H49" i="20"/>
  <c r="CH48" i="24"/>
  <c r="P49" i="57" s="1"/>
  <c r="H48" i="20"/>
  <c r="CH47" i="24"/>
  <c r="P48" i="57" s="1"/>
  <c r="H47" i="20"/>
  <c r="CH46" i="24"/>
  <c r="P47" i="57" s="1"/>
  <c r="H46" i="20"/>
  <c r="CH45" i="24"/>
  <c r="P46" i="57" s="1"/>
  <c r="H45" i="20"/>
  <c r="CH44" i="24"/>
  <c r="P45" i="57" s="1"/>
  <c r="H44" i="20"/>
  <c r="CH43" i="24"/>
  <c r="P44" i="57" s="1"/>
  <c r="H43" i="20"/>
  <c r="CH42" i="24"/>
  <c r="P43" i="57" s="1"/>
  <c r="H42" i="20"/>
  <c r="CH41" i="24"/>
  <c r="P42" i="57" s="1"/>
  <c r="H41" i="20"/>
  <c r="CH40" i="24"/>
  <c r="P41" i="57" s="1"/>
  <c r="H40" i="20"/>
  <c r="CH39" i="24"/>
  <c r="P40" i="57" s="1"/>
  <c r="H39" i="20"/>
  <c r="CH38" i="24"/>
  <c r="P39" i="57" s="1"/>
  <c r="H38" i="20"/>
  <c r="CH37" i="24"/>
  <c r="P38" i="57" s="1"/>
  <c r="H37" i="20"/>
  <c r="CH36" i="24"/>
  <c r="P37" i="57" s="1"/>
  <c r="H36" i="20"/>
  <c r="CH35" i="24"/>
  <c r="P36" i="57" s="1"/>
  <c r="H35" i="20"/>
  <c r="CH34" i="24"/>
  <c r="P35" i="57" s="1"/>
  <c r="H34" i="20"/>
  <c r="CH33" i="24"/>
  <c r="P34" i="57" s="1"/>
  <c r="H33" i="20"/>
  <c r="CH32" i="24"/>
  <c r="P33" i="57" s="1"/>
  <c r="H32" i="20"/>
  <c r="CH31" i="24"/>
  <c r="P32" i="57" s="1"/>
  <c r="H31" i="20"/>
  <c r="CH30" i="24"/>
  <c r="P31" i="57" s="1"/>
  <c r="H30" i="20"/>
  <c r="CH29" i="24"/>
  <c r="P30" i="57" s="1"/>
  <c r="H29" i="20"/>
  <c r="CH28" i="24"/>
  <c r="P29" i="57" s="1"/>
  <c r="H28" i="20"/>
  <c r="CH27" i="24"/>
  <c r="P28" i="57" s="1"/>
  <c r="H27" i="20"/>
  <c r="CH26" i="24"/>
  <c r="P27" i="57" s="1"/>
  <c r="H26" i="20"/>
  <c r="CH25" i="24"/>
  <c r="P26" i="57" s="1"/>
  <c r="H25" i="20"/>
  <c r="CH24" i="24"/>
  <c r="P25" i="57" s="1"/>
  <c r="H24" i="20"/>
  <c r="CH23" i="24"/>
  <c r="P24" i="57" s="1"/>
  <c r="H23" i="20"/>
  <c r="CH22" i="24"/>
  <c r="P23" i="57" s="1"/>
  <c r="H22" i="20"/>
  <c r="CH21" i="24"/>
  <c r="P22" i="57" s="1"/>
  <c r="H21" i="20"/>
  <c r="CH20" i="24"/>
  <c r="P21" i="57" s="1"/>
  <c r="H20" i="20"/>
  <c r="CH19" i="24"/>
  <c r="P20" i="57" s="1"/>
  <c r="H19" i="20"/>
  <c r="CH18" i="24"/>
  <c r="P19" i="57" s="1"/>
  <c r="H18" i="20"/>
  <c r="CH17" i="24"/>
  <c r="P18" i="57" s="1"/>
  <c r="H17" i="20"/>
  <c r="CH16" i="24"/>
  <c r="P17" i="57" s="1"/>
  <c r="H16" i="20"/>
  <c r="CH15" i="24"/>
  <c r="P16" i="57" s="1"/>
  <c r="H15" i="20"/>
  <c r="CH14" i="24"/>
  <c r="P15" i="57" s="1"/>
  <c r="H14" i="20"/>
  <c r="CH13" i="24"/>
  <c r="P14" i="57" s="1"/>
  <c r="H13" i="20"/>
  <c r="CH12" i="24"/>
  <c r="P13" i="57" s="1"/>
  <c r="H12" i="20"/>
  <c r="CH11" i="24"/>
  <c r="P12" i="57" s="1"/>
  <c r="H11" i="20"/>
  <c r="CH10" i="24"/>
  <c r="P11" i="57" s="1"/>
  <c r="CG9" i="24"/>
  <c r="H7" i="20"/>
  <c r="CH6" i="24"/>
  <c r="P7" i="57" s="1"/>
  <c r="CG5" i="24"/>
  <c r="CH2" i="24"/>
  <c r="P3" i="57" s="1"/>
  <c r="CG126" i="24"/>
  <c r="CG125" i="24"/>
  <c r="CG124" i="24"/>
  <c r="CG123" i="24"/>
  <c r="CG122" i="24"/>
  <c r="CG121" i="24"/>
  <c r="CG120" i="24"/>
  <c r="CG119" i="24"/>
  <c r="CG118" i="24"/>
  <c r="CG117" i="24"/>
  <c r="CG116" i="24"/>
  <c r="CG115" i="24"/>
  <c r="CG114" i="24"/>
  <c r="CG113" i="24"/>
  <c r="CG112" i="24"/>
  <c r="CG111" i="24"/>
  <c r="CG110" i="24"/>
  <c r="CG109" i="24"/>
  <c r="CG108" i="24"/>
  <c r="CG107" i="24"/>
  <c r="CG106" i="24"/>
  <c r="CG105" i="24"/>
  <c r="CG104" i="24"/>
  <c r="CG103" i="24"/>
  <c r="CG102" i="24"/>
  <c r="CG101" i="24"/>
  <c r="CG100" i="24"/>
  <c r="CG99" i="24"/>
  <c r="CG98" i="24"/>
  <c r="CG97" i="24"/>
  <c r="CG96" i="24"/>
  <c r="CG95" i="24"/>
  <c r="CG94" i="24"/>
  <c r="CG93" i="24"/>
  <c r="CG92" i="24"/>
  <c r="CG91" i="24"/>
  <c r="CG90" i="24"/>
  <c r="CG89" i="24"/>
  <c r="CG88" i="24"/>
  <c r="CG87" i="24"/>
  <c r="CG86" i="24"/>
  <c r="CG85" i="24"/>
  <c r="CG84" i="24"/>
  <c r="CG83" i="24"/>
  <c r="CG82" i="24"/>
  <c r="CG81" i="24"/>
  <c r="CG80" i="24"/>
  <c r="CG79" i="24"/>
  <c r="CG78" i="24"/>
  <c r="CG77" i="24"/>
  <c r="CG76" i="24"/>
  <c r="CG75" i="24"/>
  <c r="CG74" i="24"/>
  <c r="CG73" i="24"/>
  <c r="CG72" i="24"/>
  <c r="CG71" i="24"/>
  <c r="CG70" i="24"/>
  <c r="CG69" i="24"/>
  <c r="CG68" i="24"/>
  <c r="CG67" i="24"/>
  <c r="CG66" i="24"/>
  <c r="CG65" i="24"/>
  <c r="CG64" i="24"/>
  <c r="CG63" i="24"/>
  <c r="CG62" i="24"/>
  <c r="CG61" i="24"/>
  <c r="CG60" i="24"/>
  <c r="CG59" i="24"/>
  <c r="CG58" i="24"/>
  <c r="CG57" i="24"/>
  <c r="CG56" i="24"/>
  <c r="CG55" i="24"/>
  <c r="CG54" i="24"/>
  <c r="CG53" i="24"/>
  <c r="CG52" i="24"/>
  <c r="CG51" i="24"/>
  <c r="CG50" i="24"/>
  <c r="CG49" i="24"/>
  <c r="CG48" i="24"/>
  <c r="CG47" i="24"/>
  <c r="CG46" i="24"/>
  <c r="CG45" i="24"/>
  <c r="CG44" i="24"/>
  <c r="CG43" i="24"/>
  <c r="CG42" i="24"/>
  <c r="CG41" i="24"/>
  <c r="CG40" i="24"/>
  <c r="CG39" i="24"/>
  <c r="CG38" i="24"/>
  <c r="CG37" i="24"/>
  <c r="CG36" i="24"/>
  <c r="CG35" i="24"/>
  <c r="CG34" i="24"/>
  <c r="CG33" i="24"/>
  <c r="CG32" i="24"/>
  <c r="CG31" i="24"/>
  <c r="CG30" i="24"/>
  <c r="CG29" i="24"/>
  <c r="CG28" i="24"/>
  <c r="CG27" i="24"/>
  <c r="CG26" i="24"/>
  <c r="CG25" i="24"/>
  <c r="CG24" i="24"/>
  <c r="CG23" i="24"/>
  <c r="CG22" i="24"/>
  <c r="CG21" i="24"/>
  <c r="CG20" i="24"/>
  <c r="CG19" i="24"/>
  <c r="CG18" i="24"/>
  <c r="CG17" i="24"/>
  <c r="CG16" i="24"/>
  <c r="CG15" i="24"/>
  <c r="CG14" i="24"/>
  <c r="CG13" i="24"/>
  <c r="CG12" i="24"/>
  <c r="CG11" i="24"/>
  <c r="CG10" i="24"/>
  <c r="H8" i="20"/>
  <c r="CH7" i="24"/>
  <c r="P8" i="57" s="1"/>
  <c r="CG6" i="24"/>
  <c r="H4" i="20"/>
  <c r="CH3" i="24"/>
  <c r="P4" i="57" s="1"/>
  <c r="CG2" i="24"/>
  <c r="BI4" i="24"/>
  <c r="I3" i="24" l="1"/>
  <c r="I19" i="24"/>
  <c r="I35" i="24"/>
  <c r="F34" i="24"/>
  <c r="F35" i="57" s="1"/>
  <c r="I13" i="24"/>
  <c r="F35" i="24"/>
  <c r="F36" i="57" s="1"/>
  <c r="I27" i="24"/>
  <c r="F30" i="24"/>
  <c r="F31" i="57" s="1"/>
  <c r="L34" i="24"/>
  <c r="F35" i="59" s="1"/>
  <c r="F46" i="24"/>
  <c r="F47" i="57" s="1"/>
  <c r="I23" i="24"/>
  <c r="I22" i="24"/>
  <c r="F23" i="37" s="1"/>
  <c r="O17" i="57"/>
  <c r="M17" i="20"/>
  <c r="O17" i="44"/>
  <c r="O29" i="57"/>
  <c r="M29" i="20"/>
  <c r="O29" i="44"/>
  <c r="O37" i="57"/>
  <c r="O37" i="44"/>
  <c r="M37" i="20"/>
  <c r="O45" i="57"/>
  <c r="M45" i="20"/>
  <c r="O45" i="44"/>
  <c r="O53" i="57"/>
  <c r="O53" i="44"/>
  <c r="M53" i="20"/>
  <c r="O57" i="57"/>
  <c r="O57" i="44"/>
  <c r="M57" i="20"/>
  <c r="O65" i="57"/>
  <c r="M65" i="20"/>
  <c r="O65" i="20" s="1"/>
  <c r="O65" i="44"/>
  <c r="O73" i="57"/>
  <c r="O73" i="44"/>
  <c r="M73" i="20"/>
  <c r="O73" i="20" s="1"/>
  <c r="O81" i="57"/>
  <c r="M81" i="20"/>
  <c r="O81" i="44"/>
  <c r="O89" i="57"/>
  <c r="O89" i="44"/>
  <c r="M89" i="20"/>
  <c r="O97" i="57"/>
  <c r="M97" i="20"/>
  <c r="O97" i="20" s="1"/>
  <c r="O97" i="44"/>
  <c r="O105" i="57"/>
  <c r="O105" i="44"/>
  <c r="M105" i="20"/>
  <c r="O105" i="20" s="1"/>
  <c r="O113" i="57"/>
  <c r="M113" i="20"/>
  <c r="O113" i="44"/>
  <c r="O121" i="57"/>
  <c r="M121" i="20"/>
  <c r="O121" i="44"/>
  <c r="O14" i="57"/>
  <c r="O14" i="44"/>
  <c r="M14" i="20"/>
  <c r="O22" i="57"/>
  <c r="O22" i="44"/>
  <c r="M22" i="20"/>
  <c r="O30" i="57"/>
  <c r="O30" i="44"/>
  <c r="M30" i="20"/>
  <c r="O38" i="57"/>
  <c r="O38" i="44"/>
  <c r="M38" i="20"/>
  <c r="O46" i="57"/>
  <c r="O46" i="44"/>
  <c r="M46" i="20"/>
  <c r="O54" i="57"/>
  <c r="O54" i="44"/>
  <c r="M54" i="20"/>
  <c r="O54" i="20" s="1"/>
  <c r="O62" i="57"/>
  <c r="O62" i="44"/>
  <c r="M62" i="20"/>
  <c r="O70" i="57"/>
  <c r="O70" i="44"/>
  <c r="M70" i="20"/>
  <c r="O78" i="57"/>
  <c r="O78" i="44"/>
  <c r="M78" i="20"/>
  <c r="O90" i="57"/>
  <c r="O90" i="44"/>
  <c r="M90" i="20"/>
  <c r="O98" i="57"/>
  <c r="M98" i="20"/>
  <c r="O98" i="44"/>
  <c r="O106" i="57"/>
  <c r="O106" i="44"/>
  <c r="M106" i="20"/>
  <c r="O118" i="57"/>
  <c r="O118" i="44"/>
  <c r="M118" i="20"/>
  <c r="O9" i="57"/>
  <c r="O9" i="44"/>
  <c r="M9" i="20"/>
  <c r="O11" i="57"/>
  <c r="O11" i="44"/>
  <c r="M11" i="20"/>
  <c r="O19" i="57"/>
  <c r="O19" i="44"/>
  <c r="M19" i="20"/>
  <c r="O27" i="57"/>
  <c r="O27" i="44"/>
  <c r="M27" i="20"/>
  <c r="O35" i="57"/>
  <c r="O35" i="44"/>
  <c r="M35" i="20"/>
  <c r="O43" i="57"/>
  <c r="O43" i="44"/>
  <c r="M43" i="20"/>
  <c r="O55" i="57"/>
  <c r="O55" i="44"/>
  <c r="M55" i="20"/>
  <c r="O63" i="57"/>
  <c r="O63" i="44"/>
  <c r="M63" i="20"/>
  <c r="O71" i="57"/>
  <c r="O71" i="44"/>
  <c r="M71" i="20"/>
  <c r="O79" i="57"/>
  <c r="O79" i="44"/>
  <c r="M79" i="20"/>
  <c r="O87" i="44"/>
  <c r="O87" i="57"/>
  <c r="M87" i="20"/>
  <c r="O95" i="44"/>
  <c r="O95" i="57"/>
  <c r="M95" i="20"/>
  <c r="O99" i="57"/>
  <c r="O99" i="44"/>
  <c r="M99" i="20"/>
  <c r="O107" i="57"/>
  <c r="O107" i="44"/>
  <c r="M107" i="20"/>
  <c r="O115" i="57"/>
  <c r="O115" i="44"/>
  <c r="M115" i="20"/>
  <c r="O123" i="57"/>
  <c r="O123" i="44"/>
  <c r="M123" i="20"/>
  <c r="O5" i="57"/>
  <c r="M5" i="20"/>
  <c r="O5" i="44"/>
  <c r="O128" i="44"/>
  <c r="O128" i="57"/>
  <c r="M128" i="20"/>
  <c r="O3" i="57"/>
  <c r="O3" i="44"/>
  <c r="M3" i="20"/>
  <c r="O13" i="57"/>
  <c r="M13" i="20"/>
  <c r="O13" i="44"/>
  <c r="O21" i="57"/>
  <c r="O21" i="44"/>
  <c r="M21" i="20"/>
  <c r="O25" i="57"/>
  <c r="O25" i="44"/>
  <c r="M25" i="20"/>
  <c r="O33" i="57"/>
  <c r="M33" i="20"/>
  <c r="O33" i="44"/>
  <c r="O41" i="57"/>
  <c r="O41" i="44"/>
  <c r="M41" i="20"/>
  <c r="O49" i="57"/>
  <c r="M49" i="20"/>
  <c r="O49" i="20" s="1"/>
  <c r="O49" i="44"/>
  <c r="O61" i="57"/>
  <c r="M61" i="20"/>
  <c r="O61" i="44"/>
  <c r="O69" i="57"/>
  <c r="O69" i="44"/>
  <c r="M69" i="20"/>
  <c r="O77" i="57"/>
  <c r="M77" i="20"/>
  <c r="O77" i="44"/>
  <c r="O85" i="57"/>
  <c r="O85" i="44"/>
  <c r="M85" i="20"/>
  <c r="O93" i="57"/>
  <c r="M93" i="20"/>
  <c r="O93" i="44"/>
  <c r="O101" i="57"/>
  <c r="O101" i="44"/>
  <c r="M101" i="20"/>
  <c r="O109" i="57"/>
  <c r="M109" i="20"/>
  <c r="O109" i="44"/>
  <c r="O117" i="57"/>
  <c r="M117" i="20"/>
  <c r="O117" i="44"/>
  <c r="O125" i="57"/>
  <c r="O125" i="44"/>
  <c r="M125" i="20"/>
  <c r="O6" i="44"/>
  <c r="O6" i="57"/>
  <c r="M6" i="20"/>
  <c r="O4" i="57"/>
  <c r="M4" i="20"/>
  <c r="O4" i="44"/>
  <c r="O18" i="57"/>
  <c r="M18" i="20"/>
  <c r="O18" i="44"/>
  <c r="O26" i="57"/>
  <c r="O26" i="44"/>
  <c r="M26" i="20"/>
  <c r="O34" i="57"/>
  <c r="M34" i="20"/>
  <c r="O34" i="44"/>
  <c r="O42" i="57"/>
  <c r="O42" i="44"/>
  <c r="M42" i="20"/>
  <c r="O50" i="57"/>
  <c r="O50" i="44"/>
  <c r="M50" i="20"/>
  <c r="O58" i="57"/>
  <c r="O58" i="44"/>
  <c r="M58" i="20"/>
  <c r="O66" i="57"/>
  <c r="M66" i="20"/>
  <c r="O66" i="44"/>
  <c r="O74" i="57"/>
  <c r="O74" i="44"/>
  <c r="M74" i="20"/>
  <c r="O82" i="57"/>
  <c r="M82" i="20"/>
  <c r="O82" i="44"/>
  <c r="O86" i="57"/>
  <c r="O86" i="44"/>
  <c r="M86" i="20"/>
  <c r="O86" i="20" s="1"/>
  <c r="O94" i="57"/>
  <c r="O94" i="44"/>
  <c r="M94" i="20"/>
  <c r="O102" i="57"/>
  <c r="O102" i="44"/>
  <c r="M102" i="20"/>
  <c r="O110" i="57"/>
  <c r="O110" i="44"/>
  <c r="M110" i="20"/>
  <c r="O110" i="20" s="1"/>
  <c r="O114" i="57"/>
  <c r="O114" i="44"/>
  <c r="M114" i="20"/>
  <c r="O122" i="57"/>
  <c r="M122" i="20"/>
  <c r="O122" i="44"/>
  <c r="O126" i="57"/>
  <c r="O126" i="44"/>
  <c r="M126" i="20"/>
  <c r="O130" i="57"/>
  <c r="O130" i="44"/>
  <c r="M130" i="20"/>
  <c r="O15" i="57"/>
  <c r="O15" i="44"/>
  <c r="M15" i="20"/>
  <c r="O23" i="57"/>
  <c r="O23" i="44"/>
  <c r="M23" i="20"/>
  <c r="O31" i="57"/>
  <c r="O31" i="44"/>
  <c r="M31" i="20"/>
  <c r="O39" i="57"/>
  <c r="O39" i="44"/>
  <c r="M39" i="20"/>
  <c r="O47" i="57"/>
  <c r="O47" i="44"/>
  <c r="M47" i="20"/>
  <c r="O51" i="57"/>
  <c r="O51" i="44"/>
  <c r="M51" i="20"/>
  <c r="O59" i="57"/>
  <c r="O59" i="44"/>
  <c r="M59" i="20"/>
  <c r="O67" i="57"/>
  <c r="O67" i="44"/>
  <c r="M67" i="20"/>
  <c r="O75" i="57"/>
  <c r="O75" i="44"/>
  <c r="M75" i="20"/>
  <c r="O83" i="44"/>
  <c r="O83" i="57"/>
  <c r="M83" i="20"/>
  <c r="O91" i="44"/>
  <c r="O91" i="57"/>
  <c r="M91" i="20"/>
  <c r="O103" i="57"/>
  <c r="O103" i="44"/>
  <c r="M103" i="20"/>
  <c r="O111" i="57"/>
  <c r="O111" i="44"/>
  <c r="M111" i="20"/>
  <c r="O119" i="57"/>
  <c r="O119" i="44"/>
  <c r="M119" i="20"/>
  <c r="O127" i="57"/>
  <c r="O127" i="44"/>
  <c r="M127" i="20"/>
  <c r="O7" i="57"/>
  <c r="O7" i="44"/>
  <c r="M7" i="20"/>
  <c r="O12" i="57"/>
  <c r="M12" i="20"/>
  <c r="O12" i="44"/>
  <c r="O16" i="57"/>
  <c r="M16" i="20"/>
  <c r="O16" i="44"/>
  <c r="O20" i="57"/>
  <c r="O20" i="44"/>
  <c r="M20" i="20"/>
  <c r="O24" i="57"/>
  <c r="M24" i="20"/>
  <c r="O24" i="44"/>
  <c r="O28" i="57"/>
  <c r="M28" i="20"/>
  <c r="O28" i="44"/>
  <c r="O32" i="57"/>
  <c r="M32" i="20"/>
  <c r="O32" i="44"/>
  <c r="O36" i="57"/>
  <c r="O36" i="44"/>
  <c r="M36" i="20"/>
  <c r="O40" i="57"/>
  <c r="M40" i="20"/>
  <c r="O40" i="44"/>
  <c r="O44" i="57"/>
  <c r="M44" i="20"/>
  <c r="O44" i="44"/>
  <c r="O48" i="57"/>
  <c r="M48" i="20"/>
  <c r="O48" i="44"/>
  <c r="O52" i="57"/>
  <c r="O52" i="44"/>
  <c r="M52" i="20"/>
  <c r="O56" i="57"/>
  <c r="M56" i="20"/>
  <c r="O56" i="44"/>
  <c r="O60" i="57"/>
  <c r="M60" i="20"/>
  <c r="O60" i="44"/>
  <c r="O64" i="57"/>
  <c r="M64" i="20"/>
  <c r="O64" i="44"/>
  <c r="O68" i="57"/>
  <c r="O68" i="44"/>
  <c r="M68" i="20"/>
  <c r="O72" i="57"/>
  <c r="M72" i="20"/>
  <c r="O72" i="44"/>
  <c r="O76" i="57"/>
  <c r="M76" i="20"/>
  <c r="O76" i="44"/>
  <c r="O80" i="57"/>
  <c r="M80" i="20"/>
  <c r="O80" i="44"/>
  <c r="O84" i="57"/>
  <c r="O84" i="44"/>
  <c r="M84" i="20"/>
  <c r="O88" i="57"/>
  <c r="M88" i="20"/>
  <c r="O88" i="44"/>
  <c r="O92" i="57"/>
  <c r="M92" i="20"/>
  <c r="O92" i="44"/>
  <c r="O96" i="57"/>
  <c r="M96" i="20"/>
  <c r="O96" i="44"/>
  <c r="O100" i="57"/>
  <c r="O100" i="44"/>
  <c r="M100" i="20"/>
  <c r="O104" i="57"/>
  <c r="M104" i="20"/>
  <c r="O104" i="44"/>
  <c r="O108" i="57"/>
  <c r="M108" i="20"/>
  <c r="O108" i="44"/>
  <c r="O112" i="57"/>
  <c r="M112" i="20"/>
  <c r="O112" i="44"/>
  <c r="O116" i="57"/>
  <c r="M116" i="20"/>
  <c r="O116" i="44"/>
  <c r="O120" i="57"/>
  <c r="M120" i="20"/>
  <c r="O120" i="44"/>
  <c r="O124" i="57"/>
  <c r="M124" i="20"/>
  <c r="O124" i="44"/>
  <c r="O10" i="57"/>
  <c r="O10" i="44"/>
  <c r="M10" i="20"/>
  <c r="O8" i="57"/>
  <c r="M8" i="20"/>
  <c r="O8" i="44"/>
  <c r="O129" i="44"/>
  <c r="O129" i="57"/>
  <c r="M129" i="20"/>
  <c r="O129" i="20" s="1"/>
  <c r="L4" i="24"/>
  <c r="F5" i="59" s="1"/>
  <c r="E5" i="59"/>
  <c r="L14" i="24"/>
  <c r="F15" i="59" s="1"/>
  <c r="E15" i="59"/>
  <c r="L22" i="24"/>
  <c r="F23" i="59" s="1"/>
  <c r="E23" i="59"/>
  <c r="F26" i="24"/>
  <c r="F27" i="57" s="1"/>
  <c r="E27" i="57"/>
  <c r="L30" i="24"/>
  <c r="F31" i="59" s="1"/>
  <c r="E31" i="59"/>
  <c r="F36" i="24"/>
  <c r="F37" i="57" s="1"/>
  <c r="E37" i="57"/>
  <c r="E172" i="59"/>
  <c r="E174" i="57"/>
  <c r="E172" i="58"/>
  <c r="E174" i="58"/>
  <c r="E176" i="58"/>
  <c r="F23" i="24"/>
  <c r="F24" i="57" s="1"/>
  <c r="E24" i="57"/>
  <c r="F39" i="24"/>
  <c r="F40" i="57" s="1"/>
  <c r="E40" i="57"/>
  <c r="E170" i="57"/>
  <c r="E174" i="59"/>
  <c r="E176" i="59"/>
  <c r="E170" i="58"/>
  <c r="F18" i="24"/>
  <c r="F19" i="57" s="1"/>
  <c r="F44" i="24"/>
  <c r="F45" i="57" s="1"/>
  <c r="F2" i="24"/>
  <c r="F3" i="57" s="1"/>
  <c r="F6" i="24"/>
  <c r="F7" i="57" s="1"/>
  <c r="E7" i="57"/>
  <c r="L8" i="24"/>
  <c r="F9" i="59" s="1"/>
  <c r="E9" i="59"/>
  <c r="L10" i="24"/>
  <c r="F11" i="59" s="1"/>
  <c r="E11" i="59"/>
  <c r="F14" i="24"/>
  <c r="F15" i="57" s="1"/>
  <c r="E15" i="57"/>
  <c r="L18" i="24"/>
  <c r="F19" i="59" s="1"/>
  <c r="E19" i="59"/>
  <c r="F22" i="24"/>
  <c r="F23" i="57" s="1"/>
  <c r="E23" i="57"/>
  <c r="F24" i="24"/>
  <c r="F25" i="57" s="1"/>
  <c r="E25" i="57"/>
  <c r="L26" i="24"/>
  <c r="F27" i="59" s="1"/>
  <c r="E27" i="59"/>
  <c r="I32" i="24"/>
  <c r="F33" i="37" s="1"/>
  <c r="E33" i="58"/>
  <c r="E168" i="58" s="1"/>
  <c r="F38" i="24"/>
  <c r="F39" i="57" s="1"/>
  <c r="E39" i="57"/>
  <c r="F40" i="24"/>
  <c r="F41" i="57" s="1"/>
  <c r="E41" i="57"/>
  <c r="L42" i="24"/>
  <c r="F43" i="59" s="1"/>
  <c r="E43" i="59"/>
  <c r="I48" i="24"/>
  <c r="F49" i="58" s="1"/>
  <c r="E49" i="58"/>
  <c r="E169" i="58" s="1"/>
  <c r="E171" i="59"/>
  <c r="E171" i="57"/>
  <c r="E173" i="59"/>
  <c r="E173" i="57"/>
  <c r="E175" i="59"/>
  <c r="E175" i="57"/>
  <c r="E177" i="59"/>
  <c r="F7" i="24"/>
  <c r="F8" i="57" s="1"/>
  <c r="E8" i="57"/>
  <c r="F31" i="24"/>
  <c r="F32" i="57" s="1"/>
  <c r="E32" i="57"/>
  <c r="F47" i="24"/>
  <c r="F48" i="57" s="1"/>
  <c r="E48" i="57"/>
  <c r="L12" i="24"/>
  <c r="F13" i="59" s="1"/>
  <c r="E13" i="59"/>
  <c r="L38" i="24"/>
  <c r="F39" i="59" s="1"/>
  <c r="E39" i="59"/>
  <c r="F42" i="24"/>
  <c r="F43" i="57" s="1"/>
  <c r="E43" i="57"/>
  <c r="E172" i="57"/>
  <c r="E176" i="57"/>
  <c r="I5" i="24"/>
  <c r="F6" i="37" s="1"/>
  <c r="E6" i="58"/>
  <c r="F28" i="24"/>
  <c r="F29" i="57" s="1"/>
  <c r="L46" i="24"/>
  <c r="F47" i="59" s="1"/>
  <c r="I21" i="24"/>
  <c r="CR21" i="24" s="1"/>
  <c r="I37" i="24"/>
  <c r="F43" i="24"/>
  <c r="F44" i="57" s="1"/>
  <c r="I11" i="24"/>
  <c r="F12" i="58" s="1"/>
  <c r="E12" i="58"/>
  <c r="L16" i="24"/>
  <c r="F17" i="59" s="1"/>
  <c r="F10" i="24"/>
  <c r="F11" i="57" s="1"/>
  <c r="I8" i="24"/>
  <c r="F9" i="45" s="1"/>
  <c r="E9" i="58"/>
  <c r="E166" i="58" s="1"/>
  <c r="I16" i="24"/>
  <c r="CR16" i="24" s="1"/>
  <c r="E17" i="58"/>
  <c r="E167" i="58" s="1"/>
  <c r="E171" i="58"/>
  <c r="E173" i="58"/>
  <c r="E175" i="58"/>
  <c r="F14" i="58"/>
  <c r="F28" i="58"/>
  <c r="F4" i="58"/>
  <c r="F24" i="58"/>
  <c r="F44" i="58"/>
  <c r="F37" i="58"/>
  <c r="F20" i="58"/>
  <c r="F36" i="58"/>
  <c r="F33" i="58"/>
  <c r="F38" i="58"/>
  <c r="F9" i="58"/>
  <c r="F17" i="58"/>
  <c r="G16" i="11"/>
  <c r="G25" i="11"/>
  <c r="C12" i="11"/>
  <c r="G20" i="11"/>
  <c r="G35" i="11"/>
  <c r="F12" i="11"/>
  <c r="E12" i="11"/>
  <c r="G12" i="11"/>
  <c r="D12" i="11"/>
  <c r="G30" i="11"/>
  <c r="F24" i="45"/>
  <c r="CR23" i="24"/>
  <c r="EH131" i="32"/>
  <c r="F24" i="37"/>
  <c r="F17" i="45"/>
  <c r="F17" i="37"/>
  <c r="EH124" i="32"/>
  <c r="F37" i="45"/>
  <c r="F37" i="37"/>
  <c r="CR36" i="24"/>
  <c r="EH144" i="32"/>
  <c r="F9" i="46"/>
  <c r="F11" i="46"/>
  <c r="EI118" i="32"/>
  <c r="F11" i="22"/>
  <c r="F19" i="46"/>
  <c r="EI126" i="32"/>
  <c r="F19" i="22"/>
  <c r="F25" i="44"/>
  <c r="EG132" i="32"/>
  <c r="F25" i="20"/>
  <c r="F33" i="45"/>
  <c r="CR32" i="24"/>
  <c r="EH140" i="32"/>
  <c r="F41" i="44"/>
  <c r="EG148" i="32"/>
  <c r="F41" i="20"/>
  <c r="F43" i="46"/>
  <c r="P8" i="44"/>
  <c r="P6" i="44"/>
  <c r="CQ22" i="24"/>
  <c r="EG146" i="32"/>
  <c r="EH130" i="32"/>
  <c r="F27" i="46"/>
  <c r="E5" i="44"/>
  <c r="E5" i="20"/>
  <c r="F4" i="24"/>
  <c r="F5" i="57" s="1"/>
  <c r="E7" i="45"/>
  <c r="E7" i="37"/>
  <c r="I6" i="24"/>
  <c r="E9" i="45"/>
  <c r="E9" i="37"/>
  <c r="E13" i="44"/>
  <c r="E13" i="20"/>
  <c r="F12" i="24"/>
  <c r="F13" i="57" s="1"/>
  <c r="E15" i="45"/>
  <c r="E15" i="37"/>
  <c r="I14" i="24"/>
  <c r="E17" i="45"/>
  <c r="E17" i="37"/>
  <c r="E21" i="44"/>
  <c r="E21" i="20"/>
  <c r="E23" i="45"/>
  <c r="E23" i="37"/>
  <c r="E25" i="45"/>
  <c r="E25" i="37"/>
  <c r="I24" i="24"/>
  <c r="E29" i="45"/>
  <c r="E29" i="37"/>
  <c r="I28" i="24"/>
  <c r="E31" i="45"/>
  <c r="E31" i="37"/>
  <c r="I30" i="24"/>
  <c r="E33" i="46"/>
  <c r="E33" i="22"/>
  <c r="L32" i="24"/>
  <c r="F33" i="59" s="1"/>
  <c r="E37" i="45"/>
  <c r="E37" i="37"/>
  <c r="E39" i="45"/>
  <c r="E39" i="37"/>
  <c r="I38" i="24"/>
  <c r="E41" i="46"/>
  <c r="E41" i="22"/>
  <c r="E45" i="45"/>
  <c r="E45" i="37"/>
  <c r="I44" i="24"/>
  <c r="E47" i="45"/>
  <c r="E47" i="37"/>
  <c r="E49" i="46"/>
  <c r="E49" i="22"/>
  <c r="L48" i="24"/>
  <c r="F49" i="59" s="1"/>
  <c r="I52" i="24"/>
  <c r="CR52" i="24" s="1"/>
  <c r="E53" i="45"/>
  <c r="E53" i="37"/>
  <c r="I54" i="24"/>
  <c r="F55" i="37" s="1"/>
  <c r="E55" i="45"/>
  <c r="E55" i="37"/>
  <c r="L56" i="24"/>
  <c r="F57" i="59" s="1"/>
  <c r="E57" i="46"/>
  <c r="E57" i="22"/>
  <c r="I60" i="24"/>
  <c r="E61" i="45"/>
  <c r="E61" i="37"/>
  <c r="I62" i="24"/>
  <c r="F63" i="45" s="1"/>
  <c r="E63" i="45"/>
  <c r="E63" i="37"/>
  <c r="F64" i="24"/>
  <c r="F65" i="57" s="1"/>
  <c r="E65" i="44"/>
  <c r="E65" i="20"/>
  <c r="I68" i="24"/>
  <c r="EH176" i="32" s="1"/>
  <c r="E69" i="45"/>
  <c r="E69" i="37"/>
  <c r="I70" i="24"/>
  <c r="E71" i="45"/>
  <c r="E71" i="37"/>
  <c r="L72" i="24"/>
  <c r="F73" i="59" s="1"/>
  <c r="E73" i="46"/>
  <c r="E73" i="22"/>
  <c r="I76" i="24"/>
  <c r="F77" i="45" s="1"/>
  <c r="E77" i="45"/>
  <c r="E77" i="37"/>
  <c r="I78" i="24"/>
  <c r="F79" i="37" s="1"/>
  <c r="E79" i="45"/>
  <c r="E79" i="37"/>
  <c r="L80" i="24"/>
  <c r="F81" i="59" s="1"/>
  <c r="E81" i="46"/>
  <c r="E81" i="22"/>
  <c r="I84" i="24"/>
  <c r="F85" i="37" s="1"/>
  <c r="E85" i="45"/>
  <c r="E85" i="37"/>
  <c r="I86" i="24"/>
  <c r="EH194" i="32" s="1"/>
  <c r="E87" i="45"/>
  <c r="E87" i="37"/>
  <c r="I88" i="24"/>
  <c r="F89" i="45" s="1"/>
  <c r="E89" i="45"/>
  <c r="E89" i="37"/>
  <c r="I92" i="24"/>
  <c r="E93" i="45"/>
  <c r="E93" i="37"/>
  <c r="I94" i="24"/>
  <c r="EH202" i="32" s="1"/>
  <c r="E95" i="45"/>
  <c r="E95" i="37"/>
  <c r="L96" i="24"/>
  <c r="F97" i="59" s="1"/>
  <c r="E97" i="46"/>
  <c r="E97" i="22"/>
  <c r="I100" i="24"/>
  <c r="F101" i="45" s="1"/>
  <c r="E101" i="45"/>
  <c r="E101" i="37"/>
  <c r="I102" i="24"/>
  <c r="E103" i="45"/>
  <c r="E103" i="37"/>
  <c r="L104" i="24"/>
  <c r="F105" i="59" s="1"/>
  <c r="E105" i="46"/>
  <c r="E105" i="22"/>
  <c r="I108" i="24"/>
  <c r="F109" i="45" s="1"/>
  <c r="E109" i="45"/>
  <c r="E109" i="37"/>
  <c r="F20" i="45"/>
  <c r="CR19" i="24"/>
  <c r="EH127" i="32"/>
  <c r="F20" i="37"/>
  <c r="F24" i="44"/>
  <c r="E6" i="45"/>
  <c r="E6" i="37"/>
  <c r="I7" i="24"/>
  <c r="E8" i="45"/>
  <c r="E8" i="37"/>
  <c r="L9" i="24"/>
  <c r="F10" i="59" s="1"/>
  <c r="E10" i="46"/>
  <c r="E10" i="22"/>
  <c r="L13" i="24"/>
  <c r="F14" i="59" s="1"/>
  <c r="E14" i="46"/>
  <c r="E14" i="22"/>
  <c r="E16" i="45"/>
  <c r="E16" i="37"/>
  <c r="I15" i="24"/>
  <c r="L17" i="24"/>
  <c r="F18" i="59" s="1"/>
  <c r="E18" i="46"/>
  <c r="E18" i="22"/>
  <c r="L21" i="24"/>
  <c r="F22" i="59" s="1"/>
  <c r="E22" i="46"/>
  <c r="E22" i="22"/>
  <c r="E24" i="45"/>
  <c r="E24" i="37"/>
  <c r="L25" i="24"/>
  <c r="F26" i="59" s="1"/>
  <c r="E26" i="46"/>
  <c r="E26" i="22"/>
  <c r="L29" i="24"/>
  <c r="F30" i="59" s="1"/>
  <c r="E30" i="46"/>
  <c r="E30" i="22"/>
  <c r="E32" i="45"/>
  <c r="E32" i="37"/>
  <c r="I31" i="24"/>
  <c r="L33" i="24"/>
  <c r="F34" i="59" s="1"/>
  <c r="E34" i="46"/>
  <c r="E34" i="22"/>
  <c r="F37" i="24"/>
  <c r="F38" i="57" s="1"/>
  <c r="E38" i="44"/>
  <c r="E38" i="20"/>
  <c r="E40" i="45"/>
  <c r="E40" i="37"/>
  <c r="I39" i="24"/>
  <c r="L41" i="24"/>
  <c r="F42" i="59" s="1"/>
  <c r="E42" i="46"/>
  <c r="E42" i="22"/>
  <c r="L45" i="24"/>
  <c r="F46" i="59" s="1"/>
  <c r="E46" i="46"/>
  <c r="E46" i="22"/>
  <c r="E48" i="45"/>
  <c r="E48" i="37"/>
  <c r="I47" i="24"/>
  <c r="L49" i="24"/>
  <c r="F50" i="59" s="1"/>
  <c r="E50" i="46"/>
  <c r="E50" i="22"/>
  <c r="L53" i="24"/>
  <c r="F54" i="59" s="1"/>
  <c r="E54" i="46"/>
  <c r="E54" i="22"/>
  <c r="I55" i="24"/>
  <c r="E56" i="45"/>
  <c r="E56" i="37"/>
  <c r="L57" i="24"/>
  <c r="F58" i="59" s="1"/>
  <c r="E58" i="46"/>
  <c r="E58" i="22"/>
  <c r="L61" i="24"/>
  <c r="F62" i="59" s="1"/>
  <c r="E62" i="46"/>
  <c r="E62" i="22"/>
  <c r="I63" i="24"/>
  <c r="EH171" i="32" s="1"/>
  <c r="E64" i="45"/>
  <c r="E64" i="37"/>
  <c r="L65" i="24"/>
  <c r="F66" i="59" s="1"/>
  <c r="E66" i="46"/>
  <c r="E66" i="22"/>
  <c r="F69" i="24"/>
  <c r="F70" i="57" s="1"/>
  <c r="E70" i="44"/>
  <c r="E70" i="20"/>
  <c r="I71" i="24"/>
  <c r="F72" i="37" s="1"/>
  <c r="E72" i="45"/>
  <c r="E72" i="37"/>
  <c r="L73" i="24"/>
  <c r="F74" i="59" s="1"/>
  <c r="E74" i="46"/>
  <c r="E74" i="22"/>
  <c r="L77" i="24"/>
  <c r="F78" i="59" s="1"/>
  <c r="E78" i="46"/>
  <c r="E78" i="22"/>
  <c r="I79" i="24"/>
  <c r="F80" i="45" s="1"/>
  <c r="E80" i="45"/>
  <c r="E80" i="37"/>
  <c r="L81" i="24"/>
  <c r="F82" i="59" s="1"/>
  <c r="E82" i="46"/>
  <c r="E82" i="22"/>
  <c r="L85" i="24"/>
  <c r="F86" i="59" s="1"/>
  <c r="E86" i="46"/>
  <c r="E86" i="22"/>
  <c r="I87" i="24"/>
  <c r="F88" i="37" s="1"/>
  <c r="E88" i="45"/>
  <c r="E88" i="37"/>
  <c r="L89" i="24"/>
  <c r="F90" i="59" s="1"/>
  <c r="E90" i="46"/>
  <c r="E90" i="22"/>
  <c r="L93" i="24"/>
  <c r="F94" i="59" s="1"/>
  <c r="E94" i="46"/>
  <c r="E94" i="22"/>
  <c r="I95" i="24"/>
  <c r="F96" i="37" s="1"/>
  <c r="E96" i="45"/>
  <c r="E96" i="37"/>
  <c r="L97" i="24"/>
  <c r="F98" i="59" s="1"/>
  <c r="E98" i="46"/>
  <c r="E98" i="22"/>
  <c r="F101" i="24"/>
  <c r="F102" i="57" s="1"/>
  <c r="E102" i="44"/>
  <c r="E102" i="20"/>
  <c r="I103" i="24"/>
  <c r="EH211" i="32" s="1"/>
  <c r="E104" i="45"/>
  <c r="E104" i="37"/>
  <c r="L105" i="24"/>
  <c r="F106" i="59" s="1"/>
  <c r="E106" i="46"/>
  <c r="E106" i="22"/>
  <c r="L109" i="24"/>
  <c r="F110" i="59" s="1"/>
  <c r="E110" i="46"/>
  <c r="E110" i="22"/>
  <c r="I111" i="24"/>
  <c r="CR111" i="24" s="1"/>
  <c r="E112" i="45"/>
  <c r="E112" i="37"/>
  <c r="L113" i="24"/>
  <c r="F114" i="59" s="1"/>
  <c r="E114" i="46"/>
  <c r="E114" i="22"/>
  <c r="L117" i="24"/>
  <c r="F118" i="59" s="1"/>
  <c r="E118" i="46"/>
  <c r="E118" i="22"/>
  <c r="I119" i="24"/>
  <c r="F120" i="45" s="1"/>
  <c r="E120" i="45"/>
  <c r="E120" i="37"/>
  <c r="L121" i="24"/>
  <c r="F122" i="59" s="1"/>
  <c r="E122" i="46"/>
  <c r="E122" i="22"/>
  <c r="L125" i="24"/>
  <c r="F126" i="59" s="1"/>
  <c r="E126" i="46"/>
  <c r="E126" i="22"/>
  <c r="I127" i="24"/>
  <c r="EH235" i="32" s="1"/>
  <c r="E128" i="45"/>
  <c r="E128" i="37"/>
  <c r="I46" i="24"/>
  <c r="F20" i="24"/>
  <c r="F21" i="57" s="1"/>
  <c r="F17" i="22"/>
  <c r="EI124" i="32"/>
  <c r="CS16" i="24"/>
  <c r="F44" i="45"/>
  <c r="F44" i="37"/>
  <c r="CR43" i="24"/>
  <c r="EH151" i="32"/>
  <c r="F12" i="45"/>
  <c r="CQ46" i="24"/>
  <c r="F47" i="20"/>
  <c r="EG136" i="32"/>
  <c r="L40" i="24"/>
  <c r="F41" i="59" s="1"/>
  <c r="D169" i="44"/>
  <c r="N128" i="20"/>
  <c r="P128" i="44"/>
  <c r="O53" i="24"/>
  <c r="O57" i="24"/>
  <c r="R61" i="24"/>
  <c r="O65" i="24"/>
  <c r="R69" i="24"/>
  <c r="O73" i="24"/>
  <c r="O77" i="24"/>
  <c r="O81" i="24"/>
  <c r="R85" i="24"/>
  <c r="O89" i="24"/>
  <c r="O93" i="24"/>
  <c r="O97" i="24"/>
  <c r="O101" i="24"/>
  <c r="O105" i="24"/>
  <c r="O109" i="24"/>
  <c r="R113" i="24"/>
  <c r="O117" i="24"/>
  <c r="R121" i="24"/>
  <c r="O125" i="24"/>
  <c r="I110" i="24"/>
  <c r="F111" i="37" s="1"/>
  <c r="E111" i="45"/>
  <c r="E111" i="37"/>
  <c r="L112" i="24"/>
  <c r="F113" i="46" s="1"/>
  <c r="E113" i="46"/>
  <c r="E113" i="22"/>
  <c r="F116" i="24"/>
  <c r="F117" i="57" s="1"/>
  <c r="E117" i="44"/>
  <c r="E117" i="20"/>
  <c r="I118" i="24"/>
  <c r="E119" i="45"/>
  <c r="E119" i="37"/>
  <c r="F120" i="24"/>
  <c r="F121" i="57" s="1"/>
  <c r="E121" i="44"/>
  <c r="E121" i="20"/>
  <c r="F124" i="24"/>
  <c r="E125" i="44"/>
  <c r="E125" i="20"/>
  <c r="I126" i="24"/>
  <c r="CR126" i="24" s="1"/>
  <c r="E127" i="45"/>
  <c r="E127" i="37"/>
  <c r="L30" i="11"/>
  <c r="K20" i="11"/>
  <c r="I30" i="11"/>
  <c r="H30" i="11"/>
  <c r="L31" i="11"/>
  <c r="D30" i="18"/>
  <c r="D27" i="9"/>
  <c r="C16" i="11"/>
  <c r="M25" i="11"/>
  <c r="O50" i="24"/>
  <c r="O58" i="24"/>
  <c r="O70" i="24"/>
  <c r="O78" i="24"/>
  <c r="O86" i="24"/>
  <c r="O94" i="24"/>
  <c r="O102" i="24"/>
  <c r="O110" i="24"/>
  <c r="O118" i="24"/>
  <c r="O126" i="24"/>
  <c r="M5" i="45"/>
  <c r="K5" i="37"/>
  <c r="P4" i="44"/>
  <c r="P11" i="44"/>
  <c r="P13" i="44"/>
  <c r="P15" i="44"/>
  <c r="P17" i="44"/>
  <c r="P19" i="44"/>
  <c r="P21" i="44"/>
  <c r="P23" i="44"/>
  <c r="P25" i="44"/>
  <c r="P27" i="44"/>
  <c r="P29" i="44"/>
  <c r="P31" i="44"/>
  <c r="P33" i="44"/>
  <c r="P35" i="44"/>
  <c r="P37" i="44"/>
  <c r="P39" i="44"/>
  <c r="P41" i="44"/>
  <c r="P43" i="44"/>
  <c r="P45" i="44"/>
  <c r="P47" i="44"/>
  <c r="P49" i="44"/>
  <c r="P51" i="44"/>
  <c r="P53" i="44"/>
  <c r="P55" i="44"/>
  <c r="P57" i="44"/>
  <c r="P59" i="44"/>
  <c r="P61" i="44"/>
  <c r="P63" i="44"/>
  <c r="P65" i="44"/>
  <c r="P67" i="44"/>
  <c r="P69" i="44"/>
  <c r="P71" i="44"/>
  <c r="P73" i="44"/>
  <c r="P75" i="44"/>
  <c r="P77" i="44"/>
  <c r="P79" i="44"/>
  <c r="P81" i="44"/>
  <c r="P83" i="44"/>
  <c r="P85" i="44"/>
  <c r="P87" i="44"/>
  <c r="P89" i="44"/>
  <c r="P91" i="44"/>
  <c r="P93" i="44"/>
  <c r="P95" i="44"/>
  <c r="P97" i="44"/>
  <c r="P99" i="44"/>
  <c r="P101" i="44"/>
  <c r="P103" i="44"/>
  <c r="P105" i="44"/>
  <c r="P107" i="44"/>
  <c r="P109" i="44"/>
  <c r="P111" i="44"/>
  <c r="P113" i="44"/>
  <c r="P115" i="44"/>
  <c r="P117" i="44"/>
  <c r="P119" i="44"/>
  <c r="P121" i="44"/>
  <c r="P123" i="44"/>
  <c r="P125" i="44"/>
  <c r="P127" i="44"/>
  <c r="P9" i="44"/>
  <c r="F36" i="45"/>
  <c r="CR35" i="24"/>
  <c r="EH143" i="32"/>
  <c r="F36" i="37"/>
  <c r="F36" i="20"/>
  <c r="EG143" i="32"/>
  <c r="CQ43" i="24"/>
  <c r="F3" i="24"/>
  <c r="F4" i="57" s="1"/>
  <c r="E4" i="44"/>
  <c r="E4" i="20"/>
  <c r="F5" i="24"/>
  <c r="F6" i="57" s="1"/>
  <c r="E6" i="44"/>
  <c r="E6" i="20"/>
  <c r="L7" i="24"/>
  <c r="F8" i="59" s="1"/>
  <c r="E8" i="46"/>
  <c r="E8" i="22"/>
  <c r="F11" i="24"/>
  <c r="F12" i="57" s="1"/>
  <c r="E12" i="44"/>
  <c r="E12" i="20"/>
  <c r="E14" i="45"/>
  <c r="E14" i="37"/>
  <c r="L15" i="24"/>
  <c r="F16" i="59" s="1"/>
  <c r="E16" i="46"/>
  <c r="E16" i="22"/>
  <c r="F19" i="24"/>
  <c r="F20" i="57" s="1"/>
  <c r="E20" i="44"/>
  <c r="E20" i="20"/>
  <c r="E22" i="45"/>
  <c r="E22" i="37"/>
  <c r="L23" i="24"/>
  <c r="F24" i="59" s="1"/>
  <c r="E24" i="46"/>
  <c r="E24" i="22"/>
  <c r="E28" i="45"/>
  <c r="E28" i="37"/>
  <c r="F29" i="24"/>
  <c r="F30" i="57" s="1"/>
  <c r="E30" i="44"/>
  <c r="E30" i="20"/>
  <c r="L31" i="24"/>
  <c r="F32" i="59" s="1"/>
  <c r="E32" i="46"/>
  <c r="E32" i="22"/>
  <c r="E36" i="44"/>
  <c r="E36" i="20"/>
  <c r="E38" i="45"/>
  <c r="E38" i="37"/>
  <c r="L39" i="24"/>
  <c r="F40" i="59" s="1"/>
  <c r="E40" i="46"/>
  <c r="E40" i="22"/>
  <c r="E44" i="44"/>
  <c r="E44" i="20"/>
  <c r="F45" i="24"/>
  <c r="F46" i="57" s="1"/>
  <c r="E46" i="44"/>
  <c r="E46" i="20"/>
  <c r="L47" i="24"/>
  <c r="F48" i="59" s="1"/>
  <c r="E48" i="46"/>
  <c r="E48" i="22"/>
  <c r="I51" i="24"/>
  <c r="CR51" i="24" s="1"/>
  <c r="E52" i="45"/>
  <c r="E52" i="37"/>
  <c r="F53" i="24"/>
  <c r="F54" i="57" s="1"/>
  <c r="E54" i="44"/>
  <c r="E54" i="20"/>
  <c r="L55" i="24"/>
  <c r="EI163" i="32" s="1"/>
  <c r="E56" i="46"/>
  <c r="E56" i="22"/>
  <c r="F59" i="24"/>
  <c r="F60" i="57" s="1"/>
  <c r="E60" i="44"/>
  <c r="E60" i="20"/>
  <c r="F61" i="24"/>
  <c r="EG169" i="32" s="1"/>
  <c r="E62" i="44"/>
  <c r="E62" i="20"/>
  <c r="L63" i="24"/>
  <c r="F64" i="59" s="1"/>
  <c r="E64" i="46"/>
  <c r="E64" i="22"/>
  <c r="F67" i="24"/>
  <c r="F68" i="57" s="1"/>
  <c r="E68" i="44"/>
  <c r="E68" i="20"/>
  <c r="I69" i="24"/>
  <c r="EH177" i="32" s="1"/>
  <c r="E70" i="45"/>
  <c r="E70" i="37"/>
  <c r="L71" i="24"/>
  <c r="E72" i="46"/>
  <c r="E72" i="22"/>
  <c r="F75" i="24"/>
  <c r="F76" i="57" s="1"/>
  <c r="E76" i="44"/>
  <c r="E76" i="20"/>
  <c r="F77" i="24"/>
  <c r="F78" i="44" s="1"/>
  <c r="E78" i="44"/>
  <c r="E78" i="20"/>
  <c r="L79" i="24"/>
  <c r="F80" i="59" s="1"/>
  <c r="E80" i="46"/>
  <c r="E80" i="22"/>
  <c r="F83" i="24"/>
  <c r="E84" i="44"/>
  <c r="E84" i="20"/>
  <c r="F85" i="24"/>
  <c r="F86" i="57" s="1"/>
  <c r="E86" i="44"/>
  <c r="E86" i="20"/>
  <c r="L87" i="24"/>
  <c r="EI195" i="32" s="1"/>
  <c r="E88" i="46"/>
  <c r="E88" i="22"/>
  <c r="F91" i="24"/>
  <c r="F92" i="57" s="1"/>
  <c r="E92" i="44"/>
  <c r="E92" i="20"/>
  <c r="F93" i="24"/>
  <c r="F94" i="44" s="1"/>
  <c r="E94" i="44"/>
  <c r="E94" i="20"/>
  <c r="L95" i="24"/>
  <c r="F96" i="59" s="1"/>
  <c r="E96" i="46"/>
  <c r="E96" i="22"/>
  <c r="F99" i="24"/>
  <c r="CQ99" i="24" s="1"/>
  <c r="E100" i="44"/>
  <c r="E100" i="20"/>
  <c r="I101" i="24"/>
  <c r="EH209" i="32" s="1"/>
  <c r="E102" i="45"/>
  <c r="E102" i="37"/>
  <c r="L103" i="24"/>
  <c r="E104" i="46"/>
  <c r="E104" i="22"/>
  <c r="F107" i="24"/>
  <c r="F108" i="57" s="1"/>
  <c r="E108" i="44"/>
  <c r="E108" i="20"/>
  <c r="F109" i="24"/>
  <c r="CQ109" i="24" s="1"/>
  <c r="E110" i="44"/>
  <c r="E110" i="20"/>
  <c r="L111" i="24"/>
  <c r="F112" i="59" s="1"/>
  <c r="E112" i="46"/>
  <c r="E112" i="22"/>
  <c r="I115" i="24"/>
  <c r="EH223" i="32" s="1"/>
  <c r="E116" i="45"/>
  <c r="E116" i="37"/>
  <c r="F117" i="24"/>
  <c r="F118" i="57" s="1"/>
  <c r="E118" i="44"/>
  <c r="E118" i="20"/>
  <c r="L119" i="24"/>
  <c r="EI227" i="32" s="1"/>
  <c r="E120" i="46"/>
  <c r="E120" i="22"/>
  <c r="F123" i="24"/>
  <c r="F124" i="57" s="1"/>
  <c r="E124" i="44"/>
  <c r="E124" i="20"/>
  <c r="F125" i="24"/>
  <c r="F126" i="57" s="1"/>
  <c r="E126" i="44"/>
  <c r="E126" i="20"/>
  <c r="L127" i="24"/>
  <c r="F128" i="59" s="1"/>
  <c r="E128" i="46"/>
  <c r="E128" i="22"/>
  <c r="F23" i="46"/>
  <c r="CS22" i="24"/>
  <c r="EI130" i="32"/>
  <c r="F23" i="22"/>
  <c r="CS46" i="24"/>
  <c r="F5" i="46"/>
  <c r="F5" i="22"/>
  <c r="CS4" i="24"/>
  <c r="EI112" i="32"/>
  <c r="E3" i="44"/>
  <c r="E3" i="20"/>
  <c r="E5" i="46"/>
  <c r="E5" i="22"/>
  <c r="L6" i="24"/>
  <c r="F7" i="59" s="1"/>
  <c r="E7" i="46"/>
  <c r="E7" i="22"/>
  <c r="E11" i="44"/>
  <c r="E11" i="20"/>
  <c r="E13" i="46"/>
  <c r="E13" i="22"/>
  <c r="E15" i="46"/>
  <c r="E15" i="22"/>
  <c r="E19" i="44"/>
  <c r="E19" i="20"/>
  <c r="L20" i="24"/>
  <c r="F21" i="59" s="1"/>
  <c r="E21" i="46"/>
  <c r="E21" i="22"/>
  <c r="E23" i="46"/>
  <c r="E23" i="22"/>
  <c r="E27" i="44"/>
  <c r="E27" i="20"/>
  <c r="E29" i="44"/>
  <c r="E29" i="20"/>
  <c r="E31" i="46"/>
  <c r="E31" i="22"/>
  <c r="E35" i="44"/>
  <c r="E35" i="20"/>
  <c r="E37" i="44"/>
  <c r="E37" i="20"/>
  <c r="E39" i="46"/>
  <c r="E39" i="22"/>
  <c r="E43" i="44"/>
  <c r="E43" i="20"/>
  <c r="E45" i="44"/>
  <c r="E45" i="20"/>
  <c r="E47" i="46"/>
  <c r="E47" i="22"/>
  <c r="F50" i="24"/>
  <c r="F51" i="57" s="1"/>
  <c r="E51" i="44"/>
  <c r="E51" i="20"/>
  <c r="F52" i="24"/>
  <c r="F53" i="57" s="1"/>
  <c r="E53" i="44"/>
  <c r="E53" i="20"/>
  <c r="L54" i="24"/>
  <c r="F55" i="59" s="1"/>
  <c r="E55" i="46"/>
  <c r="E55" i="22"/>
  <c r="F58" i="24"/>
  <c r="F59" i="57" s="1"/>
  <c r="E59" i="44"/>
  <c r="E59" i="20"/>
  <c r="F60" i="24"/>
  <c r="F61" i="57" s="1"/>
  <c r="E61" i="44"/>
  <c r="E61" i="20"/>
  <c r="L62" i="24"/>
  <c r="F63" i="59" s="1"/>
  <c r="E63" i="46"/>
  <c r="E63" i="22"/>
  <c r="F66" i="24"/>
  <c r="F67" i="57" s="1"/>
  <c r="E67" i="44"/>
  <c r="E67" i="20"/>
  <c r="F68" i="24"/>
  <c r="F69" i="57" s="1"/>
  <c r="E69" i="44"/>
  <c r="E69" i="20"/>
  <c r="L70" i="24"/>
  <c r="F71" i="59" s="1"/>
  <c r="E71" i="46"/>
  <c r="E71" i="22"/>
  <c r="F74" i="24"/>
  <c r="F75" i="57" s="1"/>
  <c r="E75" i="44"/>
  <c r="E75" i="20"/>
  <c r="F76" i="24"/>
  <c r="F77" i="57" s="1"/>
  <c r="E77" i="44"/>
  <c r="E77" i="20"/>
  <c r="L78" i="24"/>
  <c r="F79" i="59" s="1"/>
  <c r="E79" i="46"/>
  <c r="E79" i="22"/>
  <c r="F82" i="24"/>
  <c r="F83" i="20" s="1"/>
  <c r="E83" i="44"/>
  <c r="E83" i="20"/>
  <c r="F84" i="24"/>
  <c r="F85" i="57" s="1"/>
  <c r="E85" i="44"/>
  <c r="E85" i="20"/>
  <c r="L86" i="24"/>
  <c r="F87" i="59" s="1"/>
  <c r="E87" i="46"/>
  <c r="E87" i="22"/>
  <c r="F90" i="24"/>
  <c r="F91" i="57" s="1"/>
  <c r="E91" i="44"/>
  <c r="E91" i="20"/>
  <c r="F92" i="24"/>
  <c r="F93" i="57" s="1"/>
  <c r="E93" i="44"/>
  <c r="E93" i="20"/>
  <c r="L94" i="24"/>
  <c r="F95" i="59" s="1"/>
  <c r="E95" i="46"/>
  <c r="E95" i="22"/>
  <c r="F98" i="24"/>
  <c r="F99" i="20" s="1"/>
  <c r="E99" i="44"/>
  <c r="E99" i="20"/>
  <c r="F100" i="24"/>
  <c r="F101" i="57" s="1"/>
  <c r="E101" i="44"/>
  <c r="E101" i="20"/>
  <c r="L102" i="24"/>
  <c r="F103" i="59" s="1"/>
  <c r="E103" i="46"/>
  <c r="E103" i="22"/>
  <c r="F106" i="24"/>
  <c r="F107" i="57" s="1"/>
  <c r="E107" i="44"/>
  <c r="E107" i="20"/>
  <c r="F108" i="24"/>
  <c r="F109" i="57" s="1"/>
  <c r="E109" i="44"/>
  <c r="E109" i="20"/>
  <c r="L110" i="24"/>
  <c r="F111" i="59" s="1"/>
  <c r="E111" i="46"/>
  <c r="E111" i="22"/>
  <c r="F114" i="24"/>
  <c r="E115" i="44"/>
  <c r="E115" i="20"/>
  <c r="I116" i="24"/>
  <c r="F117" i="45" s="1"/>
  <c r="E117" i="45"/>
  <c r="E117" i="37"/>
  <c r="L118" i="24"/>
  <c r="F119" i="59" s="1"/>
  <c r="E119" i="46"/>
  <c r="E119" i="22"/>
  <c r="F122" i="24"/>
  <c r="F123" i="57" s="1"/>
  <c r="E123" i="44"/>
  <c r="E123" i="20"/>
  <c r="I124" i="24"/>
  <c r="F125" i="37" s="1"/>
  <c r="E125" i="45"/>
  <c r="E125" i="37"/>
  <c r="L126" i="24"/>
  <c r="F127" i="59" s="1"/>
  <c r="E127" i="46"/>
  <c r="E127" i="22"/>
  <c r="D169" i="46"/>
  <c r="D167" i="46"/>
  <c r="D166" i="44"/>
  <c r="L25" i="11"/>
  <c r="L16" i="11"/>
  <c r="K12" i="11"/>
  <c r="K16" i="11"/>
  <c r="J45" i="11"/>
  <c r="J30" i="11"/>
  <c r="I35" i="11"/>
  <c r="H20" i="11"/>
  <c r="H12" i="11"/>
  <c r="D29" i="9"/>
  <c r="E16" i="11"/>
  <c r="D20" i="11"/>
  <c r="B22" i="18"/>
  <c r="E28" i="9"/>
  <c r="J26" i="11"/>
  <c r="C28" i="18"/>
  <c r="G10" i="18"/>
  <c r="K55" i="11" s="1"/>
  <c r="K21" i="11"/>
  <c r="B29" i="18"/>
  <c r="K26" i="11"/>
  <c r="C29" i="18"/>
  <c r="J36" i="11"/>
  <c r="E28" i="18"/>
  <c r="G11" i="18"/>
  <c r="L55" i="11" s="1"/>
  <c r="L21" i="11"/>
  <c r="B30" i="18"/>
  <c r="I26" i="11"/>
  <c r="C27" i="18"/>
  <c r="M31" i="11"/>
  <c r="D31" i="18"/>
  <c r="M30" i="11"/>
  <c r="M36" i="11"/>
  <c r="E31" i="18"/>
  <c r="R50" i="24"/>
  <c r="R54" i="24"/>
  <c r="R58" i="24"/>
  <c r="R62" i="24"/>
  <c r="R66" i="24"/>
  <c r="R70" i="24"/>
  <c r="R74" i="24"/>
  <c r="R78" i="24"/>
  <c r="R82" i="24"/>
  <c r="R86" i="24"/>
  <c r="R90" i="24"/>
  <c r="R94" i="24"/>
  <c r="R98" i="24"/>
  <c r="R102" i="24"/>
  <c r="R106" i="24"/>
  <c r="R110" i="24"/>
  <c r="R114" i="24"/>
  <c r="R118" i="24"/>
  <c r="R122" i="24"/>
  <c r="R126" i="24"/>
  <c r="D168" i="45"/>
  <c r="D166" i="45"/>
  <c r="R53" i="24"/>
  <c r="R57" i="24"/>
  <c r="O61" i="24"/>
  <c r="R65" i="24"/>
  <c r="O69" i="24"/>
  <c r="R73" i="24"/>
  <c r="R77" i="24"/>
  <c r="R81" i="24"/>
  <c r="O85" i="24"/>
  <c r="R89" i="24"/>
  <c r="R93" i="24"/>
  <c r="R97" i="24"/>
  <c r="R101" i="24"/>
  <c r="R105" i="24"/>
  <c r="R109" i="24"/>
  <c r="O113" i="24"/>
  <c r="R117" i="24"/>
  <c r="O121" i="24"/>
  <c r="R125" i="24"/>
  <c r="N130" i="20"/>
  <c r="P130" i="44"/>
  <c r="M45" i="11"/>
  <c r="J12" i="11"/>
  <c r="I45" i="11"/>
  <c r="F16" i="11"/>
  <c r="D30" i="9"/>
  <c r="G26" i="11"/>
  <c r="C25" i="18"/>
  <c r="J31" i="11"/>
  <c r="D28" i="18"/>
  <c r="M26" i="11"/>
  <c r="C31" i="18"/>
  <c r="O54" i="24"/>
  <c r="O62" i="24"/>
  <c r="O74" i="24"/>
  <c r="O82" i="24"/>
  <c r="O90" i="24"/>
  <c r="O98" i="24"/>
  <c r="O106" i="24"/>
  <c r="O114" i="24"/>
  <c r="O122" i="24"/>
  <c r="P7" i="44"/>
  <c r="P5" i="44"/>
  <c r="F4" i="45"/>
  <c r="CR3" i="24"/>
  <c r="EH111" i="32"/>
  <c r="F4" i="37"/>
  <c r="CQ18" i="24"/>
  <c r="F19" i="20"/>
  <c r="F27" i="44"/>
  <c r="F27" i="20"/>
  <c r="CQ26" i="24"/>
  <c r="EG134" i="32"/>
  <c r="E4" i="45"/>
  <c r="E4" i="37"/>
  <c r="L5" i="24"/>
  <c r="F6" i="59" s="1"/>
  <c r="E6" i="46"/>
  <c r="E6" i="22"/>
  <c r="I9" i="24"/>
  <c r="E10" i="45"/>
  <c r="E10" i="37"/>
  <c r="E12" i="45"/>
  <c r="E12" i="37"/>
  <c r="F13" i="24"/>
  <c r="F14" i="57" s="1"/>
  <c r="E14" i="44"/>
  <c r="E14" i="20"/>
  <c r="I17" i="24"/>
  <c r="E18" i="45"/>
  <c r="E18" i="37"/>
  <c r="E20" i="45"/>
  <c r="E20" i="37"/>
  <c r="F21" i="24"/>
  <c r="F22" i="57" s="1"/>
  <c r="E22" i="44"/>
  <c r="E22" i="20"/>
  <c r="F25" i="24"/>
  <c r="F26" i="57" s="1"/>
  <c r="E26" i="44"/>
  <c r="E26" i="20"/>
  <c r="F27" i="24"/>
  <c r="F28" i="57" s="1"/>
  <c r="E28" i="44"/>
  <c r="E28" i="20"/>
  <c r="I29" i="24"/>
  <c r="E30" i="45"/>
  <c r="E30" i="37"/>
  <c r="F33" i="24"/>
  <c r="F34" i="57" s="1"/>
  <c r="E34" i="44"/>
  <c r="E34" i="20"/>
  <c r="E36" i="45"/>
  <c r="E36" i="37"/>
  <c r="L37" i="24"/>
  <c r="F38" i="59" s="1"/>
  <c r="E38" i="46"/>
  <c r="E38" i="22"/>
  <c r="F41" i="24"/>
  <c r="F42" i="57" s="1"/>
  <c r="E42" i="44"/>
  <c r="E42" i="20"/>
  <c r="E44" i="45"/>
  <c r="E44" i="37"/>
  <c r="I45" i="24"/>
  <c r="E46" i="45"/>
  <c r="E46" i="37"/>
  <c r="F49" i="24"/>
  <c r="F50" i="57" s="1"/>
  <c r="E50" i="44"/>
  <c r="E50" i="20"/>
  <c r="F51" i="24"/>
  <c r="F52" i="57" s="1"/>
  <c r="E52" i="44"/>
  <c r="E52" i="20"/>
  <c r="I53" i="24"/>
  <c r="CR53" i="24" s="1"/>
  <c r="E54" i="45"/>
  <c r="E54" i="37"/>
  <c r="F57" i="24"/>
  <c r="F58" i="57" s="1"/>
  <c r="E58" i="44"/>
  <c r="E58" i="20"/>
  <c r="I59" i="24"/>
  <c r="EH167" i="32" s="1"/>
  <c r="E60" i="45"/>
  <c r="E60" i="37"/>
  <c r="I61" i="24"/>
  <c r="EH169" i="32" s="1"/>
  <c r="E62" i="45"/>
  <c r="E62" i="37"/>
  <c r="F65" i="24"/>
  <c r="F66" i="57" s="1"/>
  <c r="E66" i="44"/>
  <c r="E66" i="20"/>
  <c r="I67" i="24"/>
  <c r="EH175" i="32" s="1"/>
  <c r="E68" i="45"/>
  <c r="E68" i="37"/>
  <c r="L69" i="24"/>
  <c r="F70" i="59" s="1"/>
  <c r="E70" i="46"/>
  <c r="E70" i="22"/>
  <c r="F73" i="24"/>
  <c r="F74" i="57" s="1"/>
  <c r="E74" i="44"/>
  <c r="E74" i="20"/>
  <c r="I75" i="24"/>
  <c r="F76" i="37" s="1"/>
  <c r="E76" i="45"/>
  <c r="E76" i="37"/>
  <c r="I77" i="24"/>
  <c r="EH185" i="32" s="1"/>
  <c r="E78" i="45"/>
  <c r="E78" i="37"/>
  <c r="F81" i="24"/>
  <c r="F82" i="57" s="1"/>
  <c r="E82" i="44"/>
  <c r="E82" i="20"/>
  <c r="I83" i="24"/>
  <c r="F84" i="45" s="1"/>
  <c r="E84" i="45"/>
  <c r="E84" i="37"/>
  <c r="I85" i="24"/>
  <c r="EH193" i="32" s="1"/>
  <c r="E86" i="45"/>
  <c r="E86" i="37"/>
  <c r="F89" i="24"/>
  <c r="F90" i="57" s="1"/>
  <c r="E90" i="44"/>
  <c r="E90" i="20"/>
  <c r="I91" i="24"/>
  <c r="CR91" i="24" s="1"/>
  <c r="E92" i="45"/>
  <c r="E92" i="37"/>
  <c r="I93" i="24"/>
  <c r="F94" i="45" s="1"/>
  <c r="E94" i="45"/>
  <c r="E94" i="37"/>
  <c r="F97" i="24"/>
  <c r="F98" i="57" s="1"/>
  <c r="E98" i="44"/>
  <c r="E98" i="20"/>
  <c r="I99" i="24"/>
  <c r="CR99" i="24" s="1"/>
  <c r="E100" i="45"/>
  <c r="E100" i="37"/>
  <c r="L101" i="24"/>
  <c r="F102" i="59" s="1"/>
  <c r="E102" i="46"/>
  <c r="E102" i="22"/>
  <c r="F105" i="24"/>
  <c r="F106" i="57" s="1"/>
  <c r="E106" i="44"/>
  <c r="E106" i="20"/>
  <c r="I107" i="24"/>
  <c r="F108" i="45" s="1"/>
  <c r="E108" i="45"/>
  <c r="E108" i="37"/>
  <c r="I109" i="24"/>
  <c r="CR109" i="24" s="1"/>
  <c r="E110" i="45"/>
  <c r="E110" i="37"/>
  <c r="F113" i="24"/>
  <c r="F114" i="57" s="1"/>
  <c r="E114" i="44"/>
  <c r="E114" i="20"/>
  <c r="F115" i="24"/>
  <c r="F116" i="57" s="1"/>
  <c r="E116" i="44"/>
  <c r="E116" i="20"/>
  <c r="I117" i="24"/>
  <c r="F118" i="45" s="1"/>
  <c r="E118" i="45"/>
  <c r="E118" i="37"/>
  <c r="F121" i="24"/>
  <c r="F122" i="57" s="1"/>
  <c r="E122" i="44"/>
  <c r="E122" i="20"/>
  <c r="I123" i="24"/>
  <c r="E124" i="45"/>
  <c r="E124" i="37"/>
  <c r="I125" i="24"/>
  <c r="CR125" i="24" s="1"/>
  <c r="E126" i="45"/>
  <c r="E126" i="37"/>
  <c r="F49" i="37"/>
  <c r="CR48" i="24"/>
  <c r="EH156" i="32"/>
  <c r="F15" i="46"/>
  <c r="CS14" i="24"/>
  <c r="EI122" i="32"/>
  <c r="F15" i="22"/>
  <c r="F39" i="22"/>
  <c r="I2" i="24"/>
  <c r="E3" i="45"/>
  <c r="E3" i="37"/>
  <c r="I4" i="24"/>
  <c r="E5" i="45"/>
  <c r="E5" i="37"/>
  <c r="E9" i="44"/>
  <c r="E9" i="20"/>
  <c r="I10" i="24"/>
  <c r="E11" i="45"/>
  <c r="E11" i="37"/>
  <c r="I12" i="24"/>
  <c r="E13" i="45"/>
  <c r="E13" i="37"/>
  <c r="E17" i="44"/>
  <c r="E17" i="20"/>
  <c r="I18" i="24"/>
  <c r="E19" i="45"/>
  <c r="E19" i="37"/>
  <c r="I20" i="24"/>
  <c r="E21" i="45"/>
  <c r="E21" i="37"/>
  <c r="L24" i="24"/>
  <c r="F25" i="59" s="1"/>
  <c r="E25" i="46"/>
  <c r="E25" i="22"/>
  <c r="I26" i="24"/>
  <c r="E27" i="45"/>
  <c r="E27" i="37"/>
  <c r="L28" i="24"/>
  <c r="F29" i="59" s="1"/>
  <c r="E29" i="46"/>
  <c r="E29" i="22"/>
  <c r="F32" i="24"/>
  <c r="F33" i="57" s="1"/>
  <c r="E33" i="44"/>
  <c r="E33" i="20"/>
  <c r="I34" i="24"/>
  <c r="E35" i="45"/>
  <c r="E35" i="37"/>
  <c r="L36" i="24"/>
  <c r="F37" i="59" s="1"/>
  <c r="E37" i="46"/>
  <c r="E37" i="22"/>
  <c r="I40" i="24"/>
  <c r="E41" i="45"/>
  <c r="E41" i="37"/>
  <c r="I42" i="24"/>
  <c r="E43" i="45"/>
  <c r="E43" i="37"/>
  <c r="L44" i="24"/>
  <c r="F45" i="59" s="1"/>
  <c r="E45" i="46"/>
  <c r="E45" i="22"/>
  <c r="F48" i="24"/>
  <c r="F49" i="57" s="1"/>
  <c r="E49" i="44"/>
  <c r="E49" i="20"/>
  <c r="I50" i="24"/>
  <c r="F51" i="37" s="1"/>
  <c r="E51" i="45"/>
  <c r="E51" i="37"/>
  <c r="L52" i="24"/>
  <c r="F53" i="59" s="1"/>
  <c r="E53" i="46"/>
  <c r="E53" i="22"/>
  <c r="F56" i="24"/>
  <c r="F57" i="57" s="1"/>
  <c r="E57" i="44"/>
  <c r="E57" i="20"/>
  <c r="I58" i="24"/>
  <c r="EH166" i="32" s="1"/>
  <c r="E59" i="45"/>
  <c r="E59" i="37"/>
  <c r="L60" i="24"/>
  <c r="F61" i="59" s="1"/>
  <c r="E61" i="46"/>
  <c r="E61" i="22"/>
  <c r="L64" i="24"/>
  <c r="F65" i="59" s="1"/>
  <c r="E65" i="46"/>
  <c r="E65" i="22"/>
  <c r="I66" i="24"/>
  <c r="EH174" i="32" s="1"/>
  <c r="E67" i="45"/>
  <c r="E67" i="37"/>
  <c r="L68" i="24"/>
  <c r="F69" i="59" s="1"/>
  <c r="E69" i="46"/>
  <c r="E69" i="22"/>
  <c r="F72" i="24"/>
  <c r="F73" i="57" s="1"/>
  <c r="E73" i="44"/>
  <c r="E73" i="20"/>
  <c r="I74" i="24"/>
  <c r="F75" i="37" s="1"/>
  <c r="E75" i="45"/>
  <c r="E75" i="37"/>
  <c r="L76" i="24"/>
  <c r="F77" i="59" s="1"/>
  <c r="E77" i="46"/>
  <c r="E77" i="22"/>
  <c r="F80" i="24"/>
  <c r="F81" i="57" s="1"/>
  <c r="E81" i="44"/>
  <c r="E81" i="20"/>
  <c r="I82" i="24"/>
  <c r="F83" i="37" s="1"/>
  <c r="E83" i="45"/>
  <c r="E83" i="37"/>
  <c r="L84" i="24"/>
  <c r="F85" i="59" s="1"/>
  <c r="E85" i="46"/>
  <c r="E85" i="22"/>
  <c r="L88" i="24"/>
  <c r="F89" i="59" s="1"/>
  <c r="E89" i="46"/>
  <c r="E89" i="22"/>
  <c r="I90" i="24"/>
  <c r="EH198" i="32" s="1"/>
  <c r="E91" i="45"/>
  <c r="E91" i="37"/>
  <c r="L92" i="24"/>
  <c r="F93" i="59" s="1"/>
  <c r="E93" i="46"/>
  <c r="E93" i="22"/>
  <c r="I96" i="24"/>
  <c r="CR96" i="24" s="1"/>
  <c r="E97" i="45"/>
  <c r="E97" i="37"/>
  <c r="I98" i="24"/>
  <c r="F99" i="37" s="1"/>
  <c r="E99" i="45"/>
  <c r="E99" i="37"/>
  <c r="L100" i="24"/>
  <c r="F101" i="59" s="1"/>
  <c r="E101" i="46"/>
  <c r="E101" i="22"/>
  <c r="F104" i="24"/>
  <c r="F105" i="57" s="1"/>
  <c r="E105" i="44"/>
  <c r="E105" i="20"/>
  <c r="I106" i="24"/>
  <c r="F107" i="45" s="1"/>
  <c r="E107" i="45"/>
  <c r="E107" i="37"/>
  <c r="L108" i="24"/>
  <c r="F109" i="59" s="1"/>
  <c r="E109" i="46"/>
  <c r="E109" i="22"/>
  <c r="F112" i="24"/>
  <c r="F113" i="57" s="1"/>
  <c r="E113" i="44"/>
  <c r="E113" i="20"/>
  <c r="I114" i="24"/>
  <c r="CR114" i="24" s="1"/>
  <c r="E115" i="45"/>
  <c r="E115" i="37"/>
  <c r="L116" i="24"/>
  <c r="F117" i="59" s="1"/>
  <c r="E117" i="46"/>
  <c r="E117" i="22"/>
  <c r="I120" i="24"/>
  <c r="F121" i="37" s="1"/>
  <c r="E121" i="45"/>
  <c r="E121" i="37"/>
  <c r="I122" i="24"/>
  <c r="EH230" i="32" s="1"/>
  <c r="E123" i="45"/>
  <c r="E123" i="37"/>
  <c r="L124" i="24"/>
  <c r="F125" i="59" s="1"/>
  <c r="E125" i="46"/>
  <c r="E125" i="22"/>
  <c r="D167" i="44"/>
  <c r="L12" i="11"/>
  <c r="L35" i="11"/>
  <c r="K25" i="11"/>
  <c r="K35" i="11"/>
  <c r="J25" i="11"/>
  <c r="I25" i="11"/>
  <c r="I16" i="11"/>
  <c r="H25" i="11"/>
  <c r="H16" i="11"/>
  <c r="D28" i="9"/>
  <c r="D16" i="11"/>
  <c r="L36" i="11"/>
  <c r="E30" i="18"/>
  <c r="H36" i="11"/>
  <c r="E26" i="18"/>
  <c r="I36" i="11"/>
  <c r="E27" i="18"/>
  <c r="G6" i="18"/>
  <c r="G55" i="11" s="1"/>
  <c r="G21" i="11"/>
  <c r="B25" i="18"/>
  <c r="I31" i="11"/>
  <c r="D27" i="18"/>
  <c r="G7" i="18"/>
  <c r="H55" i="11" s="1"/>
  <c r="H21" i="11"/>
  <c r="B26" i="18"/>
  <c r="G36" i="11"/>
  <c r="E25" i="18"/>
  <c r="M35" i="11"/>
  <c r="O52" i="24"/>
  <c r="O56" i="24"/>
  <c r="O60" i="24"/>
  <c r="O64" i="24"/>
  <c r="O68" i="24"/>
  <c r="O72" i="24"/>
  <c r="O76" i="24"/>
  <c r="O80" i="24"/>
  <c r="O84" i="24"/>
  <c r="O88" i="24"/>
  <c r="O92" i="24"/>
  <c r="O96" i="24"/>
  <c r="O100" i="24"/>
  <c r="O104" i="24"/>
  <c r="O108" i="24"/>
  <c r="O112" i="24"/>
  <c r="O116" i="24"/>
  <c r="O120" i="24"/>
  <c r="O124" i="24"/>
  <c r="R51" i="24"/>
  <c r="O55" i="24"/>
  <c r="R59" i="24"/>
  <c r="R63" i="24"/>
  <c r="O67" i="24"/>
  <c r="R71" i="24"/>
  <c r="O75" i="24"/>
  <c r="R79" i="24"/>
  <c r="O83" i="24"/>
  <c r="O87" i="24"/>
  <c r="R91" i="24"/>
  <c r="O95" i="24"/>
  <c r="O99" i="24"/>
  <c r="O103" i="24"/>
  <c r="O107" i="24"/>
  <c r="O111" i="24"/>
  <c r="O115" i="24"/>
  <c r="O119" i="24"/>
  <c r="R123" i="24"/>
  <c r="K45" i="11"/>
  <c r="J20" i="11"/>
  <c r="K31" i="11"/>
  <c r="D29" i="18"/>
  <c r="L26" i="11"/>
  <c r="C30" i="18"/>
  <c r="O66" i="24"/>
  <c r="P3" i="44"/>
  <c r="P12" i="44"/>
  <c r="P14" i="44"/>
  <c r="P16" i="44"/>
  <c r="P18" i="44"/>
  <c r="P20" i="44"/>
  <c r="P22" i="44"/>
  <c r="P24" i="44"/>
  <c r="P26" i="44"/>
  <c r="P28" i="44"/>
  <c r="P30" i="44"/>
  <c r="P32" i="44"/>
  <c r="P34" i="44"/>
  <c r="P36" i="44"/>
  <c r="P38" i="44"/>
  <c r="P40" i="44"/>
  <c r="P42" i="44"/>
  <c r="P44" i="44"/>
  <c r="P46" i="44"/>
  <c r="P48" i="44"/>
  <c r="P50" i="44"/>
  <c r="P52" i="44"/>
  <c r="P54" i="44"/>
  <c r="P56" i="44"/>
  <c r="P58" i="44"/>
  <c r="P60" i="44"/>
  <c r="P62" i="44"/>
  <c r="P64" i="44"/>
  <c r="P66" i="44"/>
  <c r="P68" i="44"/>
  <c r="P70" i="44"/>
  <c r="P72" i="44"/>
  <c r="P74" i="44"/>
  <c r="P76" i="44"/>
  <c r="P78" i="44"/>
  <c r="P80" i="44"/>
  <c r="P82" i="44"/>
  <c r="P84" i="44"/>
  <c r="P86" i="44"/>
  <c r="P88" i="44"/>
  <c r="P90" i="44"/>
  <c r="P92" i="44"/>
  <c r="P94" i="44"/>
  <c r="P96" i="44"/>
  <c r="P98" i="44"/>
  <c r="P100" i="44"/>
  <c r="P102" i="44"/>
  <c r="P104" i="44"/>
  <c r="P106" i="44"/>
  <c r="P108" i="44"/>
  <c r="P110" i="44"/>
  <c r="P112" i="44"/>
  <c r="P114" i="44"/>
  <c r="P116" i="44"/>
  <c r="P118" i="44"/>
  <c r="P120" i="44"/>
  <c r="P122" i="44"/>
  <c r="P124" i="44"/>
  <c r="P126" i="44"/>
  <c r="P10" i="44"/>
  <c r="F14" i="45"/>
  <c r="CR13" i="24"/>
  <c r="EH121" i="32"/>
  <c r="F14" i="37"/>
  <c r="F28" i="45"/>
  <c r="F28" i="37"/>
  <c r="EH135" i="32"/>
  <c r="CR27" i="24"/>
  <c r="F38" i="45"/>
  <c r="CR37" i="24"/>
  <c r="EH145" i="32"/>
  <c r="F38" i="37"/>
  <c r="F8" i="44"/>
  <c r="CQ7" i="24"/>
  <c r="F48" i="44"/>
  <c r="CQ47" i="24"/>
  <c r="F9" i="44"/>
  <c r="CQ8" i="24"/>
  <c r="EG116" i="32"/>
  <c r="F9" i="20"/>
  <c r="F17" i="44"/>
  <c r="CQ16" i="24"/>
  <c r="EG124" i="32"/>
  <c r="F17" i="20"/>
  <c r="L3" i="24"/>
  <c r="F4" i="59" s="1"/>
  <c r="E4" i="46"/>
  <c r="E4" i="22"/>
  <c r="E8" i="44"/>
  <c r="E8" i="20"/>
  <c r="F9" i="24"/>
  <c r="F10" i="57" s="1"/>
  <c r="E10" i="44"/>
  <c r="E10" i="20"/>
  <c r="L11" i="24"/>
  <c r="F12" i="59" s="1"/>
  <c r="E12" i="46"/>
  <c r="E12" i="22"/>
  <c r="F15" i="24"/>
  <c r="F16" i="57" s="1"/>
  <c r="E16" i="44"/>
  <c r="E16" i="20"/>
  <c r="F17" i="24"/>
  <c r="F18" i="57" s="1"/>
  <c r="E18" i="44"/>
  <c r="E18" i="20"/>
  <c r="L19" i="24"/>
  <c r="F20" i="59" s="1"/>
  <c r="E20" i="46"/>
  <c r="E20" i="22"/>
  <c r="E24" i="44"/>
  <c r="E24" i="20"/>
  <c r="I25" i="24"/>
  <c r="E26" i="45"/>
  <c r="E26" i="37"/>
  <c r="L27" i="24"/>
  <c r="F28" i="59" s="1"/>
  <c r="E28" i="46"/>
  <c r="E28" i="22"/>
  <c r="E32" i="44"/>
  <c r="E32" i="20"/>
  <c r="I33" i="24"/>
  <c r="E34" i="45"/>
  <c r="E34" i="37"/>
  <c r="L35" i="24"/>
  <c r="F36" i="59" s="1"/>
  <c r="E36" i="46"/>
  <c r="E36" i="22"/>
  <c r="E40" i="44"/>
  <c r="E40" i="20"/>
  <c r="I41" i="24"/>
  <c r="E42" i="45"/>
  <c r="E42" i="37"/>
  <c r="L43" i="24"/>
  <c r="F44" i="59" s="1"/>
  <c r="E44" i="46"/>
  <c r="E44" i="22"/>
  <c r="E48" i="44"/>
  <c r="E48" i="20"/>
  <c r="I49" i="24"/>
  <c r="E50" i="45"/>
  <c r="E50" i="37"/>
  <c r="L51" i="24"/>
  <c r="F52" i="59" s="1"/>
  <c r="E52" i="46"/>
  <c r="E52" i="22"/>
  <c r="F55" i="24"/>
  <c r="F56" i="57" s="1"/>
  <c r="E56" i="44"/>
  <c r="E56" i="20"/>
  <c r="I57" i="24"/>
  <c r="F58" i="45" s="1"/>
  <c r="E58" i="45"/>
  <c r="E58" i="37"/>
  <c r="L59" i="24"/>
  <c r="F60" i="59" s="1"/>
  <c r="E60" i="46"/>
  <c r="E60" i="22"/>
  <c r="F63" i="24"/>
  <c r="F64" i="57" s="1"/>
  <c r="E64" i="44"/>
  <c r="E64" i="20"/>
  <c r="I65" i="24"/>
  <c r="CR65" i="24" s="1"/>
  <c r="E66" i="45"/>
  <c r="E66" i="37"/>
  <c r="L67" i="24"/>
  <c r="F68" i="59" s="1"/>
  <c r="E68" i="46"/>
  <c r="E68" i="22"/>
  <c r="F71" i="24"/>
  <c r="F72" i="57" s="1"/>
  <c r="E72" i="44"/>
  <c r="E72" i="20"/>
  <c r="I73" i="24"/>
  <c r="F74" i="45" s="1"/>
  <c r="E74" i="45"/>
  <c r="E74" i="37"/>
  <c r="L75" i="24"/>
  <c r="F76" i="59" s="1"/>
  <c r="E76" i="46"/>
  <c r="E76" i="22"/>
  <c r="F79" i="24"/>
  <c r="F80" i="57" s="1"/>
  <c r="E80" i="44"/>
  <c r="E80" i="20"/>
  <c r="I81" i="24"/>
  <c r="F82" i="37" s="1"/>
  <c r="E82" i="45"/>
  <c r="E82" i="37"/>
  <c r="L83" i="24"/>
  <c r="F84" i="59" s="1"/>
  <c r="E84" i="46"/>
  <c r="E84" i="22"/>
  <c r="F87" i="24"/>
  <c r="F88" i="57" s="1"/>
  <c r="E88" i="44"/>
  <c r="E88" i="20"/>
  <c r="I89" i="24"/>
  <c r="CR89" i="24" s="1"/>
  <c r="E90" i="45"/>
  <c r="E90" i="37"/>
  <c r="L91" i="24"/>
  <c r="F92" i="59" s="1"/>
  <c r="E92" i="46"/>
  <c r="E92" i="22"/>
  <c r="F95" i="24"/>
  <c r="F96" i="57" s="1"/>
  <c r="E96" i="44"/>
  <c r="E96" i="20"/>
  <c r="I97" i="24"/>
  <c r="CR97" i="24" s="1"/>
  <c r="E98" i="45"/>
  <c r="E98" i="37"/>
  <c r="L99" i="24"/>
  <c r="F100" i="59" s="1"/>
  <c r="E100" i="46"/>
  <c r="E100" i="22"/>
  <c r="F103" i="24"/>
  <c r="F104" i="57" s="1"/>
  <c r="E104" i="44"/>
  <c r="E104" i="20"/>
  <c r="I105" i="24"/>
  <c r="CR105" i="24" s="1"/>
  <c r="E106" i="45"/>
  <c r="E106" i="37"/>
  <c r="L107" i="24"/>
  <c r="F108" i="59" s="1"/>
  <c r="E108" i="46"/>
  <c r="E108" i="22"/>
  <c r="F111" i="24"/>
  <c r="F112" i="57" s="1"/>
  <c r="E112" i="44"/>
  <c r="E112" i="20"/>
  <c r="I113" i="24"/>
  <c r="CR113" i="24" s="1"/>
  <c r="E114" i="45"/>
  <c r="E114" i="37"/>
  <c r="L115" i="24"/>
  <c r="F116" i="59" s="1"/>
  <c r="E116" i="46"/>
  <c r="E116" i="22"/>
  <c r="F119" i="24"/>
  <c r="F120" i="57" s="1"/>
  <c r="E120" i="44"/>
  <c r="E120" i="20"/>
  <c r="I121" i="24"/>
  <c r="F122" i="37" s="1"/>
  <c r="E122" i="45"/>
  <c r="E122" i="37"/>
  <c r="L123" i="24"/>
  <c r="F124" i="59" s="1"/>
  <c r="E124" i="46"/>
  <c r="E124" i="22"/>
  <c r="F127" i="24"/>
  <c r="F128" i="57" s="1"/>
  <c r="E128" i="20"/>
  <c r="E128" i="44"/>
  <c r="F37" i="44"/>
  <c r="CQ36" i="24"/>
  <c r="EG144" i="32"/>
  <c r="F37" i="20"/>
  <c r="F45" i="44"/>
  <c r="CQ44" i="24"/>
  <c r="F31" i="46"/>
  <c r="CS30" i="24"/>
  <c r="EI138" i="32"/>
  <c r="F31" i="22"/>
  <c r="F35" i="46"/>
  <c r="CS34" i="24"/>
  <c r="EI142" i="32"/>
  <c r="F35" i="22"/>
  <c r="F7" i="44"/>
  <c r="F7" i="20"/>
  <c r="EG114" i="32"/>
  <c r="CQ6" i="24"/>
  <c r="F15" i="44"/>
  <c r="CQ14" i="24"/>
  <c r="L2" i="24"/>
  <c r="F3" i="59" s="1"/>
  <c r="E3" i="46"/>
  <c r="E3" i="22"/>
  <c r="E7" i="44"/>
  <c r="E7" i="20"/>
  <c r="E9" i="46"/>
  <c r="E9" i="22"/>
  <c r="E11" i="46"/>
  <c r="E11" i="22"/>
  <c r="E15" i="44"/>
  <c r="E15" i="20"/>
  <c r="E17" i="46"/>
  <c r="E17" i="22"/>
  <c r="E19" i="46"/>
  <c r="E19" i="22"/>
  <c r="E23" i="44"/>
  <c r="E23" i="20"/>
  <c r="E25" i="44"/>
  <c r="E25" i="20"/>
  <c r="E27" i="46"/>
  <c r="E27" i="22"/>
  <c r="E31" i="44"/>
  <c r="E31" i="20"/>
  <c r="E33" i="45"/>
  <c r="E33" i="37"/>
  <c r="E35" i="46"/>
  <c r="E35" i="22"/>
  <c r="E39" i="44"/>
  <c r="E39" i="20"/>
  <c r="E41" i="44"/>
  <c r="E41" i="20"/>
  <c r="E43" i="46"/>
  <c r="E43" i="22"/>
  <c r="E47" i="44"/>
  <c r="E47" i="20"/>
  <c r="E49" i="45"/>
  <c r="E49" i="37"/>
  <c r="L50" i="24"/>
  <c r="F51" i="59" s="1"/>
  <c r="E51" i="46"/>
  <c r="E51" i="22"/>
  <c r="F54" i="24"/>
  <c r="F55" i="57" s="1"/>
  <c r="E55" i="44"/>
  <c r="E55" i="20"/>
  <c r="I56" i="24"/>
  <c r="F57" i="37" s="1"/>
  <c r="E57" i="45"/>
  <c r="E57" i="37"/>
  <c r="L58" i="24"/>
  <c r="F59" i="59" s="1"/>
  <c r="E59" i="46"/>
  <c r="E59" i="22"/>
  <c r="F62" i="24"/>
  <c r="F63" i="57" s="1"/>
  <c r="E63" i="44"/>
  <c r="E63" i="20"/>
  <c r="I64" i="24"/>
  <c r="EH172" i="32" s="1"/>
  <c r="E65" i="45"/>
  <c r="E65" i="37"/>
  <c r="L66" i="24"/>
  <c r="F67" i="59" s="1"/>
  <c r="E67" i="46"/>
  <c r="E67" i="22"/>
  <c r="F70" i="24"/>
  <c r="F71" i="57" s="1"/>
  <c r="E71" i="44"/>
  <c r="E71" i="20"/>
  <c r="I72" i="24"/>
  <c r="EH180" i="32" s="1"/>
  <c r="E73" i="45"/>
  <c r="E73" i="37"/>
  <c r="L74" i="24"/>
  <c r="F75" i="59" s="1"/>
  <c r="E75" i="46"/>
  <c r="E75" i="22"/>
  <c r="F78" i="24"/>
  <c r="F79" i="57" s="1"/>
  <c r="E79" i="44"/>
  <c r="E79" i="20"/>
  <c r="I80" i="24"/>
  <c r="F81" i="37" s="1"/>
  <c r="E81" i="45"/>
  <c r="E81" i="37"/>
  <c r="L82" i="24"/>
  <c r="F83" i="59" s="1"/>
  <c r="E83" i="46"/>
  <c r="E83" i="22"/>
  <c r="F86" i="24"/>
  <c r="F87" i="57" s="1"/>
  <c r="E87" i="44"/>
  <c r="E87" i="20"/>
  <c r="F88" i="24"/>
  <c r="F89" i="57" s="1"/>
  <c r="E89" i="44"/>
  <c r="E89" i="20"/>
  <c r="L90" i="24"/>
  <c r="F91" i="59" s="1"/>
  <c r="E91" i="46"/>
  <c r="E91" i="22"/>
  <c r="F94" i="24"/>
  <c r="F95" i="57" s="1"/>
  <c r="E95" i="44"/>
  <c r="E95" i="20"/>
  <c r="F96" i="24"/>
  <c r="F97" i="57" s="1"/>
  <c r="E97" i="44"/>
  <c r="E97" i="20"/>
  <c r="L98" i="24"/>
  <c r="F99" i="59" s="1"/>
  <c r="E99" i="46"/>
  <c r="E99" i="22"/>
  <c r="F102" i="24"/>
  <c r="F103" i="57" s="1"/>
  <c r="E103" i="44"/>
  <c r="E103" i="20"/>
  <c r="I104" i="24"/>
  <c r="F105" i="37" s="1"/>
  <c r="E105" i="45"/>
  <c r="E105" i="37"/>
  <c r="L106" i="24"/>
  <c r="F107" i="59" s="1"/>
  <c r="E107" i="46"/>
  <c r="E107" i="22"/>
  <c r="F110" i="24"/>
  <c r="F111" i="57" s="1"/>
  <c r="E111" i="44"/>
  <c r="E111" i="20"/>
  <c r="I112" i="24"/>
  <c r="EH220" i="32" s="1"/>
  <c r="E113" i="45"/>
  <c r="E113" i="37"/>
  <c r="L114" i="24"/>
  <c r="F115" i="59" s="1"/>
  <c r="E115" i="46"/>
  <c r="E115" i="22"/>
  <c r="F118" i="24"/>
  <c r="F119" i="57" s="1"/>
  <c r="E119" i="44"/>
  <c r="E119" i="20"/>
  <c r="L120" i="24"/>
  <c r="F121" i="59" s="1"/>
  <c r="E121" i="46"/>
  <c r="E121" i="22"/>
  <c r="L122" i="24"/>
  <c r="F123" i="59" s="1"/>
  <c r="E123" i="46"/>
  <c r="E123" i="22"/>
  <c r="F126" i="24"/>
  <c r="F127" i="57" s="1"/>
  <c r="E127" i="44"/>
  <c r="E127" i="20"/>
  <c r="D168" i="46"/>
  <c r="D170" i="46"/>
  <c r="L20" i="11"/>
  <c r="L45" i="11"/>
  <c r="K30" i="11"/>
  <c r="J16" i="11"/>
  <c r="J35" i="11"/>
  <c r="I20" i="11"/>
  <c r="I12" i="11"/>
  <c r="H45" i="11"/>
  <c r="H35" i="11"/>
  <c r="F20" i="11"/>
  <c r="B24" i="18"/>
  <c r="E30" i="9"/>
  <c r="E20" i="11"/>
  <c r="B23" i="18"/>
  <c r="E29" i="9"/>
  <c r="G31" i="11"/>
  <c r="D25" i="18"/>
  <c r="G9" i="18"/>
  <c r="J55" i="11" s="1"/>
  <c r="J21" i="11"/>
  <c r="B28" i="18"/>
  <c r="H31" i="11"/>
  <c r="D26" i="18"/>
  <c r="I21" i="11"/>
  <c r="G8" i="18"/>
  <c r="I55" i="11" s="1"/>
  <c r="B27" i="18"/>
  <c r="H26" i="11"/>
  <c r="C26" i="18"/>
  <c r="K36" i="11"/>
  <c r="E29" i="18"/>
  <c r="C20" i="11"/>
  <c r="E27" i="9"/>
  <c r="B21" i="18"/>
  <c r="M21" i="11"/>
  <c r="G12" i="18"/>
  <c r="M55" i="11" s="1"/>
  <c r="R52" i="24"/>
  <c r="R56" i="24"/>
  <c r="R60" i="24"/>
  <c r="R64" i="24"/>
  <c r="R68" i="24"/>
  <c r="R72" i="24"/>
  <c r="R76" i="24"/>
  <c r="R80" i="24"/>
  <c r="R84" i="24"/>
  <c r="R88" i="24"/>
  <c r="R92" i="24"/>
  <c r="R96" i="24"/>
  <c r="R100" i="24"/>
  <c r="R104" i="24"/>
  <c r="R108" i="24"/>
  <c r="R112" i="24"/>
  <c r="R116" i="24"/>
  <c r="R120" i="24"/>
  <c r="R124" i="24"/>
  <c r="N129" i="20"/>
  <c r="P129" i="44"/>
  <c r="D168" i="44"/>
  <c r="D169" i="45"/>
  <c r="O51" i="24"/>
  <c r="R55" i="24"/>
  <c r="O59" i="24"/>
  <c r="O63" i="24"/>
  <c r="R67" i="24"/>
  <c r="O71" i="24"/>
  <c r="R75" i="24"/>
  <c r="O79" i="24"/>
  <c r="R83" i="24"/>
  <c r="R87" i="24"/>
  <c r="O91" i="24"/>
  <c r="R95" i="24"/>
  <c r="R99" i="24"/>
  <c r="R103" i="24"/>
  <c r="R107" i="24"/>
  <c r="R111" i="24"/>
  <c r="R115" i="24"/>
  <c r="R119" i="24"/>
  <c r="O123" i="24"/>
  <c r="D167" i="45"/>
  <c r="CS69" i="24"/>
  <c r="F69" i="46"/>
  <c r="EI192" i="32"/>
  <c r="F125" i="22"/>
  <c r="F84" i="22"/>
  <c r="EI199" i="32"/>
  <c r="CS50" i="24"/>
  <c r="EI198" i="32"/>
  <c r="CS122" i="24"/>
  <c r="F62" i="46"/>
  <c r="EI169" i="32"/>
  <c r="F66" i="22"/>
  <c r="CS65" i="24"/>
  <c r="F78" i="22"/>
  <c r="CS77" i="24"/>
  <c r="F82" i="46"/>
  <c r="EI189" i="32"/>
  <c r="F94" i="46"/>
  <c r="EI201" i="32"/>
  <c r="CS97" i="24"/>
  <c r="F110" i="22"/>
  <c r="F114" i="46"/>
  <c r="EI221" i="32"/>
  <c r="F126" i="46"/>
  <c r="EI233" i="32"/>
  <c r="F81" i="46"/>
  <c r="CS80" i="24"/>
  <c r="EI188" i="32"/>
  <c r="F81" i="22"/>
  <c r="F80" i="46"/>
  <c r="F80" i="22"/>
  <c r="EI219" i="32"/>
  <c r="CS111" i="24"/>
  <c r="EI218" i="32"/>
  <c r="F62" i="45"/>
  <c r="EH201" i="32"/>
  <c r="EH207" i="32"/>
  <c r="CR107" i="24"/>
  <c r="CR123" i="24"/>
  <c r="F59" i="37"/>
  <c r="F123" i="37"/>
  <c r="CR73" i="24"/>
  <c r="F74" i="37"/>
  <c r="CR81" i="24"/>
  <c r="F106" i="45"/>
  <c r="EH213" i="32"/>
  <c r="CR72" i="24"/>
  <c r="F73" i="37"/>
  <c r="EH212" i="32"/>
  <c r="F113" i="37"/>
  <c r="F56" i="45"/>
  <c r="F56" i="37"/>
  <c r="EH163" i="32"/>
  <c r="CR55" i="24"/>
  <c r="F88" i="45"/>
  <c r="CR87" i="24"/>
  <c r="CR103" i="24"/>
  <c r="F53" i="45"/>
  <c r="F61" i="45"/>
  <c r="CR60" i="24"/>
  <c r="F61" i="37"/>
  <c r="EH168" i="32"/>
  <c r="F69" i="37"/>
  <c r="F71" i="45"/>
  <c r="CR70" i="24"/>
  <c r="EH178" i="32"/>
  <c r="F71" i="37"/>
  <c r="CR78" i="24"/>
  <c r="F89" i="37"/>
  <c r="F93" i="45"/>
  <c r="CR92" i="24"/>
  <c r="F93" i="37"/>
  <c r="EH200" i="32"/>
  <c r="F103" i="45"/>
  <c r="CR102" i="24"/>
  <c r="F103" i="37"/>
  <c r="EH210" i="32"/>
  <c r="EH218" i="32"/>
  <c r="F70" i="45"/>
  <c r="CR69" i="24"/>
  <c r="F102" i="45"/>
  <c r="CR101" i="24"/>
  <c r="EG159" i="32"/>
  <c r="EG197" i="32"/>
  <c r="F116" i="20"/>
  <c r="EG171" i="32"/>
  <c r="F64" i="20"/>
  <c r="F74" i="20"/>
  <c r="CQ80" i="24"/>
  <c r="F72" i="44"/>
  <c r="F96" i="44"/>
  <c r="EG203" i="32"/>
  <c r="CQ127" i="24"/>
  <c r="F63" i="44"/>
  <c r="CQ62" i="24"/>
  <c r="F71" i="44"/>
  <c r="CQ94" i="24"/>
  <c r="F95" i="20"/>
  <c r="EG234" i="32"/>
  <c r="EG167" i="32"/>
  <c r="CQ59" i="24"/>
  <c r="EG199" i="32"/>
  <c r="CQ91" i="24"/>
  <c r="F124" i="44"/>
  <c r="F124" i="20"/>
  <c r="F61" i="44"/>
  <c r="CQ100" i="24"/>
  <c r="N4" i="20"/>
  <c r="O4" i="20" s="1"/>
  <c r="N8" i="20"/>
  <c r="N3" i="20"/>
  <c r="N7" i="20"/>
  <c r="N11" i="20"/>
  <c r="N13" i="20"/>
  <c r="N15" i="20"/>
  <c r="O15" i="20" s="1"/>
  <c r="N17" i="20"/>
  <c r="O17" i="20" s="1"/>
  <c r="N19" i="20"/>
  <c r="N21" i="20"/>
  <c r="N23" i="20"/>
  <c r="N25" i="20"/>
  <c r="N27" i="20"/>
  <c r="N29" i="20"/>
  <c r="O29" i="20" s="1"/>
  <c r="N31" i="20"/>
  <c r="N33" i="20"/>
  <c r="O33" i="20" s="1"/>
  <c r="N35" i="20"/>
  <c r="N37" i="20"/>
  <c r="O37" i="20" s="1"/>
  <c r="N39" i="20"/>
  <c r="N41" i="20"/>
  <c r="O41" i="20" s="1"/>
  <c r="N43" i="20"/>
  <c r="N45" i="20"/>
  <c r="O45" i="20" s="1"/>
  <c r="N47" i="20"/>
  <c r="N49" i="20"/>
  <c r="N51" i="20"/>
  <c r="N53" i="20"/>
  <c r="O53" i="20" s="1"/>
  <c r="N55" i="20"/>
  <c r="N57" i="20"/>
  <c r="O57" i="20" s="1"/>
  <c r="N59" i="20"/>
  <c r="N61" i="20"/>
  <c r="N63" i="20"/>
  <c r="N65" i="20"/>
  <c r="N67" i="20"/>
  <c r="N69" i="20"/>
  <c r="O69" i="20" s="1"/>
  <c r="N71" i="20"/>
  <c r="N73" i="20"/>
  <c r="N75" i="20"/>
  <c r="N77" i="20"/>
  <c r="N79" i="20"/>
  <c r="N81" i="20"/>
  <c r="O81" i="20" s="1"/>
  <c r="N83" i="20"/>
  <c r="N85" i="20"/>
  <c r="N87" i="20"/>
  <c r="N89" i="20"/>
  <c r="O89" i="20" s="1"/>
  <c r="N91" i="20"/>
  <c r="N93" i="20"/>
  <c r="N95" i="20"/>
  <c r="N97" i="20"/>
  <c r="N99" i="20"/>
  <c r="N101" i="20"/>
  <c r="O101" i="20" s="1"/>
  <c r="N103" i="20"/>
  <c r="N105" i="20"/>
  <c r="N107" i="20"/>
  <c r="N109" i="20"/>
  <c r="N111" i="20"/>
  <c r="N113" i="20"/>
  <c r="O113" i="20" s="1"/>
  <c r="N115" i="20"/>
  <c r="N117" i="20"/>
  <c r="O117" i="20" s="1"/>
  <c r="N119" i="20"/>
  <c r="N121" i="20"/>
  <c r="O121" i="20" s="1"/>
  <c r="N123" i="20"/>
  <c r="N125" i="20"/>
  <c r="N127" i="20"/>
  <c r="N6" i="20"/>
  <c r="N10" i="20"/>
  <c r="N5" i="20"/>
  <c r="O5" i="20" s="1"/>
  <c r="N9" i="20"/>
  <c r="N12" i="20"/>
  <c r="N14" i="20"/>
  <c r="O14" i="20" s="1"/>
  <c r="N16" i="20"/>
  <c r="N18" i="20"/>
  <c r="N20" i="20"/>
  <c r="N22" i="20"/>
  <c r="N24" i="20"/>
  <c r="O24" i="20" s="1"/>
  <c r="N26" i="20"/>
  <c r="N28" i="20"/>
  <c r="N30" i="20"/>
  <c r="N32" i="20"/>
  <c r="N34" i="20"/>
  <c r="N36" i="20"/>
  <c r="N38" i="20"/>
  <c r="N40" i="20"/>
  <c r="O40" i="20" s="1"/>
  <c r="N42" i="20"/>
  <c r="N44" i="20"/>
  <c r="N46" i="20"/>
  <c r="O46" i="20" s="1"/>
  <c r="N48" i="20"/>
  <c r="N50" i="20"/>
  <c r="N52" i="20"/>
  <c r="N54" i="20"/>
  <c r="N56" i="20"/>
  <c r="O56" i="20" s="1"/>
  <c r="N58" i="20"/>
  <c r="N60" i="20"/>
  <c r="N62" i="20"/>
  <c r="N64" i="20"/>
  <c r="N66" i="20"/>
  <c r="N68" i="20"/>
  <c r="N70" i="20"/>
  <c r="N72" i="20"/>
  <c r="O72" i="20" s="1"/>
  <c r="N74" i="20"/>
  <c r="N76" i="20"/>
  <c r="N78" i="20"/>
  <c r="O78" i="20" s="1"/>
  <c r="N80" i="20"/>
  <c r="N82" i="20"/>
  <c r="N84" i="20"/>
  <c r="N86" i="20"/>
  <c r="N88" i="20"/>
  <c r="O88" i="20" s="1"/>
  <c r="N90" i="20"/>
  <c r="N92" i="20"/>
  <c r="N94" i="20"/>
  <c r="N96" i="20"/>
  <c r="N98" i="20"/>
  <c r="N100" i="20"/>
  <c r="N102" i="20"/>
  <c r="N104" i="20"/>
  <c r="O104" i="20" s="1"/>
  <c r="N106" i="20"/>
  <c r="N108" i="20"/>
  <c r="N110" i="20"/>
  <c r="N112" i="20"/>
  <c r="N114" i="20"/>
  <c r="N116" i="20"/>
  <c r="N118" i="20"/>
  <c r="O118" i="20" s="1"/>
  <c r="N120" i="20"/>
  <c r="O120" i="20" s="1"/>
  <c r="N122" i="20"/>
  <c r="N124" i="20"/>
  <c r="N126" i="20"/>
  <c r="BI5" i="24"/>
  <c r="F77" i="20" l="1"/>
  <c r="F74" i="44"/>
  <c r="CR122" i="24"/>
  <c r="F101" i="22"/>
  <c r="F69" i="44"/>
  <c r="F120" i="44"/>
  <c r="CQ112" i="24"/>
  <c r="F106" i="20"/>
  <c r="CR119" i="24"/>
  <c r="F91" i="37"/>
  <c r="F126" i="37"/>
  <c r="F84" i="37"/>
  <c r="F55" i="22"/>
  <c r="F98" i="22"/>
  <c r="CS100" i="24"/>
  <c r="EI207" i="32"/>
  <c r="F81" i="44"/>
  <c r="F116" i="44"/>
  <c r="CR58" i="24"/>
  <c r="CR83" i="24"/>
  <c r="CQ122" i="24"/>
  <c r="F67" i="44"/>
  <c r="F113" i="44"/>
  <c r="F106" i="44"/>
  <c r="CQ51" i="24"/>
  <c r="EH227" i="32"/>
  <c r="F91" i="45"/>
  <c r="EH233" i="32"/>
  <c r="F94" i="37"/>
  <c r="CR61" i="24"/>
  <c r="CS109" i="24"/>
  <c r="EI176" i="32"/>
  <c r="EG206" i="32"/>
  <c r="EG174" i="32"/>
  <c r="F54" i="22"/>
  <c r="EG142" i="32"/>
  <c r="EG216" i="32"/>
  <c r="CQ98" i="24"/>
  <c r="EG184" i="32"/>
  <c r="F67" i="20"/>
  <c r="F59" i="44"/>
  <c r="CQ102" i="24"/>
  <c r="F104" i="44"/>
  <c r="F122" i="20"/>
  <c r="CQ104" i="24"/>
  <c r="F66" i="44"/>
  <c r="CR54" i="24"/>
  <c r="F120" i="37"/>
  <c r="EH195" i="32"/>
  <c r="F114" i="45"/>
  <c r="F115" i="45"/>
  <c r="CR82" i="24"/>
  <c r="F76" i="45"/>
  <c r="F87" i="22"/>
  <c r="F97" i="22"/>
  <c r="F110" i="46"/>
  <c r="F98" i="46"/>
  <c r="F78" i="46"/>
  <c r="F66" i="46"/>
  <c r="CQ108" i="24"/>
  <c r="CQ76" i="24"/>
  <c r="F109" i="44"/>
  <c r="CQ90" i="24"/>
  <c r="F77" i="44"/>
  <c r="CQ66" i="24"/>
  <c r="F65" i="44"/>
  <c r="CR86" i="24"/>
  <c r="F81" i="45"/>
  <c r="F97" i="45"/>
  <c r="F79" i="46"/>
  <c r="EI217" i="32"/>
  <c r="EI205" i="32"/>
  <c r="EI185" i="32"/>
  <c r="EI173" i="32"/>
  <c r="F124" i="46"/>
  <c r="CS59" i="24"/>
  <c r="CS82" i="24"/>
  <c r="F127" i="20"/>
  <c r="CS114" i="24"/>
  <c r="CQ82" i="24"/>
  <c r="CQ77" i="24"/>
  <c r="EG219" i="32"/>
  <c r="CR110" i="24"/>
  <c r="EH229" i="32"/>
  <c r="F90" i="37"/>
  <c r="EI204" i="32"/>
  <c r="EI228" i="32"/>
  <c r="EI174" i="32"/>
  <c r="CQ34" i="24"/>
  <c r="F22" i="45"/>
  <c r="F93" i="20"/>
  <c r="CQ50" i="24"/>
  <c r="F111" i="44"/>
  <c r="EG196" i="32"/>
  <c r="CQ120" i="24"/>
  <c r="CR108" i="24"/>
  <c r="CR76" i="24"/>
  <c r="CS96" i="24"/>
  <c r="F118" i="22"/>
  <c r="CQ39" i="24"/>
  <c r="F35" i="44"/>
  <c r="F93" i="44"/>
  <c r="EG168" i="32"/>
  <c r="F51" i="44"/>
  <c r="F79" i="20"/>
  <c r="F121" i="44"/>
  <c r="F96" i="45"/>
  <c r="F97" i="46"/>
  <c r="F86" i="22"/>
  <c r="F89" i="46"/>
  <c r="F40" i="44"/>
  <c r="F35" i="20"/>
  <c r="CQ2" i="24"/>
  <c r="EG138" i="32"/>
  <c r="CQ74" i="24"/>
  <c r="F58" i="44"/>
  <c r="F66" i="37"/>
  <c r="EH214" i="32"/>
  <c r="CR74" i="24"/>
  <c r="F110" i="45"/>
  <c r="F78" i="37"/>
  <c r="F68" i="45"/>
  <c r="F76" i="46"/>
  <c r="CS38" i="24"/>
  <c r="EG118" i="32"/>
  <c r="CQ23" i="24"/>
  <c r="F109" i="20"/>
  <c r="EG214" i="32"/>
  <c r="EG198" i="32"/>
  <c r="CQ68" i="24"/>
  <c r="F59" i="20"/>
  <c r="CQ123" i="24"/>
  <c r="F92" i="44"/>
  <c r="F60" i="20"/>
  <c r="F71" i="20"/>
  <c r="F113" i="20"/>
  <c r="F81" i="20"/>
  <c r="CQ121" i="24"/>
  <c r="EG213" i="32"/>
  <c r="EG181" i="32"/>
  <c r="F121" i="20"/>
  <c r="F117" i="44"/>
  <c r="EG187" i="32"/>
  <c r="CQ115" i="24"/>
  <c r="F90" i="20"/>
  <c r="F52" i="20"/>
  <c r="F102" i="37"/>
  <c r="F70" i="37"/>
  <c r="F127" i="45"/>
  <c r="F111" i="45"/>
  <c r="F64" i="37"/>
  <c r="EH188" i="32"/>
  <c r="CR56" i="24"/>
  <c r="EH189" i="32"/>
  <c r="CR57" i="24"/>
  <c r="F123" i="45"/>
  <c r="F97" i="37"/>
  <c r="CR90" i="24"/>
  <c r="F75" i="45"/>
  <c r="F59" i="45"/>
  <c r="F126" i="45"/>
  <c r="CR93" i="24"/>
  <c r="EH191" i="32"/>
  <c r="F78" i="45"/>
  <c r="F62" i="37"/>
  <c r="CS118" i="24"/>
  <c r="CS78" i="24"/>
  <c r="F112" i="22"/>
  <c r="CS79" i="24"/>
  <c r="F64" i="46"/>
  <c r="EI213" i="32"/>
  <c r="EI208" i="32"/>
  <c r="CS101" i="24"/>
  <c r="CS98" i="24"/>
  <c r="EI182" i="32"/>
  <c r="F124" i="22"/>
  <c r="CS91" i="24"/>
  <c r="F68" i="22"/>
  <c r="EI216" i="32"/>
  <c r="CS68" i="24"/>
  <c r="F48" i="20"/>
  <c r="EG115" i="32"/>
  <c r="F39" i="46"/>
  <c r="F49" i="45"/>
  <c r="F19" i="44"/>
  <c r="F11" i="20"/>
  <c r="CQ35" i="24"/>
  <c r="EG154" i="32"/>
  <c r="F17" i="46"/>
  <c r="F24" i="20"/>
  <c r="CQ40" i="24"/>
  <c r="CQ24" i="24"/>
  <c r="CS18" i="24"/>
  <c r="CS10" i="24"/>
  <c r="EG230" i="32"/>
  <c r="F101" i="44"/>
  <c r="EG231" i="32"/>
  <c r="F92" i="20"/>
  <c r="F76" i="44"/>
  <c r="F60" i="44"/>
  <c r="EG210" i="32"/>
  <c r="F104" i="20"/>
  <c r="F72" i="20"/>
  <c r="EG220" i="32"/>
  <c r="EG188" i="32"/>
  <c r="CQ105" i="24"/>
  <c r="CQ73" i="24"/>
  <c r="CQ57" i="24"/>
  <c r="EG228" i="32"/>
  <c r="EG209" i="32"/>
  <c r="EG223" i="32"/>
  <c r="F52" i="44"/>
  <c r="EH208" i="32"/>
  <c r="CR112" i="24"/>
  <c r="F114" i="37"/>
  <c r="F107" i="37"/>
  <c r="EH217" i="32"/>
  <c r="F100" i="37"/>
  <c r="F68" i="37"/>
  <c r="F111" i="22"/>
  <c r="F112" i="46"/>
  <c r="EI187" i="32"/>
  <c r="F57" i="22"/>
  <c r="EI181" i="32"/>
  <c r="EI224" i="32"/>
  <c r="F101" i="46"/>
  <c r="F91" i="22"/>
  <c r="CS58" i="24"/>
  <c r="EI215" i="32"/>
  <c r="EI167" i="32"/>
  <c r="F69" i="22"/>
  <c r="EG155" i="32"/>
  <c r="F8" i="20"/>
  <c r="EI146" i="32"/>
  <c r="EG126" i="32"/>
  <c r="F44" i="44"/>
  <c r="F36" i="44"/>
  <c r="F29" i="44"/>
  <c r="F47" i="44"/>
  <c r="EG131" i="32"/>
  <c r="E169" i="59"/>
  <c r="E168" i="59"/>
  <c r="F123" i="20"/>
  <c r="F101" i="20"/>
  <c r="F91" i="44"/>
  <c r="F69" i="20"/>
  <c r="CQ58" i="24"/>
  <c r="F103" i="20"/>
  <c r="EG178" i="32"/>
  <c r="CQ103" i="24"/>
  <c r="EG179" i="32"/>
  <c r="F98" i="44"/>
  <c r="CQ72" i="24"/>
  <c r="F101" i="37"/>
  <c r="EH196" i="32"/>
  <c r="EH192" i="32"/>
  <c r="F79" i="45"/>
  <c r="CR68" i="24"/>
  <c r="CR127" i="24"/>
  <c r="CR95" i="24"/>
  <c r="CR79" i="24"/>
  <c r="F64" i="45"/>
  <c r="F113" i="45"/>
  <c r="CR80" i="24"/>
  <c r="EH221" i="32"/>
  <c r="F82" i="45"/>
  <c r="EH206" i="32"/>
  <c r="F118" i="37"/>
  <c r="EH161" i="32"/>
  <c r="CS110" i="24"/>
  <c r="EI186" i="32"/>
  <c r="EI170" i="32"/>
  <c r="EI164" i="32"/>
  <c r="F118" i="46"/>
  <c r="CS105" i="24"/>
  <c r="F86" i="46"/>
  <c r="CS73" i="24"/>
  <c r="F54" i="46"/>
  <c r="CS76" i="24"/>
  <c r="EI230" i="32"/>
  <c r="CS90" i="24"/>
  <c r="F75" i="46"/>
  <c r="F59" i="46"/>
  <c r="EI231" i="32"/>
  <c r="F92" i="46"/>
  <c r="F60" i="46"/>
  <c r="F93" i="22"/>
  <c r="F70" i="22"/>
  <c r="EG147" i="32"/>
  <c r="EG139" i="32"/>
  <c r="F11" i="44"/>
  <c r="F3" i="44"/>
  <c r="EG151" i="32"/>
  <c r="CQ28" i="24"/>
  <c r="CQ30" i="24"/>
  <c r="E166" i="57"/>
  <c r="CQ84" i="24"/>
  <c r="CR88" i="24"/>
  <c r="CR63" i="24"/>
  <c r="EI161" i="32"/>
  <c r="F77" i="46"/>
  <c r="F31" i="44"/>
  <c r="F13" i="22"/>
  <c r="F119" i="20"/>
  <c r="CR100" i="24"/>
  <c r="EH186" i="32"/>
  <c r="F69" i="45"/>
  <c r="EH203" i="32"/>
  <c r="F127" i="22"/>
  <c r="CS56" i="24"/>
  <c r="EI225" i="32"/>
  <c r="F106" i="22"/>
  <c r="EI193" i="32"/>
  <c r="F74" i="22"/>
  <c r="EI214" i="32"/>
  <c r="F3" i="20"/>
  <c r="F123" i="44"/>
  <c r="EG208" i="32"/>
  <c r="F91" i="20"/>
  <c r="EG176" i="32"/>
  <c r="EG166" i="32"/>
  <c r="CQ93" i="24"/>
  <c r="EG175" i="32"/>
  <c r="F103" i="44"/>
  <c r="F87" i="20"/>
  <c r="CQ70" i="24"/>
  <c r="EG211" i="32"/>
  <c r="CQ71" i="24"/>
  <c r="EG177" i="32"/>
  <c r="EH219" i="32"/>
  <c r="EH158" i="32"/>
  <c r="F86" i="45"/>
  <c r="F111" i="46"/>
  <c r="F79" i="22"/>
  <c r="EI180" i="32"/>
  <c r="F57" i="46"/>
  <c r="CS117" i="24"/>
  <c r="F106" i="46"/>
  <c r="CS85" i="24"/>
  <c r="F74" i="46"/>
  <c r="CS53" i="24"/>
  <c r="CS88" i="24"/>
  <c r="EI209" i="32"/>
  <c r="F123" i="22"/>
  <c r="EI166" i="32"/>
  <c r="CS123" i="24"/>
  <c r="F108" i="22"/>
  <c r="F92" i="22"/>
  <c r="CS75" i="24"/>
  <c r="F60" i="22"/>
  <c r="F109" i="22"/>
  <c r="F61" i="46"/>
  <c r="F40" i="20"/>
  <c r="F43" i="44"/>
  <c r="CQ10" i="24"/>
  <c r="EG110" i="32"/>
  <c r="F44" i="20"/>
  <c r="F29" i="20"/>
  <c r="F31" i="20"/>
  <c r="CR104" i="24"/>
  <c r="CQ92" i="24"/>
  <c r="EG190" i="32"/>
  <c r="F61" i="20"/>
  <c r="EG158" i="32"/>
  <c r="F126" i="20"/>
  <c r="CQ126" i="24"/>
  <c r="CQ96" i="24"/>
  <c r="F95" i="44"/>
  <c r="EG170" i="32"/>
  <c r="F55" i="20"/>
  <c r="CQ95" i="24"/>
  <c r="F88" i="44"/>
  <c r="EG229" i="32"/>
  <c r="F58" i="20"/>
  <c r="F64" i="44"/>
  <c r="EG221" i="32"/>
  <c r="F90" i="44"/>
  <c r="CR94" i="24"/>
  <c r="F63" i="37"/>
  <c r="CR71" i="24"/>
  <c r="F105" i="45"/>
  <c r="F73" i="45"/>
  <c r="F106" i="37"/>
  <c r="EH181" i="32"/>
  <c r="CR106" i="24"/>
  <c r="EH204" i="32"/>
  <c r="EH182" i="32"/>
  <c r="F110" i="37"/>
  <c r="F100" i="45"/>
  <c r="CR77" i="24"/>
  <c r="CR67" i="24"/>
  <c r="CR59" i="24"/>
  <c r="CS94" i="24"/>
  <c r="CS125" i="24"/>
  <c r="CS113" i="24"/>
  <c r="CS93" i="24"/>
  <c r="CS81" i="24"/>
  <c r="CS61" i="24"/>
  <c r="F89" i="22"/>
  <c r="F77" i="22"/>
  <c r="EI172" i="32"/>
  <c r="F102" i="22"/>
  <c r="CS106" i="24"/>
  <c r="CS74" i="24"/>
  <c r="F116" i="22"/>
  <c r="F108" i="46"/>
  <c r="F76" i="22"/>
  <c r="F52" i="22"/>
  <c r="CS108" i="24"/>
  <c r="F70" i="46"/>
  <c r="F15" i="20"/>
  <c r="F45" i="20"/>
  <c r="F47" i="46"/>
  <c r="F27" i="22"/>
  <c r="EH116" i="32"/>
  <c r="CR22" i="24"/>
  <c r="F39" i="20"/>
  <c r="F23" i="20"/>
  <c r="F43" i="22"/>
  <c r="F9" i="22"/>
  <c r="F23" i="58"/>
  <c r="EG200" i="32"/>
  <c r="CQ60" i="24"/>
  <c r="F51" i="20"/>
  <c r="F127" i="44"/>
  <c r="EG202" i="32"/>
  <c r="F63" i="20"/>
  <c r="EG235" i="32"/>
  <c r="F96" i="20"/>
  <c r="F57" i="44"/>
  <c r="F122" i="44"/>
  <c r="EG165" i="32"/>
  <c r="CQ63" i="24"/>
  <c r="EG163" i="32"/>
  <c r="CQ89" i="24"/>
  <c r="EG189" i="32"/>
  <c r="CS95" i="24"/>
  <c r="F126" i="22"/>
  <c r="F114" i="22"/>
  <c r="F94" i="22"/>
  <c r="F82" i="22"/>
  <c r="F62" i="22"/>
  <c r="EI196" i="32"/>
  <c r="EI184" i="32"/>
  <c r="EI160" i="32"/>
  <c r="F102" i="46"/>
  <c r="F107" i="22"/>
  <c r="F75" i="22"/>
  <c r="CS107" i="24"/>
  <c r="EI183" i="32"/>
  <c r="F109" i="46"/>
  <c r="EI177" i="32"/>
  <c r="EG122" i="32"/>
  <c r="EG152" i="32"/>
  <c r="F168" i="57"/>
  <c r="F47" i="22"/>
  <c r="CR11" i="24"/>
  <c r="EH113" i="32"/>
  <c r="EI134" i="32"/>
  <c r="CR8" i="24"/>
  <c r="F23" i="45"/>
  <c r="F39" i="44"/>
  <c r="F23" i="44"/>
  <c r="EI150" i="32"/>
  <c r="EI116" i="32"/>
  <c r="EI154" i="32"/>
  <c r="F12" i="37"/>
  <c r="CS26" i="24"/>
  <c r="CQ38" i="24"/>
  <c r="EG130" i="32"/>
  <c r="CS42" i="24"/>
  <c r="CS8" i="24"/>
  <c r="E169" i="57"/>
  <c r="E167" i="59"/>
  <c r="O10" i="20"/>
  <c r="O128" i="20"/>
  <c r="O94" i="20"/>
  <c r="O108" i="20"/>
  <c r="O92" i="20"/>
  <c r="O84" i="20"/>
  <c r="O76" i="20"/>
  <c r="O60" i="20"/>
  <c r="O52" i="20"/>
  <c r="O44" i="20"/>
  <c r="O28" i="20"/>
  <c r="O20" i="20"/>
  <c r="O12" i="20"/>
  <c r="O116" i="20"/>
  <c r="O67" i="20"/>
  <c r="O102" i="20"/>
  <c r="O122" i="20"/>
  <c r="O74" i="20"/>
  <c r="O42" i="20"/>
  <c r="O95" i="20"/>
  <c r="O63" i="20"/>
  <c r="O3" i="20"/>
  <c r="O8" i="20"/>
  <c r="O125" i="20"/>
  <c r="O22" i="20"/>
  <c r="O111" i="20"/>
  <c r="O47" i="20"/>
  <c r="O126" i="20"/>
  <c r="O93" i="20"/>
  <c r="O61" i="20"/>
  <c r="O79" i="20"/>
  <c r="O62" i="20"/>
  <c r="O30" i="20"/>
  <c r="O124" i="20"/>
  <c r="O115" i="20"/>
  <c r="O87" i="20"/>
  <c r="O55" i="20"/>
  <c r="O19" i="20"/>
  <c r="O106" i="20"/>
  <c r="O70" i="20"/>
  <c r="O38" i="20"/>
  <c r="O25" i="20"/>
  <c r="O90" i="20"/>
  <c r="O9" i="20"/>
  <c r="O112" i="20"/>
  <c r="O100" i="20"/>
  <c r="O96" i="20"/>
  <c r="O80" i="20"/>
  <c r="O68" i="20"/>
  <c r="O64" i="20"/>
  <c r="O48" i="20"/>
  <c r="O36" i="20"/>
  <c r="O32" i="20"/>
  <c r="O16" i="20"/>
  <c r="O127" i="20"/>
  <c r="O91" i="20"/>
  <c r="O59" i="20"/>
  <c r="O31" i="20"/>
  <c r="O114" i="20"/>
  <c r="O82" i="20"/>
  <c r="O58" i="20"/>
  <c r="O26" i="20"/>
  <c r="O18" i="20"/>
  <c r="O109" i="20"/>
  <c r="O85" i="20"/>
  <c r="O77" i="20"/>
  <c r="O21" i="20"/>
  <c r="O13" i="20"/>
  <c r="O123" i="20"/>
  <c r="O27" i="20"/>
  <c r="O39" i="20"/>
  <c r="O75" i="20"/>
  <c r="O66" i="20"/>
  <c r="O34" i="20"/>
  <c r="O6" i="20"/>
  <c r="O99" i="20"/>
  <c r="O71" i="20"/>
  <c r="O35" i="20"/>
  <c r="O7" i="20"/>
  <c r="O103" i="20"/>
  <c r="O98" i="20"/>
  <c r="O119" i="20"/>
  <c r="O83" i="20"/>
  <c r="O51" i="20"/>
  <c r="O23" i="20"/>
  <c r="O130" i="20"/>
  <c r="O50" i="20"/>
  <c r="O107" i="20"/>
  <c r="O43" i="20"/>
  <c r="O11" i="20"/>
  <c r="E167" i="57"/>
  <c r="E168" i="57"/>
  <c r="F89" i="44"/>
  <c r="CQ97" i="24"/>
  <c r="F117" i="20"/>
  <c r="F102" i="44"/>
  <c r="F112" i="44"/>
  <c r="EG180" i="32"/>
  <c r="F127" i="37"/>
  <c r="F95" i="45"/>
  <c r="CR84" i="24"/>
  <c r="EH170" i="32"/>
  <c r="EH160" i="32"/>
  <c r="F112" i="37"/>
  <c r="EH187" i="32"/>
  <c r="F57" i="45"/>
  <c r="F122" i="45"/>
  <c r="EH197" i="32"/>
  <c r="F58" i="37"/>
  <c r="EH222" i="32"/>
  <c r="F83" i="45"/>
  <c r="CR50" i="24"/>
  <c r="CR117" i="24"/>
  <c r="EH215" i="32"/>
  <c r="F86" i="37"/>
  <c r="CR75" i="24"/>
  <c r="F54" i="45"/>
  <c r="F127" i="46"/>
  <c r="F95" i="22"/>
  <c r="CS62" i="24"/>
  <c r="CS127" i="24"/>
  <c r="F96" i="22"/>
  <c r="CS63" i="24"/>
  <c r="CS121" i="24"/>
  <c r="CS120" i="24"/>
  <c r="F99" i="22"/>
  <c r="CS66" i="24"/>
  <c r="F100" i="46"/>
  <c r="EI175" i="32"/>
  <c r="EI232" i="32"/>
  <c r="EI200" i="32"/>
  <c r="F61" i="22"/>
  <c r="F177" i="59"/>
  <c r="CQ31" i="24"/>
  <c r="EG150" i="32"/>
  <c r="F22" i="37"/>
  <c r="F168" i="59"/>
  <c r="CR5" i="24"/>
  <c r="EI120" i="32"/>
  <c r="F22" i="58"/>
  <c r="F6" i="58"/>
  <c r="E170" i="59"/>
  <c r="EG160" i="32"/>
  <c r="CQ107" i="24"/>
  <c r="F86" i="20"/>
  <c r="EG218" i="32"/>
  <c r="CQ78" i="24"/>
  <c r="F70" i="44"/>
  <c r="F80" i="44"/>
  <c r="EG212" i="32"/>
  <c r="CQ65" i="24"/>
  <c r="F111" i="20"/>
  <c r="F89" i="20"/>
  <c r="F79" i="44"/>
  <c r="F98" i="20"/>
  <c r="CQ116" i="24"/>
  <c r="CQ101" i="24"/>
  <c r="CQ69" i="24"/>
  <c r="CQ111" i="24"/>
  <c r="CQ79" i="24"/>
  <c r="F105" i="44"/>
  <c r="F73" i="44"/>
  <c r="F66" i="20"/>
  <c r="EH224" i="32"/>
  <c r="EH234" i="32"/>
  <c r="F95" i="37"/>
  <c r="F85" i="45"/>
  <c r="CR62" i="24"/>
  <c r="F53" i="37"/>
  <c r="F112" i="45"/>
  <c r="F80" i="37"/>
  <c r="EH164" i="32"/>
  <c r="CR121" i="24"/>
  <c r="F90" i="45"/>
  <c r="EH165" i="32"/>
  <c r="F115" i="37"/>
  <c r="EH190" i="32"/>
  <c r="F51" i="45"/>
  <c r="EH225" i="32"/>
  <c r="F108" i="37"/>
  <c r="CR85" i="24"/>
  <c r="EH183" i="32"/>
  <c r="F54" i="37"/>
  <c r="EI234" i="32"/>
  <c r="F95" i="46"/>
  <c r="F63" i="22"/>
  <c r="EI235" i="32"/>
  <c r="EI203" i="32"/>
  <c r="F64" i="22"/>
  <c r="CS89" i="24"/>
  <c r="F123" i="46"/>
  <c r="F121" i="46"/>
  <c r="F99" i="46"/>
  <c r="F91" i="46"/>
  <c r="F67" i="22"/>
  <c r="F59" i="22"/>
  <c r="CS99" i="24"/>
  <c r="F68" i="46"/>
  <c r="CS124" i="24"/>
  <c r="CS92" i="24"/>
  <c r="EI168" i="32"/>
  <c r="F169" i="59"/>
  <c r="F32" i="20"/>
  <c r="F169" i="57"/>
  <c r="CQ42" i="24"/>
  <c r="EH129" i="32"/>
  <c r="F170" i="59"/>
  <c r="EH119" i="32"/>
  <c r="F6" i="45"/>
  <c r="CS12" i="24"/>
  <c r="F9" i="37"/>
  <c r="F118" i="20"/>
  <c r="F54" i="20"/>
  <c r="CQ110" i="24"/>
  <c r="CQ88" i="24"/>
  <c r="EG186" i="32"/>
  <c r="EG205" i="32"/>
  <c r="EG224" i="32"/>
  <c r="F102" i="20"/>
  <c r="F70" i="20"/>
  <c r="F112" i="20"/>
  <c r="F80" i="20"/>
  <c r="F105" i="20"/>
  <c r="F73" i="20"/>
  <c r="EG173" i="32"/>
  <c r="CS126" i="24"/>
  <c r="EI202" i="32"/>
  <c r="F63" i="46"/>
  <c r="F96" i="46"/>
  <c r="EI171" i="32"/>
  <c r="EI212" i="32"/>
  <c r="CS57" i="24"/>
  <c r="F121" i="22"/>
  <c r="EI206" i="32"/>
  <c r="F67" i="46"/>
  <c r="F100" i="22"/>
  <c r="CS67" i="24"/>
  <c r="F125" i="46"/>
  <c r="F93" i="46"/>
  <c r="CS60" i="24"/>
  <c r="F167" i="59"/>
  <c r="F32" i="44"/>
  <c r="F43" i="20"/>
  <c r="F13" i="46"/>
  <c r="F104" i="46"/>
  <c r="F104" i="59"/>
  <c r="EI178" i="32"/>
  <c r="CS104" i="24"/>
  <c r="CS72" i="24"/>
  <c r="F122" i="22"/>
  <c r="F90" i="22"/>
  <c r="F58" i="22"/>
  <c r="CS116" i="24"/>
  <c r="CS64" i="24"/>
  <c r="CS52" i="24"/>
  <c r="F115" i="22"/>
  <c r="F83" i="22"/>
  <c r="F51" i="22"/>
  <c r="EI223" i="32"/>
  <c r="EI191" i="32"/>
  <c r="EI159" i="32"/>
  <c r="CS84" i="24"/>
  <c r="F173" i="59"/>
  <c r="EI210" i="32"/>
  <c r="F71" i="46"/>
  <c r="F105" i="46"/>
  <c r="F73" i="46"/>
  <c r="F122" i="46"/>
  <c r="F90" i="46"/>
  <c r="F58" i="46"/>
  <c r="F117" i="46"/>
  <c r="F65" i="46"/>
  <c r="F53" i="46"/>
  <c r="F115" i="46"/>
  <c r="F107" i="46"/>
  <c r="F83" i="46"/>
  <c r="F51" i="46"/>
  <c r="F116" i="46"/>
  <c r="F84" i="46"/>
  <c r="F52" i="46"/>
  <c r="F85" i="46"/>
  <c r="F175" i="59"/>
  <c r="F120" i="22"/>
  <c r="F120" i="59"/>
  <c r="F88" i="22"/>
  <c r="F88" i="59"/>
  <c r="F174" i="59" s="1"/>
  <c r="F56" i="22"/>
  <c r="F56" i="59"/>
  <c r="F171" i="59" s="1"/>
  <c r="F72" i="46"/>
  <c r="F72" i="59"/>
  <c r="F172" i="59" s="1"/>
  <c r="F103" i="46"/>
  <c r="CS103" i="24"/>
  <c r="F105" i="22"/>
  <c r="F73" i="22"/>
  <c r="EI229" i="32"/>
  <c r="EI197" i="32"/>
  <c r="EI165" i="32"/>
  <c r="F117" i="22"/>
  <c r="F65" i="22"/>
  <c r="F53" i="22"/>
  <c r="EI222" i="32"/>
  <c r="EI190" i="32"/>
  <c r="EI158" i="32"/>
  <c r="CS115" i="24"/>
  <c r="CS83" i="24"/>
  <c r="CS51" i="24"/>
  <c r="F85" i="22"/>
  <c r="CS112" i="24"/>
  <c r="F113" i="59"/>
  <c r="F65" i="58"/>
  <c r="F98" i="58"/>
  <c r="F121" i="58"/>
  <c r="F67" i="58"/>
  <c r="F35" i="58"/>
  <c r="F124" i="58"/>
  <c r="F92" i="58"/>
  <c r="F119" i="37"/>
  <c r="F119" i="58"/>
  <c r="CR116" i="24"/>
  <c r="CR118" i="24"/>
  <c r="F87" i="45"/>
  <c r="F55" i="45"/>
  <c r="EH179" i="32"/>
  <c r="F65" i="37"/>
  <c r="F98" i="37"/>
  <c r="EH228" i="32"/>
  <c r="F67" i="37"/>
  <c r="EH231" i="32"/>
  <c r="EH199" i="32"/>
  <c r="F57" i="58"/>
  <c r="F122" i="58"/>
  <c r="F90" i="58"/>
  <c r="F58" i="58"/>
  <c r="F123" i="58"/>
  <c r="F91" i="58"/>
  <c r="F59" i="58"/>
  <c r="F27" i="58"/>
  <c r="F126" i="58"/>
  <c r="F94" i="58"/>
  <c r="F84" i="58"/>
  <c r="F62" i="58"/>
  <c r="F18" i="58"/>
  <c r="F10" i="58"/>
  <c r="F111" i="58"/>
  <c r="F128" i="58"/>
  <c r="F96" i="58"/>
  <c r="F64" i="58"/>
  <c r="F48" i="58"/>
  <c r="F101" i="58"/>
  <c r="F89" i="58"/>
  <c r="F79" i="58"/>
  <c r="F69" i="58"/>
  <c r="F45" i="58"/>
  <c r="F29" i="58"/>
  <c r="F15" i="58"/>
  <c r="F7" i="58"/>
  <c r="F66" i="58"/>
  <c r="F99" i="58"/>
  <c r="F60" i="58"/>
  <c r="F104" i="58"/>
  <c r="F109" i="58"/>
  <c r="F77" i="58"/>
  <c r="F25" i="58"/>
  <c r="EH216" i="32"/>
  <c r="EH184" i="32"/>
  <c r="F104" i="37"/>
  <c r="CR64" i="24"/>
  <c r="EH205" i="32"/>
  <c r="EH173" i="32"/>
  <c r="CR120" i="24"/>
  <c r="CR98" i="24"/>
  <c r="CR66" i="24"/>
  <c r="F124" i="37"/>
  <c r="F92" i="37"/>
  <c r="F60" i="37"/>
  <c r="F113" i="58"/>
  <c r="F81" i="58"/>
  <c r="F114" i="58"/>
  <c r="F82" i="58"/>
  <c r="F50" i="58"/>
  <c r="F42" i="58"/>
  <c r="F34" i="58"/>
  <c r="F26" i="58"/>
  <c r="F115" i="58"/>
  <c r="F83" i="58"/>
  <c r="F51" i="58"/>
  <c r="F41" i="58"/>
  <c r="F19" i="58"/>
  <c r="F11" i="58"/>
  <c r="F3" i="58"/>
  <c r="F118" i="58"/>
  <c r="F108" i="58"/>
  <c r="F86" i="58"/>
  <c r="F76" i="58"/>
  <c r="F54" i="58"/>
  <c r="F102" i="58"/>
  <c r="F70" i="58"/>
  <c r="F47" i="58"/>
  <c r="F120" i="58"/>
  <c r="F88" i="58"/>
  <c r="F56" i="58"/>
  <c r="F40" i="58"/>
  <c r="F103" i="58"/>
  <c r="F93" i="58"/>
  <c r="F71" i="58"/>
  <c r="F61" i="58"/>
  <c r="F39" i="58"/>
  <c r="F31" i="58"/>
  <c r="F117" i="58"/>
  <c r="F72" i="58"/>
  <c r="F16" i="58"/>
  <c r="F87" i="58"/>
  <c r="F55" i="58"/>
  <c r="F117" i="37"/>
  <c r="F109" i="37"/>
  <c r="F87" i="37"/>
  <c r="F77" i="37"/>
  <c r="EH162" i="32"/>
  <c r="F104" i="45"/>
  <c r="F72" i="45"/>
  <c r="F65" i="45"/>
  <c r="F98" i="45"/>
  <c r="F66" i="45"/>
  <c r="F121" i="45"/>
  <c r="F99" i="45"/>
  <c r="F67" i="45"/>
  <c r="F124" i="45"/>
  <c r="F92" i="45"/>
  <c r="F60" i="45"/>
  <c r="F105" i="58"/>
  <c r="F73" i="58"/>
  <c r="F106" i="58"/>
  <c r="F74" i="58"/>
  <c r="F107" i="58"/>
  <c r="F97" i="58"/>
  <c r="F75" i="58"/>
  <c r="F43" i="58"/>
  <c r="F21" i="58"/>
  <c r="F13" i="58"/>
  <c r="F5" i="58"/>
  <c r="F110" i="58"/>
  <c r="F100" i="58"/>
  <c r="F78" i="58"/>
  <c r="F68" i="58"/>
  <c r="F46" i="58"/>
  <c r="F30" i="58"/>
  <c r="F125" i="58"/>
  <c r="F116" i="58"/>
  <c r="F52" i="45"/>
  <c r="F52" i="58"/>
  <c r="F127" i="58"/>
  <c r="F112" i="58"/>
  <c r="F80" i="58"/>
  <c r="F32" i="58"/>
  <c r="F8" i="58"/>
  <c r="F95" i="58"/>
  <c r="F85" i="58"/>
  <c r="F63" i="58"/>
  <c r="F53" i="58"/>
  <c r="F107" i="20"/>
  <c r="EG192" i="32"/>
  <c r="F75" i="44"/>
  <c r="F53" i="44"/>
  <c r="EG225" i="32"/>
  <c r="F108" i="20"/>
  <c r="EG193" i="32"/>
  <c r="CQ75" i="24"/>
  <c r="EG161" i="32"/>
  <c r="CQ118" i="24"/>
  <c r="EG204" i="32"/>
  <c r="CQ86" i="24"/>
  <c r="CQ54" i="24"/>
  <c r="CQ119" i="24"/>
  <c r="CQ87" i="24"/>
  <c r="F57" i="20"/>
  <c r="F65" i="20"/>
  <c r="F56" i="44"/>
  <c r="F114" i="44"/>
  <c r="F82" i="44"/>
  <c r="F167" i="57"/>
  <c r="F99" i="44"/>
  <c r="F99" i="57"/>
  <c r="F110" i="44"/>
  <c r="F110" i="57"/>
  <c r="EG207" i="32"/>
  <c r="F100" i="57"/>
  <c r="EG185" i="32"/>
  <c r="F78" i="57"/>
  <c r="CQ106" i="24"/>
  <c r="F85" i="44"/>
  <c r="EG182" i="32"/>
  <c r="F53" i="20"/>
  <c r="F118" i="44"/>
  <c r="EG215" i="32"/>
  <c r="F86" i="44"/>
  <c r="F76" i="20"/>
  <c r="F54" i="44"/>
  <c r="F119" i="44"/>
  <c r="F97" i="44"/>
  <c r="F173" i="44" s="1"/>
  <c r="F87" i="44"/>
  <c r="F55" i="44"/>
  <c r="F120" i="20"/>
  <c r="F88" i="20"/>
  <c r="CQ56" i="24"/>
  <c r="CQ64" i="24"/>
  <c r="CQ55" i="24"/>
  <c r="CQ113" i="24"/>
  <c r="CQ81" i="24"/>
  <c r="F125" i="44"/>
  <c r="F125" i="57"/>
  <c r="F176" i="57" s="1"/>
  <c r="F107" i="44"/>
  <c r="F85" i="20"/>
  <c r="F75" i="20"/>
  <c r="CQ52" i="24"/>
  <c r="CQ117" i="24"/>
  <c r="F108" i="44"/>
  <c r="CQ85" i="24"/>
  <c r="EG183" i="32"/>
  <c r="CQ53" i="24"/>
  <c r="EG226" i="32"/>
  <c r="F97" i="20"/>
  <c r="EG194" i="32"/>
  <c r="EG162" i="32"/>
  <c r="EG227" i="32"/>
  <c r="EG195" i="32"/>
  <c r="EG164" i="32"/>
  <c r="EG172" i="32"/>
  <c r="F56" i="20"/>
  <c r="F114" i="20"/>
  <c r="F82" i="20"/>
  <c r="F171" i="57"/>
  <c r="F115" i="44"/>
  <c r="F115" i="57"/>
  <c r="F175" i="57" s="1"/>
  <c r="F83" i="44"/>
  <c r="F83" i="57"/>
  <c r="EG201" i="32"/>
  <c r="F94" i="57"/>
  <c r="F173" i="57" s="1"/>
  <c r="EG191" i="32"/>
  <c r="F84" i="57"/>
  <c r="F62" i="20"/>
  <c r="F62" i="57"/>
  <c r="F170" i="57" s="1"/>
  <c r="F166" i="57"/>
  <c r="E38" i="18"/>
  <c r="EG233" i="32"/>
  <c r="F110" i="20"/>
  <c r="F100" i="44"/>
  <c r="CQ83" i="24"/>
  <c r="F84" i="44"/>
  <c r="CQ61" i="24"/>
  <c r="F62" i="44"/>
  <c r="CQ124" i="24"/>
  <c r="F116" i="37"/>
  <c r="EH159" i="32"/>
  <c r="EH226" i="32"/>
  <c r="F119" i="45"/>
  <c r="F120" i="46"/>
  <c r="F104" i="22"/>
  <c r="CS87" i="24"/>
  <c r="F88" i="46"/>
  <c r="F72" i="22"/>
  <c r="CS55" i="24"/>
  <c r="F56" i="46"/>
  <c r="F113" i="22"/>
  <c r="F126" i="44"/>
  <c r="EG217" i="32"/>
  <c r="F100" i="20"/>
  <c r="F94" i="20"/>
  <c r="F84" i="20"/>
  <c r="F78" i="20"/>
  <c r="CQ67" i="24"/>
  <c r="F68" i="44"/>
  <c r="F125" i="20"/>
  <c r="EG232" i="32"/>
  <c r="F116" i="45"/>
  <c r="F52" i="37"/>
  <c r="CS119" i="24"/>
  <c r="EI211" i="32"/>
  <c r="EI179" i="32"/>
  <c r="EI220" i="32"/>
  <c r="CQ125" i="24"/>
  <c r="F68" i="20"/>
  <c r="CR115" i="24"/>
  <c r="CS71" i="24"/>
  <c r="E176" i="44"/>
  <c r="E176" i="46"/>
  <c r="E172" i="46"/>
  <c r="E168" i="46"/>
  <c r="E168" i="45"/>
  <c r="D35" i="18"/>
  <c r="D13" i="18" s="1"/>
  <c r="C38" i="18"/>
  <c r="F34" i="45"/>
  <c r="CR33" i="24"/>
  <c r="EH141" i="32"/>
  <c r="F34" i="37"/>
  <c r="F18" i="44"/>
  <c r="CQ17" i="24"/>
  <c r="EG125" i="32"/>
  <c r="F18" i="20"/>
  <c r="F4" i="46"/>
  <c r="CS3" i="24"/>
  <c r="EI111" i="32"/>
  <c r="F4" i="22"/>
  <c r="F43" i="45"/>
  <c r="CR42" i="24"/>
  <c r="EH150" i="32"/>
  <c r="F43" i="37"/>
  <c r="F33" i="44"/>
  <c r="CQ32" i="24"/>
  <c r="EG140" i="32"/>
  <c r="F33" i="20"/>
  <c r="F21" i="45"/>
  <c r="F21" i="37"/>
  <c r="CR20" i="24"/>
  <c r="EH128" i="32"/>
  <c r="F5" i="45"/>
  <c r="F5" i="37"/>
  <c r="CR4" i="24"/>
  <c r="EH112" i="32"/>
  <c r="F42" i="44"/>
  <c r="CQ41" i="24"/>
  <c r="EG149" i="32"/>
  <c r="F42" i="20"/>
  <c r="F28" i="44"/>
  <c r="F28" i="20"/>
  <c r="CQ27" i="24"/>
  <c r="EG135" i="32"/>
  <c r="F14" i="44"/>
  <c r="CQ13" i="24"/>
  <c r="EG121" i="32"/>
  <c r="F14" i="20"/>
  <c r="E172" i="44"/>
  <c r="F40" i="46"/>
  <c r="CS39" i="24"/>
  <c r="EI147" i="32"/>
  <c r="F40" i="22"/>
  <c r="F20" i="44"/>
  <c r="F20" i="20"/>
  <c r="CQ19" i="24"/>
  <c r="EG127" i="32"/>
  <c r="F6" i="44"/>
  <c r="CQ5" i="24"/>
  <c r="EG113" i="32"/>
  <c r="F6" i="20"/>
  <c r="E175" i="45"/>
  <c r="F48" i="45"/>
  <c r="F48" i="37"/>
  <c r="CR47" i="24"/>
  <c r="EH155" i="32"/>
  <c r="F38" i="44"/>
  <c r="CQ37" i="24"/>
  <c r="EG145" i="32"/>
  <c r="F38" i="20"/>
  <c r="F26" i="46"/>
  <c r="F26" i="22"/>
  <c r="CS25" i="24"/>
  <c r="EI133" i="32"/>
  <c r="F14" i="46"/>
  <c r="F14" i="22"/>
  <c r="CS13" i="24"/>
  <c r="EI121" i="32"/>
  <c r="E173" i="45"/>
  <c r="F33" i="46"/>
  <c r="F33" i="22"/>
  <c r="CS32" i="24"/>
  <c r="EI140" i="32"/>
  <c r="F15" i="45"/>
  <c r="CR14" i="24"/>
  <c r="EH122" i="32"/>
  <c r="F15" i="37"/>
  <c r="F3" i="46"/>
  <c r="F3" i="22"/>
  <c r="CS2" i="24"/>
  <c r="EI110" i="32"/>
  <c r="F50" i="45"/>
  <c r="CR49" i="24"/>
  <c r="EH157" i="32"/>
  <c r="F50" i="37"/>
  <c r="M6" i="45"/>
  <c r="K6" i="37"/>
  <c r="F115" i="20"/>
  <c r="EH232" i="32"/>
  <c r="CR124" i="24"/>
  <c r="F119" i="22"/>
  <c r="CS102" i="24"/>
  <c r="CS70" i="24"/>
  <c r="D37" i="18"/>
  <c r="E175" i="44"/>
  <c r="E175" i="46"/>
  <c r="E171" i="44"/>
  <c r="E171" i="46"/>
  <c r="F44" i="46"/>
  <c r="CS43" i="24"/>
  <c r="EI151" i="32"/>
  <c r="F44" i="22"/>
  <c r="F28" i="46"/>
  <c r="CS27" i="24"/>
  <c r="EI135" i="32"/>
  <c r="F28" i="22"/>
  <c r="F16" i="44"/>
  <c r="F16" i="20"/>
  <c r="CQ15" i="24"/>
  <c r="EG123" i="32"/>
  <c r="D38" i="18"/>
  <c r="E176" i="45"/>
  <c r="E172" i="45"/>
  <c r="F41" i="45"/>
  <c r="F41" i="37"/>
  <c r="CR40" i="24"/>
  <c r="EH148" i="32"/>
  <c r="F29" i="46"/>
  <c r="CS28" i="24"/>
  <c r="EI136" i="32"/>
  <c r="F29" i="22"/>
  <c r="F19" i="45"/>
  <c r="CR18" i="24"/>
  <c r="EH126" i="32"/>
  <c r="F19" i="37"/>
  <c r="F3" i="45"/>
  <c r="CR2" i="24"/>
  <c r="EH110" i="32"/>
  <c r="F3" i="37"/>
  <c r="F38" i="46"/>
  <c r="F38" i="22"/>
  <c r="CS37" i="24"/>
  <c r="EI145" i="32"/>
  <c r="F26" i="44"/>
  <c r="CQ25" i="24"/>
  <c r="EG133" i="32"/>
  <c r="F26" i="20"/>
  <c r="F10" i="45"/>
  <c r="CR9" i="24"/>
  <c r="EH117" i="32"/>
  <c r="F10" i="37"/>
  <c r="F21" i="46"/>
  <c r="F21" i="22"/>
  <c r="CS20" i="24"/>
  <c r="EI128" i="32"/>
  <c r="E166" i="44"/>
  <c r="F32" i="46"/>
  <c r="CS31" i="24"/>
  <c r="EI139" i="32"/>
  <c r="F32" i="22"/>
  <c r="F16" i="46"/>
  <c r="CS15" i="24"/>
  <c r="EI123" i="32"/>
  <c r="F16" i="22"/>
  <c r="F4" i="44"/>
  <c r="F4" i="20"/>
  <c r="CQ3" i="24"/>
  <c r="EG111" i="32"/>
  <c r="F41" i="46"/>
  <c r="CS40" i="24"/>
  <c r="EI148" i="32"/>
  <c r="F41" i="22"/>
  <c r="F46" i="46"/>
  <c r="F46" i="22"/>
  <c r="CS45" i="24"/>
  <c r="EI153" i="32"/>
  <c r="F34" i="46"/>
  <c r="F34" i="22"/>
  <c r="CS33" i="24"/>
  <c r="EI141" i="32"/>
  <c r="F22" i="46"/>
  <c r="F22" i="22"/>
  <c r="CS21" i="24"/>
  <c r="EI129" i="32"/>
  <c r="F10" i="46"/>
  <c r="F10" i="22"/>
  <c r="CS9" i="24"/>
  <c r="EI117" i="32"/>
  <c r="F49" i="46"/>
  <c r="F49" i="22"/>
  <c r="EI156" i="32"/>
  <c r="CS48" i="24"/>
  <c r="F31" i="45"/>
  <c r="CR30" i="24"/>
  <c r="EH138" i="32"/>
  <c r="F31" i="37"/>
  <c r="F13" i="44"/>
  <c r="CQ12" i="24"/>
  <c r="EG120" i="32"/>
  <c r="F13" i="20"/>
  <c r="EG222" i="32"/>
  <c r="CQ114" i="24"/>
  <c r="F125" i="45"/>
  <c r="F119" i="46"/>
  <c r="F103" i="22"/>
  <c r="EI194" i="32"/>
  <c r="F87" i="46"/>
  <c r="F71" i="22"/>
  <c r="EI162" i="32"/>
  <c r="F55" i="46"/>
  <c r="E169" i="44"/>
  <c r="E169" i="46"/>
  <c r="E167" i="44"/>
  <c r="E167" i="46"/>
  <c r="F42" i="45"/>
  <c r="CR41" i="24"/>
  <c r="EH149" i="32"/>
  <c r="F42" i="37"/>
  <c r="F26" i="45"/>
  <c r="CR25" i="24"/>
  <c r="EH133" i="32"/>
  <c r="F26" i="37"/>
  <c r="F12" i="46"/>
  <c r="CS11" i="24"/>
  <c r="EI119" i="32"/>
  <c r="F12" i="22"/>
  <c r="E37" i="18"/>
  <c r="E35" i="18" s="1"/>
  <c r="E39" i="18"/>
  <c r="F49" i="44"/>
  <c r="CQ48" i="24"/>
  <c r="EG156" i="32"/>
  <c r="F49" i="20"/>
  <c r="F37" i="46"/>
  <c r="F37" i="22"/>
  <c r="CS36" i="24"/>
  <c r="EI144" i="32"/>
  <c r="F27" i="45"/>
  <c r="CR26" i="24"/>
  <c r="EH134" i="32"/>
  <c r="F27" i="37"/>
  <c r="F13" i="45"/>
  <c r="F13" i="37"/>
  <c r="CR12" i="24"/>
  <c r="EH120" i="32"/>
  <c r="F50" i="44"/>
  <c r="CQ49" i="24"/>
  <c r="EG157" i="32"/>
  <c r="F50" i="20"/>
  <c r="F34" i="44"/>
  <c r="CQ33" i="24"/>
  <c r="EG141" i="32"/>
  <c r="F34" i="20"/>
  <c r="F22" i="44"/>
  <c r="CQ21" i="24"/>
  <c r="EG129" i="32"/>
  <c r="F22" i="20"/>
  <c r="F6" i="46"/>
  <c r="F6" i="22"/>
  <c r="CS5" i="24"/>
  <c r="EI113" i="32"/>
  <c r="C35" i="18"/>
  <c r="C13" i="18" s="1"/>
  <c r="E174" i="44"/>
  <c r="E174" i="46"/>
  <c r="E170" i="44"/>
  <c r="F7" i="46"/>
  <c r="CS6" i="24"/>
  <c r="EI114" i="32"/>
  <c r="F7" i="22"/>
  <c r="F48" i="46"/>
  <c r="CS47" i="24"/>
  <c r="EI155" i="32"/>
  <c r="F48" i="22"/>
  <c r="F30" i="44"/>
  <c r="CQ29" i="24"/>
  <c r="EG137" i="32"/>
  <c r="F30" i="20"/>
  <c r="F12" i="44"/>
  <c r="F12" i="20"/>
  <c r="CQ11" i="24"/>
  <c r="EG119" i="32"/>
  <c r="F21" i="44"/>
  <c r="CQ20" i="24"/>
  <c r="EG128" i="32"/>
  <c r="F21" i="20"/>
  <c r="F128" i="45"/>
  <c r="F128" i="37"/>
  <c r="F42" i="46"/>
  <c r="F42" i="22"/>
  <c r="CS41" i="24"/>
  <c r="EI149" i="32"/>
  <c r="F32" i="45"/>
  <c r="F32" i="37"/>
  <c r="CR31" i="24"/>
  <c r="EH139" i="32"/>
  <c r="F18" i="46"/>
  <c r="F18" i="22"/>
  <c r="CS17" i="24"/>
  <c r="EI125" i="32"/>
  <c r="F8" i="45"/>
  <c r="CR7" i="24"/>
  <c r="EH115" i="32"/>
  <c r="F8" i="37"/>
  <c r="E171" i="45"/>
  <c r="F45" i="45"/>
  <c r="F45" i="37"/>
  <c r="CR44" i="24"/>
  <c r="EH152" i="32"/>
  <c r="E169" i="45"/>
  <c r="F29" i="45"/>
  <c r="F29" i="37"/>
  <c r="CR28" i="24"/>
  <c r="EH136" i="32"/>
  <c r="F7" i="45"/>
  <c r="CR6" i="24"/>
  <c r="EH114" i="32"/>
  <c r="F7" i="37"/>
  <c r="EI226" i="32"/>
  <c r="CS86" i="24"/>
  <c r="CS54" i="24"/>
  <c r="E177" i="46"/>
  <c r="E173" i="44"/>
  <c r="E173" i="46"/>
  <c r="F128" i="44"/>
  <c r="F128" i="20"/>
  <c r="F36" i="46"/>
  <c r="CS35" i="24"/>
  <c r="EI143" i="32"/>
  <c r="F36" i="22"/>
  <c r="F20" i="46"/>
  <c r="CS19" i="24"/>
  <c r="EI127" i="32"/>
  <c r="F20" i="22"/>
  <c r="F10" i="44"/>
  <c r="CQ9" i="24"/>
  <c r="EG117" i="32"/>
  <c r="F10" i="20"/>
  <c r="E174" i="45"/>
  <c r="E170" i="45"/>
  <c r="F45" i="46"/>
  <c r="CS44" i="24"/>
  <c r="EI152" i="32"/>
  <c r="F45" i="22"/>
  <c r="F35" i="45"/>
  <c r="CR34" i="24"/>
  <c r="EH142" i="32"/>
  <c r="F35" i="37"/>
  <c r="F25" i="46"/>
  <c r="CS24" i="24"/>
  <c r="EI132" i="32"/>
  <c r="F25" i="22"/>
  <c r="F11" i="45"/>
  <c r="CR10" i="24"/>
  <c r="EH118" i="32"/>
  <c r="F11" i="37"/>
  <c r="E166" i="45"/>
  <c r="F46" i="45"/>
  <c r="CR45" i="24"/>
  <c r="EH153" i="32"/>
  <c r="F46" i="37"/>
  <c r="F30" i="45"/>
  <c r="CR29" i="24"/>
  <c r="EH137" i="32"/>
  <c r="F30" i="37"/>
  <c r="F18" i="45"/>
  <c r="CR17" i="24"/>
  <c r="EH125" i="32"/>
  <c r="F18" i="37"/>
  <c r="C37" i="18"/>
  <c r="B38" i="18"/>
  <c r="E170" i="46"/>
  <c r="E168" i="44"/>
  <c r="F128" i="46"/>
  <c r="F128" i="22"/>
  <c r="F46" i="44"/>
  <c r="CQ45" i="24"/>
  <c r="EG153" i="32"/>
  <c r="F46" i="20"/>
  <c r="F24" i="46"/>
  <c r="CS23" i="24"/>
  <c r="EI131" i="32"/>
  <c r="F24" i="22"/>
  <c r="F8" i="46"/>
  <c r="CS7" i="24"/>
  <c r="EI115" i="32"/>
  <c r="F8" i="22"/>
  <c r="F47" i="45"/>
  <c r="CR46" i="24"/>
  <c r="EH154" i="32"/>
  <c r="F47" i="37"/>
  <c r="F50" i="46"/>
  <c r="F50" i="22"/>
  <c r="CS49" i="24"/>
  <c r="EI157" i="32"/>
  <c r="F40" i="45"/>
  <c r="CR39" i="24"/>
  <c r="EH147" i="32"/>
  <c r="F40" i="37"/>
  <c r="F30" i="46"/>
  <c r="F30" i="22"/>
  <c r="CS29" i="24"/>
  <c r="EI137" i="32"/>
  <c r="F16" i="45"/>
  <c r="F16" i="37"/>
  <c r="CR15" i="24"/>
  <c r="EH123" i="32"/>
  <c r="F39" i="45"/>
  <c r="CR38" i="24"/>
  <c r="EH146" i="32"/>
  <c r="F39" i="37"/>
  <c r="F25" i="45"/>
  <c r="F25" i="37"/>
  <c r="CR24" i="24"/>
  <c r="EH132" i="32"/>
  <c r="E167" i="45"/>
  <c r="F5" i="44"/>
  <c r="CQ4" i="24"/>
  <c r="EG112" i="32"/>
  <c r="F5" i="20"/>
  <c r="BI6" i="24"/>
  <c r="F177" i="46" l="1"/>
  <c r="F170" i="45"/>
  <c r="F173" i="46"/>
  <c r="F175" i="45"/>
  <c r="F174" i="45"/>
  <c r="F172" i="45"/>
  <c r="F174" i="44"/>
  <c r="F171" i="45"/>
  <c r="F173" i="45"/>
  <c r="F176" i="59"/>
  <c r="F172" i="46"/>
  <c r="F175" i="46"/>
  <c r="F172" i="44"/>
  <c r="F175" i="44"/>
  <c r="F171" i="44"/>
  <c r="F176" i="44"/>
  <c r="F171" i="46"/>
  <c r="F176" i="46"/>
  <c r="F172" i="57"/>
  <c r="F170" i="44"/>
  <c r="F174" i="57"/>
  <c r="F171" i="58"/>
  <c r="F174" i="46"/>
  <c r="F173" i="58"/>
  <c r="F166" i="58"/>
  <c r="F170" i="58"/>
  <c r="F175" i="58"/>
  <c r="F176" i="58"/>
  <c r="F172" i="58"/>
  <c r="F169" i="58"/>
  <c r="F174" i="58"/>
  <c r="F167" i="58"/>
  <c r="F168" i="58"/>
  <c r="F169" i="44"/>
  <c r="F166" i="44"/>
  <c r="F176" i="45"/>
  <c r="F168" i="44"/>
  <c r="F169" i="46"/>
  <c r="F168" i="46"/>
  <c r="F170" i="46"/>
  <c r="F167" i="44"/>
  <c r="D32" i="18"/>
  <c r="D33" i="18"/>
  <c r="E32" i="18"/>
  <c r="E33" i="18"/>
  <c r="C32" i="18"/>
  <c r="C33" i="18"/>
  <c r="F169" i="45"/>
  <c r="F167" i="45"/>
  <c r="F166" i="45"/>
  <c r="F167" i="46"/>
  <c r="M7" i="45"/>
  <c r="K7" i="37"/>
  <c r="F168" i="45"/>
  <c r="BI7" i="24"/>
  <c r="M8" i="45" l="1"/>
  <c r="K8" i="37"/>
  <c r="BI8" i="24"/>
  <c r="M9" i="45" l="1"/>
  <c r="K9" i="37"/>
  <c r="BI9" i="24"/>
  <c r="M10" i="45" l="1"/>
  <c r="K10" i="37"/>
  <c r="BI10" i="24"/>
  <c r="M11" i="45" l="1"/>
  <c r="K11" i="37"/>
  <c r="BI11" i="24"/>
  <c r="M12" i="45" l="1"/>
  <c r="K12" i="37"/>
  <c r="BI12" i="24"/>
  <c r="M13" i="45" l="1"/>
  <c r="K13" i="37"/>
  <c r="BI13" i="24"/>
  <c r="M14" i="45" l="1"/>
  <c r="K14" i="37"/>
  <c r="BI14" i="24"/>
  <c r="M15" i="45" l="1"/>
  <c r="K15" i="37"/>
  <c r="BI15" i="24"/>
  <c r="M16" i="45" l="1"/>
  <c r="K16" i="37"/>
  <c r="BI16" i="24"/>
  <c r="M17" i="45" l="1"/>
  <c r="K17" i="37"/>
  <c r="BI17" i="24"/>
  <c r="M18" i="45" l="1"/>
  <c r="K18" i="37"/>
  <c r="BI18" i="24"/>
  <c r="M19" i="45" l="1"/>
  <c r="K19" i="37"/>
  <c r="BI19" i="24"/>
  <c r="M20" i="45" l="1"/>
  <c r="K20" i="37"/>
  <c r="BI20" i="24"/>
  <c r="M21" i="45" l="1"/>
  <c r="K21" i="37"/>
  <c r="BI21" i="24"/>
  <c r="M22" i="45" l="1"/>
  <c r="K22" i="37"/>
  <c r="BI22" i="24"/>
  <c r="M23" i="45" l="1"/>
  <c r="K23" i="37"/>
  <c r="BI23" i="24"/>
  <c r="M24" i="45" l="1"/>
  <c r="K24" i="37"/>
  <c r="BI24" i="24"/>
  <c r="M25" i="45" l="1"/>
  <c r="K25" i="37"/>
  <c r="BI25" i="24"/>
  <c r="M26" i="45" l="1"/>
  <c r="K26" i="37"/>
  <c r="BI26" i="24"/>
  <c r="M27" i="45" l="1"/>
  <c r="K27" i="37"/>
  <c r="BI27" i="24"/>
  <c r="M28" i="45" l="1"/>
  <c r="K28" i="37"/>
  <c r="BI28" i="24"/>
  <c r="M29" i="45" l="1"/>
  <c r="K29" i="37"/>
  <c r="BI29" i="24"/>
  <c r="M30" i="45" l="1"/>
  <c r="K30" i="37"/>
  <c r="BI30" i="24"/>
  <c r="M31" i="45" l="1"/>
  <c r="K31" i="37"/>
  <c r="BI31" i="24"/>
  <c r="M32" i="45" l="1"/>
  <c r="K32" i="37"/>
  <c r="BI32" i="24"/>
  <c r="M33" i="45" l="1"/>
  <c r="K33" i="37"/>
  <c r="BI33" i="24"/>
  <c r="M34" i="45" l="1"/>
  <c r="K34" i="37"/>
  <c r="BI34" i="24"/>
  <c r="M35" i="45" l="1"/>
  <c r="K35" i="37"/>
  <c r="BI35" i="24"/>
  <c r="M36" i="45" l="1"/>
  <c r="K36" i="37"/>
  <c r="BI36" i="24"/>
  <c r="M37" i="45" l="1"/>
  <c r="K37" i="37"/>
  <c r="BI37" i="24"/>
  <c r="M38" i="45" l="1"/>
  <c r="K38" i="37"/>
  <c r="BI38" i="24"/>
  <c r="M39" i="45" l="1"/>
  <c r="K39" i="37"/>
  <c r="BI39" i="24"/>
  <c r="M40" i="45" l="1"/>
  <c r="K40" i="37"/>
  <c r="BI40" i="24"/>
  <c r="M41" i="45" l="1"/>
  <c r="K41" i="37"/>
  <c r="BI41" i="24"/>
  <c r="M42" i="45" l="1"/>
  <c r="K42" i="37"/>
  <c r="BI42" i="24"/>
  <c r="M43" i="45" l="1"/>
  <c r="K43" i="37"/>
  <c r="BI43" i="24"/>
  <c r="M44" i="45" l="1"/>
  <c r="K44" i="37"/>
  <c r="BI44" i="24"/>
  <c r="M45" i="45" l="1"/>
  <c r="K45" i="37"/>
  <c r="BI45" i="24"/>
  <c r="M46" i="45" l="1"/>
  <c r="K46" i="37"/>
  <c r="BI46" i="24"/>
  <c r="M47" i="45" l="1"/>
  <c r="K47" i="37"/>
  <c r="BI47" i="24"/>
  <c r="M48" i="45" l="1"/>
  <c r="K48" i="37"/>
  <c r="BI48" i="24"/>
  <c r="M49" i="45" l="1"/>
  <c r="K49" i="37"/>
  <c r="BI49" i="24"/>
  <c r="M50" i="45" l="1"/>
  <c r="K50" i="37"/>
  <c r="BI50" i="24"/>
  <c r="M51" i="45" l="1"/>
  <c r="K51" i="37"/>
  <c r="BI51" i="24"/>
  <c r="M52" i="45" l="1"/>
  <c r="K52" i="37"/>
  <c r="BI52" i="24"/>
  <c r="M53" i="45" l="1"/>
  <c r="K53" i="37"/>
  <c r="BI53" i="24"/>
  <c r="M54" i="45" l="1"/>
  <c r="K54" i="37"/>
  <c r="BI54" i="24"/>
  <c r="M55" i="45" l="1"/>
  <c r="K55" i="37"/>
  <c r="BI55" i="24"/>
  <c r="M56" i="45" l="1"/>
  <c r="K56" i="37"/>
  <c r="BI56" i="24"/>
  <c r="M57" i="45" l="1"/>
  <c r="K57" i="37"/>
  <c r="BI57" i="24"/>
  <c r="M58" i="45" l="1"/>
  <c r="K58" i="37"/>
  <c r="BI58" i="24"/>
  <c r="M59" i="45" l="1"/>
  <c r="K59" i="37"/>
  <c r="BI59" i="24"/>
  <c r="M60" i="45" l="1"/>
  <c r="K60" i="37"/>
  <c r="BI60" i="24"/>
  <c r="M61" i="45" l="1"/>
  <c r="K61" i="37"/>
  <c r="BI61" i="24"/>
  <c r="M62" i="45" l="1"/>
  <c r="K62" i="37"/>
  <c r="BI62" i="24"/>
  <c r="M63" i="45" l="1"/>
  <c r="K63" i="37"/>
  <c r="BI63" i="24"/>
  <c r="M64" i="45" l="1"/>
  <c r="K64" i="37"/>
  <c r="BI64" i="24"/>
  <c r="M65" i="45" l="1"/>
  <c r="K65" i="37"/>
  <c r="BI65" i="24"/>
  <c r="M66" i="45" l="1"/>
  <c r="K66" i="37"/>
  <c r="BI66" i="24"/>
  <c r="M67" i="45" l="1"/>
  <c r="K67" i="37"/>
  <c r="BI67" i="24"/>
  <c r="M68" i="45" l="1"/>
  <c r="K68" i="37"/>
  <c r="BI68" i="24"/>
  <c r="M69" i="45" l="1"/>
  <c r="K69" i="37"/>
  <c r="BI69" i="24"/>
  <c r="M70" i="45" l="1"/>
  <c r="K70" i="37"/>
  <c r="BI70" i="24"/>
  <c r="M71" i="45" l="1"/>
  <c r="K71" i="37"/>
  <c r="BI71" i="24"/>
  <c r="M72" i="45" l="1"/>
  <c r="K72" i="37"/>
  <c r="BI72" i="24"/>
  <c r="M73" i="45" l="1"/>
  <c r="K73" i="37"/>
  <c r="BI73" i="24"/>
  <c r="M74" i="45" l="1"/>
  <c r="K74" i="37"/>
  <c r="BI74" i="24"/>
  <c r="M75" i="45" l="1"/>
  <c r="K75" i="37"/>
  <c r="BI75" i="24"/>
  <c r="M76" i="45" l="1"/>
  <c r="K76" i="37"/>
  <c r="BI76" i="24"/>
  <c r="M77" i="45" l="1"/>
  <c r="K77" i="37"/>
  <c r="BI77" i="24"/>
  <c r="M78" i="45" l="1"/>
  <c r="K78" i="37"/>
  <c r="BI78" i="24"/>
  <c r="M79" i="45" l="1"/>
  <c r="K79" i="37"/>
  <c r="BI79" i="24"/>
  <c r="M80" i="45" l="1"/>
  <c r="K80" i="37"/>
  <c r="BI80" i="24"/>
  <c r="M81" i="45" l="1"/>
  <c r="K81" i="37"/>
  <c r="BI81" i="24"/>
  <c r="M82" i="45" l="1"/>
  <c r="K82" i="37"/>
  <c r="BI82" i="24"/>
  <c r="M83" i="45" l="1"/>
  <c r="K83" i="37"/>
  <c r="BI83" i="24"/>
  <c r="M84" i="45" l="1"/>
  <c r="K84" i="37"/>
  <c r="BI84" i="24"/>
  <c r="M85" i="45" l="1"/>
  <c r="K85" i="37"/>
  <c r="BI85" i="24"/>
  <c r="M86" i="45" l="1"/>
  <c r="K86" i="37"/>
  <c r="BI86" i="24"/>
  <c r="M87" i="45" l="1"/>
  <c r="K87" i="37"/>
  <c r="BI87" i="24"/>
  <c r="M88" i="45" l="1"/>
  <c r="K88" i="37"/>
  <c r="BI88" i="24"/>
  <c r="M89" i="45" l="1"/>
  <c r="K89" i="37"/>
  <c r="BI89" i="24"/>
  <c r="M90" i="45" l="1"/>
  <c r="K90" i="37"/>
  <c r="BI90" i="24"/>
  <c r="M91" i="45" l="1"/>
  <c r="K91" i="37"/>
  <c r="BI91" i="24"/>
  <c r="M92" i="45" l="1"/>
  <c r="K92" i="37"/>
  <c r="BI92" i="24"/>
  <c r="M93" i="45" l="1"/>
  <c r="K93" i="37"/>
  <c r="BI93" i="24"/>
  <c r="M94" i="45" l="1"/>
  <c r="K94" i="37"/>
  <c r="BI94" i="24"/>
  <c r="M95" i="45" l="1"/>
  <c r="K95" i="37"/>
  <c r="BI95" i="24"/>
  <c r="M96" i="45" l="1"/>
  <c r="K96" i="37"/>
  <c r="BI96" i="24"/>
  <c r="M97" i="45" l="1"/>
  <c r="K97" i="37"/>
  <c r="BI97" i="24"/>
  <c r="M98" i="45" l="1"/>
  <c r="K98" i="37"/>
  <c r="BI98" i="24"/>
  <c r="M99" i="45" l="1"/>
  <c r="K99" i="37"/>
  <c r="BI99" i="24"/>
  <c r="M100" i="45" l="1"/>
  <c r="K100" i="37"/>
  <c r="BI100" i="24"/>
  <c r="M101" i="45" l="1"/>
  <c r="K101" i="37"/>
  <c r="BI101" i="24"/>
  <c r="M102" i="45" l="1"/>
  <c r="K102" i="37"/>
  <c r="BI102" i="24"/>
  <c r="M103" i="45" l="1"/>
  <c r="K103" i="37"/>
  <c r="BI103" i="24"/>
  <c r="M104" i="45" l="1"/>
  <c r="K104" i="37"/>
  <c r="BI104" i="24"/>
  <c r="M105" i="45" l="1"/>
  <c r="K105" i="37"/>
  <c r="BI105" i="24"/>
  <c r="M106" i="45" l="1"/>
  <c r="K106" i="37"/>
  <c r="BI106" i="24"/>
  <c r="M107" i="45" l="1"/>
  <c r="K107" i="37"/>
  <c r="BI107" i="24"/>
  <c r="M108" i="45" l="1"/>
  <c r="K108" i="37"/>
  <c r="BI108" i="24"/>
  <c r="M109" i="45" l="1"/>
  <c r="K109" i="37"/>
  <c r="BI109" i="24"/>
  <c r="M110" i="45" l="1"/>
  <c r="K110" i="37"/>
  <c r="BI110" i="24"/>
  <c r="M111" i="45" l="1"/>
  <c r="K111" i="37"/>
  <c r="BI111" i="24"/>
  <c r="M112" i="45" l="1"/>
  <c r="K112" i="37"/>
  <c r="BI112" i="24"/>
  <c r="M113" i="45" l="1"/>
  <c r="K113" i="37"/>
  <c r="BI113" i="24"/>
  <c r="M114" i="45" l="1"/>
  <c r="K114" i="37"/>
  <c r="BI114" i="24"/>
  <c r="M115" i="45" l="1"/>
  <c r="K115" i="37"/>
  <c r="BI115" i="24"/>
  <c r="M116" i="45" l="1"/>
  <c r="K116" i="37"/>
  <c r="BI116" i="24"/>
  <c r="M117" i="45" l="1"/>
  <c r="K117" i="37"/>
  <c r="BI117" i="24"/>
  <c r="M118" i="45" l="1"/>
  <c r="K118" i="37"/>
  <c r="BI118" i="24"/>
  <c r="M119" i="45" l="1"/>
  <c r="K119" i="37"/>
  <c r="BI119" i="24"/>
  <c r="M120" i="45" l="1"/>
  <c r="K120" i="37"/>
  <c r="BI120" i="24"/>
  <c r="M121" i="45" l="1"/>
  <c r="K121" i="37"/>
  <c r="BI121" i="24"/>
  <c r="M122" i="45" l="1"/>
  <c r="K122" i="37"/>
  <c r="BI122" i="24"/>
  <c r="M123" i="45" l="1"/>
  <c r="K123" i="37"/>
  <c r="BI123" i="24"/>
  <c r="M124" i="45" l="1"/>
  <c r="K124" i="37"/>
  <c r="BI124" i="24"/>
  <c r="M125" i="45" l="1"/>
  <c r="K125" i="37"/>
  <c r="BI125" i="24"/>
  <c r="M126" i="45" l="1"/>
  <c r="K126" i="37"/>
  <c r="BI126" i="24"/>
  <c r="M127" i="45" l="1"/>
  <c r="K127" i="37"/>
  <c r="BI127" i="24"/>
  <c r="BI128" i="24" l="1"/>
  <c r="M128" i="45"/>
  <c r="K128" i="37"/>
  <c r="B126" i="22"/>
  <c r="C126" i="22"/>
  <c r="J126" i="22"/>
  <c r="B127" i="22"/>
  <c r="C127" i="22"/>
  <c r="J127" i="22"/>
  <c r="B19" i="22"/>
  <c r="C19" i="22"/>
  <c r="J19" i="22"/>
  <c r="B20" i="22"/>
  <c r="C20" i="22"/>
  <c r="J20" i="22"/>
  <c r="B21" i="22"/>
  <c r="C21" i="22"/>
  <c r="J21" i="22"/>
  <c r="B22" i="22"/>
  <c r="C22" i="22"/>
  <c r="J22" i="22"/>
  <c r="B23" i="22"/>
  <c r="C23" i="22"/>
  <c r="J23" i="22"/>
  <c r="B24" i="22"/>
  <c r="C24" i="22"/>
  <c r="J24" i="22"/>
  <c r="B25" i="22"/>
  <c r="C25" i="22"/>
  <c r="J25" i="22"/>
  <c r="B26" i="22"/>
  <c r="C26" i="22"/>
  <c r="J26" i="22"/>
  <c r="B27" i="22"/>
  <c r="C27" i="22"/>
  <c r="J27" i="22"/>
  <c r="B28" i="22"/>
  <c r="C28" i="22"/>
  <c r="I28" i="22"/>
  <c r="J28" i="22"/>
  <c r="B29" i="22"/>
  <c r="C29" i="22"/>
  <c r="J29" i="22"/>
  <c r="B30" i="22"/>
  <c r="C30" i="22"/>
  <c r="J30" i="22"/>
  <c r="B31" i="22"/>
  <c r="C31" i="22"/>
  <c r="J31" i="22"/>
  <c r="B32" i="22"/>
  <c r="C32" i="22"/>
  <c r="J32" i="22"/>
  <c r="B33" i="22"/>
  <c r="C33" i="22"/>
  <c r="J33" i="22"/>
  <c r="B34" i="22"/>
  <c r="C34" i="22"/>
  <c r="J34" i="22"/>
  <c r="B35" i="22"/>
  <c r="C35" i="22"/>
  <c r="J35" i="22"/>
  <c r="B36" i="22"/>
  <c r="C36" i="22"/>
  <c r="J36" i="22"/>
  <c r="B37" i="22"/>
  <c r="C37" i="22"/>
  <c r="J37" i="22"/>
  <c r="B38" i="22"/>
  <c r="C38" i="22"/>
  <c r="J38" i="22"/>
  <c r="B39" i="22"/>
  <c r="C39" i="22"/>
  <c r="J39" i="22"/>
  <c r="B40" i="22"/>
  <c r="C40" i="22"/>
  <c r="J40" i="22"/>
  <c r="B41" i="22"/>
  <c r="C41" i="22"/>
  <c r="J41" i="22"/>
  <c r="B42" i="22"/>
  <c r="C42" i="22"/>
  <c r="J42" i="22"/>
  <c r="B43" i="22"/>
  <c r="C43" i="22"/>
  <c r="J43" i="22"/>
  <c r="B44" i="22"/>
  <c r="C44" i="22"/>
  <c r="J44" i="22"/>
  <c r="B45" i="22"/>
  <c r="C45" i="22"/>
  <c r="J45" i="22"/>
  <c r="B46" i="22"/>
  <c r="C46" i="22"/>
  <c r="J46" i="22"/>
  <c r="B47" i="22"/>
  <c r="C47" i="22"/>
  <c r="J47" i="22"/>
  <c r="B48" i="22"/>
  <c r="C48" i="22"/>
  <c r="J48" i="22"/>
  <c r="B49" i="22"/>
  <c r="C49" i="22"/>
  <c r="J49" i="22"/>
  <c r="B50" i="22"/>
  <c r="C50" i="22"/>
  <c r="J50" i="22"/>
  <c r="B51" i="22"/>
  <c r="C51" i="22"/>
  <c r="J51" i="22"/>
  <c r="B52" i="22"/>
  <c r="C52" i="22"/>
  <c r="J52" i="22"/>
  <c r="B53" i="22"/>
  <c r="C53" i="22"/>
  <c r="J53" i="22"/>
  <c r="B54" i="22"/>
  <c r="C54" i="22"/>
  <c r="J54" i="22"/>
  <c r="B55" i="22"/>
  <c r="C55" i="22"/>
  <c r="J55" i="22"/>
  <c r="B56" i="22"/>
  <c r="C56" i="22"/>
  <c r="J56" i="22"/>
  <c r="B57" i="22"/>
  <c r="C57" i="22"/>
  <c r="J57" i="22"/>
  <c r="B58" i="22"/>
  <c r="C58" i="22"/>
  <c r="J58" i="22"/>
  <c r="B59" i="22"/>
  <c r="C59" i="22"/>
  <c r="J59" i="22"/>
  <c r="B60" i="22"/>
  <c r="C60" i="22"/>
  <c r="J60" i="22"/>
  <c r="B61" i="22"/>
  <c r="C61" i="22"/>
  <c r="J61" i="22"/>
  <c r="B62" i="22"/>
  <c r="C62" i="22"/>
  <c r="J62" i="22"/>
  <c r="B63" i="22"/>
  <c r="C63" i="22"/>
  <c r="J63" i="22"/>
  <c r="B64" i="22"/>
  <c r="C64" i="22"/>
  <c r="J64" i="22"/>
  <c r="B65" i="22"/>
  <c r="C65" i="22"/>
  <c r="J65" i="22"/>
  <c r="B66" i="22"/>
  <c r="C66" i="22"/>
  <c r="J66" i="22"/>
  <c r="B67" i="22"/>
  <c r="C67" i="22"/>
  <c r="J67" i="22"/>
  <c r="B68" i="22"/>
  <c r="C68" i="22"/>
  <c r="J68" i="22"/>
  <c r="B69" i="22"/>
  <c r="C69" i="22"/>
  <c r="J69" i="22"/>
  <c r="B70" i="22"/>
  <c r="C70" i="22"/>
  <c r="J70" i="22"/>
  <c r="B71" i="22"/>
  <c r="C71" i="22"/>
  <c r="J71" i="22"/>
  <c r="B72" i="22"/>
  <c r="C72" i="22"/>
  <c r="J72" i="22"/>
  <c r="B73" i="22"/>
  <c r="C73" i="22"/>
  <c r="J73" i="22"/>
  <c r="B74" i="22"/>
  <c r="C74" i="22"/>
  <c r="J74" i="22"/>
  <c r="B75" i="22"/>
  <c r="C75" i="22"/>
  <c r="J75" i="22"/>
  <c r="B76" i="22"/>
  <c r="C76" i="22"/>
  <c r="J76" i="22"/>
  <c r="B77" i="22"/>
  <c r="C77" i="22"/>
  <c r="J77" i="22"/>
  <c r="B78" i="22"/>
  <c r="C78" i="22"/>
  <c r="J78" i="22"/>
  <c r="B79" i="22"/>
  <c r="C79" i="22"/>
  <c r="J79" i="22"/>
  <c r="B80" i="22"/>
  <c r="C80" i="22"/>
  <c r="J80" i="22"/>
  <c r="B81" i="22"/>
  <c r="C81" i="22"/>
  <c r="J81" i="22"/>
  <c r="B82" i="22"/>
  <c r="C82" i="22"/>
  <c r="J82" i="22"/>
  <c r="B83" i="22"/>
  <c r="C83" i="22"/>
  <c r="J83" i="22"/>
  <c r="B84" i="22"/>
  <c r="C84" i="22"/>
  <c r="J84" i="22"/>
  <c r="B85" i="22"/>
  <c r="C85" i="22"/>
  <c r="J85" i="22"/>
  <c r="B86" i="22"/>
  <c r="C86" i="22"/>
  <c r="J86" i="22"/>
  <c r="B87" i="22"/>
  <c r="C87" i="22"/>
  <c r="J87" i="22"/>
  <c r="B88" i="22"/>
  <c r="C88" i="22"/>
  <c r="J88" i="22"/>
  <c r="B89" i="22"/>
  <c r="C89" i="22"/>
  <c r="J89" i="22"/>
  <c r="B90" i="22"/>
  <c r="C90" i="22"/>
  <c r="J90" i="22"/>
  <c r="B91" i="22"/>
  <c r="C91" i="22"/>
  <c r="J91" i="22"/>
  <c r="B92" i="22"/>
  <c r="C92" i="22"/>
  <c r="J92" i="22"/>
  <c r="B93" i="22"/>
  <c r="C93" i="22"/>
  <c r="J93" i="22"/>
  <c r="B94" i="22"/>
  <c r="C94" i="22"/>
  <c r="J94" i="22"/>
  <c r="B95" i="22"/>
  <c r="C95" i="22"/>
  <c r="J95" i="22"/>
  <c r="B96" i="22"/>
  <c r="C96" i="22"/>
  <c r="J96" i="22"/>
  <c r="B97" i="22"/>
  <c r="C97" i="22"/>
  <c r="J97" i="22"/>
  <c r="B98" i="22"/>
  <c r="C98" i="22"/>
  <c r="J98" i="22"/>
  <c r="B99" i="22"/>
  <c r="C99" i="22"/>
  <c r="J99" i="22"/>
  <c r="B100" i="22"/>
  <c r="C100" i="22"/>
  <c r="J100" i="22"/>
  <c r="B101" i="22"/>
  <c r="C101" i="22"/>
  <c r="J101" i="22"/>
  <c r="B102" i="22"/>
  <c r="C102" i="22"/>
  <c r="J102" i="22"/>
  <c r="B103" i="22"/>
  <c r="C103" i="22"/>
  <c r="J103" i="22"/>
  <c r="B104" i="22"/>
  <c r="C104" i="22"/>
  <c r="J104" i="22"/>
  <c r="B105" i="22"/>
  <c r="C105" i="22"/>
  <c r="J105" i="22"/>
  <c r="B106" i="22"/>
  <c r="C106" i="22"/>
  <c r="J106" i="22"/>
  <c r="B107" i="22"/>
  <c r="C107" i="22"/>
  <c r="J107" i="22"/>
  <c r="B108" i="22"/>
  <c r="C108" i="22"/>
  <c r="J108" i="22"/>
  <c r="B109" i="22"/>
  <c r="C109" i="22"/>
  <c r="J109" i="22"/>
  <c r="B110" i="22"/>
  <c r="C110" i="22"/>
  <c r="J110" i="22"/>
  <c r="B111" i="22"/>
  <c r="C111" i="22"/>
  <c r="J111" i="22"/>
  <c r="B112" i="22"/>
  <c r="C112" i="22"/>
  <c r="J112" i="22"/>
  <c r="B113" i="22"/>
  <c r="C113" i="22"/>
  <c r="J113" i="22"/>
  <c r="B114" i="22"/>
  <c r="C114" i="22"/>
  <c r="J114" i="22"/>
  <c r="B115" i="22"/>
  <c r="C115" i="22"/>
  <c r="J115" i="22"/>
  <c r="B116" i="22"/>
  <c r="C116" i="22"/>
  <c r="J116" i="22"/>
  <c r="B117" i="22"/>
  <c r="C117" i="22"/>
  <c r="J117" i="22"/>
  <c r="B118" i="22"/>
  <c r="C118" i="22"/>
  <c r="J118" i="22"/>
  <c r="B119" i="22"/>
  <c r="C119" i="22"/>
  <c r="J119" i="22"/>
  <c r="B120" i="22"/>
  <c r="C120" i="22"/>
  <c r="J120" i="22"/>
  <c r="B121" i="22"/>
  <c r="C121" i="22"/>
  <c r="J121" i="22"/>
  <c r="B122" i="22"/>
  <c r="C122" i="22"/>
  <c r="J122" i="22"/>
  <c r="B123" i="22"/>
  <c r="C123" i="22"/>
  <c r="J123" i="22"/>
  <c r="B124" i="22"/>
  <c r="C124" i="22"/>
  <c r="J124" i="22"/>
  <c r="B125" i="22"/>
  <c r="C125" i="22"/>
  <c r="J125" i="22"/>
  <c r="B4" i="22"/>
  <c r="C4" i="22"/>
  <c r="I4" i="22"/>
  <c r="J4" i="22"/>
  <c r="B5" i="22"/>
  <c r="C5" i="22"/>
  <c r="I5" i="22"/>
  <c r="J5" i="22"/>
  <c r="B6" i="22"/>
  <c r="C6" i="22"/>
  <c r="I6" i="22"/>
  <c r="J6" i="22"/>
  <c r="B7" i="22"/>
  <c r="C7" i="22"/>
  <c r="I7" i="22"/>
  <c r="J7" i="22"/>
  <c r="B8" i="22"/>
  <c r="C8" i="22"/>
  <c r="I8" i="22"/>
  <c r="J8" i="22"/>
  <c r="B9" i="22"/>
  <c r="C9" i="22"/>
  <c r="I9" i="22"/>
  <c r="J9" i="22"/>
  <c r="B10" i="22"/>
  <c r="C10" i="22"/>
  <c r="I10" i="22"/>
  <c r="J10" i="22"/>
  <c r="B11" i="22"/>
  <c r="C11" i="22"/>
  <c r="I11" i="22"/>
  <c r="J11" i="22"/>
  <c r="B12" i="22"/>
  <c r="C12" i="22"/>
  <c r="I12" i="22"/>
  <c r="J12" i="22"/>
  <c r="B13" i="22"/>
  <c r="C13" i="22"/>
  <c r="I13" i="22"/>
  <c r="J13" i="22"/>
  <c r="B14" i="22"/>
  <c r="C14" i="22"/>
  <c r="I14" i="22"/>
  <c r="J14" i="22"/>
  <c r="B15" i="22"/>
  <c r="C15" i="22"/>
  <c r="J15" i="22"/>
  <c r="B16" i="22"/>
  <c r="C16" i="22"/>
  <c r="I16" i="22"/>
  <c r="J16" i="22"/>
  <c r="B17" i="22"/>
  <c r="C17" i="22"/>
  <c r="J17" i="22"/>
  <c r="B18" i="22"/>
  <c r="C18" i="22"/>
  <c r="J18" i="22"/>
  <c r="J3" i="22"/>
  <c r="I3" i="22"/>
  <c r="C3" i="22"/>
  <c r="B3" i="22"/>
  <c r="J40" i="37"/>
  <c r="J41" i="37"/>
  <c r="J42" i="37"/>
  <c r="J43" i="37"/>
  <c r="J44" i="37"/>
  <c r="J45" i="37"/>
  <c r="J46" i="37"/>
  <c r="J47" i="37"/>
  <c r="J48" i="37"/>
  <c r="J49" i="37"/>
  <c r="J50" i="37"/>
  <c r="J51" i="37"/>
  <c r="J52" i="37"/>
  <c r="J53" i="37"/>
  <c r="J54" i="37"/>
  <c r="J55" i="37"/>
  <c r="J56" i="37"/>
  <c r="J57" i="37"/>
  <c r="J58" i="37"/>
  <c r="J59" i="37"/>
  <c r="J60" i="37"/>
  <c r="J61" i="37"/>
  <c r="J62" i="37"/>
  <c r="J63" i="37"/>
  <c r="J64" i="37"/>
  <c r="J65" i="37"/>
  <c r="J66" i="37"/>
  <c r="J67" i="37"/>
  <c r="J68" i="37"/>
  <c r="J69" i="37"/>
  <c r="J70" i="37"/>
  <c r="J71" i="37"/>
  <c r="J72" i="37"/>
  <c r="J73" i="37"/>
  <c r="J74" i="37"/>
  <c r="J75" i="37"/>
  <c r="J76" i="37"/>
  <c r="J77" i="37"/>
  <c r="J78" i="37"/>
  <c r="J79" i="37"/>
  <c r="J80" i="37"/>
  <c r="J81" i="37"/>
  <c r="J82" i="37"/>
  <c r="J83" i="37"/>
  <c r="J84" i="37"/>
  <c r="J85" i="37"/>
  <c r="J86" i="37"/>
  <c r="J87" i="37"/>
  <c r="J88" i="37"/>
  <c r="J89" i="37"/>
  <c r="J90" i="37"/>
  <c r="J91" i="37"/>
  <c r="J92" i="37"/>
  <c r="J93" i="37"/>
  <c r="J94" i="37"/>
  <c r="J95" i="37"/>
  <c r="J96" i="37"/>
  <c r="J97" i="37"/>
  <c r="J98" i="37"/>
  <c r="J99" i="37"/>
  <c r="J100" i="37"/>
  <c r="J101" i="37"/>
  <c r="J102" i="37"/>
  <c r="J103" i="37"/>
  <c r="J104" i="37"/>
  <c r="J105" i="37"/>
  <c r="J106" i="37"/>
  <c r="J107" i="37"/>
  <c r="J108" i="37"/>
  <c r="J109" i="37"/>
  <c r="J110" i="37"/>
  <c r="J111" i="37"/>
  <c r="J112" i="37"/>
  <c r="J113" i="37"/>
  <c r="J114" i="37"/>
  <c r="J115" i="37"/>
  <c r="J116" i="37"/>
  <c r="J117" i="37"/>
  <c r="J118" i="37"/>
  <c r="J119" i="37"/>
  <c r="J120" i="37"/>
  <c r="J121" i="37"/>
  <c r="J122" i="37"/>
  <c r="J123" i="37"/>
  <c r="J124" i="37"/>
  <c r="J125" i="37"/>
  <c r="J126" i="37"/>
  <c r="J127" i="37"/>
  <c r="J4" i="37"/>
  <c r="M4" i="37" s="1"/>
  <c r="J5" i="37"/>
  <c r="M5" i="37" s="1"/>
  <c r="N5" i="37" s="1"/>
  <c r="J6" i="37"/>
  <c r="M6" i="37" s="1"/>
  <c r="J7" i="37"/>
  <c r="M7" i="37" s="1"/>
  <c r="N7" i="37" s="1"/>
  <c r="J8" i="37"/>
  <c r="M8" i="37" s="1"/>
  <c r="N8" i="37" s="1"/>
  <c r="J9" i="37"/>
  <c r="M9" i="37" s="1"/>
  <c r="J10" i="37"/>
  <c r="M10" i="37" s="1"/>
  <c r="J11" i="37"/>
  <c r="M11" i="37" s="1"/>
  <c r="N11" i="37" s="1"/>
  <c r="J12" i="37"/>
  <c r="M12" i="37" s="1"/>
  <c r="N12" i="37" s="1"/>
  <c r="J13" i="37"/>
  <c r="J14" i="37"/>
  <c r="M14" i="37" s="1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33" i="37"/>
  <c r="J34" i="37"/>
  <c r="J35" i="37"/>
  <c r="J36" i="37"/>
  <c r="J37" i="37"/>
  <c r="J38" i="37"/>
  <c r="J39" i="37"/>
  <c r="J3" i="37"/>
  <c r="M3" i="37" s="1"/>
  <c r="N4" i="37"/>
  <c r="B3" i="37"/>
  <c r="C3" i="37"/>
  <c r="B4" i="37"/>
  <c r="C4" i="37"/>
  <c r="B5" i="37"/>
  <c r="C5" i="37"/>
  <c r="B6" i="37"/>
  <c r="C6" i="37"/>
  <c r="B7" i="37"/>
  <c r="C7" i="37"/>
  <c r="B8" i="37"/>
  <c r="C8" i="37"/>
  <c r="B9" i="37"/>
  <c r="C9" i="37"/>
  <c r="B10" i="37"/>
  <c r="C10" i="37"/>
  <c r="B11" i="37"/>
  <c r="C11" i="37"/>
  <c r="B12" i="37"/>
  <c r="C12" i="37"/>
  <c r="B13" i="37"/>
  <c r="C13" i="37"/>
  <c r="B14" i="37"/>
  <c r="C14" i="37"/>
  <c r="B15" i="37"/>
  <c r="C15" i="37"/>
  <c r="B16" i="37"/>
  <c r="C16" i="37"/>
  <c r="B17" i="37"/>
  <c r="C17" i="37"/>
  <c r="B18" i="37"/>
  <c r="C18" i="37"/>
  <c r="B19" i="37"/>
  <c r="C19" i="37"/>
  <c r="B20" i="37"/>
  <c r="C20" i="37"/>
  <c r="B21" i="37"/>
  <c r="C21" i="37"/>
  <c r="B22" i="37"/>
  <c r="C22" i="37"/>
  <c r="B23" i="37"/>
  <c r="C23" i="37"/>
  <c r="B24" i="37"/>
  <c r="C24" i="37"/>
  <c r="B25" i="37"/>
  <c r="C25" i="37"/>
  <c r="C27" i="37"/>
  <c r="C31" i="37"/>
  <c r="C35" i="37"/>
  <c r="C39" i="37"/>
  <c r="C43" i="37"/>
  <c r="C47" i="37"/>
  <c r="C51" i="37"/>
  <c r="C55" i="37"/>
  <c r="C59" i="37"/>
  <c r="C63" i="37"/>
  <c r="C67" i="37"/>
  <c r="B71" i="37"/>
  <c r="C75" i="37"/>
  <c r="C79" i="37"/>
  <c r="C83" i="37"/>
  <c r="C87" i="37"/>
  <c r="C91" i="37"/>
  <c r="C95" i="37"/>
  <c r="C99" i="37"/>
  <c r="C103" i="37"/>
  <c r="C107" i="37"/>
  <c r="C111" i="37"/>
  <c r="C115" i="37"/>
  <c r="C119" i="37"/>
  <c r="C123" i="37"/>
  <c r="C127" i="37"/>
  <c r="C135" i="37"/>
  <c r="C139" i="37"/>
  <c r="C143" i="37"/>
  <c r="C147" i="37"/>
  <c r="C151" i="37"/>
  <c r="C155" i="37"/>
  <c r="C158" i="20"/>
  <c r="B158" i="20"/>
  <c r="C157" i="20"/>
  <c r="B157" i="20"/>
  <c r="C156" i="20"/>
  <c r="B156" i="20"/>
  <c r="C155" i="20"/>
  <c r="B155" i="20"/>
  <c r="C154" i="20"/>
  <c r="B154" i="20"/>
  <c r="C153" i="20"/>
  <c r="B153" i="20"/>
  <c r="C152" i="20"/>
  <c r="B152" i="20"/>
  <c r="C151" i="20"/>
  <c r="B151" i="20"/>
  <c r="C150" i="20"/>
  <c r="B150" i="20"/>
  <c r="C149" i="20"/>
  <c r="B149" i="20"/>
  <c r="C148" i="20"/>
  <c r="B148" i="20"/>
  <c r="C147" i="20"/>
  <c r="B147" i="20"/>
  <c r="C146" i="20"/>
  <c r="B146" i="20"/>
  <c r="C145" i="20"/>
  <c r="B145" i="20"/>
  <c r="C144" i="20"/>
  <c r="B144" i="20"/>
  <c r="C143" i="20"/>
  <c r="B143" i="20"/>
  <c r="C142" i="20"/>
  <c r="B142" i="20"/>
  <c r="C141" i="20"/>
  <c r="B141" i="20"/>
  <c r="C140" i="20"/>
  <c r="B140" i="20"/>
  <c r="C139" i="20"/>
  <c r="B139" i="20"/>
  <c r="C138" i="20"/>
  <c r="B138" i="20"/>
  <c r="C137" i="20"/>
  <c r="B137" i="20"/>
  <c r="C136" i="20"/>
  <c r="B136" i="20"/>
  <c r="C135" i="20"/>
  <c r="B135" i="20"/>
  <c r="C158" i="37"/>
  <c r="B158" i="37"/>
  <c r="C157" i="37"/>
  <c r="B157" i="37"/>
  <c r="C156" i="37"/>
  <c r="B156" i="37"/>
  <c r="C154" i="37"/>
  <c r="B154" i="37"/>
  <c r="C153" i="37"/>
  <c r="B153" i="37"/>
  <c r="C152" i="37"/>
  <c r="B152" i="37"/>
  <c r="C150" i="37"/>
  <c r="B150" i="37"/>
  <c r="C149" i="37"/>
  <c r="B149" i="37"/>
  <c r="C148" i="37"/>
  <c r="B148" i="37"/>
  <c r="C146" i="37"/>
  <c r="B146" i="37"/>
  <c r="C145" i="37"/>
  <c r="B145" i="37"/>
  <c r="C144" i="37"/>
  <c r="B144" i="37"/>
  <c r="C142" i="37"/>
  <c r="B142" i="37"/>
  <c r="C141" i="37"/>
  <c r="B141" i="37"/>
  <c r="C140" i="37"/>
  <c r="B140" i="37"/>
  <c r="C138" i="37"/>
  <c r="B138" i="37"/>
  <c r="C137" i="37"/>
  <c r="B137" i="37"/>
  <c r="C136" i="37"/>
  <c r="B136" i="37"/>
  <c r="C126" i="37"/>
  <c r="B126" i="37"/>
  <c r="C125" i="37"/>
  <c r="B125" i="37"/>
  <c r="C124" i="37"/>
  <c r="B124" i="37"/>
  <c r="C122" i="37"/>
  <c r="B122" i="37"/>
  <c r="C121" i="37"/>
  <c r="B121" i="37"/>
  <c r="C120" i="37"/>
  <c r="B120" i="37"/>
  <c r="C118" i="37"/>
  <c r="B118" i="37"/>
  <c r="C117" i="37"/>
  <c r="B117" i="37"/>
  <c r="C116" i="37"/>
  <c r="B116" i="37"/>
  <c r="C114" i="37"/>
  <c r="B114" i="37"/>
  <c r="C113" i="37"/>
  <c r="B113" i="37"/>
  <c r="C112" i="37"/>
  <c r="B112" i="37"/>
  <c r="C110" i="37"/>
  <c r="B110" i="37"/>
  <c r="C109" i="37"/>
  <c r="B109" i="37"/>
  <c r="C108" i="37"/>
  <c r="B108" i="37"/>
  <c r="C106" i="37"/>
  <c r="B106" i="37"/>
  <c r="C105" i="37"/>
  <c r="B105" i="37"/>
  <c r="C104" i="37"/>
  <c r="B104" i="37"/>
  <c r="C102" i="37"/>
  <c r="B102" i="37"/>
  <c r="C101" i="37"/>
  <c r="B101" i="37"/>
  <c r="C100" i="37"/>
  <c r="B100" i="37"/>
  <c r="C98" i="37"/>
  <c r="B98" i="37"/>
  <c r="C97" i="37"/>
  <c r="B97" i="37"/>
  <c r="C96" i="37"/>
  <c r="B96" i="37"/>
  <c r="C94" i="37"/>
  <c r="B94" i="37"/>
  <c r="C93" i="37"/>
  <c r="B93" i="37"/>
  <c r="C92" i="37"/>
  <c r="B92" i="37"/>
  <c r="C90" i="37"/>
  <c r="B90" i="37"/>
  <c r="C89" i="37"/>
  <c r="B89" i="37"/>
  <c r="C88" i="37"/>
  <c r="B88" i="37"/>
  <c r="C86" i="37"/>
  <c r="B86" i="37"/>
  <c r="C85" i="37"/>
  <c r="B85" i="37"/>
  <c r="C84" i="37"/>
  <c r="B84" i="37"/>
  <c r="C82" i="37"/>
  <c r="B82" i="37"/>
  <c r="C81" i="37"/>
  <c r="B81" i="37"/>
  <c r="C80" i="37"/>
  <c r="B80" i="37"/>
  <c r="C78" i="37"/>
  <c r="B78" i="37"/>
  <c r="C77" i="37"/>
  <c r="B77" i="37"/>
  <c r="C76" i="37"/>
  <c r="B76" i="37"/>
  <c r="C74" i="37"/>
  <c r="B74" i="37"/>
  <c r="C73" i="37"/>
  <c r="B73" i="37"/>
  <c r="C72" i="37"/>
  <c r="B72" i="37"/>
  <c r="C71" i="37"/>
  <c r="C70" i="37"/>
  <c r="B70" i="37"/>
  <c r="C69" i="37"/>
  <c r="B69" i="37"/>
  <c r="C68" i="37"/>
  <c r="B68" i="37"/>
  <c r="B67" i="37"/>
  <c r="C66" i="37"/>
  <c r="B66" i="37"/>
  <c r="C65" i="37"/>
  <c r="B65" i="37"/>
  <c r="C64" i="37"/>
  <c r="B64" i="37"/>
  <c r="B63" i="37"/>
  <c r="C62" i="37"/>
  <c r="B62" i="37"/>
  <c r="C61" i="37"/>
  <c r="B61" i="37"/>
  <c r="C60" i="37"/>
  <c r="B60" i="37"/>
  <c r="B59" i="37"/>
  <c r="C58" i="37"/>
  <c r="B58" i="37"/>
  <c r="C57" i="37"/>
  <c r="B57" i="37"/>
  <c r="C56" i="37"/>
  <c r="B56" i="37"/>
  <c r="B55" i="37"/>
  <c r="C54" i="37"/>
  <c r="B54" i="37"/>
  <c r="C53" i="37"/>
  <c r="B53" i="37"/>
  <c r="C52" i="37"/>
  <c r="B52" i="37"/>
  <c r="B51" i="37"/>
  <c r="C50" i="37"/>
  <c r="B50" i="37"/>
  <c r="C49" i="37"/>
  <c r="B49" i="37"/>
  <c r="C48" i="37"/>
  <c r="B48" i="37"/>
  <c r="B47" i="37"/>
  <c r="C46" i="37"/>
  <c r="B46" i="37"/>
  <c r="C45" i="37"/>
  <c r="B45" i="37"/>
  <c r="C44" i="37"/>
  <c r="B44" i="37"/>
  <c r="C42" i="37"/>
  <c r="B42" i="37"/>
  <c r="C41" i="37"/>
  <c r="B41" i="37"/>
  <c r="C40" i="37"/>
  <c r="B40" i="37"/>
  <c r="C38" i="37"/>
  <c r="B38" i="37"/>
  <c r="C37" i="37"/>
  <c r="B37" i="37"/>
  <c r="C36" i="37"/>
  <c r="B36" i="37"/>
  <c r="C34" i="37"/>
  <c r="B34" i="37"/>
  <c r="C33" i="37"/>
  <c r="B33" i="37"/>
  <c r="C32" i="37"/>
  <c r="B32" i="37"/>
  <c r="C30" i="37"/>
  <c r="B30" i="37"/>
  <c r="C29" i="37"/>
  <c r="B29" i="37"/>
  <c r="C28" i="37"/>
  <c r="B28" i="37"/>
  <c r="C26" i="37"/>
  <c r="B26" i="37"/>
  <c r="B4" i="20"/>
  <c r="C4" i="20"/>
  <c r="B5" i="20"/>
  <c r="C5" i="20"/>
  <c r="B6" i="20"/>
  <c r="C6" i="20"/>
  <c r="B7" i="20"/>
  <c r="C7" i="20"/>
  <c r="B8" i="20"/>
  <c r="C8" i="20"/>
  <c r="B9" i="20"/>
  <c r="C9" i="20"/>
  <c r="B10" i="20"/>
  <c r="C10" i="20"/>
  <c r="B11" i="20"/>
  <c r="C11" i="20"/>
  <c r="B12" i="20"/>
  <c r="C12" i="20"/>
  <c r="B13" i="20"/>
  <c r="C13" i="20"/>
  <c r="B14" i="20"/>
  <c r="C14" i="20"/>
  <c r="B15" i="20"/>
  <c r="C15" i="20"/>
  <c r="B16" i="20"/>
  <c r="C16" i="20"/>
  <c r="B17" i="20"/>
  <c r="C17" i="20"/>
  <c r="B18" i="20"/>
  <c r="C18" i="20"/>
  <c r="B19" i="20"/>
  <c r="C19" i="20"/>
  <c r="B20" i="20"/>
  <c r="C20" i="20"/>
  <c r="B21" i="20"/>
  <c r="C21" i="20"/>
  <c r="B22" i="20"/>
  <c r="C22" i="20"/>
  <c r="B23" i="20"/>
  <c r="C23" i="20"/>
  <c r="B24" i="20"/>
  <c r="C24" i="20"/>
  <c r="B25" i="20"/>
  <c r="C25" i="20"/>
  <c r="B26" i="20"/>
  <c r="C26" i="20"/>
  <c r="B27" i="20"/>
  <c r="C27" i="20"/>
  <c r="B28" i="20"/>
  <c r="C28" i="20"/>
  <c r="B29" i="20"/>
  <c r="C29" i="20"/>
  <c r="B30" i="20"/>
  <c r="C30" i="20"/>
  <c r="B31" i="20"/>
  <c r="C31" i="20"/>
  <c r="B32" i="20"/>
  <c r="C32" i="20"/>
  <c r="B33" i="20"/>
  <c r="C33" i="20"/>
  <c r="B34" i="20"/>
  <c r="C34" i="20"/>
  <c r="B35" i="20"/>
  <c r="C35" i="20"/>
  <c r="B36" i="20"/>
  <c r="C36" i="20"/>
  <c r="B37" i="20"/>
  <c r="C37" i="20"/>
  <c r="B38" i="20"/>
  <c r="C38" i="20"/>
  <c r="B39" i="20"/>
  <c r="C39" i="20"/>
  <c r="B40" i="20"/>
  <c r="C40" i="20"/>
  <c r="B41" i="20"/>
  <c r="C41" i="20"/>
  <c r="B42" i="20"/>
  <c r="C42" i="20"/>
  <c r="B43" i="20"/>
  <c r="C43" i="20"/>
  <c r="B44" i="20"/>
  <c r="C44" i="20"/>
  <c r="B45" i="20"/>
  <c r="C45" i="20"/>
  <c r="B46" i="20"/>
  <c r="C46" i="20"/>
  <c r="B47" i="20"/>
  <c r="C47" i="20"/>
  <c r="B48" i="20"/>
  <c r="C48" i="20"/>
  <c r="B49" i="20"/>
  <c r="C49" i="20"/>
  <c r="B50" i="20"/>
  <c r="C50" i="20"/>
  <c r="B51" i="20"/>
  <c r="C51" i="20"/>
  <c r="B52" i="20"/>
  <c r="C52" i="20"/>
  <c r="B53" i="20"/>
  <c r="C53" i="20"/>
  <c r="B54" i="20"/>
  <c r="C54" i="20"/>
  <c r="B55" i="20"/>
  <c r="C55" i="20"/>
  <c r="B56" i="20"/>
  <c r="C56" i="20"/>
  <c r="B57" i="20"/>
  <c r="C57" i="20"/>
  <c r="B58" i="20"/>
  <c r="C58" i="20"/>
  <c r="B59" i="20"/>
  <c r="C59" i="20"/>
  <c r="B60" i="20"/>
  <c r="C60" i="20"/>
  <c r="B61" i="20"/>
  <c r="C61" i="20"/>
  <c r="B62" i="20"/>
  <c r="C62" i="20"/>
  <c r="B63" i="20"/>
  <c r="C63" i="20"/>
  <c r="B64" i="20"/>
  <c r="C64" i="20"/>
  <c r="B65" i="20"/>
  <c r="C65" i="20"/>
  <c r="B66" i="20"/>
  <c r="C66" i="20"/>
  <c r="B67" i="20"/>
  <c r="C67" i="20"/>
  <c r="B68" i="20"/>
  <c r="C68" i="20"/>
  <c r="B69" i="20"/>
  <c r="C69" i="20"/>
  <c r="B70" i="20"/>
  <c r="C70" i="20"/>
  <c r="B71" i="20"/>
  <c r="C71" i="20"/>
  <c r="B72" i="20"/>
  <c r="C72" i="20"/>
  <c r="B73" i="20"/>
  <c r="C73" i="20"/>
  <c r="B74" i="20"/>
  <c r="C74" i="20"/>
  <c r="B75" i="20"/>
  <c r="C75" i="20"/>
  <c r="B76" i="20"/>
  <c r="C76" i="20"/>
  <c r="B77" i="20"/>
  <c r="C77" i="20"/>
  <c r="B78" i="20"/>
  <c r="C78" i="20"/>
  <c r="B79" i="20"/>
  <c r="C79" i="20"/>
  <c r="B80" i="20"/>
  <c r="C80" i="20"/>
  <c r="B81" i="20"/>
  <c r="C81" i="20"/>
  <c r="B82" i="20"/>
  <c r="C82" i="20"/>
  <c r="B83" i="20"/>
  <c r="C83" i="20"/>
  <c r="B84" i="20"/>
  <c r="C84" i="20"/>
  <c r="B85" i="20"/>
  <c r="C85" i="20"/>
  <c r="B86" i="20"/>
  <c r="C86" i="20"/>
  <c r="B87" i="20"/>
  <c r="C87" i="20"/>
  <c r="B88" i="20"/>
  <c r="C88" i="20"/>
  <c r="B89" i="20"/>
  <c r="C89" i="20"/>
  <c r="B90" i="20"/>
  <c r="C90" i="20"/>
  <c r="B91" i="20"/>
  <c r="C91" i="20"/>
  <c r="B92" i="20"/>
  <c r="C92" i="20"/>
  <c r="B93" i="20"/>
  <c r="C93" i="20"/>
  <c r="B94" i="20"/>
  <c r="C94" i="20"/>
  <c r="B95" i="20"/>
  <c r="C95" i="20"/>
  <c r="B96" i="20"/>
  <c r="C96" i="20"/>
  <c r="B97" i="20"/>
  <c r="C97" i="20"/>
  <c r="B98" i="20"/>
  <c r="C98" i="20"/>
  <c r="B99" i="20"/>
  <c r="C99" i="20"/>
  <c r="B100" i="20"/>
  <c r="C100" i="20"/>
  <c r="B101" i="20"/>
  <c r="C101" i="20"/>
  <c r="B102" i="20"/>
  <c r="C102" i="20"/>
  <c r="B103" i="20"/>
  <c r="C103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C3" i="20"/>
  <c r="B3" i="20"/>
  <c r="BI129" i="24" l="1"/>
  <c r="M129" i="45"/>
  <c r="K129" i="37"/>
  <c r="E167" i="22"/>
  <c r="D167" i="22"/>
  <c r="F167" i="22"/>
  <c r="F169" i="22"/>
  <c r="F168" i="22"/>
  <c r="D171" i="22"/>
  <c r="E169" i="22"/>
  <c r="E171" i="22"/>
  <c r="E168" i="22"/>
  <c r="D170" i="22"/>
  <c r="F170" i="22"/>
  <c r="D168" i="22"/>
  <c r="E170" i="22"/>
  <c r="F171" i="22"/>
  <c r="D169" i="22"/>
  <c r="F172" i="22"/>
  <c r="E172" i="22"/>
  <c r="D172" i="22"/>
  <c r="E173" i="22"/>
  <c r="D173" i="22"/>
  <c r="F173" i="22"/>
  <c r="F174" i="22"/>
  <c r="D174" i="22"/>
  <c r="E174" i="22"/>
  <c r="F175" i="22"/>
  <c r="E175" i="22"/>
  <c r="D175" i="22"/>
  <c r="F176" i="22"/>
  <c r="E176" i="22"/>
  <c r="D176" i="22"/>
  <c r="D177" i="22"/>
  <c r="E177" i="22"/>
  <c r="F177" i="22"/>
  <c r="M13" i="37"/>
  <c r="N13" i="37" s="1"/>
  <c r="O3" i="37"/>
  <c r="P3" i="37" s="1"/>
  <c r="N14" i="37"/>
  <c r="N10" i="37"/>
  <c r="N6" i="37"/>
  <c r="D166" i="20"/>
  <c r="F166" i="20"/>
  <c r="F167" i="20"/>
  <c r="F168" i="20"/>
  <c r="F169" i="20"/>
  <c r="F170" i="20"/>
  <c r="F171" i="20"/>
  <c r="F172" i="20"/>
  <c r="F173" i="20"/>
  <c r="F174" i="20"/>
  <c r="F175" i="20"/>
  <c r="F176" i="20"/>
  <c r="D176" i="20"/>
  <c r="E166" i="20"/>
  <c r="D167" i="20"/>
  <c r="E167" i="20"/>
  <c r="E168" i="20"/>
  <c r="D168" i="20"/>
  <c r="D169" i="20"/>
  <c r="E169" i="20"/>
  <c r="E170" i="20"/>
  <c r="D170" i="20"/>
  <c r="D171" i="20"/>
  <c r="E171" i="20"/>
  <c r="E172" i="20"/>
  <c r="D172" i="20"/>
  <c r="D173" i="20"/>
  <c r="E173" i="20"/>
  <c r="E174" i="20"/>
  <c r="D174" i="20"/>
  <c r="D175" i="20"/>
  <c r="E175" i="20"/>
  <c r="E176" i="20"/>
  <c r="N9" i="37"/>
  <c r="B27" i="37"/>
  <c r="B31" i="37"/>
  <c r="B35" i="37"/>
  <c r="B39" i="37"/>
  <c r="B43" i="37"/>
  <c r="B75" i="37"/>
  <c r="B79" i="37"/>
  <c r="B83" i="37"/>
  <c r="B87" i="37"/>
  <c r="B91" i="37"/>
  <c r="B95" i="37"/>
  <c r="B151" i="37"/>
  <c r="B155" i="37"/>
  <c r="B99" i="37"/>
  <c r="B103" i="37"/>
  <c r="B107" i="37"/>
  <c r="B111" i="37"/>
  <c r="B115" i="37"/>
  <c r="B119" i="37"/>
  <c r="B123" i="37"/>
  <c r="B127" i="37"/>
  <c r="B135" i="37"/>
  <c r="B139" i="37"/>
  <c r="B143" i="37"/>
  <c r="B147" i="37"/>
  <c r="M130" i="45" l="1"/>
  <c r="K130" i="37"/>
  <c r="BI130" i="24"/>
  <c r="F166" i="37"/>
  <c r="E167" i="37"/>
  <c r="D166" i="37"/>
  <c r="E174" i="37"/>
  <c r="E172" i="37"/>
  <c r="E170" i="37"/>
  <c r="F168" i="37"/>
  <c r="D167" i="37"/>
  <c r="F175" i="37"/>
  <c r="D173" i="37"/>
  <c r="E171" i="37"/>
  <c r="E168" i="37"/>
  <c r="E176" i="37"/>
  <c r="E175" i="37"/>
  <c r="F174" i="37"/>
  <c r="F173" i="37"/>
  <c r="F172" i="37"/>
  <c r="D171" i="37"/>
  <c r="F169" i="37"/>
  <c r="F167" i="37"/>
  <c r="E166" i="37"/>
  <c r="D175" i="37"/>
  <c r="E173" i="37"/>
  <c r="F171" i="37"/>
  <c r="D169" i="37"/>
  <c r="F176" i="37"/>
  <c r="D174" i="37"/>
  <c r="D172" i="37"/>
  <c r="F170" i="37"/>
  <c r="D176" i="37"/>
  <c r="D170" i="37"/>
  <c r="E169" i="37"/>
  <c r="D168" i="37"/>
  <c r="N166" i="37"/>
  <c r="N3" i="37"/>
  <c r="P166" i="37" s="1"/>
  <c r="M131" i="45" l="1"/>
  <c r="K131" i="37"/>
  <c r="BI131" i="24"/>
  <c r="M132" i="45" l="1"/>
  <c r="K132" i="37"/>
  <c r="BI132" i="24"/>
  <c r="A19" i="17"/>
  <c r="T19" i="17" l="1"/>
  <c r="U19" i="17" s="1"/>
  <c r="Q19" i="17"/>
  <c r="R19" i="17" s="1"/>
  <c r="N19" i="17"/>
  <c r="K19" i="17"/>
  <c r="K133" i="37"/>
  <c r="M133" i="45"/>
  <c r="BI133" i="24"/>
  <c r="G34" i="11"/>
  <c r="H31" i="9"/>
  <c r="A20" i="17"/>
  <c r="W19" i="17"/>
  <c r="X19" i="17" l="1"/>
  <c r="A21" i="17"/>
  <c r="T20" i="17"/>
  <c r="U20" i="17" s="1"/>
  <c r="K20" i="17"/>
  <c r="M134" i="45"/>
  <c r="M135" i="45" s="1"/>
  <c r="M136" i="45" s="1"/>
  <c r="M137" i="45" s="1"/>
  <c r="M138" i="45" s="1"/>
  <c r="M139" i="45" s="1"/>
  <c r="M140" i="45" s="1"/>
  <c r="M141" i="45" s="1"/>
  <c r="M142" i="45" s="1"/>
  <c r="M143" i="45" s="1"/>
  <c r="M144" i="45" s="1"/>
  <c r="M145" i="45" s="1"/>
  <c r="M146" i="45" s="1"/>
  <c r="M147" i="45" s="1"/>
  <c r="M148" i="45" s="1"/>
  <c r="M149" i="45" s="1"/>
  <c r="M150" i="45" s="1"/>
  <c r="M151" i="45" s="1"/>
  <c r="M152" i="45" s="1"/>
  <c r="M153" i="45" s="1"/>
  <c r="M154" i="45" s="1"/>
  <c r="M155" i="45" s="1"/>
  <c r="M156" i="45" s="1"/>
  <c r="M157" i="45" s="1"/>
  <c r="M158" i="45" s="1"/>
  <c r="K134" i="37"/>
  <c r="K135" i="37" s="1"/>
  <c r="K136" i="37" s="1"/>
  <c r="K137" i="37" s="1"/>
  <c r="K138" i="37" s="1"/>
  <c r="K139" i="37" s="1"/>
  <c r="K140" i="37" s="1"/>
  <c r="K141" i="37" s="1"/>
  <c r="K142" i="37" s="1"/>
  <c r="K143" i="37" s="1"/>
  <c r="K144" i="37" s="1"/>
  <c r="K145" i="37" s="1"/>
  <c r="K146" i="37" s="1"/>
  <c r="K147" i="37" s="1"/>
  <c r="K148" i="37" s="1"/>
  <c r="K149" i="37" s="1"/>
  <c r="K150" i="37" s="1"/>
  <c r="K151" i="37" s="1"/>
  <c r="K152" i="37" s="1"/>
  <c r="K153" i="37" s="1"/>
  <c r="K154" i="37" s="1"/>
  <c r="K155" i="37" s="1"/>
  <c r="K156" i="37" s="1"/>
  <c r="K157" i="37" s="1"/>
  <c r="K158" i="37" s="1"/>
  <c r="W21" i="17"/>
  <c r="Q21" i="17"/>
  <c r="W20" i="17"/>
  <c r="Q20" i="17"/>
  <c r="R20" i="17" s="1"/>
  <c r="J31" i="9"/>
  <c r="G44" i="11"/>
  <c r="A22" i="17"/>
  <c r="W22" i="17" l="1"/>
  <c r="T22" i="17"/>
  <c r="Q22" i="17"/>
  <c r="K21" i="17"/>
  <c r="T21" i="17"/>
  <c r="U21" i="17" s="1"/>
  <c r="X20" i="17"/>
  <c r="R21" i="17"/>
  <c r="X21" i="17"/>
  <c r="I44" i="11"/>
  <c r="J33" i="9"/>
  <c r="H44" i="11"/>
  <c r="J32" i="9"/>
  <c r="I34" i="11"/>
  <c r="H33" i="9"/>
  <c r="H34" i="11"/>
  <c r="H32" i="9"/>
  <c r="A23" i="17"/>
  <c r="I4" i="20"/>
  <c r="J4" i="20"/>
  <c r="I5" i="20"/>
  <c r="J5" i="20"/>
  <c r="I6" i="20"/>
  <c r="J6" i="20"/>
  <c r="I7" i="20"/>
  <c r="J7" i="20"/>
  <c r="I8" i="20"/>
  <c r="J8" i="20"/>
  <c r="I9" i="20"/>
  <c r="J9" i="20"/>
  <c r="I10" i="20"/>
  <c r="J10" i="20"/>
  <c r="I11" i="20"/>
  <c r="J11" i="20"/>
  <c r="I12" i="20"/>
  <c r="J12" i="20"/>
  <c r="I13" i="20"/>
  <c r="J13" i="20"/>
  <c r="I14" i="20"/>
  <c r="J14" i="20"/>
  <c r="I16" i="20"/>
  <c r="I28" i="20"/>
  <c r="J3" i="20"/>
  <c r="I3" i="20"/>
  <c r="L4" i="20"/>
  <c r="L5" i="20"/>
  <c r="L6" i="20"/>
  <c r="L7" i="20"/>
  <c r="L8" i="20"/>
  <c r="L9" i="20"/>
  <c r="L10" i="20"/>
  <c r="L11" i="20"/>
  <c r="L1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1" i="20"/>
  <c r="L102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116" i="20"/>
  <c r="L117" i="20"/>
  <c r="L118" i="20"/>
  <c r="L119" i="20"/>
  <c r="L120" i="20"/>
  <c r="L121" i="20"/>
  <c r="L122" i="20"/>
  <c r="L123" i="20"/>
  <c r="L124" i="20"/>
  <c r="L125" i="20"/>
  <c r="L126" i="20"/>
  <c r="L127" i="20"/>
  <c r="L3" i="20"/>
  <c r="BG39" i="24"/>
  <c r="BG63" i="24"/>
  <c r="BG75" i="24"/>
  <c r="BJ15" i="24"/>
  <c r="BJ27" i="24" s="1"/>
  <c r="BK15" i="24"/>
  <c r="BL15" i="24"/>
  <c r="BM15" i="24"/>
  <c r="BM27" i="24" s="1"/>
  <c r="BN15" i="24"/>
  <c r="BO15" i="24"/>
  <c r="BO27" i="24" s="1"/>
  <c r="BO39" i="24" s="1"/>
  <c r="BP15" i="24"/>
  <c r="BQ15" i="24"/>
  <c r="BR15" i="24"/>
  <c r="BS15" i="24"/>
  <c r="BT15" i="24"/>
  <c r="BU15" i="24"/>
  <c r="BV15" i="24"/>
  <c r="BW15" i="24"/>
  <c r="BX15" i="24"/>
  <c r="BG16" i="24"/>
  <c r="BJ16" i="24"/>
  <c r="BK16" i="24"/>
  <c r="BK28" i="24" s="1"/>
  <c r="BL16" i="24"/>
  <c r="BM16" i="24"/>
  <c r="BN16" i="24"/>
  <c r="BO16" i="24"/>
  <c r="BO28" i="24" s="1"/>
  <c r="BP16" i="24"/>
  <c r="BQ16" i="24"/>
  <c r="BR16" i="24"/>
  <c r="BS16" i="24"/>
  <c r="BS28" i="24" s="1"/>
  <c r="BS40" i="24" s="1"/>
  <c r="BT16" i="24"/>
  <c r="BU16" i="24"/>
  <c r="BV16" i="24"/>
  <c r="BW16" i="24"/>
  <c r="BX16" i="24"/>
  <c r="BG17" i="24"/>
  <c r="BJ17" i="24"/>
  <c r="BK17" i="24"/>
  <c r="BL17" i="24"/>
  <c r="BM17" i="24"/>
  <c r="BN17" i="24"/>
  <c r="BO17" i="24"/>
  <c r="BP17" i="24"/>
  <c r="BQ17" i="24"/>
  <c r="BR17" i="24"/>
  <c r="BS17" i="24"/>
  <c r="BS29" i="24" s="1"/>
  <c r="BT17" i="24"/>
  <c r="BU17" i="24"/>
  <c r="BV17" i="24"/>
  <c r="BW17" i="24"/>
  <c r="BX17" i="24"/>
  <c r="BG18" i="24"/>
  <c r="BJ18" i="24"/>
  <c r="BK18" i="24"/>
  <c r="BL18" i="24"/>
  <c r="BM18" i="24"/>
  <c r="BN18" i="24"/>
  <c r="BO18" i="24"/>
  <c r="BO30" i="24" s="1"/>
  <c r="BO42" i="24" s="1"/>
  <c r="BP18" i="24"/>
  <c r="BQ18" i="24"/>
  <c r="BR18" i="24"/>
  <c r="BS18" i="24"/>
  <c r="BT18" i="24"/>
  <c r="BU18" i="24"/>
  <c r="BU30" i="24" s="1"/>
  <c r="BU42" i="24" s="1"/>
  <c r="BV18" i="24"/>
  <c r="BW18" i="24"/>
  <c r="BX18" i="24"/>
  <c r="BG19" i="24"/>
  <c r="BJ19" i="24"/>
  <c r="BK19" i="24"/>
  <c r="BL19" i="24"/>
  <c r="BM19" i="24"/>
  <c r="BM31" i="24" s="1"/>
  <c r="BN19" i="24"/>
  <c r="BO19" i="24"/>
  <c r="BP19" i="24"/>
  <c r="BQ19" i="24"/>
  <c r="BR19" i="24"/>
  <c r="BR31" i="24" s="1"/>
  <c r="BS19" i="24"/>
  <c r="BS31" i="24" s="1"/>
  <c r="BT19" i="24"/>
  <c r="BU19" i="24"/>
  <c r="BV19" i="24"/>
  <c r="BW19" i="24"/>
  <c r="BX19" i="24"/>
  <c r="BG20" i="24"/>
  <c r="BJ20" i="24"/>
  <c r="BK20" i="24"/>
  <c r="BK32" i="24" s="1"/>
  <c r="BL20" i="24"/>
  <c r="BM20" i="24"/>
  <c r="BN20" i="24"/>
  <c r="BO20" i="24"/>
  <c r="BO32" i="24" s="1"/>
  <c r="BP20" i="24"/>
  <c r="BQ20" i="24"/>
  <c r="BR20" i="24"/>
  <c r="BR32" i="24" s="1"/>
  <c r="BS20" i="24"/>
  <c r="BS32" i="24" s="1"/>
  <c r="BT20" i="24"/>
  <c r="BU20" i="24"/>
  <c r="BU32" i="24" s="1"/>
  <c r="BV20" i="24"/>
  <c r="BW20" i="24"/>
  <c r="BX20" i="24"/>
  <c r="BG21" i="24"/>
  <c r="BJ21" i="24"/>
  <c r="BK21" i="24"/>
  <c r="BL21" i="24"/>
  <c r="BM21" i="24"/>
  <c r="BM33" i="24" s="1"/>
  <c r="BN21" i="24"/>
  <c r="BO21" i="24"/>
  <c r="BO33" i="24" s="1"/>
  <c r="BP21" i="24"/>
  <c r="BQ21" i="24"/>
  <c r="BR21" i="24"/>
  <c r="BS21" i="24"/>
  <c r="BS33" i="24" s="1"/>
  <c r="BT21" i="24"/>
  <c r="BU21" i="24"/>
  <c r="BV21" i="24"/>
  <c r="BW21" i="24"/>
  <c r="BW33" i="24" s="1"/>
  <c r="BX21" i="24"/>
  <c r="BG22" i="24"/>
  <c r="BJ22" i="24"/>
  <c r="BK22" i="24"/>
  <c r="BL22" i="24"/>
  <c r="BM22" i="24"/>
  <c r="BN22" i="24"/>
  <c r="BO22" i="24"/>
  <c r="BP22" i="24"/>
  <c r="BQ22" i="24"/>
  <c r="BR22" i="24"/>
  <c r="BS22" i="24"/>
  <c r="BS34" i="24" s="1"/>
  <c r="BT22" i="24"/>
  <c r="BU22" i="24"/>
  <c r="BU34" i="24" s="1"/>
  <c r="BU46" i="24" s="1"/>
  <c r="BV22" i="24"/>
  <c r="BW22" i="24"/>
  <c r="BX22" i="24"/>
  <c r="BG23" i="24"/>
  <c r="BJ23" i="24"/>
  <c r="BJ35" i="24" s="1"/>
  <c r="BK23" i="24"/>
  <c r="BL23" i="24"/>
  <c r="BM23" i="24"/>
  <c r="BM35" i="24" s="1"/>
  <c r="BN23" i="24"/>
  <c r="BO23" i="24"/>
  <c r="BO35" i="24" s="1"/>
  <c r="BO47" i="24" s="1"/>
  <c r="BP23" i="24"/>
  <c r="BQ23" i="24"/>
  <c r="BR23" i="24"/>
  <c r="BR35" i="24" s="1"/>
  <c r="BS23" i="24"/>
  <c r="BT23" i="24"/>
  <c r="BU23" i="24"/>
  <c r="BV23" i="24"/>
  <c r="BV35" i="24" s="1"/>
  <c r="BV47" i="24" s="1"/>
  <c r="BV59" i="24" s="1"/>
  <c r="BW23" i="24"/>
  <c r="BX23" i="24"/>
  <c r="BG24" i="24"/>
  <c r="BJ24" i="24"/>
  <c r="BK24" i="24"/>
  <c r="BL24" i="24"/>
  <c r="BM24" i="24"/>
  <c r="BN24" i="24"/>
  <c r="BO24" i="24"/>
  <c r="BO36" i="24" s="1"/>
  <c r="BP24" i="24"/>
  <c r="BQ24" i="24"/>
  <c r="BR24" i="24"/>
  <c r="BR36" i="24" s="1"/>
  <c r="BS24" i="24"/>
  <c r="BT24" i="24"/>
  <c r="BU24" i="24"/>
  <c r="BV24" i="24"/>
  <c r="BW24" i="24"/>
  <c r="BX24" i="24"/>
  <c r="BG25" i="24"/>
  <c r="BJ25" i="24"/>
  <c r="BK25" i="24"/>
  <c r="BL25" i="24"/>
  <c r="BM25" i="24"/>
  <c r="BN25" i="24"/>
  <c r="BO25" i="24"/>
  <c r="BO37" i="24" s="1"/>
  <c r="BP25" i="24"/>
  <c r="BQ25" i="24"/>
  <c r="BR25" i="24"/>
  <c r="BS25" i="24"/>
  <c r="BS37" i="24" s="1"/>
  <c r="BT25" i="24"/>
  <c r="BU25" i="24"/>
  <c r="BV25" i="24"/>
  <c r="BW25" i="24"/>
  <c r="BX25" i="24"/>
  <c r="BN27" i="24"/>
  <c r="BN39" i="24" s="1"/>
  <c r="BR27" i="24"/>
  <c r="BV27" i="24"/>
  <c r="BG28" i="24"/>
  <c r="BJ28" i="24"/>
  <c r="BN28" i="24"/>
  <c r="BN40" i="24" s="1"/>
  <c r="BN52" i="24" s="1"/>
  <c r="BR28" i="24"/>
  <c r="BR40" i="24" s="1"/>
  <c r="BU28" i="24"/>
  <c r="BV28" i="24"/>
  <c r="BV40" i="24" s="1"/>
  <c r="BV52" i="24" s="1"/>
  <c r="BJ29" i="24"/>
  <c r="BJ41" i="24" s="1"/>
  <c r="BN29" i="24"/>
  <c r="BV29" i="24"/>
  <c r="BJ30" i="24"/>
  <c r="BN30" i="24"/>
  <c r="BN42" i="24" s="1"/>
  <c r="BV30" i="24"/>
  <c r="BV42" i="24" s="1"/>
  <c r="BJ31" i="24"/>
  <c r="BN31" i="24"/>
  <c r="BV31" i="24"/>
  <c r="BV43" i="24" s="1"/>
  <c r="BJ32" i="24"/>
  <c r="BJ44" i="24" s="1"/>
  <c r="BN32" i="24"/>
  <c r="BV32" i="24"/>
  <c r="BV44" i="24" s="1"/>
  <c r="BV56" i="24" s="1"/>
  <c r="BJ33" i="24"/>
  <c r="BN33" i="24"/>
  <c r="BN45" i="24" s="1"/>
  <c r="BV33" i="24"/>
  <c r="BJ34" i="24"/>
  <c r="BR34" i="24"/>
  <c r="BN35" i="24"/>
  <c r="BG36" i="24"/>
  <c r="BJ36" i="24"/>
  <c r="BU36" i="24"/>
  <c r="BV36" i="24"/>
  <c r="BJ14" i="24"/>
  <c r="BK14" i="24"/>
  <c r="BL14" i="24"/>
  <c r="BM14" i="24"/>
  <c r="BN14" i="24"/>
  <c r="BO14" i="24"/>
  <c r="BP14" i="24"/>
  <c r="BQ14" i="24"/>
  <c r="BR14" i="24"/>
  <c r="BS14" i="24"/>
  <c r="BT14" i="24"/>
  <c r="BU14" i="24"/>
  <c r="BV14" i="24"/>
  <c r="BW14" i="24"/>
  <c r="BX14" i="24"/>
  <c r="BG14" i="24"/>
  <c r="AI128" i="24"/>
  <c r="AI129" i="24"/>
  <c r="AZ8" i="24"/>
  <c r="BA8" i="24"/>
  <c r="BB8" i="24"/>
  <c r="BC8" i="24"/>
  <c r="BD8" i="24"/>
  <c r="BE8" i="24"/>
  <c r="BF8" i="24"/>
  <c r="AZ9" i="24"/>
  <c r="BA9" i="24"/>
  <c r="BB9" i="24"/>
  <c r="BC9" i="24"/>
  <c r="BD9" i="24"/>
  <c r="BE9" i="24"/>
  <c r="BF9" i="24"/>
  <c r="AZ10" i="24"/>
  <c r="BA10" i="24"/>
  <c r="BB10" i="24"/>
  <c r="BC10" i="24"/>
  <c r="BD10" i="24"/>
  <c r="BE10" i="24"/>
  <c r="BF10" i="24"/>
  <c r="AZ11" i="24"/>
  <c r="BA11" i="24"/>
  <c r="BB11" i="24"/>
  <c r="BC11" i="24"/>
  <c r="BD11" i="24"/>
  <c r="BE11" i="24"/>
  <c r="BF11" i="24"/>
  <c r="AZ12" i="24"/>
  <c r="BA12" i="24"/>
  <c r="BB12" i="24"/>
  <c r="BC12" i="24"/>
  <c r="BD12" i="24"/>
  <c r="BE12" i="24"/>
  <c r="BF12" i="24"/>
  <c r="AZ13" i="24"/>
  <c r="BA13" i="24"/>
  <c r="BB13" i="24"/>
  <c r="BC13" i="24"/>
  <c r="BD13" i="24"/>
  <c r="BE13" i="24"/>
  <c r="BF13" i="24"/>
  <c r="AZ14" i="24"/>
  <c r="BA14" i="24"/>
  <c r="BB14" i="24"/>
  <c r="BC14" i="24"/>
  <c r="BD14" i="24"/>
  <c r="BE14" i="24"/>
  <c r="BF14" i="24"/>
  <c r="AZ15" i="24"/>
  <c r="BA15" i="24"/>
  <c r="BB15" i="24"/>
  <c r="BC15" i="24"/>
  <c r="BD15" i="24"/>
  <c r="BE15" i="24"/>
  <c r="BF15" i="24"/>
  <c r="AZ16" i="24"/>
  <c r="BA16" i="24"/>
  <c r="BB16" i="24"/>
  <c r="BC16" i="24"/>
  <c r="BD16" i="24"/>
  <c r="BE16" i="24"/>
  <c r="BF16" i="24"/>
  <c r="AZ17" i="24"/>
  <c r="BA17" i="24"/>
  <c r="BB17" i="24"/>
  <c r="BC17" i="24"/>
  <c r="BD17" i="24"/>
  <c r="BE17" i="24"/>
  <c r="BF17" i="24"/>
  <c r="AZ18" i="24"/>
  <c r="BA18" i="24"/>
  <c r="BB18" i="24"/>
  <c r="BC18" i="24"/>
  <c r="BD18" i="24"/>
  <c r="BE18" i="24"/>
  <c r="BF18" i="24"/>
  <c r="AZ19" i="24"/>
  <c r="BA19" i="24"/>
  <c r="BB19" i="24"/>
  <c r="BC19" i="24"/>
  <c r="BD19" i="24"/>
  <c r="BE19" i="24"/>
  <c r="BF19" i="24"/>
  <c r="AZ20" i="24"/>
  <c r="BA20" i="24"/>
  <c r="BB20" i="24"/>
  <c r="BC20" i="24"/>
  <c r="BD20" i="24"/>
  <c r="BE20" i="24"/>
  <c r="BF20" i="24"/>
  <c r="AZ21" i="24"/>
  <c r="BA21" i="24"/>
  <c r="BB21" i="24"/>
  <c r="BC21" i="24"/>
  <c r="BD21" i="24"/>
  <c r="BE21" i="24"/>
  <c r="BF21" i="24"/>
  <c r="AZ22" i="24"/>
  <c r="BA22" i="24"/>
  <c r="BB22" i="24"/>
  <c r="BC22" i="24"/>
  <c r="BD22" i="24"/>
  <c r="BE22" i="24"/>
  <c r="BF22" i="24"/>
  <c r="AZ23" i="24"/>
  <c r="BA23" i="24"/>
  <c r="BB23" i="24"/>
  <c r="BC23" i="24"/>
  <c r="BD23" i="24"/>
  <c r="BE23" i="24"/>
  <c r="BF23" i="24"/>
  <c r="AZ24" i="24"/>
  <c r="BA24" i="24"/>
  <c r="BB24" i="24"/>
  <c r="BC24" i="24"/>
  <c r="BD24" i="24"/>
  <c r="BE24" i="24"/>
  <c r="BF24" i="24"/>
  <c r="AZ25" i="24"/>
  <c r="BA25" i="24"/>
  <c r="BB25" i="24"/>
  <c r="BC25" i="24"/>
  <c r="BD25" i="24"/>
  <c r="BE25" i="24"/>
  <c r="BF25" i="24"/>
  <c r="AZ26" i="24"/>
  <c r="BA26" i="24"/>
  <c r="BB26" i="24"/>
  <c r="BC26" i="24"/>
  <c r="BD26" i="24"/>
  <c r="BE26" i="24"/>
  <c r="BF26" i="24"/>
  <c r="AZ27" i="24"/>
  <c r="BA27" i="24"/>
  <c r="BB27" i="24"/>
  <c r="BC27" i="24"/>
  <c r="BD27" i="24"/>
  <c r="BE27" i="24"/>
  <c r="BF27" i="24"/>
  <c r="AZ28" i="24"/>
  <c r="BA28" i="24"/>
  <c r="BB28" i="24"/>
  <c r="BC28" i="24"/>
  <c r="BD28" i="24"/>
  <c r="BE28" i="24"/>
  <c r="BF28" i="24"/>
  <c r="AZ29" i="24"/>
  <c r="BA29" i="24"/>
  <c r="BB29" i="24"/>
  <c r="BC29" i="24"/>
  <c r="BD29" i="24"/>
  <c r="BE29" i="24"/>
  <c r="BF29" i="24"/>
  <c r="AZ30" i="24"/>
  <c r="BA30" i="24"/>
  <c r="BB30" i="24"/>
  <c r="BC30" i="24"/>
  <c r="BD30" i="24"/>
  <c r="BE30" i="24"/>
  <c r="BF30" i="24"/>
  <c r="AZ31" i="24"/>
  <c r="BA31" i="24"/>
  <c r="BB31" i="24"/>
  <c r="BC31" i="24"/>
  <c r="BD31" i="24"/>
  <c r="BE31" i="24"/>
  <c r="BF31" i="24"/>
  <c r="AZ32" i="24"/>
  <c r="BA32" i="24"/>
  <c r="BB32" i="24"/>
  <c r="BC32" i="24"/>
  <c r="BD32" i="24"/>
  <c r="BE32" i="24"/>
  <c r="BF32" i="24"/>
  <c r="AZ33" i="24"/>
  <c r="BA33" i="24"/>
  <c r="BB33" i="24"/>
  <c r="BC33" i="24"/>
  <c r="BD33" i="24"/>
  <c r="BE33" i="24"/>
  <c r="BF33" i="24"/>
  <c r="AZ34" i="24"/>
  <c r="BA34" i="24"/>
  <c r="BB34" i="24"/>
  <c r="BC34" i="24"/>
  <c r="BD34" i="24"/>
  <c r="BE34" i="24"/>
  <c r="BF34" i="24"/>
  <c r="AZ35" i="24"/>
  <c r="BA35" i="24"/>
  <c r="BB35" i="24"/>
  <c r="BC35" i="24"/>
  <c r="BD35" i="24"/>
  <c r="BE35" i="24"/>
  <c r="BF35" i="24"/>
  <c r="AZ36" i="24"/>
  <c r="BA36" i="24"/>
  <c r="BB36" i="24"/>
  <c r="BC36" i="24"/>
  <c r="BD36" i="24"/>
  <c r="BE36" i="24"/>
  <c r="BF36" i="24"/>
  <c r="AZ37" i="24"/>
  <c r="BA37" i="24"/>
  <c r="BB37" i="24"/>
  <c r="BC37" i="24"/>
  <c r="BD37" i="24"/>
  <c r="BE37" i="24"/>
  <c r="BF37" i="24"/>
  <c r="AZ38" i="24"/>
  <c r="BA38" i="24"/>
  <c r="BB38" i="24"/>
  <c r="BC38" i="24"/>
  <c r="BD38" i="24"/>
  <c r="BE38" i="24"/>
  <c r="BF38" i="24"/>
  <c r="AZ39" i="24"/>
  <c r="BA39" i="24"/>
  <c r="BB39" i="24"/>
  <c r="BC39" i="24"/>
  <c r="BD39" i="24"/>
  <c r="BE39" i="24"/>
  <c r="BF39" i="24"/>
  <c r="AZ40" i="24"/>
  <c r="BA40" i="24"/>
  <c r="BB40" i="24"/>
  <c r="BC40" i="24"/>
  <c r="BD40" i="24"/>
  <c r="BE40" i="24"/>
  <c r="BF40" i="24"/>
  <c r="AZ41" i="24"/>
  <c r="BA41" i="24"/>
  <c r="BB41" i="24"/>
  <c r="BC41" i="24"/>
  <c r="BD41" i="24"/>
  <c r="BE41" i="24"/>
  <c r="BF41" i="24"/>
  <c r="AZ42" i="24"/>
  <c r="BA42" i="24"/>
  <c r="BB42" i="24"/>
  <c r="BC42" i="24"/>
  <c r="BD42" i="24"/>
  <c r="BE42" i="24"/>
  <c r="BF42" i="24"/>
  <c r="AZ43" i="24"/>
  <c r="BA43" i="24"/>
  <c r="BB43" i="24"/>
  <c r="BC43" i="24"/>
  <c r="BD43" i="24"/>
  <c r="BE43" i="24"/>
  <c r="BF43" i="24"/>
  <c r="AZ44" i="24"/>
  <c r="BA44" i="24"/>
  <c r="BB44" i="24"/>
  <c r="BC44" i="24"/>
  <c r="BD44" i="24"/>
  <c r="BE44" i="24"/>
  <c r="BF44" i="24"/>
  <c r="AZ45" i="24"/>
  <c r="BA45" i="24"/>
  <c r="BB45" i="24"/>
  <c r="BC45" i="24"/>
  <c r="BD45" i="24"/>
  <c r="BE45" i="24"/>
  <c r="BF45" i="24"/>
  <c r="AZ46" i="24"/>
  <c r="BA46" i="24"/>
  <c r="BB46" i="24"/>
  <c r="BC46" i="24"/>
  <c r="BD46" i="24"/>
  <c r="BE46" i="24"/>
  <c r="BF46" i="24"/>
  <c r="AZ47" i="24"/>
  <c r="BA47" i="24"/>
  <c r="BB47" i="24"/>
  <c r="BC47" i="24"/>
  <c r="BD47" i="24"/>
  <c r="BE47" i="24"/>
  <c r="BF47" i="24"/>
  <c r="AZ48" i="24"/>
  <c r="BA48" i="24"/>
  <c r="BB48" i="24"/>
  <c r="BC48" i="24"/>
  <c r="BD48" i="24"/>
  <c r="BE48" i="24"/>
  <c r="BF48" i="24"/>
  <c r="AZ49" i="24"/>
  <c r="BA49" i="24"/>
  <c r="BB49" i="24"/>
  <c r="BC49" i="24"/>
  <c r="BD49" i="24"/>
  <c r="BE49" i="24"/>
  <c r="BF49" i="24"/>
  <c r="AZ50" i="24"/>
  <c r="BA50" i="24"/>
  <c r="BB50" i="24"/>
  <c r="BC50" i="24"/>
  <c r="BD50" i="24"/>
  <c r="BE50" i="24"/>
  <c r="BF50" i="24"/>
  <c r="AZ51" i="24"/>
  <c r="BA51" i="24"/>
  <c r="BB51" i="24"/>
  <c r="BC51" i="24"/>
  <c r="BD51" i="24"/>
  <c r="BE51" i="24"/>
  <c r="BF51" i="24"/>
  <c r="AZ52" i="24"/>
  <c r="BA52" i="24"/>
  <c r="BB52" i="24"/>
  <c r="BC52" i="24"/>
  <c r="BD52" i="24"/>
  <c r="BE52" i="24"/>
  <c r="BF52" i="24"/>
  <c r="AZ53" i="24"/>
  <c r="BA53" i="24"/>
  <c r="BB53" i="24"/>
  <c r="BC53" i="24"/>
  <c r="BD53" i="24"/>
  <c r="BE53" i="24"/>
  <c r="BF53" i="24"/>
  <c r="AZ54" i="24"/>
  <c r="BA54" i="24"/>
  <c r="BB54" i="24"/>
  <c r="BC54" i="24"/>
  <c r="BD54" i="24"/>
  <c r="BE54" i="24"/>
  <c r="BF54" i="24"/>
  <c r="AZ55" i="24"/>
  <c r="BA55" i="24"/>
  <c r="BB55" i="24"/>
  <c r="BC55" i="24"/>
  <c r="BD55" i="24"/>
  <c r="BE55" i="24"/>
  <c r="BF55" i="24"/>
  <c r="AZ56" i="24"/>
  <c r="BA56" i="24"/>
  <c r="BB56" i="24"/>
  <c r="BC56" i="24"/>
  <c r="BD56" i="24"/>
  <c r="BE56" i="24"/>
  <c r="BF56" i="24"/>
  <c r="AZ57" i="24"/>
  <c r="BA57" i="24"/>
  <c r="BB57" i="24"/>
  <c r="BC57" i="24"/>
  <c r="BD57" i="24"/>
  <c r="BE57" i="24"/>
  <c r="BF57" i="24"/>
  <c r="AZ58" i="24"/>
  <c r="BA58" i="24"/>
  <c r="BB58" i="24"/>
  <c r="BC58" i="24"/>
  <c r="BD58" i="24"/>
  <c r="BE58" i="24"/>
  <c r="BF58" i="24"/>
  <c r="AZ59" i="24"/>
  <c r="BA59" i="24"/>
  <c r="BB59" i="24"/>
  <c r="BC59" i="24"/>
  <c r="BD59" i="24"/>
  <c r="BE59" i="24"/>
  <c r="BF59" i="24"/>
  <c r="AZ60" i="24"/>
  <c r="BA60" i="24"/>
  <c r="BB60" i="24"/>
  <c r="BC60" i="24"/>
  <c r="BD60" i="24"/>
  <c r="BE60" i="24"/>
  <c r="BF60" i="24"/>
  <c r="AZ61" i="24"/>
  <c r="BA61" i="24"/>
  <c r="BB61" i="24"/>
  <c r="BC61" i="24"/>
  <c r="BD61" i="24"/>
  <c r="BE61" i="24"/>
  <c r="BF61" i="24"/>
  <c r="AZ62" i="24"/>
  <c r="BA62" i="24"/>
  <c r="BB62" i="24"/>
  <c r="BC62" i="24"/>
  <c r="BD62" i="24"/>
  <c r="BE62" i="24"/>
  <c r="BF62" i="24"/>
  <c r="AZ63" i="24"/>
  <c r="BA63" i="24"/>
  <c r="BB63" i="24"/>
  <c r="BC63" i="24"/>
  <c r="BD63" i="24"/>
  <c r="BE63" i="24"/>
  <c r="BF63" i="24"/>
  <c r="AZ64" i="24"/>
  <c r="BA64" i="24"/>
  <c r="BB64" i="24"/>
  <c r="BC64" i="24"/>
  <c r="BD64" i="24"/>
  <c r="BE64" i="24"/>
  <c r="BF64" i="24"/>
  <c r="AZ65" i="24"/>
  <c r="BA65" i="24"/>
  <c r="BB65" i="24"/>
  <c r="BC65" i="24"/>
  <c r="BD65" i="24"/>
  <c r="BE65" i="24"/>
  <c r="BF65" i="24"/>
  <c r="AZ66" i="24"/>
  <c r="BA66" i="24"/>
  <c r="BB66" i="24"/>
  <c r="BC66" i="24"/>
  <c r="BD66" i="24"/>
  <c r="BE66" i="24"/>
  <c r="BF66" i="24"/>
  <c r="AZ67" i="24"/>
  <c r="BA67" i="24"/>
  <c r="BB67" i="24"/>
  <c r="BC67" i="24"/>
  <c r="BD67" i="24"/>
  <c r="BE67" i="24"/>
  <c r="BF67" i="24"/>
  <c r="AZ68" i="24"/>
  <c r="BA68" i="24"/>
  <c r="BB68" i="24"/>
  <c r="BC68" i="24"/>
  <c r="BD68" i="24"/>
  <c r="BE68" i="24"/>
  <c r="BF68" i="24"/>
  <c r="AZ69" i="24"/>
  <c r="BA69" i="24"/>
  <c r="BB69" i="24"/>
  <c r="BC69" i="24"/>
  <c r="BD69" i="24"/>
  <c r="BE69" i="24"/>
  <c r="BF69" i="24"/>
  <c r="AZ70" i="24"/>
  <c r="BA70" i="24"/>
  <c r="BB70" i="24"/>
  <c r="BC70" i="24"/>
  <c r="BD70" i="24"/>
  <c r="BE70" i="24"/>
  <c r="BF70" i="24"/>
  <c r="AZ71" i="24"/>
  <c r="BA71" i="24"/>
  <c r="BB71" i="24"/>
  <c r="BC71" i="24"/>
  <c r="BD71" i="24"/>
  <c r="BE71" i="24"/>
  <c r="BF71" i="24"/>
  <c r="AZ72" i="24"/>
  <c r="BA72" i="24"/>
  <c r="BB72" i="24"/>
  <c r="BC72" i="24"/>
  <c r="BD72" i="24"/>
  <c r="BE72" i="24"/>
  <c r="BF72" i="24"/>
  <c r="AZ73" i="24"/>
  <c r="BA73" i="24"/>
  <c r="BB73" i="24"/>
  <c r="BC73" i="24"/>
  <c r="BD73" i="24"/>
  <c r="BE73" i="24"/>
  <c r="BF73" i="24"/>
  <c r="AZ74" i="24"/>
  <c r="BA74" i="24"/>
  <c r="BB74" i="24"/>
  <c r="BC74" i="24"/>
  <c r="BD74" i="24"/>
  <c r="BE74" i="24"/>
  <c r="BF74" i="24"/>
  <c r="AZ75" i="24"/>
  <c r="BA75" i="24"/>
  <c r="BB75" i="24"/>
  <c r="BC75" i="24"/>
  <c r="BD75" i="24"/>
  <c r="BE75" i="24"/>
  <c r="BF75" i="24"/>
  <c r="AZ76" i="24"/>
  <c r="BA76" i="24"/>
  <c r="BB76" i="24"/>
  <c r="BC76" i="24"/>
  <c r="BD76" i="24"/>
  <c r="BE76" i="24"/>
  <c r="BF76" i="24"/>
  <c r="AZ77" i="24"/>
  <c r="BA77" i="24"/>
  <c r="BB77" i="24"/>
  <c r="BC77" i="24"/>
  <c r="BD77" i="24"/>
  <c r="BE77" i="24"/>
  <c r="BF77" i="24"/>
  <c r="AZ78" i="24"/>
  <c r="BA78" i="24"/>
  <c r="BB78" i="24"/>
  <c r="BC78" i="24"/>
  <c r="BD78" i="24"/>
  <c r="BE78" i="24"/>
  <c r="BF78" i="24"/>
  <c r="AZ79" i="24"/>
  <c r="BA79" i="24"/>
  <c r="BB79" i="24"/>
  <c r="BC79" i="24"/>
  <c r="BD79" i="24"/>
  <c r="BE79" i="24"/>
  <c r="BF79" i="24"/>
  <c r="AZ80" i="24"/>
  <c r="BA80" i="24"/>
  <c r="BB80" i="24"/>
  <c r="BC80" i="24"/>
  <c r="BD80" i="24"/>
  <c r="BE80" i="24"/>
  <c r="BF80" i="24"/>
  <c r="AZ81" i="24"/>
  <c r="BA81" i="24"/>
  <c r="BB81" i="24"/>
  <c r="BC81" i="24"/>
  <c r="BD81" i="24"/>
  <c r="BE81" i="24"/>
  <c r="BF81" i="24"/>
  <c r="AZ82" i="24"/>
  <c r="BA82" i="24"/>
  <c r="BB82" i="24"/>
  <c r="BC82" i="24"/>
  <c r="BD82" i="24"/>
  <c r="BE82" i="24"/>
  <c r="BF82" i="24"/>
  <c r="AZ83" i="24"/>
  <c r="BA83" i="24"/>
  <c r="BB83" i="24"/>
  <c r="BC83" i="24"/>
  <c r="BD83" i="24"/>
  <c r="BE83" i="24"/>
  <c r="BF83" i="24"/>
  <c r="AZ84" i="24"/>
  <c r="BA84" i="24"/>
  <c r="BB84" i="24"/>
  <c r="BC84" i="24"/>
  <c r="BD84" i="24"/>
  <c r="BE84" i="24"/>
  <c r="BF84" i="24"/>
  <c r="AZ85" i="24"/>
  <c r="BA85" i="24"/>
  <c r="BB85" i="24"/>
  <c r="BC85" i="24"/>
  <c r="BD85" i="24"/>
  <c r="BE85" i="24"/>
  <c r="BF85" i="24"/>
  <c r="AZ86" i="24"/>
  <c r="BA86" i="24"/>
  <c r="BB86" i="24"/>
  <c r="BC86" i="24"/>
  <c r="BD86" i="24"/>
  <c r="BE86" i="24"/>
  <c r="BF86" i="24"/>
  <c r="AZ87" i="24"/>
  <c r="BA87" i="24"/>
  <c r="BB87" i="24"/>
  <c r="BC87" i="24"/>
  <c r="BD87" i="24"/>
  <c r="BE87" i="24"/>
  <c r="BF87" i="24"/>
  <c r="AZ88" i="24"/>
  <c r="BA88" i="24"/>
  <c r="BB88" i="24"/>
  <c r="BC88" i="24"/>
  <c r="BD88" i="24"/>
  <c r="BE88" i="24"/>
  <c r="BF88" i="24"/>
  <c r="AZ89" i="24"/>
  <c r="BA89" i="24"/>
  <c r="BB89" i="24"/>
  <c r="BC89" i="24"/>
  <c r="BD89" i="24"/>
  <c r="BE89" i="24"/>
  <c r="BF89" i="24"/>
  <c r="AZ90" i="24"/>
  <c r="BA90" i="24"/>
  <c r="BB90" i="24"/>
  <c r="BC90" i="24"/>
  <c r="BD90" i="24"/>
  <c r="BE90" i="24"/>
  <c r="BF90" i="24"/>
  <c r="AZ91" i="24"/>
  <c r="BA91" i="24"/>
  <c r="BB91" i="24"/>
  <c r="BC91" i="24"/>
  <c r="BD91" i="24"/>
  <c r="BE91" i="24"/>
  <c r="BF91" i="24"/>
  <c r="AZ92" i="24"/>
  <c r="BA92" i="24"/>
  <c r="BB92" i="24"/>
  <c r="BC92" i="24"/>
  <c r="BD92" i="24"/>
  <c r="BE92" i="24"/>
  <c r="BF92" i="24"/>
  <c r="AZ93" i="24"/>
  <c r="BA93" i="24"/>
  <c r="BB93" i="24"/>
  <c r="BC93" i="24"/>
  <c r="BD93" i="24"/>
  <c r="BE93" i="24"/>
  <c r="BF93" i="24"/>
  <c r="AZ94" i="24"/>
  <c r="BA94" i="24"/>
  <c r="BB94" i="24"/>
  <c r="BC94" i="24"/>
  <c r="BD94" i="24"/>
  <c r="BE94" i="24"/>
  <c r="BF94" i="24"/>
  <c r="AZ95" i="24"/>
  <c r="BA95" i="24"/>
  <c r="BB95" i="24"/>
  <c r="BC95" i="24"/>
  <c r="BD95" i="24"/>
  <c r="BE95" i="24"/>
  <c r="BF95" i="24"/>
  <c r="AZ96" i="24"/>
  <c r="BA96" i="24"/>
  <c r="BB96" i="24"/>
  <c r="BC96" i="24"/>
  <c r="BD96" i="24"/>
  <c r="BE96" i="24"/>
  <c r="BF96" i="24"/>
  <c r="AZ97" i="24"/>
  <c r="BA97" i="24"/>
  <c r="BB97" i="24"/>
  <c r="BC97" i="24"/>
  <c r="BD97" i="24"/>
  <c r="BE97" i="24"/>
  <c r="BF97" i="24"/>
  <c r="AZ98" i="24"/>
  <c r="BA98" i="24"/>
  <c r="BB98" i="24"/>
  <c r="BC98" i="24"/>
  <c r="BD98" i="24"/>
  <c r="BE98" i="24"/>
  <c r="BF98" i="24"/>
  <c r="AZ99" i="24"/>
  <c r="BA99" i="24"/>
  <c r="BB99" i="24"/>
  <c r="BC99" i="24"/>
  <c r="BD99" i="24"/>
  <c r="BE99" i="24"/>
  <c r="BF99" i="24"/>
  <c r="AZ100" i="24"/>
  <c r="BA100" i="24"/>
  <c r="BB100" i="24"/>
  <c r="BC100" i="24"/>
  <c r="BD100" i="24"/>
  <c r="BE100" i="24"/>
  <c r="BF100" i="24"/>
  <c r="AZ101" i="24"/>
  <c r="BA101" i="24"/>
  <c r="BB101" i="24"/>
  <c r="BC101" i="24"/>
  <c r="BD101" i="24"/>
  <c r="BE101" i="24"/>
  <c r="BF101" i="24"/>
  <c r="AZ102" i="24"/>
  <c r="BA102" i="24"/>
  <c r="BB102" i="24"/>
  <c r="BC102" i="24"/>
  <c r="BD102" i="24"/>
  <c r="BE102" i="24"/>
  <c r="BF102" i="24"/>
  <c r="AZ103" i="24"/>
  <c r="BA103" i="24"/>
  <c r="BB103" i="24"/>
  <c r="BC103" i="24"/>
  <c r="BD103" i="24"/>
  <c r="BE103" i="24"/>
  <c r="BF103" i="24"/>
  <c r="AZ104" i="24"/>
  <c r="BA104" i="24"/>
  <c r="BB104" i="24"/>
  <c r="BC104" i="24"/>
  <c r="BD104" i="24"/>
  <c r="BE104" i="24"/>
  <c r="BF104" i="24"/>
  <c r="AZ105" i="24"/>
  <c r="BA105" i="24"/>
  <c r="BB105" i="24"/>
  <c r="BC105" i="24"/>
  <c r="BD105" i="24"/>
  <c r="BE105" i="24"/>
  <c r="BF105" i="24"/>
  <c r="AZ106" i="24"/>
  <c r="BA106" i="24"/>
  <c r="BB106" i="24"/>
  <c r="BC106" i="24"/>
  <c r="BD106" i="24"/>
  <c r="BE106" i="24"/>
  <c r="BF106" i="24"/>
  <c r="AZ107" i="24"/>
  <c r="BA107" i="24"/>
  <c r="BB107" i="24"/>
  <c r="BC107" i="24"/>
  <c r="BD107" i="24"/>
  <c r="BE107" i="24"/>
  <c r="BF107" i="24"/>
  <c r="AZ108" i="24"/>
  <c r="BA108" i="24"/>
  <c r="BB108" i="24"/>
  <c r="BC108" i="24"/>
  <c r="BD108" i="24"/>
  <c r="BE108" i="24"/>
  <c r="BF108" i="24"/>
  <c r="AZ109" i="24"/>
  <c r="BA109" i="24"/>
  <c r="BB109" i="24"/>
  <c r="BC109" i="24"/>
  <c r="BD109" i="24"/>
  <c r="BE109" i="24"/>
  <c r="BF109" i="24"/>
  <c r="AZ110" i="24"/>
  <c r="BA110" i="24"/>
  <c r="BB110" i="24"/>
  <c r="BC110" i="24"/>
  <c r="BD110" i="24"/>
  <c r="BE110" i="24"/>
  <c r="BF110" i="24"/>
  <c r="AZ111" i="24"/>
  <c r="BA111" i="24"/>
  <c r="BB111" i="24"/>
  <c r="BC111" i="24"/>
  <c r="BD111" i="24"/>
  <c r="BE111" i="24"/>
  <c r="BF111" i="24"/>
  <c r="AZ112" i="24"/>
  <c r="BA112" i="24"/>
  <c r="BB112" i="24"/>
  <c r="BC112" i="24"/>
  <c r="BD112" i="24"/>
  <c r="BE112" i="24"/>
  <c r="BF112" i="24"/>
  <c r="AZ113" i="24"/>
  <c r="BA113" i="24"/>
  <c r="BB113" i="24"/>
  <c r="BC113" i="24"/>
  <c r="BD113" i="24"/>
  <c r="BE113" i="24"/>
  <c r="BF113" i="24"/>
  <c r="AZ114" i="24"/>
  <c r="BA114" i="24"/>
  <c r="BB114" i="24"/>
  <c r="BC114" i="24"/>
  <c r="BD114" i="24"/>
  <c r="BE114" i="24"/>
  <c r="BF114" i="24"/>
  <c r="AZ115" i="24"/>
  <c r="BA115" i="24"/>
  <c r="BB115" i="24"/>
  <c r="BC115" i="24"/>
  <c r="BD115" i="24"/>
  <c r="BE115" i="24"/>
  <c r="BF115" i="24"/>
  <c r="AZ116" i="24"/>
  <c r="BA116" i="24"/>
  <c r="BB116" i="24"/>
  <c r="BC116" i="24"/>
  <c r="BD116" i="24"/>
  <c r="BE116" i="24"/>
  <c r="BF116" i="24"/>
  <c r="AZ117" i="24"/>
  <c r="BA117" i="24"/>
  <c r="BB117" i="24"/>
  <c r="BC117" i="24"/>
  <c r="BD117" i="24"/>
  <c r="BE117" i="24"/>
  <c r="BF117" i="24"/>
  <c r="AZ118" i="24"/>
  <c r="BA118" i="24"/>
  <c r="BB118" i="24"/>
  <c r="BC118" i="24"/>
  <c r="BD118" i="24"/>
  <c r="BE118" i="24"/>
  <c r="BF118" i="24"/>
  <c r="AZ119" i="24"/>
  <c r="BA119" i="24"/>
  <c r="BB119" i="24"/>
  <c r="BC119" i="24"/>
  <c r="BD119" i="24"/>
  <c r="BE119" i="24"/>
  <c r="BF119" i="24"/>
  <c r="AZ120" i="24"/>
  <c r="BA120" i="24"/>
  <c r="BB120" i="24"/>
  <c r="BC120" i="24"/>
  <c r="BD120" i="24"/>
  <c r="BE120" i="24"/>
  <c r="BF120" i="24"/>
  <c r="AZ121" i="24"/>
  <c r="BA121" i="24"/>
  <c r="BB121" i="24"/>
  <c r="BC121" i="24"/>
  <c r="BD121" i="24"/>
  <c r="BE121" i="24"/>
  <c r="BF121" i="24"/>
  <c r="AZ122" i="24"/>
  <c r="BA122" i="24"/>
  <c r="BB122" i="24"/>
  <c r="BC122" i="24"/>
  <c r="BD122" i="24"/>
  <c r="BE122" i="24"/>
  <c r="BF122" i="24"/>
  <c r="AZ123" i="24"/>
  <c r="BA123" i="24"/>
  <c r="BB123" i="24"/>
  <c r="BC123" i="24"/>
  <c r="BD123" i="24"/>
  <c r="BE123" i="24"/>
  <c r="BF123" i="24"/>
  <c r="AZ124" i="24"/>
  <c r="BA124" i="24"/>
  <c r="BB124" i="24"/>
  <c r="BC124" i="24"/>
  <c r="BD124" i="24"/>
  <c r="BE124" i="24"/>
  <c r="BF124" i="24"/>
  <c r="AZ125" i="24"/>
  <c r="BA125" i="24"/>
  <c r="BB125" i="24"/>
  <c r="BC125" i="24"/>
  <c r="BD125" i="24"/>
  <c r="BE125" i="24"/>
  <c r="BF125" i="24"/>
  <c r="AZ126" i="24"/>
  <c r="BA126" i="24"/>
  <c r="BB126" i="24"/>
  <c r="BC126" i="24"/>
  <c r="BD126" i="24"/>
  <c r="BE126" i="24"/>
  <c r="BF126" i="24"/>
  <c r="AZ127" i="24"/>
  <c r="BA127" i="24"/>
  <c r="BB127" i="24"/>
  <c r="BC127" i="24"/>
  <c r="BD127" i="24"/>
  <c r="BE127" i="24"/>
  <c r="BF127" i="24"/>
  <c r="AZ128" i="24"/>
  <c r="BA128" i="24"/>
  <c r="BB128" i="24"/>
  <c r="BC128" i="24"/>
  <c r="BD128" i="24"/>
  <c r="BE128" i="24"/>
  <c r="BF128" i="24"/>
  <c r="AZ129" i="24"/>
  <c r="BA129" i="24"/>
  <c r="BB129" i="24"/>
  <c r="BC129" i="24"/>
  <c r="BD129" i="24"/>
  <c r="BE129" i="24"/>
  <c r="BF129" i="24"/>
  <c r="AZ2" i="24"/>
  <c r="BA2" i="24"/>
  <c r="BB2" i="24"/>
  <c r="BC2" i="24"/>
  <c r="BD2" i="24"/>
  <c r="BE2" i="24"/>
  <c r="BF2" i="24"/>
  <c r="AZ3" i="24"/>
  <c r="BA3" i="24"/>
  <c r="BB3" i="24"/>
  <c r="BC3" i="24"/>
  <c r="BD3" i="24"/>
  <c r="BE3" i="24"/>
  <c r="BF3" i="24"/>
  <c r="AZ4" i="24"/>
  <c r="BA4" i="24"/>
  <c r="BB4" i="24"/>
  <c r="BC4" i="24"/>
  <c r="BD4" i="24"/>
  <c r="BE4" i="24"/>
  <c r="BF4" i="24"/>
  <c r="AZ5" i="24"/>
  <c r="BA5" i="24"/>
  <c r="BB5" i="24"/>
  <c r="BC5" i="24"/>
  <c r="BD5" i="24"/>
  <c r="BE5" i="24"/>
  <c r="BF5" i="24"/>
  <c r="AZ6" i="24"/>
  <c r="BA6" i="24"/>
  <c r="BB6" i="24"/>
  <c r="BC6" i="24"/>
  <c r="BD6" i="24"/>
  <c r="BE6" i="24"/>
  <c r="BF6" i="24"/>
  <c r="AZ7" i="24"/>
  <c r="BA7" i="24"/>
  <c r="BB7" i="24"/>
  <c r="BC7" i="24"/>
  <c r="BD7" i="24"/>
  <c r="BE7" i="24"/>
  <c r="BF7" i="24"/>
  <c r="BA1" i="24"/>
  <c r="BB1" i="24"/>
  <c r="BC1" i="24"/>
  <c r="BD1" i="24"/>
  <c r="BE1" i="24"/>
  <c r="BF1" i="24"/>
  <c r="AZ1" i="24"/>
  <c r="T14" i="33"/>
  <c r="S14" i="33"/>
  <c r="T13" i="33"/>
  <c r="S13" i="33"/>
  <c r="E134" i="33" s="1"/>
  <c r="T12" i="33"/>
  <c r="S12" i="33"/>
  <c r="T11" i="33"/>
  <c r="S11" i="33"/>
  <c r="S6" i="33"/>
  <c r="T6" i="33"/>
  <c r="S7" i="33"/>
  <c r="T7" i="33"/>
  <c r="T8" i="33"/>
  <c r="T5" i="33"/>
  <c r="S5" i="33"/>
  <c r="A135" i="33"/>
  <c r="A136" i="33"/>
  <c r="A137" i="33"/>
  <c r="A138" i="33"/>
  <c r="A139" i="33"/>
  <c r="A140" i="33"/>
  <c r="A141" i="33"/>
  <c r="A142" i="33"/>
  <c r="A143" i="33"/>
  <c r="A144" i="33"/>
  <c r="A145" i="33"/>
  <c r="A146" i="33"/>
  <c r="A147" i="33"/>
  <c r="A148" i="33"/>
  <c r="A149" i="33"/>
  <c r="A150" i="33"/>
  <c r="A151" i="33"/>
  <c r="A152" i="33"/>
  <c r="A153" i="33"/>
  <c r="A154" i="33"/>
  <c r="A155" i="33"/>
  <c r="A156" i="33"/>
  <c r="A157" i="33"/>
  <c r="A134" i="33"/>
  <c r="J44" i="11" l="1"/>
  <c r="J34" i="9"/>
  <c r="X22" i="17"/>
  <c r="U22" i="17"/>
  <c r="W23" i="17"/>
  <c r="T23" i="17"/>
  <c r="U23" i="17" s="1"/>
  <c r="BJ37" i="24"/>
  <c r="BR37" i="24"/>
  <c r="BN36" i="24"/>
  <c r="M127" i="46"/>
  <c r="K127" i="22"/>
  <c r="M119" i="46"/>
  <c r="K119" i="22"/>
  <c r="M115" i="46"/>
  <c r="K115" i="22"/>
  <c r="M99" i="46"/>
  <c r="K99" i="22"/>
  <c r="M87" i="46"/>
  <c r="K87" i="22"/>
  <c r="M75" i="46"/>
  <c r="K75" i="22"/>
  <c r="M67" i="46"/>
  <c r="K67" i="22"/>
  <c r="M55" i="46"/>
  <c r="K55" i="22"/>
  <c r="M51" i="46"/>
  <c r="K51" i="22"/>
  <c r="M47" i="46"/>
  <c r="K47" i="22"/>
  <c r="M35" i="46"/>
  <c r="K35" i="22"/>
  <c r="L25" i="44"/>
  <c r="L24" i="44"/>
  <c r="L22" i="44"/>
  <c r="L16" i="44"/>
  <c r="K64" i="46"/>
  <c r="K64" i="44"/>
  <c r="M8" i="46"/>
  <c r="K8" i="22"/>
  <c r="M8" i="22" s="1"/>
  <c r="N8" i="22" s="1"/>
  <c r="M4" i="46"/>
  <c r="K4" i="22"/>
  <c r="M4" i="22" s="1"/>
  <c r="N4" i="22" s="1"/>
  <c r="M128" i="46"/>
  <c r="K128" i="22"/>
  <c r="M124" i="46"/>
  <c r="K124" i="22"/>
  <c r="M120" i="46"/>
  <c r="K120" i="22"/>
  <c r="M116" i="46"/>
  <c r="K116" i="22"/>
  <c r="M112" i="46"/>
  <c r="K112" i="22"/>
  <c r="M108" i="46"/>
  <c r="K108" i="22"/>
  <c r="M104" i="46"/>
  <c r="K104" i="22"/>
  <c r="M100" i="46"/>
  <c r="K100" i="22"/>
  <c r="M96" i="46"/>
  <c r="K96" i="22"/>
  <c r="M92" i="46"/>
  <c r="K92" i="22"/>
  <c r="M88" i="46"/>
  <c r="K88" i="22"/>
  <c r="M84" i="46"/>
  <c r="K84" i="22"/>
  <c r="M80" i="46"/>
  <c r="K80" i="22"/>
  <c r="M76" i="46"/>
  <c r="K76" i="22"/>
  <c r="M72" i="46"/>
  <c r="K72" i="22"/>
  <c r="M68" i="46"/>
  <c r="K68" i="22"/>
  <c r="M64" i="46"/>
  <c r="K64" i="22"/>
  <c r="M60" i="46"/>
  <c r="K60" i="22"/>
  <c r="M56" i="46"/>
  <c r="K56" i="22"/>
  <c r="M52" i="46"/>
  <c r="K52" i="22"/>
  <c r="M48" i="46"/>
  <c r="K48" i="22"/>
  <c r="M44" i="46"/>
  <c r="K44" i="22"/>
  <c r="M40" i="46"/>
  <c r="K40" i="22"/>
  <c r="M36" i="46"/>
  <c r="K36" i="22"/>
  <c r="M32" i="46"/>
  <c r="K32" i="22"/>
  <c r="M28" i="46"/>
  <c r="K28" i="22"/>
  <c r="M28" i="22" s="1"/>
  <c r="N28" i="22" s="1"/>
  <c r="M24" i="46"/>
  <c r="K24" i="22"/>
  <c r="M20" i="46"/>
  <c r="K20" i="22"/>
  <c r="M16" i="46"/>
  <c r="K16" i="22"/>
  <c r="M16" i="22" s="1"/>
  <c r="N16" i="22" s="1"/>
  <c r="M12" i="46"/>
  <c r="K12" i="22"/>
  <c r="M12" i="22" s="1"/>
  <c r="N12" i="22" s="1"/>
  <c r="L15" i="44"/>
  <c r="K26" i="45"/>
  <c r="I26" i="37"/>
  <c r="M26" i="37" s="1"/>
  <c r="N26" i="37" s="1"/>
  <c r="BW36" i="24"/>
  <c r="K25" i="45"/>
  <c r="I25" i="37"/>
  <c r="M25" i="37" s="1"/>
  <c r="BW35" i="24"/>
  <c r="K24" i="45"/>
  <c r="I24" i="37"/>
  <c r="M24" i="37" s="1"/>
  <c r="K23" i="45"/>
  <c r="I23" i="37"/>
  <c r="M23" i="37" s="1"/>
  <c r="K22" i="45"/>
  <c r="I22" i="37"/>
  <c r="M22" i="37" s="1"/>
  <c r="BW32" i="24"/>
  <c r="K21" i="45"/>
  <c r="I21" i="37"/>
  <c r="M21" i="37" s="1"/>
  <c r="K20" i="45"/>
  <c r="I20" i="37"/>
  <c r="M20" i="37" s="1"/>
  <c r="K19" i="45"/>
  <c r="I19" i="37"/>
  <c r="M19" i="37" s="1"/>
  <c r="K18" i="45"/>
  <c r="I18" i="37"/>
  <c r="M18" i="37" s="1"/>
  <c r="BW28" i="24"/>
  <c r="K17" i="45"/>
  <c r="I17" i="37"/>
  <c r="M17" i="37" s="1"/>
  <c r="BW27" i="24"/>
  <c r="K16" i="45"/>
  <c r="I16" i="37"/>
  <c r="M16" i="37" s="1"/>
  <c r="BG51" i="24"/>
  <c r="I52" i="22" s="1"/>
  <c r="M52" i="22" s="1"/>
  <c r="K40" i="46"/>
  <c r="K40" i="44"/>
  <c r="M3" i="46"/>
  <c r="K3" i="22"/>
  <c r="M3" i="22" s="1"/>
  <c r="M123" i="46"/>
  <c r="K123" i="22"/>
  <c r="M103" i="46"/>
  <c r="K103" i="22"/>
  <c r="M91" i="46"/>
  <c r="K91" i="22"/>
  <c r="M83" i="46"/>
  <c r="K83" i="22"/>
  <c r="M63" i="46"/>
  <c r="K63" i="22"/>
  <c r="M43" i="46"/>
  <c r="K43" i="22"/>
  <c r="M31" i="46"/>
  <c r="K31" i="22"/>
  <c r="M15" i="46"/>
  <c r="K15" i="22"/>
  <c r="K15" i="46"/>
  <c r="K15" i="44"/>
  <c r="L26" i="44"/>
  <c r="L20" i="44"/>
  <c r="L19" i="44"/>
  <c r="M5" i="46"/>
  <c r="K5" i="22"/>
  <c r="M5" i="22" s="1"/>
  <c r="N5" i="22" s="1"/>
  <c r="M129" i="46"/>
  <c r="K129" i="22"/>
  <c r="M125" i="46"/>
  <c r="K125" i="22"/>
  <c r="M121" i="46"/>
  <c r="K121" i="22"/>
  <c r="M117" i="46"/>
  <c r="K117" i="22"/>
  <c r="M113" i="46"/>
  <c r="K113" i="22"/>
  <c r="M109" i="46"/>
  <c r="K109" i="22"/>
  <c r="M105" i="46"/>
  <c r="K105" i="22"/>
  <c r="M101" i="46"/>
  <c r="K101" i="22"/>
  <c r="M97" i="46"/>
  <c r="K97" i="22"/>
  <c r="M93" i="46"/>
  <c r="K93" i="22"/>
  <c r="M89" i="46"/>
  <c r="K89" i="22"/>
  <c r="M85" i="46"/>
  <c r="K85" i="22"/>
  <c r="M81" i="46"/>
  <c r="K81" i="22"/>
  <c r="M77" i="46"/>
  <c r="K77" i="22"/>
  <c r="M73" i="46"/>
  <c r="K73" i="22"/>
  <c r="M69" i="46"/>
  <c r="K69" i="22"/>
  <c r="M65" i="46"/>
  <c r="K65" i="22"/>
  <c r="M61" i="46"/>
  <c r="K61" i="22"/>
  <c r="M57" i="46"/>
  <c r="K57" i="22"/>
  <c r="M53" i="46"/>
  <c r="K53" i="22"/>
  <c r="M49" i="46"/>
  <c r="K49" i="22"/>
  <c r="M45" i="46"/>
  <c r="K45" i="22"/>
  <c r="M41" i="46"/>
  <c r="K41" i="22"/>
  <c r="M37" i="46"/>
  <c r="K37" i="22"/>
  <c r="M33" i="46"/>
  <c r="K33" i="22"/>
  <c r="M29" i="46"/>
  <c r="K29" i="22"/>
  <c r="M25" i="46"/>
  <c r="K25" i="22"/>
  <c r="M21" i="46"/>
  <c r="K21" i="22"/>
  <c r="M17" i="46"/>
  <c r="K17" i="22"/>
  <c r="M13" i="46"/>
  <c r="K13" i="22"/>
  <c r="M13" i="22" s="1"/>
  <c r="N13" i="22" s="1"/>
  <c r="M9" i="46"/>
  <c r="K9" i="22"/>
  <c r="M9" i="22" s="1"/>
  <c r="N9" i="22" s="1"/>
  <c r="K15" i="45"/>
  <c r="I15" i="37"/>
  <c r="M15" i="37" s="1"/>
  <c r="K37" i="46"/>
  <c r="K37" i="44"/>
  <c r="M7" i="46"/>
  <c r="K7" i="22"/>
  <c r="M7" i="22" s="1"/>
  <c r="N7" i="22" s="1"/>
  <c r="M111" i="46"/>
  <c r="K111" i="22"/>
  <c r="M107" i="46"/>
  <c r="K107" i="22"/>
  <c r="M95" i="46"/>
  <c r="K95" i="22"/>
  <c r="M79" i="46"/>
  <c r="K79" i="22"/>
  <c r="M71" i="46"/>
  <c r="K71" i="22"/>
  <c r="M59" i="46"/>
  <c r="K59" i="22"/>
  <c r="M39" i="46"/>
  <c r="K39" i="22"/>
  <c r="M27" i="46"/>
  <c r="K27" i="22"/>
  <c r="M23" i="46"/>
  <c r="K23" i="22"/>
  <c r="M19" i="46"/>
  <c r="K19" i="22"/>
  <c r="M11" i="46"/>
  <c r="K11" i="22"/>
  <c r="M11" i="22" s="1"/>
  <c r="N11" i="22" s="1"/>
  <c r="K29" i="46"/>
  <c r="K29" i="44"/>
  <c r="L23" i="44"/>
  <c r="L21" i="44"/>
  <c r="L18" i="44"/>
  <c r="L17" i="44"/>
  <c r="K2" i="22"/>
  <c r="M6" i="46"/>
  <c r="K6" i="22"/>
  <c r="M6" i="22" s="1"/>
  <c r="N6" i="22" s="1"/>
  <c r="K130" i="22"/>
  <c r="M130" i="46"/>
  <c r="M126" i="46"/>
  <c r="K126" i="22"/>
  <c r="M122" i="46"/>
  <c r="K122" i="22"/>
  <c r="M118" i="46"/>
  <c r="K118" i="22"/>
  <c r="M114" i="46"/>
  <c r="K114" i="22"/>
  <c r="M110" i="46"/>
  <c r="K110" i="22"/>
  <c r="M106" i="46"/>
  <c r="K106" i="22"/>
  <c r="M102" i="46"/>
  <c r="K102" i="22"/>
  <c r="M98" i="46"/>
  <c r="K98" i="22"/>
  <c r="M94" i="46"/>
  <c r="K94" i="22"/>
  <c r="M90" i="46"/>
  <c r="K90" i="22"/>
  <c r="M86" i="46"/>
  <c r="K86" i="22"/>
  <c r="M82" i="46"/>
  <c r="K82" i="22"/>
  <c r="M78" i="46"/>
  <c r="K78" i="22"/>
  <c r="M74" i="46"/>
  <c r="K74" i="22"/>
  <c r="M70" i="46"/>
  <c r="K70" i="22"/>
  <c r="M66" i="46"/>
  <c r="K66" i="22"/>
  <c r="M62" i="46"/>
  <c r="K62" i="22"/>
  <c r="M58" i="46"/>
  <c r="K58" i="22"/>
  <c r="M54" i="46"/>
  <c r="K54" i="22"/>
  <c r="M50" i="46"/>
  <c r="K50" i="22"/>
  <c r="M46" i="46"/>
  <c r="K46" i="22"/>
  <c r="M42" i="46"/>
  <c r="K42" i="22"/>
  <c r="M38" i="46"/>
  <c r="K38" i="22"/>
  <c r="M34" i="46"/>
  <c r="K34" i="22"/>
  <c r="M30" i="46"/>
  <c r="K30" i="22"/>
  <c r="M26" i="46"/>
  <c r="K26" i="22"/>
  <c r="M22" i="46"/>
  <c r="K22" i="22"/>
  <c r="M18" i="46"/>
  <c r="K18" i="22"/>
  <c r="M14" i="46"/>
  <c r="K14" i="22"/>
  <c r="M14" i="22" s="1"/>
  <c r="N14" i="22" s="1"/>
  <c r="M10" i="46"/>
  <c r="K10" i="22"/>
  <c r="M10" i="22" s="1"/>
  <c r="N10" i="22" s="1"/>
  <c r="K34" i="45"/>
  <c r="I34" i="37"/>
  <c r="M34" i="37" s="1"/>
  <c r="K26" i="46"/>
  <c r="K26" i="44"/>
  <c r="K25" i="46"/>
  <c r="K25" i="44"/>
  <c r="K24" i="46"/>
  <c r="K24" i="44"/>
  <c r="K23" i="46"/>
  <c r="K23" i="44"/>
  <c r="K22" i="46"/>
  <c r="K22" i="44"/>
  <c r="K21" i="46"/>
  <c r="K21" i="44"/>
  <c r="K20" i="46"/>
  <c r="K20" i="44"/>
  <c r="K19" i="46"/>
  <c r="K19" i="44"/>
  <c r="K18" i="46"/>
  <c r="K18" i="44"/>
  <c r="K17" i="46"/>
  <c r="K17" i="44"/>
  <c r="K76" i="46"/>
  <c r="K76" i="44"/>
  <c r="E146" i="33"/>
  <c r="D145" i="33"/>
  <c r="D157" i="33" s="1"/>
  <c r="D141" i="33"/>
  <c r="D153" i="33" s="1"/>
  <c r="D137" i="33"/>
  <c r="D149" i="33" s="1"/>
  <c r="I145" i="33"/>
  <c r="I157" i="33" s="1"/>
  <c r="E145" i="33"/>
  <c r="E157" i="33" s="1"/>
  <c r="F144" i="33"/>
  <c r="M145" i="46" s="1"/>
  <c r="G143" i="33"/>
  <c r="G155" i="33" s="1"/>
  <c r="H142" i="33"/>
  <c r="H154" i="33" s="1"/>
  <c r="I141" i="33"/>
  <c r="I153" i="33" s="1"/>
  <c r="E141" i="33"/>
  <c r="E153" i="33" s="1"/>
  <c r="F140" i="33"/>
  <c r="G139" i="33"/>
  <c r="G151" i="33" s="1"/>
  <c r="H138" i="33"/>
  <c r="H150" i="33" s="1"/>
  <c r="I137" i="33"/>
  <c r="I149" i="33" s="1"/>
  <c r="E137" i="33"/>
  <c r="E149" i="33" s="1"/>
  <c r="F136" i="33"/>
  <c r="G135" i="33"/>
  <c r="G147" i="33" s="1"/>
  <c r="H134" i="33"/>
  <c r="H146" i="33" s="1"/>
  <c r="D144" i="33"/>
  <c r="D156" i="33" s="1"/>
  <c r="D140" i="33"/>
  <c r="D152" i="33" s="1"/>
  <c r="D136" i="33"/>
  <c r="D148" i="33" s="1"/>
  <c r="H145" i="33"/>
  <c r="H157" i="33" s="1"/>
  <c r="I144" i="33"/>
  <c r="I156" i="33" s="1"/>
  <c r="E144" i="33"/>
  <c r="E156" i="33" s="1"/>
  <c r="F143" i="33"/>
  <c r="G142" i="33"/>
  <c r="G154" i="33" s="1"/>
  <c r="H141" i="33"/>
  <c r="H153" i="33" s="1"/>
  <c r="I140" i="33"/>
  <c r="I152" i="33" s="1"/>
  <c r="E140" i="33"/>
  <c r="E152" i="33" s="1"/>
  <c r="F139" i="33"/>
  <c r="G138" i="33"/>
  <c r="G150" i="33" s="1"/>
  <c r="H137" i="33"/>
  <c r="H149" i="33" s="1"/>
  <c r="I136" i="33"/>
  <c r="I148" i="33" s="1"/>
  <c r="E136" i="33"/>
  <c r="E148" i="33" s="1"/>
  <c r="F135" i="33"/>
  <c r="G134" i="33"/>
  <c r="G146" i="33" s="1"/>
  <c r="D143" i="33"/>
  <c r="D155" i="33" s="1"/>
  <c r="D139" i="33"/>
  <c r="D151" i="33" s="1"/>
  <c r="D135" i="33"/>
  <c r="D147" i="33" s="1"/>
  <c r="G145" i="33"/>
  <c r="G157" i="33" s="1"/>
  <c r="H144" i="33"/>
  <c r="H156" i="33" s="1"/>
  <c r="I143" i="33"/>
  <c r="I155" i="33" s="1"/>
  <c r="E143" i="33"/>
  <c r="E155" i="33" s="1"/>
  <c r="F142" i="33"/>
  <c r="G141" i="33"/>
  <c r="G153" i="33" s="1"/>
  <c r="H140" i="33"/>
  <c r="H152" i="33" s="1"/>
  <c r="I139" i="33"/>
  <c r="I151" i="33" s="1"/>
  <c r="E139" i="33"/>
  <c r="E151" i="33" s="1"/>
  <c r="F138" i="33"/>
  <c r="G137" i="33"/>
  <c r="G149" i="33" s="1"/>
  <c r="H136" i="33"/>
  <c r="H148" i="33" s="1"/>
  <c r="I135" i="33"/>
  <c r="I147" i="33" s="1"/>
  <c r="E135" i="33"/>
  <c r="E147" i="33" s="1"/>
  <c r="F134" i="33"/>
  <c r="D134" i="33"/>
  <c r="D146" i="33" s="1"/>
  <c r="D142" i="33"/>
  <c r="D154" i="33" s="1"/>
  <c r="D138" i="33"/>
  <c r="D150" i="33" s="1"/>
  <c r="F145" i="33"/>
  <c r="M146" i="46" s="1"/>
  <c r="G144" i="33"/>
  <c r="G156" i="33" s="1"/>
  <c r="H143" i="33"/>
  <c r="H155" i="33" s="1"/>
  <c r="I142" i="33"/>
  <c r="I154" i="33" s="1"/>
  <c r="E142" i="33"/>
  <c r="E154" i="33" s="1"/>
  <c r="F141" i="33"/>
  <c r="G140" i="33"/>
  <c r="G152" i="33" s="1"/>
  <c r="H139" i="33"/>
  <c r="H151" i="33" s="1"/>
  <c r="I138" i="33"/>
  <c r="I150" i="33" s="1"/>
  <c r="E138" i="33"/>
  <c r="E150" i="33" s="1"/>
  <c r="F137" i="33"/>
  <c r="G136" i="33"/>
  <c r="G148" i="33" s="1"/>
  <c r="H135" i="33"/>
  <c r="H147" i="33" s="1"/>
  <c r="I134" i="33"/>
  <c r="I146" i="33" s="1"/>
  <c r="BV37" i="24"/>
  <c r="BN34" i="24"/>
  <c r="BR33" i="24"/>
  <c r="BR30" i="24"/>
  <c r="BR29" i="24"/>
  <c r="BS30" i="24"/>
  <c r="BS42" i="24" s="1"/>
  <c r="BV45" i="24"/>
  <c r="BV57" i="24" s="1"/>
  <c r="BV41" i="24"/>
  <c r="BJ42" i="24"/>
  <c r="BJ46" i="24"/>
  <c r="BN43" i="24"/>
  <c r="BN37" i="24"/>
  <c r="BV34" i="24"/>
  <c r="BO34" i="24"/>
  <c r="BR46" i="24"/>
  <c r="BR58" i="24" s="1"/>
  <c r="BU44" i="24"/>
  <c r="I24" i="20"/>
  <c r="I24" i="22"/>
  <c r="M24" i="22" s="1"/>
  <c r="BM37" i="24"/>
  <c r="BM49" i="24" s="1"/>
  <c r="BM29" i="24"/>
  <c r="BM41" i="24" s="1"/>
  <c r="J26" i="20"/>
  <c r="J25" i="20"/>
  <c r="J24" i="20"/>
  <c r="J23" i="20"/>
  <c r="J22" i="20"/>
  <c r="J21" i="20"/>
  <c r="J20" i="20"/>
  <c r="J19" i="20"/>
  <c r="J18" i="20"/>
  <c r="J17" i="20"/>
  <c r="J16" i="20"/>
  <c r="N16" i="37"/>
  <c r="I64" i="22"/>
  <c r="M64" i="22" s="1"/>
  <c r="I29" i="20"/>
  <c r="I29" i="22"/>
  <c r="M29" i="22" s="1"/>
  <c r="I25" i="20"/>
  <c r="I25" i="22"/>
  <c r="I21" i="20"/>
  <c r="I21" i="22"/>
  <c r="M21" i="22" s="1"/>
  <c r="I20" i="20"/>
  <c r="I20" i="22"/>
  <c r="M20" i="22" s="1"/>
  <c r="N20" i="37"/>
  <c r="I19" i="20"/>
  <c r="I19" i="22"/>
  <c r="M19" i="22" s="1"/>
  <c r="I18" i="22"/>
  <c r="M18" i="22" s="1"/>
  <c r="N18" i="37"/>
  <c r="BG123" i="24"/>
  <c r="I124" i="20" s="1"/>
  <c r="I76" i="22"/>
  <c r="M76" i="22" s="1"/>
  <c r="I40" i="20"/>
  <c r="I40" i="22"/>
  <c r="J15" i="20"/>
  <c r="I37" i="20"/>
  <c r="I37" i="22"/>
  <c r="M37" i="22" s="1"/>
  <c r="I26" i="20"/>
  <c r="I26" i="22"/>
  <c r="I23" i="20"/>
  <c r="I23" i="22"/>
  <c r="M23" i="22" s="1"/>
  <c r="I22" i="22"/>
  <c r="M22" i="22" s="1"/>
  <c r="I17" i="20"/>
  <c r="I17" i="22"/>
  <c r="M17" i="22" s="1"/>
  <c r="I15" i="20"/>
  <c r="I15" i="22"/>
  <c r="M15" i="22" s="1"/>
  <c r="BG32" i="24"/>
  <c r="A24" i="17"/>
  <c r="BV68" i="24"/>
  <c r="BV55" i="24"/>
  <c r="BG48" i="24"/>
  <c r="BS36" i="24"/>
  <c r="BS35" i="24"/>
  <c r="BW31" i="24"/>
  <c r="BO31" i="24"/>
  <c r="BW30" i="24"/>
  <c r="BG30" i="24"/>
  <c r="BG42" i="24" s="1"/>
  <c r="BS27" i="24"/>
  <c r="I64" i="20"/>
  <c r="BR44" i="24"/>
  <c r="BR56" i="24" s="1"/>
  <c r="BU40" i="24"/>
  <c r="BU52" i="24" s="1"/>
  <c r="BK40" i="24"/>
  <c r="BK52" i="24" s="1"/>
  <c r="BW37" i="24"/>
  <c r="BW29" i="24"/>
  <c r="BO29" i="24"/>
  <c r="BO41" i="24" s="1"/>
  <c r="I22" i="20"/>
  <c r="I18" i="20"/>
  <c r="I76" i="20"/>
  <c r="BU48" i="24"/>
  <c r="BK44" i="24"/>
  <c r="BK56" i="24" s="1"/>
  <c r="BV39" i="24"/>
  <c r="BW34" i="24"/>
  <c r="BG34" i="24"/>
  <c r="BG87" i="24"/>
  <c r="BR70" i="24"/>
  <c r="BS49" i="24"/>
  <c r="BN64" i="24"/>
  <c r="BN57" i="24"/>
  <c r="BO46" i="24"/>
  <c r="BM47" i="24"/>
  <c r="BO44" i="24"/>
  <c r="BM39" i="24"/>
  <c r="BX26" i="24"/>
  <c r="BT26" i="24"/>
  <c r="BP26" i="24"/>
  <c r="BL26" i="24"/>
  <c r="BU58" i="24"/>
  <c r="BO54" i="24"/>
  <c r="BG84" i="24"/>
  <c r="BS45" i="24"/>
  <c r="BM45" i="24"/>
  <c r="BO59" i="24"/>
  <c r="BU56" i="24"/>
  <c r="BV54" i="24"/>
  <c r="BS41" i="24"/>
  <c r="BO48" i="24"/>
  <c r="BS43" i="24"/>
  <c r="BM43" i="24"/>
  <c r="BO40" i="24"/>
  <c r="BW26" i="24"/>
  <c r="BS26" i="24"/>
  <c r="BO26" i="24"/>
  <c r="BK26" i="24"/>
  <c r="BJ56" i="24"/>
  <c r="BN55" i="24"/>
  <c r="BN54" i="24"/>
  <c r="BJ53" i="24"/>
  <c r="BS52" i="24"/>
  <c r="BR49" i="24"/>
  <c r="BJ49" i="24"/>
  <c r="BN48" i="24"/>
  <c r="BR47" i="24"/>
  <c r="BJ47" i="24"/>
  <c r="BN46" i="24"/>
  <c r="BJ45" i="24"/>
  <c r="BN44" i="24"/>
  <c r="BR41" i="24"/>
  <c r="BQ37" i="24"/>
  <c r="BG73" i="24"/>
  <c r="BQ36" i="24"/>
  <c r="BG72" i="24"/>
  <c r="BQ35" i="24"/>
  <c r="BG71" i="24"/>
  <c r="BQ34" i="24"/>
  <c r="BG70" i="24"/>
  <c r="BQ33" i="24"/>
  <c r="BQ32" i="24"/>
  <c r="BG68" i="24"/>
  <c r="BQ31" i="24"/>
  <c r="BG67" i="24"/>
  <c r="BQ30" i="24"/>
  <c r="BG66" i="24"/>
  <c r="BQ29" i="24"/>
  <c r="BQ28" i="24"/>
  <c r="BG64" i="24"/>
  <c r="BQ27" i="24"/>
  <c r="BG69" i="24"/>
  <c r="BV26" i="24"/>
  <c r="BR26" i="24"/>
  <c r="BN26" i="24"/>
  <c r="BJ26" i="24"/>
  <c r="BV64" i="24"/>
  <c r="BG99" i="24"/>
  <c r="BW45" i="24"/>
  <c r="BR45" i="24"/>
  <c r="BR43" i="24"/>
  <c r="BS54" i="24"/>
  <c r="BR52" i="24"/>
  <c r="BN51" i="24"/>
  <c r="BO49" i="24"/>
  <c r="BG37" i="24"/>
  <c r="BM36" i="24"/>
  <c r="BG35" i="24"/>
  <c r="BS46" i="24"/>
  <c r="BM34" i="24"/>
  <c r="BG33" i="24"/>
  <c r="BS44" i="24"/>
  <c r="BM32" i="24"/>
  <c r="BG31" i="24"/>
  <c r="BM30" i="24"/>
  <c r="BG29" i="24"/>
  <c r="BM28" i="24"/>
  <c r="BX37" i="24"/>
  <c r="BT37" i="24"/>
  <c r="BP37" i="24"/>
  <c r="BL37" i="24"/>
  <c r="BX36" i="24"/>
  <c r="BT36" i="24"/>
  <c r="BP36" i="24"/>
  <c r="BL36" i="24"/>
  <c r="BX35" i="24"/>
  <c r="BT35" i="24"/>
  <c r="BP35" i="24"/>
  <c r="BL35" i="24"/>
  <c r="BX34" i="24"/>
  <c r="BT34" i="24"/>
  <c r="BP34" i="24"/>
  <c r="BL34" i="24"/>
  <c r="BX33" i="24"/>
  <c r="BT33" i="24"/>
  <c r="BP33" i="24"/>
  <c r="BL33" i="24"/>
  <c r="BX32" i="24"/>
  <c r="BT32" i="24"/>
  <c r="BP32" i="24"/>
  <c r="BL32" i="24"/>
  <c r="BX31" i="24"/>
  <c r="BT31" i="24"/>
  <c r="BP31" i="24"/>
  <c r="BL31" i="24"/>
  <c r="BX30" i="24"/>
  <c r="BT30" i="24"/>
  <c r="BP30" i="24"/>
  <c r="BL30" i="24"/>
  <c r="BX29" i="24"/>
  <c r="BT29" i="24"/>
  <c r="BP29" i="24"/>
  <c r="BL29" i="24"/>
  <c r="BX28" i="24"/>
  <c r="BT28" i="24"/>
  <c r="BP28" i="24"/>
  <c r="BL28" i="24"/>
  <c r="BX27" i="24"/>
  <c r="BT27" i="24"/>
  <c r="BP27" i="24"/>
  <c r="BL27" i="24"/>
  <c r="BG65" i="24"/>
  <c r="BU26" i="24"/>
  <c r="BQ26" i="24"/>
  <c r="BM26" i="24"/>
  <c r="BJ58" i="24"/>
  <c r="BU54" i="24"/>
  <c r="BJ54" i="24"/>
  <c r="BO51" i="24"/>
  <c r="BO45" i="24"/>
  <c r="BJ43" i="24"/>
  <c r="BW39" i="24"/>
  <c r="BR39" i="24"/>
  <c r="BJ39" i="24"/>
  <c r="BU37" i="24"/>
  <c r="BN49" i="24"/>
  <c r="BW48" i="24"/>
  <c r="BR48" i="24"/>
  <c r="BJ48" i="24"/>
  <c r="BU35" i="24"/>
  <c r="BN47" i="24"/>
  <c r="BU33" i="24"/>
  <c r="BU31" i="24"/>
  <c r="BU29" i="24"/>
  <c r="BN41" i="24"/>
  <c r="BJ40" i="24"/>
  <c r="BU27" i="24"/>
  <c r="BK37" i="24"/>
  <c r="BV49" i="24"/>
  <c r="BV48" i="24"/>
  <c r="BK36" i="24"/>
  <c r="BV71" i="24"/>
  <c r="BK35" i="24"/>
  <c r="BK34" i="24"/>
  <c r="BK33" i="24"/>
  <c r="BK31" i="24"/>
  <c r="BK30" i="24"/>
  <c r="BK29" i="24"/>
  <c r="BK27" i="24"/>
  <c r="BG111" i="24"/>
  <c r="BG62" i="24"/>
  <c r="BG26" i="24"/>
  <c r="BG80" i="24"/>
  <c r="BG44" i="24"/>
  <c r="BG76" i="24"/>
  <c r="BG40" i="24"/>
  <c r="C125" i="33"/>
  <c r="C137" i="33" s="1"/>
  <c r="C149" i="33" s="1"/>
  <c r="C129" i="33"/>
  <c r="C141" i="33" s="1"/>
  <c r="C153" i="33" s="1"/>
  <c r="C133" i="33"/>
  <c r="C145" i="33" s="1"/>
  <c r="C157" i="33" s="1"/>
  <c r="C126" i="33"/>
  <c r="C138" i="33" s="1"/>
  <c r="C150" i="33" s="1"/>
  <c r="C130" i="33"/>
  <c r="C142" i="33" s="1"/>
  <c r="C154" i="33" s="1"/>
  <c r="C134" i="33"/>
  <c r="C123" i="33"/>
  <c r="C135" i="33" s="1"/>
  <c r="C147" i="33" s="1"/>
  <c r="C127" i="33"/>
  <c r="C139" i="33" s="1"/>
  <c r="C151" i="33" s="1"/>
  <c r="C131" i="33"/>
  <c r="C143" i="33" s="1"/>
  <c r="C155" i="33" s="1"/>
  <c r="C124" i="33"/>
  <c r="C136" i="33" s="1"/>
  <c r="C148" i="33" s="1"/>
  <c r="C128" i="33"/>
  <c r="C140" i="33" s="1"/>
  <c r="C152" i="33" s="1"/>
  <c r="C132" i="33"/>
  <c r="C144" i="33" s="1"/>
  <c r="C156" i="33" s="1"/>
  <c r="C146" i="33"/>
  <c r="B157" i="33"/>
  <c r="B156" i="33"/>
  <c r="B155" i="33"/>
  <c r="B154" i="33"/>
  <c r="B153" i="33"/>
  <c r="B152" i="33"/>
  <c r="B151" i="33"/>
  <c r="B150" i="33"/>
  <c r="B149" i="33"/>
  <c r="B148" i="33"/>
  <c r="B147" i="33"/>
  <c r="B146" i="33"/>
  <c r="B145" i="33"/>
  <c r="B144" i="33"/>
  <c r="B143" i="33"/>
  <c r="B142" i="33"/>
  <c r="B141" i="33"/>
  <c r="B140" i="33"/>
  <c r="B139" i="33"/>
  <c r="B138" i="33"/>
  <c r="B137" i="33"/>
  <c r="B136" i="33"/>
  <c r="B135" i="33"/>
  <c r="B134" i="33"/>
  <c r="B133" i="33"/>
  <c r="B132" i="33"/>
  <c r="B131" i="33"/>
  <c r="B130" i="33"/>
  <c r="B129" i="33"/>
  <c r="B128" i="33"/>
  <c r="B127" i="33"/>
  <c r="B126" i="33"/>
  <c r="B125" i="33"/>
  <c r="B124" i="33"/>
  <c r="B123" i="33"/>
  <c r="B122" i="33"/>
  <c r="B121" i="33"/>
  <c r="B120" i="33"/>
  <c r="B119" i="33"/>
  <c r="B118" i="33"/>
  <c r="B117" i="33"/>
  <c r="B116" i="33"/>
  <c r="B115" i="33"/>
  <c r="B114" i="33"/>
  <c r="B113" i="33"/>
  <c r="B112" i="33"/>
  <c r="B111" i="33"/>
  <c r="B110" i="33"/>
  <c r="B109" i="33"/>
  <c r="B108" i="33"/>
  <c r="B107" i="33"/>
  <c r="B106" i="33"/>
  <c r="B105" i="33"/>
  <c r="B104" i="33"/>
  <c r="B103" i="33"/>
  <c r="B102" i="33"/>
  <c r="B101" i="33"/>
  <c r="B100" i="33"/>
  <c r="B99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7" i="33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4" i="33"/>
  <c r="B3" i="33"/>
  <c r="B2" i="33"/>
  <c r="AI3" i="24"/>
  <c r="AI4" i="24"/>
  <c r="AI5" i="24"/>
  <c r="AI6" i="24"/>
  <c r="AI7" i="24"/>
  <c r="AI8" i="24"/>
  <c r="AI9" i="24"/>
  <c r="AI10" i="24"/>
  <c r="AI11" i="24"/>
  <c r="AI12" i="24"/>
  <c r="AI13" i="24"/>
  <c r="AI14" i="24"/>
  <c r="AI15" i="24"/>
  <c r="AI16" i="24"/>
  <c r="AI17" i="24"/>
  <c r="AI18" i="24"/>
  <c r="AI19" i="24"/>
  <c r="AI20" i="24"/>
  <c r="AI21" i="24"/>
  <c r="AI22" i="24"/>
  <c r="AI23" i="24"/>
  <c r="AI24" i="24"/>
  <c r="AI25" i="24"/>
  <c r="AI26" i="24"/>
  <c r="AI27" i="24"/>
  <c r="AI28" i="24"/>
  <c r="AI29" i="24"/>
  <c r="AI30" i="24"/>
  <c r="AI31" i="24"/>
  <c r="AI32" i="24"/>
  <c r="AI33" i="24"/>
  <c r="AI34" i="24"/>
  <c r="AI35" i="24"/>
  <c r="AI36" i="24"/>
  <c r="AI37" i="24"/>
  <c r="AI38" i="24"/>
  <c r="AI39" i="24"/>
  <c r="AI40" i="24"/>
  <c r="AI41" i="24"/>
  <c r="AI42" i="24"/>
  <c r="AI43" i="24"/>
  <c r="AI44" i="24"/>
  <c r="AI45" i="24"/>
  <c r="AI46" i="24"/>
  <c r="AI47" i="24"/>
  <c r="AI48" i="24"/>
  <c r="AI49" i="24"/>
  <c r="AI50" i="24"/>
  <c r="AI51" i="24"/>
  <c r="AI52" i="24"/>
  <c r="AI53" i="24"/>
  <c r="AI54" i="24"/>
  <c r="AI55" i="24"/>
  <c r="AI56" i="24"/>
  <c r="AI57" i="24"/>
  <c r="AI58" i="24"/>
  <c r="AI59" i="24"/>
  <c r="AI60" i="24"/>
  <c r="AI61" i="24"/>
  <c r="AI62" i="24"/>
  <c r="AI63" i="24"/>
  <c r="AI64" i="24"/>
  <c r="AI65" i="24"/>
  <c r="AI66" i="24"/>
  <c r="AI67" i="24"/>
  <c r="AI68" i="24"/>
  <c r="AI69" i="24"/>
  <c r="AI70" i="24"/>
  <c r="AI71" i="24"/>
  <c r="AI72" i="24"/>
  <c r="AI73" i="24"/>
  <c r="AI74" i="24"/>
  <c r="AI75" i="24"/>
  <c r="AI76" i="24"/>
  <c r="AI77" i="24"/>
  <c r="AI78" i="24"/>
  <c r="AI79" i="24"/>
  <c r="AI80" i="24"/>
  <c r="AI81" i="24"/>
  <c r="AI82" i="24"/>
  <c r="AI83" i="24"/>
  <c r="AI84" i="24"/>
  <c r="AI85" i="24"/>
  <c r="AI86" i="24"/>
  <c r="AI87" i="24"/>
  <c r="AI88" i="24"/>
  <c r="AI89" i="24"/>
  <c r="AI90" i="24"/>
  <c r="AI91" i="24"/>
  <c r="AI92" i="24"/>
  <c r="AI93" i="24"/>
  <c r="AI94" i="24"/>
  <c r="AI95" i="24"/>
  <c r="AI96" i="24"/>
  <c r="AI97" i="24"/>
  <c r="AI98" i="24"/>
  <c r="AI99" i="24"/>
  <c r="AI100" i="24"/>
  <c r="AI101" i="24"/>
  <c r="AI102" i="24"/>
  <c r="AI103" i="24"/>
  <c r="AI104" i="24"/>
  <c r="AI105" i="24"/>
  <c r="AI106" i="24"/>
  <c r="AI107" i="24"/>
  <c r="AI108" i="24"/>
  <c r="AI109" i="24"/>
  <c r="AI110" i="24"/>
  <c r="AI111" i="24"/>
  <c r="AI112" i="24"/>
  <c r="AI113" i="24"/>
  <c r="AI114" i="24"/>
  <c r="AI115" i="24"/>
  <c r="AI116" i="24"/>
  <c r="AI117" i="24"/>
  <c r="AI118" i="24"/>
  <c r="AI119" i="24"/>
  <c r="AI120" i="24"/>
  <c r="AI121" i="24"/>
  <c r="AI122" i="24"/>
  <c r="AI123" i="24"/>
  <c r="AI124" i="24"/>
  <c r="AI125" i="24"/>
  <c r="AI126" i="24"/>
  <c r="AI127" i="24"/>
  <c r="AI2" i="24"/>
  <c r="AJ1" i="24"/>
  <c r="AK1" i="24"/>
  <c r="AL1" i="24"/>
  <c r="AM1" i="24"/>
  <c r="AN1" i="24"/>
  <c r="AO1" i="24"/>
  <c r="AP1" i="24"/>
  <c r="AQ1" i="24"/>
  <c r="AR1" i="24"/>
  <c r="AS1" i="24"/>
  <c r="AT1" i="24"/>
  <c r="AU1" i="24"/>
  <c r="AV1" i="24"/>
  <c r="AW1" i="24"/>
  <c r="AX1" i="24"/>
  <c r="AY1" i="24"/>
  <c r="AI1" i="24"/>
  <c r="DR33" i="32"/>
  <c r="DR34" i="32" s="1"/>
  <c r="DR35" i="32" s="1"/>
  <c r="DR36" i="32" s="1"/>
  <c r="DR37" i="32" s="1"/>
  <c r="DR38" i="32" s="1"/>
  <c r="DR39" i="32" s="1"/>
  <c r="DR40" i="32" s="1"/>
  <c r="DR41" i="32" s="1"/>
  <c r="DR42" i="32" s="1"/>
  <c r="DR43" i="32" s="1"/>
  <c r="DR44" i="32" s="1"/>
  <c r="DR45" i="32" s="1"/>
  <c r="DR46" i="32" s="1"/>
  <c r="DR47" i="32" s="1"/>
  <c r="DR48" i="32" s="1"/>
  <c r="DR49" i="32" s="1"/>
  <c r="DR50" i="32" s="1"/>
  <c r="DR51" i="32" s="1"/>
  <c r="DR6" i="32"/>
  <c r="DR7" i="32" s="1"/>
  <c r="DR8" i="32" s="1"/>
  <c r="DR9" i="32" s="1"/>
  <c r="DR10" i="32" s="1"/>
  <c r="DR11" i="32" s="1"/>
  <c r="DR12" i="32" s="1"/>
  <c r="DR13" i="32" s="1"/>
  <c r="DR14" i="32" s="1"/>
  <c r="DR15" i="32" s="1"/>
  <c r="DR16" i="32" s="1"/>
  <c r="DR17" i="32" s="1"/>
  <c r="DR18" i="32" s="1"/>
  <c r="DR19" i="32" s="1"/>
  <c r="DR20" i="32" s="1"/>
  <c r="DR21" i="32" s="1"/>
  <c r="DR22" i="32" s="1"/>
  <c r="DR23" i="32" s="1"/>
  <c r="DR24" i="32" s="1"/>
  <c r="DD33" i="32"/>
  <c r="DD34" i="32" s="1"/>
  <c r="DD35" i="32" s="1"/>
  <c r="DD36" i="32" s="1"/>
  <c r="DD37" i="32" s="1"/>
  <c r="DD38" i="32" s="1"/>
  <c r="DD39" i="32" s="1"/>
  <c r="DD40" i="32" s="1"/>
  <c r="DD41" i="32" s="1"/>
  <c r="DD42" i="32" s="1"/>
  <c r="DD43" i="32" s="1"/>
  <c r="DD44" i="32" s="1"/>
  <c r="DD45" i="32" s="1"/>
  <c r="DD46" i="32" s="1"/>
  <c r="DD47" i="32" s="1"/>
  <c r="DD48" i="32" s="1"/>
  <c r="DD49" i="32" s="1"/>
  <c r="DD50" i="32" s="1"/>
  <c r="DD51" i="32" s="1"/>
  <c r="DD6" i="32"/>
  <c r="DD7" i="32" s="1"/>
  <c r="DD8" i="32" s="1"/>
  <c r="DD9" i="32" s="1"/>
  <c r="DD10" i="32" s="1"/>
  <c r="DD11" i="32" s="1"/>
  <c r="DD12" i="32" s="1"/>
  <c r="DD13" i="32" s="1"/>
  <c r="DD14" i="32" s="1"/>
  <c r="DD15" i="32" s="1"/>
  <c r="DD16" i="32" s="1"/>
  <c r="DD17" i="32" s="1"/>
  <c r="DD18" i="32" s="1"/>
  <c r="DD19" i="32" s="1"/>
  <c r="DD20" i="32" s="1"/>
  <c r="DD21" i="32" s="1"/>
  <c r="DD22" i="32" s="1"/>
  <c r="DD23" i="32" s="1"/>
  <c r="DD24" i="32" s="1"/>
  <c r="CP33" i="32"/>
  <c r="CP34" i="32" s="1"/>
  <c r="CP35" i="32" s="1"/>
  <c r="CP36" i="32" s="1"/>
  <c r="CP37" i="32" s="1"/>
  <c r="CP38" i="32" s="1"/>
  <c r="CP39" i="32" s="1"/>
  <c r="CP40" i="32" s="1"/>
  <c r="CP41" i="32" s="1"/>
  <c r="CP42" i="32" s="1"/>
  <c r="CP43" i="32" s="1"/>
  <c r="CP44" i="32" s="1"/>
  <c r="CP45" i="32" s="1"/>
  <c r="CP46" i="32" s="1"/>
  <c r="CP47" i="32" s="1"/>
  <c r="CP48" i="32" s="1"/>
  <c r="CP49" i="32" s="1"/>
  <c r="CP50" i="32" s="1"/>
  <c r="CP51" i="32" s="1"/>
  <c r="CP6" i="32"/>
  <c r="CP7" i="32" s="1"/>
  <c r="CP8" i="32" s="1"/>
  <c r="CP9" i="32" s="1"/>
  <c r="CP10" i="32" s="1"/>
  <c r="CP11" i="32" s="1"/>
  <c r="CP12" i="32" s="1"/>
  <c r="CP13" i="32" s="1"/>
  <c r="CP14" i="32" s="1"/>
  <c r="CP15" i="32" s="1"/>
  <c r="CP16" i="32" s="1"/>
  <c r="CP17" i="32" s="1"/>
  <c r="CP18" i="32" s="1"/>
  <c r="CP19" i="32" s="1"/>
  <c r="CP20" i="32" s="1"/>
  <c r="CP21" i="32" s="1"/>
  <c r="CP22" i="32" s="1"/>
  <c r="CP23" i="32" s="1"/>
  <c r="CP24" i="32" s="1"/>
  <c r="CB33" i="32"/>
  <c r="CB34" i="32" s="1"/>
  <c r="CB35" i="32" s="1"/>
  <c r="CB36" i="32" s="1"/>
  <c r="CB37" i="32" s="1"/>
  <c r="CB38" i="32" s="1"/>
  <c r="CB39" i="32" s="1"/>
  <c r="CB40" i="32" s="1"/>
  <c r="CB41" i="32" s="1"/>
  <c r="CB42" i="32" s="1"/>
  <c r="CB43" i="32" s="1"/>
  <c r="CB44" i="32" s="1"/>
  <c r="CB45" i="32" s="1"/>
  <c r="CB46" i="32" s="1"/>
  <c r="CB47" i="32" s="1"/>
  <c r="CB48" i="32" s="1"/>
  <c r="CB49" i="32" s="1"/>
  <c r="CB50" i="32" s="1"/>
  <c r="CB51" i="32" s="1"/>
  <c r="CB6" i="32"/>
  <c r="CB7" i="32" s="1"/>
  <c r="CB8" i="32" s="1"/>
  <c r="CB9" i="32" s="1"/>
  <c r="CB10" i="32" s="1"/>
  <c r="CB11" i="32" s="1"/>
  <c r="CB12" i="32" s="1"/>
  <c r="CB13" i="32" s="1"/>
  <c r="CB14" i="32" s="1"/>
  <c r="CB15" i="32" s="1"/>
  <c r="CB16" i="32" s="1"/>
  <c r="CB17" i="32" s="1"/>
  <c r="CB18" i="32" s="1"/>
  <c r="CB19" i="32" s="1"/>
  <c r="CB20" i="32" s="1"/>
  <c r="CB21" i="32" s="1"/>
  <c r="CB22" i="32" s="1"/>
  <c r="CB23" i="32" s="1"/>
  <c r="CB24" i="32" s="1"/>
  <c r="BN33" i="32"/>
  <c r="BN34" i="32" s="1"/>
  <c r="BN35" i="32" s="1"/>
  <c r="BN36" i="32" s="1"/>
  <c r="BN37" i="32" s="1"/>
  <c r="BN38" i="32" s="1"/>
  <c r="BN39" i="32" s="1"/>
  <c r="BN40" i="32" s="1"/>
  <c r="BN41" i="32" s="1"/>
  <c r="BN42" i="32" s="1"/>
  <c r="BN43" i="32" s="1"/>
  <c r="BN44" i="32" s="1"/>
  <c r="BN45" i="32" s="1"/>
  <c r="BN46" i="32" s="1"/>
  <c r="BN47" i="32" s="1"/>
  <c r="BN48" i="32" s="1"/>
  <c r="BN49" i="32" s="1"/>
  <c r="BN6" i="32"/>
  <c r="BN7" i="32" s="1"/>
  <c r="BN8" i="32" s="1"/>
  <c r="BN9" i="32" s="1"/>
  <c r="BN10" i="32" s="1"/>
  <c r="BN11" i="32" s="1"/>
  <c r="BN12" i="32" s="1"/>
  <c r="BN13" i="32" s="1"/>
  <c r="BN14" i="32" s="1"/>
  <c r="BN15" i="32" s="1"/>
  <c r="BN16" i="32" s="1"/>
  <c r="BN17" i="32" s="1"/>
  <c r="BN18" i="32" s="1"/>
  <c r="BN19" i="32" s="1"/>
  <c r="BN20" i="32" s="1"/>
  <c r="BN21" i="32" s="1"/>
  <c r="BN22" i="32" s="1"/>
  <c r="BN23" i="32" s="1"/>
  <c r="BN24" i="32" s="1"/>
  <c r="AZ33" i="32"/>
  <c r="AZ34" i="32" s="1"/>
  <c r="AZ35" i="32" s="1"/>
  <c r="AZ36" i="32" s="1"/>
  <c r="AZ37" i="32" s="1"/>
  <c r="AZ38" i="32" s="1"/>
  <c r="AZ39" i="32" s="1"/>
  <c r="AZ40" i="32" s="1"/>
  <c r="AZ41" i="32" s="1"/>
  <c r="AZ42" i="32" s="1"/>
  <c r="AZ43" i="32" s="1"/>
  <c r="AZ44" i="32" s="1"/>
  <c r="AZ45" i="32" s="1"/>
  <c r="AZ46" i="32" s="1"/>
  <c r="AZ47" i="32" s="1"/>
  <c r="AZ48" i="32" s="1"/>
  <c r="AZ49" i="32" s="1"/>
  <c r="AZ50" i="32" s="1"/>
  <c r="AZ51" i="32" s="1"/>
  <c r="AZ6" i="32"/>
  <c r="AZ7" i="32" s="1"/>
  <c r="AZ8" i="32" s="1"/>
  <c r="AZ9" i="32" s="1"/>
  <c r="AZ10" i="32" s="1"/>
  <c r="AZ11" i="32" s="1"/>
  <c r="AZ12" i="32" s="1"/>
  <c r="AZ13" i="32" s="1"/>
  <c r="AZ14" i="32" s="1"/>
  <c r="AZ15" i="32" s="1"/>
  <c r="AZ16" i="32" s="1"/>
  <c r="AZ17" i="32" s="1"/>
  <c r="AZ18" i="32" s="1"/>
  <c r="AZ19" i="32" s="1"/>
  <c r="AZ20" i="32" s="1"/>
  <c r="AZ21" i="32" s="1"/>
  <c r="AZ22" i="32" s="1"/>
  <c r="AZ23" i="32" s="1"/>
  <c r="AZ24" i="32" s="1"/>
  <c r="AL33" i="32"/>
  <c r="AL34" i="32" s="1"/>
  <c r="AL35" i="32" s="1"/>
  <c r="AL36" i="32" s="1"/>
  <c r="AL37" i="32" s="1"/>
  <c r="AL38" i="32" s="1"/>
  <c r="AL39" i="32" s="1"/>
  <c r="AL40" i="32" s="1"/>
  <c r="AL41" i="32" s="1"/>
  <c r="AL42" i="32" s="1"/>
  <c r="AL43" i="32" s="1"/>
  <c r="AL44" i="32" s="1"/>
  <c r="AL45" i="32" s="1"/>
  <c r="AL46" i="32" s="1"/>
  <c r="AL47" i="32" s="1"/>
  <c r="AL48" i="32" s="1"/>
  <c r="AL49" i="32" s="1"/>
  <c r="AL50" i="32" s="1"/>
  <c r="AL51" i="32" s="1"/>
  <c r="AL6" i="32"/>
  <c r="AL7" i="32" s="1"/>
  <c r="AL8" i="32" s="1"/>
  <c r="AL9" i="32" s="1"/>
  <c r="AL10" i="32" s="1"/>
  <c r="AL11" i="32" s="1"/>
  <c r="AL12" i="32" s="1"/>
  <c r="AL13" i="32" s="1"/>
  <c r="AL14" i="32" s="1"/>
  <c r="AL15" i="32" s="1"/>
  <c r="AL16" i="32" s="1"/>
  <c r="AL17" i="32" s="1"/>
  <c r="AL18" i="32" s="1"/>
  <c r="AL19" i="32" s="1"/>
  <c r="AL20" i="32" s="1"/>
  <c r="AL21" i="32" s="1"/>
  <c r="AL22" i="32" s="1"/>
  <c r="AL23" i="32" s="1"/>
  <c r="AL24" i="32" s="1"/>
  <c r="X33" i="32"/>
  <c r="X34" i="32" s="1"/>
  <c r="X35" i="32" s="1"/>
  <c r="X36" i="32" s="1"/>
  <c r="X37" i="32" s="1"/>
  <c r="X38" i="32" s="1"/>
  <c r="X39" i="32" s="1"/>
  <c r="X40" i="32" s="1"/>
  <c r="X41" i="32" s="1"/>
  <c r="X42" i="32" s="1"/>
  <c r="X43" i="32" s="1"/>
  <c r="X44" i="32" s="1"/>
  <c r="X45" i="32" s="1"/>
  <c r="X46" i="32" s="1"/>
  <c r="X47" i="32" s="1"/>
  <c r="X48" i="32" s="1"/>
  <c r="X49" i="32" s="1"/>
  <c r="X50" i="32" s="1"/>
  <c r="X51" i="32" s="1"/>
  <c r="DE33" i="32"/>
  <c r="DF33" i="32"/>
  <c r="DG33" i="32"/>
  <c r="DH33" i="32"/>
  <c r="DI33" i="32"/>
  <c r="DJ33" i="32"/>
  <c r="DK33" i="32"/>
  <c r="DL33" i="32"/>
  <c r="DM33" i="32"/>
  <c r="DN33" i="32"/>
  <c r="DO33" i="32"/>
  <c r="DP33" i="32"/>
  <c r="DE34" i="32"/>
  <c r="DF34" i="32"/>
  <c r="DG34" i="32"/>
  <c r="DH34" i="32"/>
  <c r="DI34" i="32"/>
  <c r="DJ34" i="32"/>
  <c r="DK34" i="32"/>
  <c r="DL34" i="32"/>
  <c r="DM34" i="32"/>
  <c r="DN34" i="32"/>
  <c r="DO34" i="32"/>
  <c r="DP34" i="32"/>
  <c r="DE35" i="32"/>
  <c r="DF35" i="32"/>
  <c r="DG35" i="32"/>
  <c r="DH35" i="32"/>
  <c r="DI35" i="32"/>
  <c r="DJ35" i="32"/>
  <c r="DK35" i="32"/>
  <c r="DL35" i="32"/>
  <c r="DM35" i="32"/>
  <c r="DN35" i="32"/>
  <c r="DO35" i="32"/>
  <c r="DP35" i="32"/>
  <c r="DE36" i="32"/>
  <c r="DF36" i="32"/>
  <c r="DG36" i="32"/>
  <c r="DH36" i="32"/>
  <c r="DI36" i="32"/>
  <c r="DJ36" i="32"/>
  <c r="DK36" i="32"/>
  <c r="DL36" i="32"/>
  <c r="DM36" i="32"/>
  <c r="DN36" i="32"/>
  <c r="DO36" i="32"/>
  <c r="DP36" i="32"/>
  <c r="DE37" i="32"/>
  <c r="DF37" i="32"/>
  <c r="DG37" i="32"/>
  <c r="DH37" i="32"/>
  <c r="DI37" i="32"/>
  <c r="DJ37" i="32"/>
  <c r="DK37" i="32"/>
  <c r="DL37" i="32"/>
  <c r="DM37" i="32"/>
  <c r="DN37" i="32"/>
  <c r="DO37" i="32"/>
  <c r="DP37" i="32"/>
  <c r="DE38" i="32"/>
  <c r="DF38" i="32"/>
  <c r="DG38" i="32"/>
  <c r="DH38" i="32"/>
  <c r="DI38" i="32"/>
  <c r="DJ38" i="32"/>
  <c r="DK38" i="32"/>
  <c r="DL38" i="32"/>
  <c r="DM38" i="32"/>
  <c r="DN38" i="32"/>
  <c r="DO38" i="32"/>
  <c r="DP38" i="32"/>
  <c r="DE39" i="32"/>
  <c r="DF39" i="32"/>
  <c r="DG39" i="32"/>
  <c r="DH39" i="32"/>
  <c r="DI39" i="32"/>
  <c r="DJ39" i="32"/>
  <c r="DK39" i="32"/>
  <c r="DL39" i="32"/>
  <c r="DM39" i="32"/>
  <c r="DN39" i="32"/>
  <c r="DO39" i="32"/>
  <c r="DP39" i="32"/>
  <c r="DE40" i="32"/>
  <c r="DF40" i="32"/>
  <c r="DG40" i="32"/>
  <c r="DH40" i="32"/>
  <c r="DI40" i="32"/>
  <c r="DJ40" i="32"/>
  <c r="DK40" i="32"/>
  <c r="DL40" i="32"/>
  <c r="DM40" i="32"/>
  <c r="DN40" i="32"/>
  <c r="DO40" i="32"/>
  <c r="DP40" i="32"/>
  <c r="DE41" i="32"/>
  <c r="DF41" i="32"/>
  <c r="DG41" i="32"/>
  <c r="DH41" i="32"/>
  <c r="DI41" i="32"/>
  <c r="DJ41" i="32"/>
  <c r="DK41" i="32"/>
  <c r="DL41" i="32"/>
  <c r="DM41" i="32"/>
  <c r="DN41" i="32"/>
  <c r="DO41" i="32"/>
  <c r="DP41" i="32"/>
  <c r="DE42" i="32"/>
  <c r="DF42" i="32"/>
  <c r="DG42" i="32"/>
  <c r="DH42" i="32"/>
  <c r="DI42" i="32"/>
  <c r="DJ42" i="32"/>
  <c r="DK42" i="32"/>
  <c r="DL42" i="32"/>
  <c r="DM42" i="32"/>
  <c r="DN42" i="32"/>
  <c r="DO42" i="32"/>
  <c r="DP42" i="32"/>
  <c r="DE43" i="32"/>
  <c r="DF43" i="32"/>
  <c r="DG43" i="32"/>
  <c r="DH43" i="32"/>
  <c r="DI43" i="32"/>
  <c r="DJ43" i="32"/>
  <c r="DK43" i="32"/>
  <c r="DL43" i="32"/>
  <c r="DM43" i="32"/>
  <c r="DN43" i="32"/>
  <c r="DO43" i="32"/>
  <c r="DP43" i="32"/>
  <c r="DE44" i="32"/>
  <c r="DF44" i="32"/>
  <c r="DG44" i="32"/>
  <c r="DH44" i="32"/>
  <c r="DI44" i="32"/>
  <c r="DJ44" i="32"/>
  <c r="DK44" i="32"/>
  <c r="DL44" i="32"/>
  <c r="DM44" i="32"/>
  <c r="DN44" i="32"/>
  <c r="DO44" i="32"/>
  <c r="DP44" i="32"/>
  <c r="DE45" i="32"/>
  <c r="DF45" i="32"/>
  <c r="DG45" i="32"/>
  <c r="DH45" i="32"/>
  <c r="DI45" i="32"/>
  <c r="DJ45" i="32"/>
  <c r="DK45" i="32"/>
  <c r="DL45" i="32"/>
  <c r="DM45" i="32"/>
  <c r="DN45" i="32"/>
  <c r="DO45" i="32"/>
  <c r="DP45" i="32"/>
  <c r="DE46" i="32"/>
  <c r="DF46" i="32"/>
  <c r="DG46" i="32"/>
  <c r="DH46" i="32"/>
  <c r="DI46" i="32"/>
  <c r="DJ46" i="32"/>
  <c r="DK46" i="32"/>
  <c r="DL46" i="32"/>
  <c r="DM46" i="32"/>
  <c r="DN46" i="32"/>
  <c r="DO46" i="32"/>
  <c r="DP46" i="32"/>
  <c r="DE47" i="32"/>
  <c r="DF47" i="32"/>
  <c r="DG47" i="32"/>
  <c r="DH47" i="32"/>
  <c r="DI47" i="32"/>
  <c r="DJ47" i="32"/>
  <c r="DK47" i="32"/>
  <c r="DL47" i="32"/>
  <c r="DM47" i="32"/>
  <c r="DN47" i="32"/>
  <c r="DO47" i="32"/>
  <c r="DP47" i="32"/>
  <c r="DE48" i="32"/>
  <c r="DF48" i="32"/>
  <c r="DG48" i="32"/>
  <c r="DH48" i="32"/>
  <c r="DI48" i="32"/>
  <c r="DJ48" i="32"/>
  <c r="DK48" i="32"/>
  <c r="DL48" i="32"/>
  <c r="DM48" i="32"/>
  <c r="DN48" i="32"/>
  <c r="DO48" i="32"/>
  <c r="DP48" i="32"/>
  <c r="DE49" i="32"/>
  <c r="DF49" i="32"/>
  <c r="DG49" i="32"/>
  <c r="DH49" i="32"/>
  <c r="DI49" i="32"/>
  <c r="DJ49" i="32"/>
  <c r="DK49" i="32"/>
  <c r="DL49" i="32"/>
  <c r="DM49" i="32"/>
  <c r="DN49" i="32"/>
  <c r="DO49" i="32"/>
  <c r="DP49" i="32"/>
  <c r="DF32" i="32"/>
  <c r="DG32" i="32"/>
  <c r="DH32" i="32"/>
  <c r="DI32" i="32"/>
  <c r="DJ32" i="32"/>
  <c r="DK32" i="32"/>
  <c r="DL32" i="32"/>
  <c r="DM32" i="32"/>
  <c r="DN32" i="32"/>
  <c r="DO32" i="32"/>
  <c r="DP32" i="32"/>
  <c r="DE32" i="32"/>
  <c r="DF5" i="32"/>
  <c r="DG5" i="32"/>
  <c r="DH5" i="32"/>
  <c r="DI5" i="32"/>
  <c r="DJ5" i="32"/>
  <c r="DK5" i="32"/>
  <c r="DL5" i="32"/>
  <c r="DM5" i="32"/>
  <c r="DN5" i="32"/>
  <c r="DO5" i="32"/>
  <c r="DP5" i="32"/>
  <c r="DF6" i="32"/>
  <c r="DG6" i="32"/>
  <c r="DH6" i="32"/>
  <c r="DI6" i="32"/>
  <c r="DJ6" i="32"/>
  <c r="DK6" i="32"/>
  <c r="DL6" i="32"/>
  <c r="DM6" i="32"/>
  <c r="DN6" i="32"/>
  <c r="DO6" i="32"/>
  <c r="DP6" i="32"/>
  <c r="DF7" i="32"/>
  <c r="DG7" i="32"/>
  <c r="DH7" i="32"/>
  <c r="DI7" i="32"/>
  <c r="DJ7" i="32"/>
  <c r="DK7" i="32"/>
  <c r="DL7" i="32"/>
  <c r="DM7" i="32"/>
  <c r="DN7" i="32"/>
  <c r="DO7" i="32"/>
  <c r="DP7" i="32"/>
  <c r="DF8" i="32"/>
  <c r="DG8" i="32"/>
  <c r="DH8" i="32"/>
  <c r="DI8" i="32"/>
  <c r="DJ8" i="32"/>
  <c r="DK8" i="32"/>
  <c r="DL8" i="32"/>
  <c r="DM8" i="32"/>
  <c r="DN8" i="32"/>
  <c r="DO8" i="32"/>
  <c r="DP8" i="32"/>
  <c r="DF9" i="32"/>
  <c r="DG9" i="32"/>
  <c r="DH9" i="32"/>
  <c r="DI9" i="32"/>
  <c r="DJ9" i="32"/>
  <c r="DK9" i="32"/>
  <c r="DL9" i="32"/>
  <c r="DM9" i="32"/>
  <c r="DN9" i="32"/>
  <c r="DO9" i="32"/>
  <c r="DP9" i="32"/>
  <c r="DF10" i="32"/>
  <c r="DG10" i="32"/>
  <c r="DH10" i="32"/>
  <c r="DI10" i="32"/>
  <c r="DJ10" i="32"/>
  <c r="DK10" i="32"/>
  <c r="DL10" i="32"/>
  <c r="DM10" i="32"/>
  <c r="DN10" i="32"/>
  <c r="DO10" i="32"/>
  <c r="DP10" i="32"/>
  <c r="DF11" i="32"/>
  <c r="DG11" i="32"/>
  <c r="DH11" i="32"/>
  <c r="DI11" i="32"/>
  <c r="DJ11" i="32"/>
  <c r="DK11" i="32"/>
  <c r="DL11" i="32"/>
  <c r="DM11" i="32"/>
  <c r="DN11" i="32"/>
  <c r="DO11" i="32"/>
  <c r="DP11" i="32"/>
  <c r="DF12" i="32"/>
  <c r="DG12" i="32"/>
  <c r="DH12" i="32"/>
  <c r="DI12" i="32"/>
  <c r="DJ12" i="32"/>
  <c r="DK12" i="32"/>
  <c r="DL12" i="32"/>
  <c r="DM12" i="32"/>
  <c r="DN12" i="32"/>
  <c r="DO12" i="32"/>
  <c r="DP12" i="32"/>
  <c r="DF13" i="32"/>
  <c r="DG13" i="32"/>
  <c r="DH13" i="32"/>
  <c r="DI13" i="32"/>
  <c r="DJ13" i="32"/>
  <c r="DK13" i="32"/>
  <c r="DL13" i="32"/>
  <c r="DM13" i="32"/>
  <c r="DN13" i="32"/>
  <c r="DO13" i="32"/>
  <c r="DP13" i="32"/>
  <c r="DF14" i="32"/>
  <c r="DG14" i="32"/>
  <c r="DH14" i="32"/>
  <c r="DI14" i="32"/>
  <c r="DJ14" i="32"/>
  <c r="DK14" i="32"/>
  <c r="DL14" i="32"/>
  <c r="DM14" i="32"/>
  <c r="DN14" i="32"/>
  <c r="DO14" i="32"/>
  <c r="DP14" i="32"/>
  <c r="DF15" i="32"/>
  <c r="DG15" i="32"/>
  <c r="DH15" i="32"/>
  <c r="DI15" i="32"/>
  <c r="DJ15" i="32"/>
  <c r="DK15" i="32"/>
  <c r="DL15" i="32"/>
  <c r="DM15" i="32"/>
  <c r="DN15" i="32"/>
  <c r="DO15" i="32"/>
  <c r="DP15" i="32"/>
  <c r="DF16" i="32"/>
  <c r="DG16" i="32"/>
  <c r="DH16" i="32"/>
  <c r="DI16" i="32"/>
  <c r="DJ16" i="32"/>
  <c r="DK16" i="32"/>
  <c r="DL16" i="32"/>
  <c r="DM16" i="32"/>
  <c r="DN16" i="32"/>
  <c r="DO16" i="32"/>
  <c r="DP16" i="32"/>
  <c r="DF17" i="32"/>
  <c r="DG17" i="32"/>
  <c r="DH17" i="32"/>
  <c r="DI17" i="32"/>
  <c r="DJ17" i="32"/>
  <c r="DK17" i="32"/>
  <c r="DL17" i="32"/>
  <c r="DM17" i="32"/>
  <c r="DN17" i="32"/>
  <c r="DO17" i="32"/>
  <c r="DP17" i="32"/>
  <c r="DF18" i="32"/>
  <c r="DG18" i="32"/>
  <c r="DH18" i="32"/>
  <c r="DI18" i="32"/>
  <c r="DJ18" i="32"/>
  <c r="DK18" i="32"/>
  <c r="DL18" i="32"/>
  <c r="DM18" i="32"/>
  <c r="DN18" i="32"/>
  <c r="DO18" i="32"/>
  <c r="DP18" i="32"/>
  <c r="DF19" i="32"/>
  <c r="DG19" i="32"/>
  <c r="DH19" i="32"/>
  <c r="DI19" i="32"/>
  <c r="DJ19" i="32"/>
  <c r="DK19" i="32"/>
  <c r="DL19" i="32"/>
  <c r="DM19" i="32"/>
  <c r="DN19" i="32"/>
  <c r="DO19" i="32"/>
  <c r="DP19" i="32"/>
  <c r="DF20" i="32"/>
  <c r="DG20" i="32"/>
  <c r="DH20" i="32"/>
  <c r="DI20" i="32"/>
  <c r="DJ20" i="32"/>
  <c r="DK20" i="32"/>
  <c r="DL20" i="32"/>
  <c r="DM20" i="32"/>
  <c r="DN20" i="32"/>
  <c r="DO20" i="32"/>
  <c r="DP20" i="32"/>
  <c r="DF21" i="32"/>
  <c r="DG21" i="32"/>
  <c r="DH21" i="32"/>
  <c r="DI21" i="32"/>
  <c r="DJ21" i="32"/>
  <c r="DK21" i="32"/>
  <c r="DL21" i="32"/>
  <c r="DM21" i="32"/>
  <c r="DN21" i="32"/>
  <c r="DO21" i="32"/>
  <c r="DP21" i="32"/>
  <c r="DF22" i="32"/>
  <c r="DG22" i="32"/>
  <c r="DH22" i="32"/>
  <c r="DI22" i="32"/>
  <c r="DJ22" i="32"/>
  <c r="DK22" i="32"/>
  <c r="DL22" i="32"/>
  <c r="DM22" i="32"/>
  <c r="DN22" i="32"/>
  <c r="DO22" i="32"/>
  <c r="DP22" i="32"/>
  <c r="DF23" i="32"/>
  <c r="DG23" i="32"/>
  <c r="DH23" i="32"/>
  <c r="DI23" i="32"/>
  <c r="DJ23" i="32"/>
  <c r="DK23" i="32"/>
  <c r="DL23" i="32"/>
  <c r="DM23" i="32"/>
  <c r="DN23" i="32"/>
  <c r="DO23" i="32"/>
  <c r="DP23" i="32"/>
  <c r="DE6" i="32"/>
  <c r="DE7" i="32"/>
  <c r="DE8" i="32"/>
  <c r="DE9" i="32"/>
  <c r="DE10" i="32"/>
  <c r="DE11" i="32"/>
  <c r="DE12" i="32"/>
  <c r="DE13" i="32"/>
  <c r="DE14" i="32"/>
  <c r="DE15" i="32"/>
  <c r="DE16" i="32"/>
  <c r="DE17" i="32"/>
  <c r="DE18" i="32"/>
  <c r="DE19" i="32"/>
  <c r="DE20" i="32"/>
  <c r="DE21" i="32"/>
  <c r="DE22" i="32"/>
  <c r="DE23" i="32"/>
  <c r="DE5" i="32"/>
  <c r="DS33" i="32"/>
  <c r="DT33" i="32"/>
  <c r="DU33" i="32"/>
  <c r="DV33" i="32"/>
  <c r="DW33" i="32"/>
  <c r="DX33" i="32"/>
  <c r="DY33" i="32"/>
  <c r="DZ33" i="32"/>
  <c r="EA33" i="32"/>
  <c r="EB33" i="32"/>
  <c r="EC33" i="32"/>
  <c r="ED33" i="32"/>
  <c r="DS34" i="32"/>
  <c r="DT34" i="32"/>
  <c r="DU34" i="32"/>
  <c r="DV34" i="32"/>
  <c r="DW34" i="32"/>
  <c r="DX34" i="32"/>
  <c r="DY34" i="32"/>
  <c r="DZ34" i="32"/>
  <c r="EA34" i="32"/>
  <c r="EB34" i="32"/>
  <c r="EC34" i="32"/>
  <c r="ED34" i="32"/>
  <c r="DS35" i="32"/>
  <c r="DT35" i="32"/>
  <c r="DU35" i="32"/>
  <c r="DV35" i="32"/>
  <c r="DW35" i="32"/>
  <c r="DX35" i="32"/>
  <c r="DY35" i="32"/>
  <c r="DZ35" i="32"/>
  <c r="EA35" i="32"/>
  <c r="EB35" i="32"/>
  <c r="EC35" i="32"/>
  <c r="ED35" i="32"/>
  <c r="DS36" i="32"/>
  <c r="DT36" i="32"/>
  <c r="DU36" i="32"/>
  <c r="DV36" i="32"/>
  <c r="DW36" i="32"/>
  <c r="DX36" i="32"/>
  <c r="DY36" i="32"/>
  <c r="DZ36" i="32"/>
  <c r="EA36" i="32"/>
  <c r="EB36" i="32"/>
  <c r="EC36" i="32"/>
  <c r="ED36" i="32"/>
  <c r="DS37" i="32"/>
  <c r="DT37" i="32"/>
  <c r="DU37" i="32"/>
  <c r="DV37" i="32"/>
  <c r="DW37" i="32"/>
  <c r="DX37" i="32"/>
  <c r="DY37" i="32"/>
  <c r="DZ37" i="32"/>
  <c r="EA37" i="32"/>
  <c r="EB37" i="32"/>
  <c r="EC37" i="32"/>
  <c r="ED37" i="32"/>
  <c r="DS38" i="32"/>
  <c r="DT38" i="32"/>
  <c r="DU38" i="32"/>
  <c r="DV38" i="32"/>
  <c r="DW38" i="32"/>
  <c r="DX38" i="32"/>
  <c r="DY38" i="32"/>
  <c r="DZ38" i="32"/>
  <c r="EA38" i="32"/>
  <c r="EB38" i="32"/>
  <c r="EC38" i="32"/>
  <c r="ED38" i="32"/>
  <c r="DS39" i="32"/>
  <c r="DT39" i="32"/>
  <c r="DU39" i="32"/>
  <c r="DV39" i="32"/>
  <c r="DW39" i="32"/>
  <c r="DX39" i="32"/>
  <c r="DY39" i="32"/>
  <c r="DZ39" i="32"/>
  <c r="EA39" i="32"/>
  <c r="EB39" i="32"/>
  <c r="EC39" i="32"/>
  <c r="ED39" i="32"/>
  <c r="DS40" i="32"/>
  <c r="DT40" i="32"/>
  <c r="DU40" i="32"/>
  <c r="DV40" i="32"/>
  <c r="DW40" i="32"/>
  <c r="DX40" i="32"/>
  <c r="DY40" i="32"/>
  <c r="DZ40" i="32"/>
  <c r="EA40" i="32"/>
  <c r="EB40" i="32"/>
  <c r="EC40" i="32"/>
  <c r="ED40" i="32"/>
  <c r="DS41" i="32"/>
  <c r="DT41" i="32"/>
  <c r="DU41" i="32"/>
  <c r="DV41" i="32"/>
  <c r="DW41" i="32"/>
  <c r="DX41" i="32"/>
  <c r="DY41" i="32"/>
  <c r="DZ41" i="32"/>
  <c r="EA41" i="32"/>
  <c r="EB41" i="32"/>
  <c r="EC41" i="32"/>
  <c r="ED41" i="32"/>
  <c r="DS42" i="32"/>
  <c r="DT42" i="32"/>
  <c r="DU42" i="32"/>
  <c r="DV42" i="32"/>
  <c r="DW42" i="32"/>
  <c r="DX42" i="32"/>
  <c r="DY42" i="32"/>
  <c r="DZ42" i="32"/>
  <c r="EA42" i="32"/>
  <c r="EB42" i="32"/>
  <c r="EC42" i="32"/>
  <c r="ED42" i="32"/>
  <c r="DS43" i="32"/>
  <c r="DT43" i="32"/>
  <c r="DU43" i="32"/>
  <c r="DV43" i="32"/>
  <c r="DW43" i="32"/>
  <c r="DX43" i="32"/>
  <c r="DY43" i="32"/>
  <c r="DZ43" i="32"/>
  <c r="EA43" i="32"/>
  <c r="EB43" i="32"/>
  <c r="EC43" i="32"/>
  <c r="ED43" i="32"/>
  <c r="DS44" i="32"/>
  <c r="DT44" i="32"/>
  <c r="DU44" i="32"/>
  <c r="DV44" i="32"/>
  <c r="DW44" i="32"/>
  <c r="DX44" i="32"/>
  <c r="DY44" i="32"/>
  <c r="DZ44" i="32"/>
  <c r="EA44" i="32"/>
  <c r="EB44" i="32"/>
  <c r="EC44" i="32"/>
  <c r="ED44" i="32"/>
  <c r="DS45" i="32"/>
  <c r="DT45" i="32"/>
  <c r="DU45" i="32"/>
  <c r="DV45" i="32"/>
  <c r="DW45" i="32"/>
  <c r="DX45" i="32"/>
  <c r="DY45" i="32"/>
  <c r="DZ45" i="32"/>
  <c r="EA45" i="32"/>
  <c r="EB45" i="32"/>
  <c r="EC45" i="32"/>
  <c r="ED45" i="32"/>
  <c r="DS46" i="32"/>
  <c r="DT46" i="32"/>
  <c r="DU46" i="32"/>
  <c r="DV46" i="32"/>
  <c r="DW46" i="32"/>
  <c r="DX46" i="32"/>
  <c r="DY46" i="32"/>
  <c r="DZ46" i="32"/>
  <c r="EA46" i="32"/>
  <c r="EB46" i="32"/>
  <c r="EC46" i="32"/>
  <c r="ED46" i="32"/>
  <c r="DS47" i="32"/>
  <c r="DT47" i="32"/>
  <c r="DU47" i="32"/>
  <c r="DV47" i="32"/>
  <c r="DW47" i="32"/>
  <c r="DX47" i="32"/>
  <c r="DY47" i="32"/>
  <c r="DZ47" i="32"/>
  <c r="EA47" i="32"/>
  <c r="EB47" i="32"/>
  <c r="EC47" i="32"/>
  <c r="ED47" i="32"/>
  <c r="DS48" i="32"/>
  <c r="DT48" i="32"/>
  <c r="DU48" i="32"/>
  <c r="DV48" i="32"/>
  <c r="DW48" i="32"/>
  <c r="DX48" i="32"/>
  <c r="DY48" i="32"/>
  <c r="DZ48" i="32"/>
  <c r="EA48" i="32"/>
  <c r="EB48" i="32"/>
  <c r="EC48" i="32"/>
  <c r="ED48" i="32"/>
  <c r="DS49" i="32"/>
  <c r="DT49" i="32"/>
  <c r="DU49" i="32"/>
  <c r="DV49" i="32"/>
  <c r="DW49" i="32"/>
  <c r="DX49" i="32"/>
  <c r="DY49" i="32"/>
  <c r="DZ49" i="32"/>
  <c r="EA49" i="32"/>
  <c r="EB49" i="32"/>
  <c r="EC49" i="32"/>
  <c r="ED49" i="32"/>
  <c r="DT32" i="32"/>
  <c r="DU32" i="32"/>
  <c r="DV32" i="32"/>
  <c r="DW32" i="32"/>
  <c r="DX32" i="32"/>
  <c r="DY32" i="32"/>
  <c r="DZ32" i="32"/>
  <c r="EA32" i="32"/>
  <c r="EB32" i="32"/>
  <c r="EC32" i="32"/>
  <c r="ED32" i="32"/>
  <c r="DS32" i="32"/>
  <c r="DT5" i="32"/>
  <c r="DU5" i="32"/>
  <c r="DV5" i="32"/>
  <c r="DW5" i="32"/>
  <c r="DX5" i="32"/>
  <c r="DY5" i="32"/>
  <c r="DZ5" i="32"/>
  <c r="EA5" i="32"/>
  <c r="EB5" i="32"/>
  <c r="EC5" i="32"/>
  <c r="ED5" i="32"/>
  <c r="DT6" i="32"/>
  <c r="DU6" i="32"/>
  <c r="DV6" i="32"/>
  <c r="DW6" i="32"/>
  <c r="DX6" i="32"/>
  <c r="DY6" i="32"/>
  <c r="DZ6" i="32"/>
  <c r="EA6" i="32"/>
  <c r="EB6" i="32"/>
  <c r="EC6" i="32"/>
  <c r="ED6" i="32"/>
  <c r="DT7" i="32"/>
  <c r="DU7" i="32"/>
  <c r="DV7" i="32"/>
  <c r="DW7" i="32"/>
  <c r="DX7" i="32"/>
  <c r="DY7" i="32"/>
  <c r="DZ7" i="32"/>
  <c r="EA7" i="32"/>
  <c r="EB7" i="32"/>
  <c r="EC7" i="32"/>
  <c r="ED7" i="32"/>
  <c r="DT8" i="32"/>
  <c r="DU8" i="32"/>
  <c r="DV8" i="32"/>
  <c r="DW8" i="32"/>
  <c r="DX8" i="32"/>
  <c r="DY8" i="32"/>
  <c r="DZ8" i="32"/>
  <c r="EA8" i="32"/>
  <c r="EB8" i="32"/>
  <c r="EC8" i="32"/>
  <c r="ED8" i="32"/>
  <c r="DT9" i="32"/>
  <c r="DU9" i="32"/>
  <c r="DV9" i="32"/>
  <c r="DW9" i="32"/>
  <c r="DX9" i="32"/>
  <c r="DY9" i="32"/>
  <c r="DZ9" i="32"/>
  <c r="EA9" i="32"/>
  <c r="EB9" i="32"/>
  <c r="EC9" i="32"/>
  <c r="ED9" i="32"/>
  <c r="DT10" i="32"/>
  <c r="DU10" i="32"/>
  <c r="DV10" i="32"/>
  <c r="DW10" i="32"/>
  <c r="DX10" i="32"/>
  <c r="DY10" i="32"/>
  <c r="DZ10" i="32"/>
  <c r="EA10" i="32"/>
  <c r="EB10" i="32"/>
  <c r="EC10" i="32"/>
  <c r="ED10" i="32"/>
  <c r="DT11" i="32"/>
  <c r="DU11" i="32"/>
  <c r="DV11" i="32"/>
  <c r="DW11" i="32"/>
  <c r="DX11" i="32"/>
  <c r="DY11" i="32"/>
  <c r="DZ11" i="32"/>
  <c r="EA11" i="32"/>
  <c r="EB11" i="32"/>
  <c r="EC11" i="32"/>
  <c r="ED11" i="32"/>
  <c r="DT12" i="32"/>
  <c r="DU12" i="32"/>
  <c r="DV12" i="32"/>
  <c r="DW12" i="32"/>
  <c r="DX12" i="32"/>
  <c r="DY12" i="32"/>
  <c r="DZ12" i="32"/>
  <c r="EA12" i="32"/>
  <c r="EB12" i="32"/>
  <c r="EC12" i="32"/>
  <c r="ED12" i="32"/>
  <c r="DT13" i="32"/>
  <c r="DU13" i="32"/>
  <c r="DV13" i="32"/>
  <c r="DW13" i="32"/>
  <c r="DX13" i="32"/>
  <c r="DY13" i="32"/>
  <c r="DZ13" i="32"/>
  <c r="EA13" i="32"/>
  <c r="EB13" i="32"/>
  <c r="EC13" i="32"/>
  <c r="ED13" i="32"/>
  <c r="DT14" i="32"/>
  <c r="DU14" i="32"/>
  <c r="DV14" i="32"/>
  <c r="DW14" i="32"/>
  <c r="DX14" i="32"/>
  <c r="DY14" i="32"/>
  <c r="DZ14" i="32"/>
  <c r="EA14" i="32"/>
  <c r="EB14" i="32"/>
  <c r="EC14" i="32"/>
  <c r="ED14" i="32"/>
  <c r="DT15" i="32"/>
  <c r="DU15" i="32"/>
  <c r="DV15" i="32"/>
  <c r="DW15" i="32"/>
  <c r="DX15" i="32"/>
  <c r="DY15" i="32"/>
  <c r="DZ15" i="32"/>
  <c r="EA15" i="32"/>
  <c r="EB15" i="32"/>
  <c r="EC15" i="32"/>
  <c r="ED15" i="32"/>
  <c r="DT16" i="32"/>
  <c r="DU16" i="32"/>
  <c r="DV16" i="32"/>
  <c r="DW16" i="32"/>
  <c r="DX16" i="32"/>
  <c r="DY16" i="32"/>
  <c r="DZ16" i="32"/>
  <c r="EA16" i="32"/>
  <c r="EB16" i="32"/>
  <c r="EC16" i="32"/>
  <c r="ED16" i="32"/>
  <c r="DT17" i="32"/>
  <c r="DU17" i="32"/>
  <c r="DV17" i="32"/>
  <c r="DW17" i="32"/>
  <c r="DX17" i="32"/>
  <c r="DY17" i="32"/>
  <c r="DZ17" i="32"/>
  <c r="EA17" i="32"/>
  <c r="EB17" i="32"/>
  <c r="EC17" i="32"/>
  <c r="ED17" i="32"/>
  <c r="DT18" i="32"/>
  <c r="DU18" i="32"/>
  <c r="DV18" i="32"/>
  <c r="DW18" i="32"/>
  <c r="DX18" i="32"/>
  <c r="DY18" i="32"/>
  <c r="DZ18" i="32"/>
  <c r="EA18" i="32"/>
  <c r="EB18" i="32"/>
  <c r="EC18" i="32"/>
  <c r="ED18" i="32"/>
  <c r="DT19" i="32"/>
  <c r="DU19" i="32"/>
  <c r="DV19" i="32"/>
  <c r="DW19" i="32"/>
  <c r="DX19" i="32"/>
  <c r="DY19" i="32"/>
  <c r="DZ19" i="32"/>
  <c r="EA19" i="32"/>
  <c r="EB19" i="32"/>
  <c r="EC19" i="32"/>
  <c r="ED19" i="32"/>
  <c r="DT20" i="32"/>
  <c r="DU20" i="32"/>
  <c r="DV20" i="32"/>
  <c r="DW20" i="32"/>
  <c r="DX20" i="32"/>
  <c r="DY20" i="32"/>
  <c r="DZ20" i="32"/>
  <c r="EA20" i="32"/>
  <c r="EB20" i="32"/>
  <c r="EC20" i="32"/>
  <c r="ED20" i="32"/>
  <c r="DT21" i="32"/>
  <c r="DU21" i="32"/>
  <c r="DV21" i="32"/>
  <c r="DW21" i="32"/>
  <c r="DX21" i="32"/>
  <c r="DY21" i="32"/>
  <c r="DZ21" i="32"/>
  <c r="EA21" i="32"/>
  <c r="EB21" i="32"/>
  <c r="EC21" i="32"/>
  <c r="ED21" i="32"/>
  <c r="DT22" i="32"/>
  <c r="DU22" i="32"/>
  <c r="DV22" i="32"/>
  <c r="DW22" i="32"/>
  <c r="DX22" i="32"/>
  <c r="DY22" i="32"/>
  <c r="DZ22" i="32"/>
  <c r="EA22" i="32"/>
  <c r="EB22" i="32"/>
  <c r="EC22" i="32"/>
  <c r="ED22" i="32"/>
  <c r="DT23" i="32"/>
  <c r="DU23" i="32"/>
  <c r="DV23" i="32"/>
  <c r="DW23" i="32"/>
  <c r="DX23" i="32"/>
  <c r="DY23" i="32"/>
  <c r="DZ23" i="32"/>
  <c r="EA23" i="32"/>
  <c r="EB23" i="32"/>
  <c r="EC23" i="32"/>
  <c r="ED23" i="32"/>
  <c r="DS6" i="32"/>
  <c r="DS7" i="32"/>
  <c r="DS8" i="32"/>
  <c r="DS9" i="32"/>
  <c r="DS10" i="32"/>
  <c r="DS11" i="32"/>
  <c r="DS12" i="32"/>
  <c r="DS13" i="32"/>
  <c r="DS14" i="32"/>
  <c r="DS15" i="32"/>
  <c r="DS16" i="32"/>
  <c r="DS17" i="32"/>
  <c r="DS18" i="32"/>
  <c r="DS19" i="32"/>
  <c r="DS20" i="32"/>
  <c r="DS21" i="32"/>
  <c r="DS22" i="32"/>
  <c r="DS23" i="32"/>
  <c r="DS5" i="32"/>
  <c r="DB49" i="32"/>
  <c r="DA49" i="32"/>
  <c r="CZ49" i="32"/>
  <c r="CY49" i="32"/>
  <c r="CX49" i="32"/>
  <c r="CW49" i="32"/>
  <c r="CV49" i="32"/>
  <c r="CU49" i="32"/>
  <c r="CT49" i="32"/>
  <c r="CS49" i="32"/>
  <c r="CR49" i="32"/>
  <c r="CQ49" i="32"/>
  <c r="DB48" i="32"/>
  <c r="DA48" i="32"/>
  <c r="CZ48" i="32"/>
  <c r="CY48" i="32"/>
  <c r="CX48" i="32"/>
  <c r="CW48" i="32"/>
  <c r="CV48" i="32"/>
  <c r="CU48" i="32"/>
  <c r="CT48" i="32"/>
  <c r="CS48" i="32"/>
  <c r="CR48" i="32"/>
  <c r="CQ48" i="32"/>
  <c r="DB47" i="32"/>
  <c r="DA47" i="32"/>
  <c r="CZ47" i="32"/>
  <c r="CY47" i="32"/>
  <c r="CX47" i="32"/>
  <c r="CW47" i="32"/>
  <c r="CV47" i="32"/>
  <c r="CU47" i="32"/>
  <c r="CT47" i="32"/>
  <c r="CS47" i="32"/>
  <c r="CR47" i="32"/>
  <c r="CQ47" i="32"/>
  <c r="DB46" i="32"/>
  <c r="DA46" i="32"/>
  <c r="CZ46" i="32"/>
  <c r="CY46" i="32"/>
  <c r="CX46" i="32"/>
  <c r="CW46" i="32"/>
  <c r="CV46" i="32"/>
  <c r="CU46" i="32"/>
  <c r="CT46" i="32"/>
  <c r="CS46" i="32"/>
  <c r="CR46" i="32"/>
  <c r="CQ46" i="32"/>
  <c r="DB45" i="32"/>
  <c r="DA45" i="32"/>
  <c r="CZ45" i="32"/>
  <c r="CY45" i="32"/>
  <c r="CX45" i="32"/>
  <c r="CW45" i="32"/>
  <c r="CV45" i="32"/>
  <c r="CU45" i="32"/>
  <c r="CT45" i="32"/>
  <c r="CS45" i="32"/>
  <c r="CR45" i="32"/>
  <c r="CQ45" i="32"/>
  <c r="DB44" i="32"/>
  <c r="DA44" i="32"/>
  <c r="CZ44" i="32"/>
  <c r="CY44" i="32"/>
  <c r="CX44" i="32"/>
  <c r="CW44" i="32"/>
  <c r="CV44" i="32"/>
  <c r="CU44" i="32"/>
  <c r="CT44" i="32"/>
  <c r="CS44" i="32"/>
  <c r="CR44" i="32"/>
  <c r="CQ44" i="32"/>
  <c r="DB43" i="32"/>
  <c r="DA43" i="32"/>
  <c r="CZ43" i="32"/>
  <c r="CY43" i="32"/>
  <c r="CX43" i="32"/>
  <c r="CW43" i="32"/>
  <c r="CV43" i="32"/>
  <c r="CU43" i="32"/>
  <c r="CT43" i="32"/>
  <c r="CS43" i="32"/>
  <c r="CR43" i="32"/>
  <c r="CQ43" i="32"/>
  <c r="DB42" i="32"/>
  <c r="DA42" i="32"/>
  <c r="CZ42" i="32"/>
  <c r="CY42" i="32"/>
  <c r="CX42" i="32"/>
  <c r="CW42" i="32"/>
  <c r="CV42" i="32"/>
  <c r="CU42" i="32"/>
  <c r="CT42" i="32"/>
  <c r="CS42" i="32"/>
  <c r="CR42" i="32"/>
  <c r="CQ42" i="32"/>
  <c r="DB41" i="32"/>
  <c r="DA41" i="32"/>
  <c r="CZ41" i="32"/>
  <c r="CY41" i="32"/>
  <c r="CX41" i="32"/>
  <c r="CW41" i="32"/>
  <c r="CV41" i="32"/>
  <c r="CU41" i="32"/>
  <c r="CT41" i="32"/>
  <c r="CS41" i="32"/>
  <c r="CR41" i="32"/>
  <c r="CQ41" i="32"/>
  <c r="DB40" i="32"/>
  <c r="DA40" i="32"/>
  <c r="CZ40" i="32"/>
  <c r="CY40" i="32"/>
  <c r="CX40" i="32"/>
  <c r="CW40" i="32"/>
  <c r="CV40" i="32"/>
  <c r="CU40" i="32"/>
  <c r="CT40" i="32"/>
  <c r="CS40" i="32"/>
  <c r="CR40" i="32"/>
  <c r="CQ40" i="32"/>
  <c r="DB39" i="32"/>
  <c r="DA39" i="32"/>
  <c r="CZ39" i="32"/>
  <c r="CY39" i="32"/>
  <c r="CX39" i="32"/>
  <c r="CW39" i="32"/>
  <c r="CV39" i="32"/>
  <c r="CU39" i="32"/>
  <c r="CT39" i="32"/>
  <c r="CS39" i="32"/>
  <c r="CR39" i="32"/>
  <c r="CQ39" i="32"/>
  <c r="DB38" i="32"/>
  <c r="DA38" i="32"/>
  <c r="CZ38" i="32"/>
  <c r="CY38" i="32"/>
  <c r="CX38" i="32"/>
  <c r="CW38" i="32"/>
  <c r="CV38" i="32"/>
  <c r="CU38" i="32"/>
  <c r="CT38" i="32"/>
  <c r="CS38" i="32"/>
  <c r="CR38" i="32"/>
  <c r="CQ38" i="32"/>
  <c r="DB37" i="32"/>
  <c r="DA37" i="32"/>
  <c r="CZ37" i="32"/>
  <c r="CY37" i="32"/>
  <c r="CX37" i="32"/>
  <c r="CW37" i="32"/>
  <c r="CV37" i="32"/>
  <c r="CU37" i="32"/>
  <c r="CT37" i="32"/>
  <c r="CS37" i="32"/>
  <c r="CR37" i="32"/>
  <c r="CQ37" i="32"/>
  <c r="DB36" i="32"/>
  <c r="DA36" i="32"/>
  <c r="CZ36" i="32"/>
  <c r="CY36" i="32"/>
  <c r="CX36" i="32"/>
  <c r="CW36" i="32"/>
  <c r="CV36" i="32"/>
  <c r="CU36" i="32"/>
  <c r="CT36" i="32"/>
  <c r="CS36" i="32"/>
  <c r="CR36" i="32"/>
  <c r="CQ36" i="32"/>
  <c r="DB35" i="32"/>
  <c r="DA35" i="32"/>
  <c r="CZ35" i="32"/>
  <c r="CY35" i="32"/>
  <c r="CX35" i="32"/>
  <c r="CW35" i="32"/>
  <c r="CV35" i="32"/>
  <c r="CU35" i="32"/>
  <c r="CT35" i="32"/>
  <c r="CS35" i="32"/>
  <c r="CR35" i="32"/>
  <c r="CQ35" i="32"/>
  <c r="DB34" i="32"/>
  <c r="DA34" i="32"/>
  <c r="CZ34" i="32"/>
  <c r="CY34" i="32"/>
  <c r="CX34" i="32"/>
  <c r="CW34" i="32"/>
  <c r="CV34" i="32"/>
  <c r="CU34" i="32"/>
  <c r="CT34" i="32"/>
  <c r="CS34" i="32"/>
  <c r="CR34" i="32"/>
  <c r="CQ34" i="32"/>
  <c r="DB33" i="32"/>
  <c r="DA33" i="32"/>
  <c r="CZ33" i="32"/>
  <c r="CY33" i="32"/>
  <c r="CX33" i="32"/>
  <c r="CW33" i="32"/>
  <c r="CV33" i="32"/>
  <c r="CU33" i="32"/>
  <c r="CT33" i="32"/>
  <c r="CS33" i="32"/>
  <c r="CR33" i="32"/>
  <c r="CQ33" i="32"/>
  <c r="DB32" i="32"/>
  <c r="DA32" i="32"/>
  <c r="CZ32" i="32"/>
  <c r="CY32" i="32"/>
  <c r="CX32" i="32"/>
  <c r="CW32" i="32"/>
  <c r="CV32" i="32"/>
  <c r="CU32" i="32"/>
  <c r="CT32" i="32"/>
  <c r="CS32" i="32"/>
  <c r="CR32" i="32"/>
  <c r="CQ32" i="32"/>
  <c r="DB23" i="32"/>
  <c r="DA23" i="32"/>
  <c r="CZ23" i="32"/>
  <c r="CY23" i="32"/>
  <c r="CX23" i="32"/>
  <c r="CW23" i="32"/>
  <c r="CV23" i="32"/>
  <c r="CU23" i="32"/>
  <c r="CT23" i="32"/>
  <c r="CS23" i="32"/>
  <c r="CR23" i="32"/>
  <c r="CQ23" i="32"/>
  <c r="DB22" i="32"/>
  <c r="DA22" i="32"/>
  <c r="CZ22" i="32"/>
  <c r="CY22" i="32"/>
  <c r="CX22" i="32"/>
  <c r="CW22" i="32"/>
  <c r="CV22" i="32"/>
  <c r="CU22" i="32"/>
  <c r="CT22" i="32"/>
  <c r="CS22" i="32"/>
  <c r="CR22" i="32"/>
  <c r="CQ22" i="32"/>
  <c r="DB21" i="32"/>
  <c r="DA21" i="32"/>
  <c r="CZ21" i="32"/>
  <c r="CY21" i="32"/>
  <c r="CX21" i="32"/>
  <c r="CW21" i="32"/>
  <c r="CV21" i="32"/>
  <c r="CU21" i="32"/>
  <c r="CT21" i="32"/>
  <c r="CS21" i="32"/>
  <c r="CR21" i="32"/>
  <c r="CQ21" i="32"/>
  <c r="DB20" i="32"/>
  <c r="DA20" i="32"/>
  <c r="CZ20" i="32"/>
  <c r="CY20" i="32"/>
  <c r="CX20" i="32"/>
  <c r="CW20" i="32"/>
  <c r="CV20" i="32"/>
  <c r="CU20" i="32"/>
  <c r="CT20" i="32"/>
  <c r="CS20" i="32"/>
  <c r="CR20" i="32"/>
  <c r="CQ20" i="32"/>
  <c r="DB19" i="32"/>
  <c r="DA19" i="32"/>
  <c r="CZ19" i="32"/>
  <c r="CY19" i="32"/>
  <c r="CX19" i="32"/>
  <c r="CW19" i="32"/>
  <c r="CV19" i="32"/>
  <c r="CU19" i="32"/>
  <c r="CT19" i="32"/>
  <c r="CS19" i="32"/>
  <c r="CR19" i="32"/>
  <c r="CQ19" i="32"/>
  <c r="DB18" i="32"/>
  <c r="DA18" i="32"/>
  <c r="CZ18" i="32"/>
  <c r="CY18" i="32"/>
  <c r="CX18" i="32"/>
  <c r="CW18" i="32"/>
  <c r="CV18" i="32"/>
  <c r="CU18" i="32"/>
  <c r="CT18" i="32"/>
  <c r="CS18" i="32"/>
  <c r="CR18" i="32"/>
  <c r="CQ18" i="32"/>
  <c r="DB17" i="32"/>
  <c r="DA17" i="32"/>
  <c r="CZ17" i="32"/>
  <c r="CY17" i="32"/>
  <c r="CX17" i="32"/>
  <c r="CW17" i="32"/>
  <c r="CV17" i="32"/>
  <c r="CU17" i="32"/>
  <c r="CT17" i="32"/>
  <c r="CS17" i="32"/>
  <c r="CR17" i="32"/>
  <c r="CQ17" i="32"/>
  <c r="DB16" i="32"/>
  <c r="DA16" i="32"/>
  <c r="CZ16" i="32"/>
  <c r="CY16" i="32"/>
  <c r="CX16" i="32"/>
  <c r="CW16" i="32"/>
  <c r="CV16" i="32"/>
  <c r="CU16" i="32"/>
  <c r="CT16" i="32"/>
  <c r="CS16" i="32"/>
  <c r="CR16" i="32"/>
  <c r="CQ16" i="32"/>
  <c r="DB15" i="32"/>
  <c r="DA15" i="32"/>
  <c r="CZ15" i="32"/>
  <c r="CY15" i="32"/>
  <c r="CX15" i="32"/>
  <c r="CW15" i="32"/>
  <c r="CV15" i="32"/>
  <c r="CU15" i="32"/>
  <c r="CT15" i="32"/>
  <c r="CS15" i="32"/>
  <c r="CR15" i="32"/>
  <c r="CQ15" i="32"/>
  <c r="DB14" i="32"/>
  <c r="DA14" i="32"/>
  <c r="CZ14" i="32"/>
  <c r="CY14" i="32"/>
  <c r="CX14" i="32"/>
  <c r="CW14" i="32"/>
  <c r="CV14" i="32"/>
  <c r="CU14" i="32"/>
  <c r="CT14" i="32"/>
  <c r="CS14" i="32"/>
  <c r="CR14" i="32"/>
  <c r="CQ14" i="32"/>
  <c r="DB13" i="32"/>
  <c r="DA13" i="32"/>
  <c r="CZ13" i="32"/>
  <c r="CY13" i="32"/>
  <c r="CX13" i="32"/>
  <c r="CW13" i="32"/>
  <c r="CV13" i="32"/>
  <c r="CU13" i="32"/>
  <c r="CT13" i="32"/>
  <c r="CS13" i="32"/>
  <c r="CR13" i="32"/>
  <c r="CQ13" i="32"/>
  <c r="DB12" i="32"/>
  <c r="DA12" i="32"/>
  <c r="CZ12" i="32"/>
  <c r="CY12" i="32"/>
  <c r="CX12" i="32"/>
  <c r="CW12" i="32"/>
  <c r="CV12" i="32"/>
  <c r="CU12" i="32"/>
  <c r="CT12" i="32"/>
  <c r="CS12" i="32"/>
  <c r="CR12" i="32"/>
  <c r="CQ12" i="32"/>
  <c r="DB11" i="32"/>
  <c r="DA11" i="32"/>
  <c r="CZ11" i="32"/>
  <c r="CY11" i="32"/>
  <c r="CX11" i="32"/>
  <c r="CW11" i="32"/>
  <c r="CV11" i="32"/>
  <c r="CU11" i="32"/>
  <c r="CT11" i="32"/>
  <c r="CS11" i="32"/>
  <c r="CR11" i="32"/>
  <c r="CQ11" i="32"/>
  <c r="DB10" i="32"/>
  <c r="DA10" i="32"/>
  <c r="CZ10" i="32"/>
  <c r="CY10" i="32"/>
  <c r="CX10" i="32"/>
  <c r="CW10" i="32"/>
  <c r="CV10" i="32"/>
  <c r="CU10" i="32"/>
  <c r="CT10" i="32"/>
  <c r="CS10" i="32"/>
  <c r="CR10" i="32"/>
  <c r="CQ10" i="32"/>
  <c r="DB9" i="32"/>
  <c r="DA9" i="32"/>
  <c r="CZ9" i="32"/>
  <c r="CY9" i="32"/>
  <c r="CX9" i="32"/>
  <c r="CW9" i="32"/>
  <c r="CV9" i="32"/>
  <c r="CU9" i="32"/>
  <c r="CT9" i="32"/>
  <c r="CS9" i="32"/>
  <c r="CR9" i="32"/>
  <c r="CQ9" i="32"/>
  <c r="DB8" i="32"/>
  <c r="DA8" i="32"/>
  <c r="CZ8" i="32"/>
  <c r="CY8" i="32"/>
  <c r="CX8" i="32"/>
  <c r="CW8" i="32"/>
  <c r="CV8" i="32"/>
  <c r="CU8" i="32"/>
  <c r="CT8" i="32"/>
  <c r="CS8" i="32"/>
  <c r="CR8" i="32"/>
  <c r="CQ8" i="32"/>
  <c r="DB7" i="32"/>
  <c r="DA7" i="32"/>
  <c r="CZ7" i="32"/>
  <c r="CY7" i="32"/>
  <c r="CX7" i="32"/>
  <c r="CW7" i="32"/>
  <c r="CV7" i="32"/>
  <c r="CU7" i="32"/>
  <c r="CT7" i="32"/>
  <c r="CS7" i="32"/>
  <c r="CR7" i="32"/>
  <c r="CQ7" i="32"/>
  <c r="DB6" i="32"/>
  <c r="DA6" i="32"/>
  <c r="CZ6" i="32"/>
  <c r="CY6" i="32"/>
  <c r="CX6" i="32"/>
  <c r="CW6" i="32"/>
  <c r="CV6" i="32"/>
  <c r="CU6" i="32"/>
  <c r="CT6" i="32"/>
  <c r="CS6" i="32"/>
  <c r="CR6" i="32"/>
  <c r="CQ6" i="32"/>
  <c r="DB5" i="32"/>
  <c r="DA5" i="32"/>
  <c r="CZ5" i="32"/>
  <c r="CY5" i="32"/>
  <c r="CX5" i="32"/>
  <c r="CW5" i="32"/>
  <c r="CV5" i="32"/>
  <c r="CU5" i="32"/>
  <c r="CT5" i="32"/>
  <c r="CS5" i="32"/>
  <c r="CR5" i="32"/>
  <c r="CQ5" i="32"/>
  <c r="CN49" i="32"/>
  <c r="CM49" i="32"/>
  <c r="CL49" i="32"/>
  <c r="CK49" i="32"/>
  <c r="CJ49" i="32"/>
  <c r="CI49" i="32"/>
  <c r="CH49" i="32"/>
  <c r="CG49" i="32"/>
  <c r="CF49" i="32"/>
  <c r="CE49" i="32"/>
  <c r="CD49" i="32"/>
  <c r="CC49" i="32"/>
  <c r="CN48" i="32"/>
  <c r="CM48" i="32"/>
  <c r="CL48" i="32"/>
  <c r="CK48" i="32"/>
  <c r="CJ48" i="32"/>
  <c r="CI48" i="32"/>
  <c r="CH48" i="32"/>
  <c r="CG48" i="32"/>
  <c r="CF48" i="32"/>
  <c r="CE48" i="32"/>
  <c r="CD48" i="32"/>
  <c r="CC48" i="32"/>
  <c r="CN47" i="32"/>
  <c r="CM47" i="32"/>
  <c r="CL47" i="32"/>
  <c r="CK47" i="32"/>
  <c r="CJ47" i="32"/>
  <c r="CI47" i="32"/>
  <c r="CH47" i="32"/>
  <c r="CG47" i="32"/>
  <c r="CF47" i="32"/>
  <c r="CE47" i="32"/>
  <c r="CD47" i="32"/>
  <c r="CC47" i="32"/>
  <c r="CN46" i="32"/>
  <c r="CM46" i="32"/>
  <c r="CL46" i="32"/>
  <c r="CK46" i="32"/>
  <c r="CJ46" i="32"/>
  <c r="CI46" i="32"/>
  <c r="CH46" i="32"/>
  <c r="CG46" i="32"/>
  <c r="CF46" i="32"/>
  <c r="CE46" i="32"/>
  <c r="CD46" i="32"/>
  <c r="CC46" i="32"/>
  <c r="CN45" i="32"/>
  <c r="CM45" i="32"/>
  <c r="CL45" i="32"/>
  <c r="CK45" i="32"/>
  <c r="CJ45" i="32"/>
  <c r="CI45" i="32"/>
  <c r="CH45" i="32"/>
  <c r="CG45" i="32"/>
  <c r="CF45" i="32"/>
  <c r="CE45" i="32"/>
  <c r="CD45" i="32"/>
  <c r="CC45" i="32"/>
  <c r="CN44" i="32"/>
  <c r="CM44" i="32"/>
  <c r="CL44" i="32"/>
  <c r="CK44" i="32"/>
  <c r="CJ44" i="32"/>
  <c r="CI44" i="32"/>
  <c r="CH44" i="32"/>
  <c r="CG44" i="32"/>
  <c r="CF44" i="32"/>
  <c r="CE44" i="32"/>
  <c r="CD44" i="32"/>
  <c r="CC44" i="32"/>
  <c r="CN43" i="32"/>
  <c r="CM43" i="32"/>
  <c r="CL43" i="32"/>
  <c r="CK43" i="32"/>
  <c r="CJ43" i="32"/>
  <c r="CI43" i="32"/>
  <c r="CH43" i="32"/>
  <c r="CG43" i="32"/>
  <c r="CF43" i="32"/>
  <c r="CE43" i="32"/>
  <c r="CD43" i="32"/>
  <c r="CC43" i="32"/>
  <c r="CN42" i="32"/>
  <c r="CM42" i="32"/>
  <c r="CL42" i="32"/>
  <c r="CK42" i="32"/>
  <c r="CJ42" i="32"/>
  <c r="CI42" i="32"/>
  <c r="CH42" i="32"/>
  <c r="CG42" i="32"/>
  <c r="CF42" i="32"/>
  <c r="CE42" i="32"/>
  <c r="CD42" i="32"/>
  <c r="CC42" i="32"/>
  <c r="CN41" i="32"/>
  <c r="CM41" i="32"/>
  <c r="CL41" i="32"/>
  <c r="CK41" i="32"/>
  <c r="CJ41" i="32"/>
  <c r="CI41" i="32"/>
  <c r="CH41" i="32"/>
  <c r="CG41" i="32"/>
  <c r="CF41" i="32"/>
  <c r="CE41" i="32"/>
  <c r="CD41" i="32"/>
  <c r="CC41" i="32"/>
  <c r="CN40" i="32"/>
  <c r="CM40" i="32"/>
  <c r="CL40" i="32"/>
  <c r="CK40" i="32"/>
  <c r="CJ40" i="32"/>
  <c r="CI40" i="32"/>
  <c r="CH40" i="32"/>
  <c r="CG40" i="32"/>
  <c r="CF40" i="32"/>
  <c r="CE40" i="32"/>
  <c r="CD40" i="32"/>
  <c r="CC40" i="32"/>
  <c r="CN39" i="32"/>
  <c r="CM39" i="32"/>
  <c r="CL39" i="32"/>
  <c r="CK39" i="32"/>
  <c r="CJ39" i="32"/>
  <c r="CI39" i="32"/>
  <c r="CH39" i="32"/>
  <c r="CG39" i="32"/>
  <c r="CF39" i="32"/>
  <c r="CE39" i="32"/>
  <c r="CD39" i="32"/>
  <c r="CC39" i="32"/>
  <c r="CN38" i="32"/>
  <c r="CM38" i="32"/>
  <c r="CL38" i="32"/>
  <c r="CK38" i="32"/>
  <c r="CJ38" i="32"/>
  <c r="CI38" i="32"/>
  <c r="CH38" i="32"/>
  <c r="CG38" i="32"/>
  <c r="CF38" i="32"/>
  <c r="CE38" i="32"/>
  <c r="CD38" i="32"/>
  <c r="CC38" i="32"/>
  <c r="CN37" i="32"/>
  <c r="CM37" i="32"/>
  <c r="CL37" i="32"/>
  <c r="CK37" i="32"/>
  <c r="CJ37" i="32"/>
  <c r="CI37" i="32"/>
  <c r="CH37" i="32"/>
  <c r="CG37" i="32"/>
  <c r="CF37" i="32"/>
  <c r="CE37" i="32"/>
  <c r="CD37" i="32"/>
  <c r="CC37" i="32"/>
  <c r="CN36" i="32"/>
  <c r="CM36" i="32"/>
  <c r="CL36" i="32"/>
  <c r="CK36" i="32"/>
  <c r="CJ36" i="32"/>
  <c r="CI36" i="32"/>
  <c r="CH36" i="32"/>
  <c r="CG36" i="32"/>
  <c r="CF36" i="32"/>
  <c r="CE36" i="32"/>
  <c r="CD36" i="32"/>
  <c r="CC36" i="32"/>
  <c r="CN35" i="32"/>
  <c r="CM35" i="32"/>
  <c r="CL35" i="32"/>
  <c r="CK35" i="32"/>
  <c r="CJ35" i="32"/>
  <c r="CI35" i="32"/>
  <c r="CH35" i="32"/>
  <c r="CG35" i="32"/>
  <c r="CF35" i="32"/>
  <c r="CE35" i="32"/>
  <c r="CD35" i="32"/>
  <c r="CC35" i="32"/>
  <c r="CN34" i="32"/>
  <c r="CM34" i="32"/>
  <c r="CL34" i="32"/>
  <c r="CK34" i="32"/>
  <c r="CJ34" i="32"/>
  <c r="CI34" i="32"/>
  <c r="CH34" i="32"/>
  <c r="CG34" i="32"/>
  <c r="CF34" i="32"/>
  <c r="CE34" i="32"/>
  <c r="CD34" i="32"/>
  <c r="CC34" i="32"/>
  <c r="CN33" i="32"/>
  <c r="CM33" i="32"/>
  <c r="CL33" i="32"/>
  <c r="CK33" i="32"/>
  <c r="CJ33" i="32"/>
  <c r="CI33" i="32"/>
  <c r="CH33" i="32"/>
  <c r="CG33" i="32"/>
  <c r="CF33" i="32"/>
  <c r="CE33" i="32"/>
  <c r="CD33" i="32"/>
  <c r="CC33" i="32"/>
  <c r="CN32" i="32"/>
  <c r="CM32" i="32"/>
  <c r="CL32" i="32"/>
  <c r="CK32" i="32"/>
  <c r="CJ32" i="32"/>
  <c r="CI32" i="32"/>
  <c r="CH32" i="32"/>
  <c r="CG32" i="32"/>
  <c r="CF32" i="32"/>
  <c r="CE32" i="32"/>
  <c r="CD32" i="32"/>
  <c r="CC32" i="32"/>
  <c r="CL23" i="32"/>
  <c r="CK23" i="32"/>
  <c r="CJ23" i="32"/>
  <c r="CI23" i="32"/>
  <c r="CH23" i="32"/>
  <c r="CG23" i="32"/>
  <c r="CF23" i="32"/>
  <c r="CE23" i="32"/>
  <c r="CD23" i="32"/>
  <c r="CC23" i="32"/>
  <c r="CN22" i="32"/>
  <c r="CM22" i="32"/>
  <c r="CL22" i="32"/>
  <c r="CK22" i="32"/>
  <c r="CJ22" i="32"/>
  <c r="CI22" i="32"/>
  <c r="CH22" i="32"/>
  <c r="CG22" i="32"/>
  <c r="CF22" i="32"/>
  <c r="CE22" i="32"/>
  <c r="CD22" i="32"/>
  <c r="CC22" i="32"/>
  <c r="CN21" i="32"/>
  <c r="CM21" i="32"/>
  <c r="CL21" i="32"/>
  <c r="CK21" i="32"/>
  <c r="CJ21" i="32"/>
  <c r="CI21" i="32"/>
  <c r="CH21" i="32"/>
  <c r="CG21" i="32"/>
  <c r="CF21" i="32"/>
  <c r="CE21" i="32"/>
  <c r="CD21" i="32"/>
  <c r="CC21" i="32"/>
  <c r="CN20" i="32"/>
  <c r="CM20" i="32"/>
  <c r="CL20" i="32"/>
  <c r="CK20" i="32"/>
  <c r="CJ20" i="32"/>
  <c r="CI20" i="32"/>
  <c r="CH20" i="32"/>
  <c r="CG20" i="32"/>
  <c r="CF20" i="32"/>
  <c r="CE20" i="32"/>
  <c r="CD20" i="32"/>
  <c r="CC20" i="32"/>
  <c r="CN19" i="32"/>
  <c r="CM19" i="32"/>
  <c r="CL19" i="32"/>
  <c r="CK19" i="32"/>
  <c r="CJ19" i="32"/>
  <c r="CI19" i="32"/>
  <c r="CH19" i="32"/>
  <c r="CG19" i="32"/>
  <c r="CF19" i="32"/>
  <c r="CE19" i="32"/>
  <c r="CD19" i="32"/>
  <c r="CC19" i="32"/>
  <c r="CN18" i="32"/>
  <c r="CM18" i="32"/>
  <c r="CL18" i="32"/>
  <c r="CK18" i="32"/>
  <c r="CJ18" i="32"/>
  <c r="CI18" i="32"/>
  <c r="CH18" i="32"/>
  <c r="CG18" i="32"/>
  <c r="CF18" i="32"/>
  <c r="CE18" i="32"/>
  <c r="CD18" i="32"/>
  <c r="CC18" i="32"/>
  <c r="CN17" i="32"/>
  <c r="CM17" i="32"/>
  <c r="CL17" i="32"/>
  <c r="CK17" i="32"/>
  <c r="CJ17" i="32"/>
  <c r="CI17" i="32"/>
  <c r="CH17" i="32"/>
  <c r="CG17" i="32"/>
  <c r="CF17" i="32"/>
  <c r="CE17" i="32"/>
  <c r="CD17" i="32"/>
  <c r="CC17" i="32"/>
  <c r="CN16" i="32"/>
  <c r="CM16" i="32"/>
  <c r="CL16" i="32"/>
  <c r="CK16" i="32"/>
  <c r="CJ16" i="32"/>
  <c r="CI16" i="32"/>
  <c r="CH16" i="32"/>
  <c r="CG16" i="32"/>
  <c r="CF16" i="32"/>
  <c r="CE16" i="32"/>
  <c r="CD16" i="32"/>
  <c r="CC16" i="32"/>
  <c r="CN15" i="32"/>
  <c r="CM15" i="32"/>
  <c r="CL15" i="32"/>
  <c r="CK15" i="32"/>
  <c r="CJ15" i="32"/>
  <c r="CI15" i="32"/>
  <c r="CH15" i="32"/>
  <c r="CG15" i="32"/>
  <c r="CF15" i="32"/>
  <c r="CE15" i="32"/>
  <c r="CD15" i="32"/>
  <c r="CC15" i="32"/>
  <c r="CN14" i="32"/>
  <c r="CM14" i="32"/>
  <c r="CL14" i="32"/>
  <c r="CK14" i="32"/>
  <c r="CJ14" i="32"/>
  <c r="CI14" i="32"/>
  <c r="CH14" i="32"/>
  <c r="CG14" i="32"/>
  <c r="CF14" i="32"/>
  <c r="CE14" i="32"/>
  <c r="CD14" i="32"/>
  <c r="CC14" i="32"/>
  <c r="CN13" i="32"/>
  <c r="CM13" i="32"/>
  <c r="CL13" i="32"/>
  <c r="CK13" i="32"/>
  <c r="CJ13" i="32"/>
  <c r="CI13" i="32"/>
  <c r="CH13" i="32"/>
  <c r="CG13" i="32"/>
  <c r="CF13" i="32"/>
  <c r="CE13" i="32"/>
  <c r="CD13" i="32"/>
  <c r="CC13" i="32"/>
  <c r="CN12" i="32"/>
  <c r="CM12" i="32"/>
  <c r="CL12" i="32"/>
  <c r="CK12" i="32"/>
  <c r="CJ12" i="32"/>
  <c r="CI12" i="32"/>
  <c r="CH12" i="32"/>
  <c r="CG12" i="32"/>
  <c r="CF12" i="32"/>
  <c r="CE12" i="32"/>
  <c r="CD12" i="32"/>
  <c r="CC12" i="32"/>
  <c r="CN11" i="32"/>
  <c r="CM11" i="32"/>
  <c r="CL11" i="32"/>
  <c r="CK11" i="32"/>
  <c r="CJ11" i="32"/>
  <c r="CI11" i="32"/>
  <c r="CH11" i="32"/>
  <c r="CG11" i="32"/>
  <c r="CF11" i="32"/>
  <c r="CE11" i="32"/>
  <c r="CD11" i="32"/>
  <c r="CC11" i="32"/>
  <c r="CN10" i="32"/>
  <c r="CM10" i="32"/>
  <c r="CL10" i="32"/>
  <c r="CK10" i="32"/>
  <c r="CJ10" i="32"/>
  <c r="CI10" i="32"/>
  <c r="CH10" i="32"/>
  <c r="CG10" i="32"/>
  <c r="CF10" i="32"/>
  <c r="CE10" i="32"/>
  <c r="CD10" i="32"/>
  <c r="CC10" i="32"/>
  <c r="CN9" i="32"/>
  <c r="CM9" i="32"/>
  <c r="CL9" i="32"/>
  <c r="CK9" i="32"/>
  <c r="CJ9" i="32"/>
  <c r="CI9" i="32"/>
  <c r="CH9" i="32"/>
  <c r="CG9" i="32"/>
  <c r="CF9" i="32"/>
  <c r="CE9" i="32"/>
  <c r="CD9" i="32"/>
  <c r="CC9" i="32"/>
  <c r="CN8" i="32"/>
  <c r="CM8" i="32"/>
  <c r="CL8" i="32"/>
  <c r="CK8" i="32"/>
  <c r="CJ8" i="32"/>
  <c r="CI8" i="32"/>
  <c r="CH8" i="32"/>
  <c r="CG8" i="32"/>
  <c r="CF8" i="32"/>
  <c r="CE8" i="32"/>
  <c r="CD8" i="32"/>
  <c r="CC8" i="32"/>
  <c r="CN7" i="32"/>
  <c r="CM7" i="32"/>
  <c r="CL7" i="32"/>
  <c r="CK7" i="32"/>
  <c r="CJ7" i="32"/>
  <c r="CI7" i="32"/>
  <c r="CH7" i="32"/>
  <c r="CG7" i="32"/>
  <c r="CF7" i="32"/>
  <c r="CE7" i="32"/>
  <c r="CD7" i="32"/>
  <c r="CC7" i="32"/>
  <c r="CN6" i="32"/>
  <c r="CM6" i="32"/>
  <c r="CL6" i="32"/>
  <c r="CK6" i="32"/>
  <c r="CJ6" i="32"/>
  <c r="CI6" i="32"/>
  <c r="CH6" i="32"/>
  <c r="CG6" i="32"/>
  <c r="CF6" i="32"/>
  <c r="CE6" i="32"/>
  <c r="CD6" i="32"/>
  <c r="CC6" i="32"/>
  <c r="CN5" i="32"/>
  <c r="CM5" i="32"/>
  <c r="CL5" i="32"/>
  <c r="CK5" i="32"/>
  <c r="CJ5" i="32"/>
  <c r="CI5" i="32"/>
  <c r="CH5" i="32"/>
  <c r="CG5" i="32"/>
  <c r="CF5" i="32"/>
  <c r="CE5" i="32"/>
  <c r="CD5" i="32"/>
  <c r="CC5" i="32"/>
  <c r="BZ49" i="32"/>
  <c r="BY49" i="32"/>
  <c r="BX49" i="32"/>
  <c r="BW49" i="32"/>
  <c r="BV49" i="32"/>
  <c r="BU49" i="32"/>
  <c r="BT49" i="32"/>
  <c r="BS49" i="32"/>
  <c r="BR49" i="32"/>
  <c r="BQ49" i="32"/>
  <c r="BP49" i="32"/>
  <c r="BO49" i="32"/>
  <c r="BZ48" i="32"/>
  <c r="BY48" i="32"/>
  <c r="BX48" i="32"/>
  <c r="BW48" i="32"/>
  <c r="BV48" i="32"/>
  <c r="BU48" i="32"/>
  <c r="BT48" i="32"/>
  <c r="BS48" i="32"/>
  <c r="BR48" i="32"/>
  <c r="BQ48" i="32"/>
  <c r="BP48" i="32"/>
  <c r="BO48" i="32"/>
  <c r="BZ47" i="32"/>
  <c r="BY47" i="32"/>
  <c r="BX47" i="32"/>
  <c r="BW47" i="32"/>
  <c r="BV47" i="32"/>
  <c r="BU47" i="32"/>
  <c r="BT47" i="32"/>
  <c r="BS47" i="32"/>
  <c r="BR47" i="32"/>
  <c r="BQ47" i="32"/>
  <c r="BP47" i="32"/>
  <c r="BO47" i="32"/>
  <c r="BZ46" i="32"/>
  <c r="BY46" i="32"/>
  <c r="BX46" i="32"/>
  <c r="BW46" i="32"/>
  <c r="BV46" i="32"/>
  <c r="BU46" i="32"/>
  <c r="BT46" i="32"/>
  <c r="BS46" i="32"/>
  <c r="BR46" i="32"/>
  <c r="BQ46" i="32"/>
  <c r="BP46" i="32"/>
  <c r="BO46" i="32"/>
  <c r="BZ45" i="32"/>
  <c r="BY45" i="32"/>
  <c r="BX45" i="32"/>
  <c r="BW45" i="32"/>
  <c r="BV45" i="32"/>
  <c r="BU45" i="32"/>
  <c r="BT45" i="32"/>
  <c r="BS45" i="32"/>
  <c r="BR45" i="32"/>
  <c r="BQ45" i="32"/>
  <c r="BP45" i="32"/>
  <c r="BO45" i="32"/>
  <c r="BZ44" i="32"/>
  <c r="BY44" i="32"/>
  <c r="BX44" i="32"/>
  <c r="BW44" i="32"/>
  <c r="BV44" i="32"/>
  <c r="BU44" i="32"/>
  <c r="BT44" i="32"/>
  <c r="BS44" i="32"/>
  <c r="BR44" i="32"/>
  <c r="BQ44" i="32"/>
  <c r="BP44" i="32"/>
  <c r="BO44" i="32"/>
  <c r="BZ43" i="32"/>
  <c r="BY43" i="32"/>
  <c r="BX43" i="32"/>
  <c r="BW43" i="32"/>
  <c r="BV43" i="32"/>
  <c r="BU43" i="32"/>
  <c r="BT43" i="32"/>
  <c r="BS43" i="32"/>
  <c r="BR43" i="32"/>
  <c r="BQ43" i="32"/>
  <c r="BP43" i="32"/>
  <c r="BO43" i="32"/>
  <c r="BZ42" i="32"/>
  <c r="BY42" i="32"/>
  <c r="BX42" i="32"/>
  <c r="BW42" i="32"/>
  <c r="BV42" i="32"/>
  <c r="BU42" i="32"/>
  <c r="BT42" i="32"/>
  <c r="BS42" i="32"/>
  <c r="BR42" i="32"/>
  <c r="BQ42" i="32"/>
  <c r="BP42" i="32"/>
  <c r="BO42" i="32"/>
  <c r="BZ41" i="32"/>
  <c r="BY41" i="32"/>
  <c r="BX41" i="32"/>
  <c r="BW41" i="32"/>
  <c r="BV41" i="32"/>
  <c r="BU41" i="32"/>
  <c r="BT41" i="32"/>
  <c r="BS41" i="32"/>
  <c r="BR41" i="32"/>
  <c r="BQ41" i="32"/>
  <c r="BP41" i="32"/>
  <c r="BO41" i="32"/>
  <c r="BZ40" i="32"/>
  <c r="BY40" i="32"/>
  <c r="BX40" i="32"/>
  <c r="BW40" i="32"/>
  <c r="BV40" i="32"/>
  <c r="BU40" i="32"/>
  <c r="BT40" i="32"/>
  <c r="BS40" i="32"/>
  <c r="BR40" i="32"/>
  <c r="BQ40" i="32"/>
  <c r="BP40" i="32"/>
  <c r="BO40" i="32"/>
  <c r="BZ39" i="32"/>
  <c r="BY39" i="32"/>
  <c r="BX39" i="32"/>
  <c r="BW39" i="32"/>
  <c r="BV39" i="32"/>
  <c r="BU39" i="32"/>
  <c r="BT39" i="32"/>
  <c r="BS39" i="32"/>
  <c r="BR39" i="32"/>
  <c r="BQ39" i="32"/>
  <c r="BP39" i="32"/>
  <c r="BO39" i="32"/>
  <c r="BZ38" i="32"/>
  <c r="BY38" i="32"/>
  <c r="BX38" i="32"/>
  <c r="BW38" i="32"/>
  <c r="BV38" i="32"/>
  <c r="BU38" i="32"/>
  <c r="BT38" i="32"/>
  <c r="BS38" i="32"/>
  <c r="BR38" i="32"/>
  <c r="BQ38" i="32"/>
  <c r="BP38" i="32"/>
  <c r="BO38" i="32"/>
  <c r="BZ37" i="32"/>
  <c r="BY37" i="32"/>
  <c r="BX37" i="32"/>
  <c r="BW37" i="32"/>
  <c r="BV37" i="32"/>
  <c r="BU37" i="32"/>
  <c r="BT37" i="32"/>
  <c r="BS37" i="32"/>
  <c r="BR37" i="32"/>
  <c r="BQ37" i="32"/>
  <c r="BP37" i="32"/>
  <c r="BO37" i="32"/>
  <c r="BZ36" i="32"/>
  <c r="BY36" i="32"/>
  <c r="BX36" i="32"/>
  <c r="BW36" i="32"/>
  <c r="BV36" i="32"/>
  <c r="BU36" i="32"/>
  <c r="BT36" i="32"/>
  <c r="BS36" i="32"/>
  <c r="BR36" i="32"/>
  <c r="BQ36" i="32"/>
  <c r="BP36" i="32"/>
  <c r="BO36" i="32"/>
  <c r="BZ35" i="32"/>
  <c r="BY35" i="32"/>
  <c r="BX35" i="32"/>
  <c r="BW35" i="32"/>
  <c r="BV35" i="32"/>
  <c r="BU35" i="32"/>
  <c r="BT35" i="32"/>
  <c r="BS35" i="32"/>
  <c r="BR35" i="32"/>
  <c r="BQ35" i="32"/>
  <c r="BP35" i="32"/>
  <c r="BO35" i="32"/>
  <c r="BZ34" i="32"/>
  <c r="BY34" i="32"/>
  <c r="BX34" i="32"/>
  <c r="BW34" i="32"/>
  <c r="BV34" i="32"/>
  <c r="BU34" i="32"/>
  <c r="BT34" i="32"/>
  <c r="BS34" i="32"/>
  <c r="BR34" i="32"/>
  <c r="BQ34" i="32"/>
  <c r="BP34" i="32"/>
  <c r="BO34" i="32"/>
  <c r="BZ33" i="32"/>
  <c r="BY33" i="32"/>
  <c r="BX33" i="32"/>
  <c r="BW33" i="32"/>
  <c r="BV33" i="32"/>
  <c r="BU33" i="32"/>
  <c r="BT33" i="32"/>
  <c r="BS33" i="32"/>
  <c r="BR33" i="32"/>
  <c r="BQ33" i="32"/>
  <c r="BP33" i="32"/>
  <c r="BO33" i="32"/>
  <c r="BZ32" i="32"/>
  <c r="BY32" i="32"/>
  <c r="BX32" i="32"/>
  <c r="BW32" i="32"/>
  <c r="BV32" i="32"/>
  <c r="BU32" i="32"/>
  <c r="BT32" i="32"/>
  <c r="BS32" i="32"/>
  <c r="BR32" i="32"/>
  <c r="BQ32" i="32"/>
  <c r="BP32" i="32"/>
  <c r="BO32" i="32"/>
  <c r="BZ23" i="32"/>
  <c r="BY23" i="32"/>
  <c r="BX23" i="32"/>
  <c r="BW23" i="32"/>
  <c r="BV23" i="32"/>
  <c r="BU23" i="32"/>
  <c r="BT23" i="32"/>
  <c r="BS23" i="32"/>
  <c r="BR23" i="32"/>
  <c r="BQ23" i="32"/>
  <c r="BP23" i="32"/>
  <c r="BO23" i="32"/>
  <c r="BZ22" i="32"/>
  <c r="BY22" i="32"/>
  <c r="BX22" i="32"/>
  <c r="BW22" i="32"/>
  <c r="BV22" i="32"/>
  <c r="BU22" i="32"/>
  <c r="BT22" i="32"/>
  <c r="BS22" i="32"/>
  <c r="BR22" i="32"/>
  <c r="BQ22" i="32"/>
  <c r="BP22" i="32"/>
  <c r="BO22" i="32"/>
  <c r="BZ21" i="32"/>
  <c r="BY21" i="32"/>
  <c r="BX21" i="32"/>
  <c r="BW21" i="32"/>
  <c r="BV21" i="32"/>
  <c r="BU21" i="32"/>
  <c r="BT21" i="32"/>
  <c r="BS21" i="32"/>
  <c r="BR21" i="32"/>
  <c r="BQ21" i="32"/>
  <c r="BP21" i="32"/>
  <c r="BO21" i="32"/>
  <c r="BZ20" i="32"/>
  <c r="BY20" i="32"/>
  <c r="BX20" i="32"/>
  <c r="BW20" i="32"/>
  <c r="BV20" i="32"/>
  <c r="BU20" i="32"/>
  <c r="BT20" i="32"/>
  <c r="BS20" i="32"/>
  <c r="BR20" i="32"/>
  <c r="BQ20" i="32"/>
  <c r="BP20" i="32"/>
  <c r="BO20" i="32"/>
  <c r="BZ19" i="32"/>
  <c r="BY19" i="32"/>
  <c r="BX19" i="32"/>
  <c r="BW19" i="32"/>
  <c r="BV19" i="32"/>
  <c r="BU19" i="32"/>
  <c r="BT19" i="32"/>
  <c r="BS19" i="32"/>
  <c r="BR19" i="32"/>
  <c r="BQ19" i="32"/>
  <c r="BP19" i="32"/>
  <c r="BO19" i="32"/>
  <c r="BZ18" i="32"/>
  <c r="BY18" i="32"/>
  <c r="BX18" i="32"/>
  <c r="BW18" i="32"/>
  <c r="BV18" i="32"/>
  <c r="BU18" i="32"/>
  <c r="BT18" i="32"/>
  <c r="BS18" i="32"/>
  <c r="BR18" i="32"/>
  <c r="BQ18" i="32"/>
  <c r="BP18" i="32"/>
  <c r="BO18" i="32"/>
  <c r="BZ17" i="32"/>
  <c r="BY17" i="32"/>
  <c r="BX17" i="32"/>
  <c r="BW17" i="32"/>
  <c r="BV17" i="32"/>
  <c r="BU17" i="32"/>
  <c r="BT17" i="32"/>
  <c r="BS17" i="32"/>
  <c r="BR17" i="32"/>
  <c r="BQ17" i="32"/>
  <c r="BP17" i="32"/>
  <c r="BO17" i="32"/>
  <c r="BZ16" i="32"/>
  <c r="BY16" i="32"/>
  <c r="BX16" i="32"/>
  <c r="BW16" i="32"/>
  <c r="BV16" i="32"/>
  <c r="BU16" i="32"/>
  <c r="BT16" i="32"/>
  <c r="BS16" i="32"/>
  <c r="BR16" i="32"/>
  <c r="BQ16" i="32"/>
  <c r="BP16" i="32"/>
  <c r="BO16" i="32"/>
  <c r="BZ15" i="32"/>
  <c r="BY15" i="32"/>
  <c r="BX15" i="32"/>
  <c r="BW15" i="32"/>
  <c r="BV15" i="32"/>
  <c r="BU15" i="32"/>
  <c r="BT15" i="32"/>
  <c r="BS15" i="32"/>
  <c r="BR15" i="32"/>
  <c r="BQ15" i="32"/>
  <c r="BP15" i="32"/>
  <c r="BO15" i="32"/>
  <c r="BZ14" i="32"/>
  <c r="BY14" i="32"/>
  <c r="BX14" i="32"/>
  <c r="BW14" i="32"/>
  <c r="BV14" i="32"/>
  <c r="BU14" i="32"/>
  <c r="BT14" i="32"/>
  <c r="BS14" i="32"/>
  <c r="BR14" i="32"/>
  <c r="BQ14" i="32"/>
  <c r="BP14" i="32"/>
  <c r="BO14" i="32"/>
  <c r="BZ13" i="32"/>
  <c r="BY13" i="32"/>
  <c r="BX13" i="32"/>
  <c r="BW13" i="32"/>
  <c r="BV13" i="32"/>
  <c r="BU13" i="32"/>
  <c r="BT13" i="32"/>
  <c r="BS13" i="32"/>
  <c r="BR13" i="32"/>
  <c r="BQ13" i="32"/>
  <c r="BP13" i="32"/>
  <c r="BO13" i="32"/>
  <c r="BZ12" i="32"/>
  <c r="BY12" i="32"/>
  <c r="BX12" i="32"/>
  <c r="BW12" i="32"/>
  <c r="BV12" i="32"/>
  <c r="BU12" i="32"/>
  <c r="BT12" i="32"/>
  <c r="BS12" i="32"/>
  <c r="BR12" i="32"/>
  <c r="BQ12" i="32"/>
  <c r="BP12" i="32"/>
  <c r="BO12" i="32"/>
  <c r="BZ11" i="32"/>
  <c r="BY11" i="32"/>
  <c r="BX11" i="32"/>
  <c r="BW11" i="32"/>
  <c r="BV11" i="32"/>
  <c r="BU11" i="32"/>
  <c r="BT11" i="32"/>
  <c r="BS11" i="32"/>
  <c r="BR11" i="32"/>
  <c r="BQ11" i="32"/>
  <c r="BP11" i="32"/>
  <c r="BO11" i="32"/>
  <c r="BZ10" i="32"/>
  <c r="BY10" i="32"/>
  <c r="BX10" i="32"/>
  <c r="BW10" i="32"/>
  <c r="BV10" i="32"/>
  <c r="BU10" i="32"/>
  <c r="BT10" i="32"/>
  <c r="BS10" i="32"/>
  <c r="BR10" i="32"/>
  <c r="BQ10" i="32"/>
  <c r="BP10" i="32"/>
  <c r="BO10" i="32"/>
  <c r="BZ9" i="32"/>
  <c r="BY9" i="32"/>
  <c r="BX9" i="32"/>
  <c r="BW9" i="32"/>
  <c r="BV9" i="32"/>
  <c r="BU9" i="32"/>
  <c r="BT9" i="32"/>
  <c r="BS9" i="32"/>
  <c r="BR9" i="32"/>
  <c r="BQ9" i="32"/>
  <c r="BP9" i="32"/>
  <c r="BO9" i="32"/>
  <c r="BZ8" i="32"/>
  <c r="BY8" i="32"/>
  <c r="BX8" i="32"/>
  <c r="BW8" i="32"/>
  <c r="BV8" i="32"/>
  <c r="BU8" i="32"/>
  <c r="BT8" i="32"/>
  <c r="BS8" i="32"/>
  <c r="BR8" i="32"/>
  <c r="BQ8" i="32"/>
  <c r="BP8" i="32"/>
  <c r="BO8" i="32"/>
  <c r="BZ7" i="32"/>
  <c r="BY7" i="32"/>
  <c r="BX7" i="32"/>
  <c r="BW7" i="32"/>
  <c r="BV7" i="32"/>
  <c r="BU7" i="32"/>
  <c r="BT7" i="32"/>
  <c r="BS7" i="32"/>
  <c r="BR7" i="32"/>
  <c r="BQ7" i="32"/>
  <c r="BP7" i="32"/>
  <c r="BO7" i="32"/>
  <c r="BZ6" i="32"/>
  <c r="BY6" i="32"/>
  <c r="BX6" i="32"/>
  <c r="BW6" i="32"/>
  <c r="BV6" i="32"/>
  <c r="BU6" i="32"/>
  <c r="BT6" i="32"/>
  <c r="BS6" i="32"/>
  <c r="BR6" i="32"/>
  <c r="BQ6" i="32"/>
  <c r="BP6" i="32"/>
  <c r="BO6" i="32"/>
  <c r="BZ5" i="32"/>
  <c r="BY5" i="32"/>
  <c r="BX5" i="32"/>
  <c r="BW5" i="32"/>
  <c r="BV5" i="32"/>
  <c r="BU5" i="32"/>
  <c r="BT5" i="32"/>
  <c r="BS5" i="32"/>
  <c r="BR5" i="32"/>
  <c r="BQ5" i="32"/>
  <c r="BP5" i="32"/>
  <c r="BO5" i="32"/>
  <c r="BL49" i="32"/>
  <c r="BK49" i="32"/>
  <c r="BJ49" i="32"/>
  <c r="BI49" i="32"/>
  <c r="BH49" i="32"/>
  <c r="BG49" i="32"/>
  <c r="BF49" i="32"/>
  <c r="BE49" i="32"/>
  <c r="BD49" i="32"/>
  <c r="BC49" i="32"/>
  <c r="BB49" i="32"/>
  <c r="BA49" i="32"/>
  <c r="BL48" i="32"/>
  <c r="BK48" i="32"/>
  <c r="BJ48" i="32"/>
  <c r="BI48" i="32"/>
  <c r="BH48" i="32"/>
  <c r="BG48" i="32"/>
  <c r="BF48" i="32"/>
  <c r="BE48" i="32"/>
  <c r="BD48" i="32"/>
  <c r="BC48" i="32"/>
  <c r="BB48" i="32"/>
  <c r="BA48" i="32"/>
  <c r="BL47" i="32"/>
  <c r="BK47" i="32"/>
  <c r="BJ47" i="32"/>
  <c r="BI47" i="32"/>
  <c r="BH47" i="32"/>
  <c r="BG47" i="32"/>
  <c r="BF47" i="32"/>
  <c r="BE47" i="32"/>
  <c r="BD47" i="32"/>
  <c r="BC47" i="32"/>
  <c r="BB47" i="32"/>
  <c r="BA47" i="32"/>
  <c r="BL46" i="32"/>
  <c r="BK46" i="32"/>
  <c r="BJ46" i="32"/>
  <c r="BI46" i="32"/>
  <c r="BH46" i="32"/>
  <c r="BG46" i="32"/>
  <c r="BF46" i="32"/>
  <c r="BE46" i="32"/>
  <c r="BD46" i="32"/>
  <c r="BC46" i="32"/>
  <c r="BB46" i="32"/>
  <c r="BA46" i="32"/>
  <c r="BL45" i="32"/>
  <c r="BK45" i="32"/>
  <c r="BJ45" i="32"/>
  <c r="BI45" i="32"/>
  <c r="BH45" i="32"/>
  <c r="BG45" i="32"/>
  <c r="BF45" i="32"/>
  <c r="BE45" i="32"/>
  <c r="BD45" i="32"/>
  <c r="BC45" i="32"/>
  <c r="BB45" i="32"/>
  <c r="BA45" i="32"/>
  <c r="BL44" i="32"/>
  <c r="BK44" i="32"/>
  <c r="BJ44" i="32"/>
  <c r="BI44" i="32"/>
  <c r="BH44" i="32"/>
  <c r="BG44" i="32"/>
  <c r="BF44" i="32"/>
  <c r="BE44" i="32"/>
  <c r="BD44" i="32"/>
  <c r="BC44" i="32"/>
  <c r="BB44" i="32"/>
  <c r="BA44" i="32"/>
  <c r="BL43" i="32"/>
  <c r="BK43" i="32"/>
  <c r="BJ43" i="32"/>
  <c r="BI43" i="32"/>
  <c r="BH43" i="32"/>
  <c r="BG43" i="32"/>
  <c r="BF43" i="32"/>
  <c r="BE43" i="32"/>
  <c r="BD43" i="32"/>
  <c r="BC43" i="32"/>
  <c r="BB43" i="32"/>
  <c r="BA43" i="32"/>
  <c r="BL42" i="32"/>
  <c r="BK42" i="32"/>
  <c r="BJ42" i="32"/>
  <c r="BI42" i="32"/>
  <c r="BH42" i="32"/>
  <c r="BG42" i="32"/>
  <c r="BF42" i="32"/>
  <c r="BE42" i="32"/>
  <c r="BD42" i="32"/>
  <c r="BC42" i="32"/>
  <c r="BB42" i="32"/>
  <c r="BA42" i="32"/>
  <c r="BL41" i="32"/>
  <c r="BK41" i="32"/>
  <c r="BJ41" i="32"/>
  <c r="BI41" i="32"/>
  <c r="BH41" i="32"/>
  <c r="BG41" i="32"/>
  <c r="BF41" i="32"/>
  <c r="BE41" i="32"/>
  <c r="BD41" i="32"/>
  <c r="BC41" i="32"/>
  <c r="BB41" i="32"/>
  <c r="BA41" i="32"/>
  <c r="BL40" i="32"/>
  <c r="BK40" i="32"/>
  <c r="BJ40" i="32"/>
  <c r="BI40" i="32"/>
  <c r="BH40" i="32"/>
  <c r="BG40" i="32"/>
  <c r="BF40" i="32"/>
  <c r="BE40" i="32"/>
  <c r="BD40" i="32"/>
  <c r="BC40" i="32"/>
  <c r="BB40" i="32"/>
  <c r="BA40" i="32"/>
  <c r="BL39" i="32"/>
  <c r="BK39" i="32"/>
  <c r="BJ39" i="32"/>
  <c r="BI39" i="32"/>
  <c r="BH39" i="32"/>
  <c r="BG39" i="32"/>
  <c r="BF39" i="32"/>
  <c r="BE39" i="32"/>
  <c r="BD39" i="32"/>
  <c r="BC39" i="32"/>
  <c r="BB39" i="32"/>
  <c r="BA39" i="32"/>
  <c r="BL38" i="32"/>
  <c r="BK38" i="32"/>
  <c r="BJ38" i="32"/>
  <c r="BI38" i="32"/>
  <c r="BH38" i="32"/>
  <c r="BG38" i="32"/>
  <c r="BF38" i="32"/>
  <c r="BE38" i="32"/>
  <c r="BD38" i="32"/>
  <c r="BC38" i="32"/>
  <c r="BB38" i="32"/>
  <c r="BA38" i="32"/>
  <c r="BL37" i="32"/>
  <c r="BK37" i="32"/>
  <c r="BJ37" i="32"/>
  <c r="BI37" i="32"/>
  <c r="BH37" i="32"/>
  <c r="BG37" i="32"/>
  <c r="BF37" i="32"/>
  <c r="BE37" i="32"/>
  <c r="BD37" i="32"/>
  <c r="BC37" i="32"/>
  <c r="BB37" i="32"/>
  <c r="BA37" i="32"/>
  <c r="BL36" i="32"/>
  <c r="BK36" i="32"/>
  <c r="BJ36" i="32"/>
  <c r="BI36" i="32"/>
  <c r="BH36" i="32"/>
  <c r="BG36" i="32"/>
  <c r="BF36" i="32"/>
  <c r="BE36" i="32"/>
  <c r="BD36" i="32"/>
  <c r="BC36" i="32"/>
  <c r="BB36" i="32"/>
  <c r="BA36" i="32"/>
  <c r="BL35" i="32"/>
  <c r="BK35" i="32"/>
  <c r="BJ35" i="32"/>
  <c r="BI35" i="32"/>
  <c r="BH35" i="32"/>
  <c r="BG35" i="32"/>
  <c r="BF35" i="32"/>
  <c r="BE35" i="32"/>
  <c r="BD35" i="32"/>
  <c r="BC35" i="32"/>
  <c r="BB35" i="32"/>
  <c r="BA35" i="32"/>
  <c r="BL34" i="32"/>
  <c r="BK34" i="32"/>
  <c r="BJ34" i="32"/>
  <c r="BI34" i="32"/>
  <c r="BH34" i="32"/>
  <c r="BG34" i="32"/>
  <c r="BF34" i="32"/>
  <c r="BE34" i="32"/>
  <c r="BD34" i="32"/>
  <c r="BC34" i="32"/>
  <c r="BB34" i="32"/>
  <c r="BA34" i="32"/>
  <c r="BL33" i="32"/>
  <c r="BK33" i="32"/>
  <c r="BJ33" i="32"/>
  <c r="BI33" i="32"/>
  <c r="BH33" i="32"/>
  <c r="BG33" i="32"/>
  <c r="BF33" i="32"/>
  <c r="BE33" i="32"/>
  <c r="BD33" i="32"/>
  <c r="BC33" i="32"/>
  <c r="BB33" i="32"/>
  <c r="BA33" i="32"/>
  <c r="BL32" i="32"/>
  <c r="BK32" i="32"/>
  <c r="BJ32" i="32"/>
  <c r="BI32" i="32"/>
  <c r="BH32" i="32"/>
  <c r="BG32" i="32"/>
  <c r="BF32" i="32"/>
  <c r="BE32" i="32"/>
  <c r="BD32" i="32"/>
  <c r="BC32" i="32"/>
  <c r="BB32" i="32"/>
  <c r="BA32" i="32"/>
  <c r="BL23" i="32"/>
  <c r="BK23" i="32"/>
  <c r="BJ23" i="32"/>
  <c r="BI23" i="32"/>
  <c r="BH23" i="32"/>
  <c r="BG23" i="32"/>
  <c r="BF23" i="32"/>
  <c r="BE23" i="32"/>
  <c r="BD23" i="32"/>
  <c r="BC23" i="32"/>
  <c r="BB23" i="32"/>
  <c r="BA23" i="32"/>
  <c r="BL22" i="32"/>
  <c r="BK22" i="32"/>
  <c r="BJ22" i="32"/>
  <c r="BI22" i="32"/>
  <c r="BH22" i="32"/>
  <c r="BG22" i="32"/>
  <c r="BF22" i="32"/>
  <c r="BE22" i="32"/>
  <c r="BD22" i="32"/>
  <c r="BC22" i="32"/>
  <c r="BB22" i="32"/>
  <c r="BA22" i="32"/>
  <c r="BL21" i="32"/>
  <c r="BK21" i="32"/>
  <c r="BJ21" i="32"/>
  <c r="BI21" i="32"/>
  <c r="BH21" i="32"/>
  <c r="BG21" i="32"/>
  <c r="BF21" i="32"/>
  <c r="BE21" i="32"/>
  <c r="BD21" i="32"/>
  <c r="BC21" i="32"/>
  <c r="BB21" i="32"/>
  <c r="BA21" i="32"/>
  <c r="BL20" i="32"/>
  <c r="BK20" i="32"/>
  <c r="BJ20" i="32"/>
  <c r="BI20" i="32"/>
  <c r="BH20" i="32"/>
  <c r="BG20" i="32"/>
  <c r="BF20" i="32"/>
  <c r="BE20" i="32"/>
  <c r="BD20" i="32"/>
  <c r="BC20" i="32"/>
  <c r="BB20" i="32"/>
  <c r="BA20" i="32"/>
  <c r="BL19" i="32"/>
  <c r="BK19" i="32"/>
  <c r="BJ19" i="32"/>
  <c r="BI19" i="32"/>
  <c r="BH19" i="32"/>
  <c r="BG19" i="32"/>
  <c r="BF19" i="32"/>
  <c r="BE19" i="32"/>
  <c r="BD19" i="32"/>
  <c r="BC19" i="32"/>
  <c r="BB19" i="32"/>
  <c r="BA19" i="32"/>
  <c r="BL18" i="32"/>
  <c r="BK18" i="32"/>
  <c r="BJ18" i="32"/>
  <c r="BI18" i="32"/>
  <c r="BH18" i="32"/>
  <c r="BG18" i="32"/>
  <c r="BF18" i="32"/>
  <c r="BE18" i="32"/>
  <c r="BD18" i="32"/>
  <c r="BC18" i="32"/>
  <c r="BB18" i="32"/>
  <c r="BA18" i="32"/>
  <c r="BL17" i="32"/>
  <c r="BK17" i="32"/>
  <c r="BJ17" i="32"/>
  <c r="BI17" i="32"/>
  <c r="BH17" i="32"/>
  <c r="BG17" i="32"/>
  <c r="BF17" i="32"/>
  <c r="BE17" i="32"/>
  <c r="BD17" i="32"/>
  <c r="BC17" i="32"/>
  <c r="BB17" i="32"/>
  <c r="BA17" i="32"/>
  <c r="BL16" i="32"/>
  <c r="BK16" i="32"/>
  <c r="BJ16" i="32"/>
  <c r="BI16" i="32"/>
  <c r="BH16" i="32"/>
  <c r="BG16" i="32"/>
  <c r="BF16" i="32"/>
  <c r="BE16" i="32"/>
  <c r="BD16" i="32"/>
  <c r="BC16" i="32"/>
  <c r="BB16" i="32"/>
  <c r="BA16" i="32"/>
  <c r="BL15" i="32"/>
  <c r="BK15" i="32"/>
  <c r="BJ15" i="32"/>
  <c r="BI15" i="32"/>
  <c r="BH15" i="32"/>
  <c r="BG15" i="32"/>
  <c r="BF15" i="32"/>
  <c r="BE15" i="32"/>
  <c r="BD15" i="32"/>
  <c r="BC15" i="32"/>
  <c r="BB15" i="32"/>
  <c r="BA15" i="32"/>
  <c r="BL14" i="32"/>
  <c r="BK14" i="32"/>
  <c r="BJ14" i="32"/>
  <c r="BI14" i="32"/>
  <c r="BH14" i="32"/>
  <c r="BG14" i="32"/>
  <c r="BF14" i="32"/>
  <c r="BE14" i="32"/>
  <c r="BD14" i="32"/>
  <c r="BC14" i="32"/>
  <c r="BB14" i="32"/>
  <c r="BA14" i="32"/>
  <c r="BL13" i="32"/>
  <c r="BK13" i="32"/>
  <c r="BJ13" i="32"/>
  <c r="BI13" i="32"/>
  <c r="BH13" i="32"/>
  <c r="BG13" i="32"/>
  <c r="BF13" i="32"/>
  <c r="BE13" i="32"/>
  <c r="BD13" i="32"/>
  <c r="BC13" i="32"/>
  <c r="BB13" i="32"/>
  <c r="BA13" i="32"/>
  <c r="BL12" i="32"/>
  <c r="BK12" i="32"/>
  <c r="BJ12" i="32"/>
  <c r="BI12" i="32"/>
  <c r="BH12" i="32"/>
  <c r="BG12" i="32"/>
  <c r="BF12" i="32"/>
  <c r="BE12" i="32"/>
  <c r="BD12" i="32"/>
  <c r="BC12" i="32"/>
  <c r="BB12" i="32"/>
  <c r="BA12" i="32"/>
  <c r="BL11" i="32"/>
  <c r="BK11" i="32"/>
  <c r="BJ11" i="32"/>
  <c r="BI11" i="32"/>
  <c r="BH11" i="32"/>
  <c r="BG11" i="32"/>
  <c r="BF11" i="32"/>
  <c r="BE11" i="32"/>
  <c r="BD11" i="32"/>
  <c r="BC11" i="32"/>
  <c r="BB11" i="32"/>
  <c r="BA11" i="32"/>
  <c r="BL10" i="32"/>
  <c r="BK10" i="32"/>
  <c r="BJ10" i="32"/>
  <c r="BI10" i="32"/>
  <c r="BH10" i="32"/>
  <c r="BG10" i="32"/>
  <c r="BF10" i="32"/>
  <c r="BE10" i="32"/>
  <c r="BD10" i="32"/>
  <c r="BC10" i="32"/>
  <c r="BB10" i="32"/>
  <c r="BA10" i="32"/>
  <c r="BL9" i="32"/>
  <c r="BK9" i="32"/>
  <c r="BJ9" i="32"/>
  <c r="BI9" i="32"/>
  <c r="BH9" i="32"/>
  <c r="BG9" i="32"/>
  <c r="BF9" i="32"/>
  <c r="BE9" i="32"/>
  <c r="BD9" i="32"/>
  <c r="BC9" i="32"/>
  <c r="BB9" i="32"/>
  <c r="BA9" i="32"/>
  <c r="BL8" i="32"/>
  <c r="BK8" i="32"/>
  <c r="BJ8" i="32"/>
  <c r="BI8" i="32"/>
  <c r="BH8" i="32"/>
  <c r="BG8" i="32"/>
  <c r="BF8" i="32"/>
  <c r="BE8" i="32"/>
  <c r="BD8" i="32"/>
  <c r="BC8" i="32"/>
  <c r="BB8" i="32"/>
  <c r="BA8" i="32"/>
  <c r="BL7" i="32"/>
  <c r="BK7" i="32"/>
  <c r="BJ7" i="32"/>
  <c r="BI7" i="32"/>
  <c r="BH7" i="32"/>
  <c r="BG7" i="32"/>
  <c r="BF7" i="32"/>
  <c r="BE7" i="32"/>
  <c r="BD7" i="32"/>
  <c r="BC7" i="32"/>
  <c r="BB7" i="32"/>
  <c r="BA7" i="32"/>
  <c r="BL6" i="32"/>
  <c r="BK6" i="32"/>
  <c r="BJ6" i="32"/>
  <c r="BI6" i="32"/>
  <c r="BH6" i="32"/>
  <c r="BG6" i="32"/>
  <c r="BF6" i="32"/>
  <c r="BE6" i="32"/>
  <c r="BD6" i="32"/>
  <c r="BC6" i="32"/>
  <c r="BB6" i="32"/>
  <c r="BA6" i="32"/>
  <c r="BL5" i="32"/>
  <c r="BK5" i="32"/>
  <c r="BJ5" i="32"/>
  <c r="BI5" i="32"/>
  <c r="BH5" i="32"/>
  <c r="BG5" i="32"/>
  <c r="BF5" i="32"/>
  <c r="BE5" i="32"/>
  <c r="BD5" i="32"/>
  <c r="BC5" i="32"/>
  <c r="BB5" i="32"/>
  <c r="BA5" i="32"/>
  <c r="AX49" i="32"/>
  <c r="AW49" i="32"/>
  <c r="AV49" i="32"/>
  <c r="AU49" i="32"/>
  <c r="AT49" i="32"/>
  <c r="AS49" i="32"/>
  <c r="AR49" i="32"/>
  <c r="AQ49" i="32"/>
  <c r="AP49" i="32"/>
  <c r="AO49" i="32"/>
  <c r="AN49" i="32"/>
  <c r="AM49" i="32"/>
  <c r="AX48" i="32"/>
  <c r="AW48" i="32"/>
  <c r="AV48" i="32"/>
  <c r="AU48" i="32"/>
  <c r="AT48" i="32"/>
  <c r="AS48" i="32"/>
  <c r="AR48" i="32"/>
  <c r="AQ48" i="32"/>
  <c r="AP48" i="32"/>
  <c r="AO48" i="32"/>
  <c r="AN48" i="32"/>
  <c r="AM48" i="32"/>
  <c r="AX47" i="32"/>
  <c r="AW47" i="32"/>
  <c r="AV47" i="32"/>
  <c r="AU47" i="32"/>
  <c r="AT47" i="32"/>
  <c r="AS47" i="32"/>
  <c r="AR47" i="32"/>
  <c r="AQ47" i="32"/>
  <c r="AP47" i="32"/>
  <c r="AO47" i="32"/>
  <c r="AN47" i="32"/>
  <c r="AM47" i="32"/>
  <c r="AX46" i="32"/>
  <c r="AW46" i="32"/>
  <c r="AV46" i="32"/>
  <c r="AU46" i="32"/>
  <c r="AT46" i="32"/>
  <c r="AS46" i="32"/>
  <c r="AR46" i="32"/>
  <c r="AQ46" i="32"/>
  <c r="AP46" i="32"/>
  <c r="AO46" i="32"/>
  <c r="AN46" i="32"/>
  <c r="AM46" i="32"/>
  <c r="AX45" i="32"/>
  <c r="AW45" i="32"/>
  <c r="AV45" i="32"/>
  <c r="AU45" i="32"/>
  <c r="AT45" i="32"/>
  <c r="AS45" i="32"/>
  <c r="AR45" i="32"/>
  <c r="AQ45" i="32"/>
  <c r="AP45" i="32"/>
  <c r="AO45" i="32"/>
  <c r="AN45" i="32"/>
  <c r="AM45" i="32"/>
  <c r="AX44" i="32"/>
  <c r="AW44" i="32"/>
  <c r="AV44" i="32"/>
  <c r="AU44" i="32"/>
  <c r="AT44" i="32"/>
  <c r="AS44" i="32"/>
  <c r="AR44" i="32"/>
  <c r="AQ44" i="32"/>
  <c r="AP44" i="32"/>
  <c r="AO44" i="32"/>
  <c r="AN44" i="32"/>
  <c r="AM44" i="32"/>
  <c r="AX43" i="32"/>
  <c r="AW43" i="32"/>
  <c r="AV43" i="32"/>
  <c r="AU43" i="32"/>
  <c r="AT43" i="32"/>
  <c r="AS43" i="32"/>
  <c r="AR43" i="32"/>
  <c r="AQ43" i="32"/>
  <c r="AP43" i="32"/>
  <c r="AO43" i="32"/>
  <c r="AN43" i="32"/>
  <c r="AM43" i="32"/>
  <c r="AX42" i="32"/>
  <c r="AW42" i="32"/>
  <c r="AV42" i="32"/>
  <c r="AU42" i="32"/>
  <c r="AT42" i="32"/>
  <c r="AS42" i="32"/>
  <c r="AR42" i="32"/>
  <c r="AQ42" i="32"/>
  <c r="AP42" i="32"/>
  <c r="AO42" i="32"/>
  <c r="AN42" i="32"/>
  <c r="AM42" i="32"/>
  <c r="AX41" i="32"/>
  <c r="AW41" i="32"/>
  <c r="AV41" i="32"/>
  <c r="AU41" i="32"/>
  <c r="AT41" i="32"/>
  <c r="AS41" i="32"/>
  <c r="AR41" i="32"/>
  <c r="AQ41" i="32"/>
  <c r="AP41" i="32"/>
  <c r="AO41" i="32"/>
  <c r="AN41" i="32"/>
  <c r="AM41" i="32"/>
  <c r="AX40" i="32"/>
  <c r="AW40" i="32"/>
  <c r="AV40" i="32"/>
  <c r="AU40" i="32"/>
  <c r="AT40" i="32"/>
  <c r="AS40" i="32"/>
  <c r="AR40" i="32"/>
  <c r="AQ40" i="32"/>
  <c r="AP40" i="32"/>
  <c r="AO40" i="32"/>
  <c r="AN40" i="32"/>
  <c r="AM40" i="32"/>
  <c r="AX39" i="32"/>
  <c r="AW39" i="32"/>
  <c r="AV39" i="32"/>
  <c r="AU39" i="32"/>
  <c r="AT39" i="32"/>
  <c r="AS39" i="32"/>
  <c r="AR39" i="32"/>
  <c r="AQ39" i="32"/>
  <c r="AP39" i="32"/>
  <c r="AO39" i="32"/>
  <c r="AN39" i="32"/>
  <c r="AM39" i="32"/>
  <c r="AX38" i="32"/>
  <c r="AW38" i="32"/>
  <c r="AV38" i="32"/>
  <c r="AU38" i="32"/>
  <c r="AT38" i="32"/>
  <c r="AS38" i="32"/>
  <c r="AR38" i="32"/>
  <c r="AQ38" i="32"/>
  <c r="AP38" i="32"/>
  <c r="AO38" i="32"/>
  <c r="AN38" i="32"/>
  <c r="AM38" i="32"/>
  <c r="AX37" i="32"/>
  <c r="AW37" i="32"/>
  <c r="AV37" i="32"/>
  <c r="AU37" i="32"/>
  <c r="AT37" i="32"/>
  <c r="AS37" i="32"/>
  <c r="AR37" i="32"/>
  <c r="AQ37" i="32"/>
  <c r="AP37" i="32"/>
  <c r="AO37" i="32"/>
  <c r="AN37" i="32"/>
  <c r="AM37" i="32"/>
  <c r="AX36" i="32"/>
  <c r="AW36" i="32"/>
  <c r="AV36" i="32"/>
  <c r="AU36" i="32"/>
  <c r="AT36" i="32"/>
  <c r="AS36" i="32"/>
  <c r="AR36" i="32"/>
  <c r="AQ36" i="32"/>
  <c r="AP36" i="32"/>
  <c r="AO36" i="32"/>
  <c r="AN36" i="32"/>
  <c r="AM36" i="32"/>
  <c r="AX35" i="32"/>
  <c r="AW35" i="32"/>
  <c r="AV35" i="32"/>
  <c r="AU35" i="32"/>
  <c r="AT35" i="32"/>
  <c r="AS35" i="32"/>
  <c r="AR35" i="32"/>
  <c r="AQ35" i="32"/>
  <c r="AP35" i="32"/>
  <c r="AO35" i="32"/>
  <c r="AN35" i="32"/>
  <c r="AM35" i="32"/>
  <c r="AX34" i="32"/>
  <c r="AW34" i="32"/>
  <c r="AV34" i="32"/>
  <c r="AU34" i="32"/>
  <c r="AT34" i="32"/>
  <c r="AS34" i="32"/>
  <c r="AR34" i="32"/>
  <c r="AQ34" i="32"/>
  <c r="AP34" i="32"/>
  <c r="AO34" i="32"/>
  <c r="AN34" i="32"/>
  <c r="AM34" i="32"/>
  <c r="AX33" i="32"/>
  <c r="AW33" i="32"/>
  <c r="AV33" i="32"/>
  <c r="AU33" i="32"/>
  <c r="AT33" i="32"/>
  <c r="AS33" i="32"/>
  <c r="AR33" i="32"/>
  <c r="AQ33" i="32"/>
  <c r="AP33" i="32"/>
  <c r="AO33" i="32"/>
  <c r="AN33" i="32"/>
  <c r="AM33" i="32"/>
  <c r="AX32" i="32"/>
  <c r="AW32" i="32"/>
  <c r="AV32" i="32"/>
  <c r="AU32" i="32"/>
  <c r="AT32" i="32"/>
  <c r="AS32" i="32"/>
  <c r="AR32" i="32"/>
  <c r="AQ32" i="32"/>
  <c r="AP32" i="32"/>
  <c r="AO32" i="32"/>
  <c r="AN32" i="32"/>
  <c r="AM32" i="32"/>
  <c r="AM6" i="32"/>
  <c r="AN6" i="32"/>
  <c r="AO6" i="32"/>
  <c r="AP6" i="32"/>
  <c r="AQ6" i="32"/>
  <c r="AR6" i="32"/>
  <c r="AS6" i="32"/>
  <c r="AT6" i="32"/>
  <c r="AU6" i="32"/>
  <c r="AV6" i="32"/>
  <c r="AW6" i="32"/>
  <c r="AX6" i="32"/>
  <c r="AM7" i="32"/>
  <c r="AN7" i="32"/>
  <c r="AO7" i="32"/>
  <c r="AP7" i="32"/>
  <c r="AQ7" i="32"/>
  <c r="AR7" i="32"/>
  <c r="AS7" i="32"/>
  <c r="AT7" i="32"/>
  <c r="AU7" i="32"/>
  <c r="AV7" i="32"/>
  <c r="AW7" i="32"/>
  <c r="AX7" i="32"/>
  <c r="AM8" i="32"/>
  <c r="AN8" i="32"/>
  <c r="AO8" i="32"/>
  <c r="AP8" i="32"/>
  <c r="AQ8" i="32"/>
  <c r="AR8" i="32"/>
  <c r="AS8" i="32"/>
  <c r="AT8" i="32"/>
  <c r="AU8" i="32"/>
  <c r="AV8" i="32"/>
  <c r="AW8" i="32"/>
  <c r="AX8" i="32"/>
  <c r="AM9" i="32"/>
  <c r="AN9" i="32"/>
  <c r="AO9" i="32"/>
  <c r="AP9" i="32"/>
  <c r="AQ9" i="32"/>
  <c r="AR9" i="32"/>
  <c r="AS9" i="32"/>
  <c r="AT9" i="32"/>
  <c r="AU9" i="32"/>
  <c r="AV9" i="32"/>
  <c r="AW9" i="32"/>
  <c r="AX9" i="32"/>
  <c r="AM10" i="32"/>
  <c r="AN10" i="32"/>
  <c r="AO10" i="32"/>
  <c r="AP10" i="32"/>
  <c r="AQ10" i="32"/>
  <c r="AR10" i="32"/>
  <c r="AS10" i="32"/>
  <c r="AT10" i="32"/>
  <c r="AU10" i="32"/>
  <c r="AV10" i="32"/>
  <c r="AW10" i="32"/>
  <c r="AX10" i="32"/>
  <c r="AM11" i="32"/>
  <c r="AN11" i="32"/>
  <c r="AO11" i="32"/>
  <c r="AP11" i="32"/>
  <c r="AQ11" i="32"/>
  <c r="AR11" i="32"/>
  <c r="AS11" i="32"/>
  <c r="AT11" i="32"/>
  <c r="AU11" i="32"/>
  <c r="AV11" i="32"/>
  <c r="AW11" i="32"/>
  <c r="AX11" i="32"/>
  <c r="AM12" i="32"/>
  <c r="AN12" i="32"/>
  <c r="AO12" i="32"/>
  <c r="AP12" i="32"/>
  <c r="AQ12" i="32"/>
  <c r="AR12" i="32"/>
  <c r="AS12" i="32"/>
  <c r="AT12" i="32"/>
  <c r="AU12" i="32"/>
  <c r="AV12" i="32"/>
  <c r="AW12" i="32"/>
  <c r="AX12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M14" i="32"/>
  <c r="AN14" i="32"/>
  <c r="AO14" i="32"/>
  <c r="AP14" i="32"/>
  <c r="AQ14" i="32"/>
  <c r="AR14" i="32"/>
  <c r="AS14" i="32"/>
  <c r="AT14" i="32"/>
  <c r="AU14" i="32"/>
  <c r="AV14" i="32"/>
  <c r="AW14" i="32"/>
  <c r="AX14" i="32"/>
  <c r="AM15" i="32"/>
  <c r="AN15" i="32"/>
  <c r="AO15" i="32"/>
  <c r="AP15" i="32"/>
  <c r="AQ15" i="32"/>
  <c r="AR15" i="32"/>
  <c r="AS15" i="32"/>
  <c r="AT15" i="32"/>
  <c r="AU15" i="32"/>
  <c r="AV15" i="32"/>
  <c r="AW15" i="32"/>
  <c r="AX15" i="32"/>
  <c r="AM16" i="32"/>
  <c r="AN16" i="32"/>
  <c r="AO16" i="32"/>
  <c r="AP16" i="32"/>
  <c r="AQ16" i="32"/>
  <c r="AR16" i="32"/>
  <c r="AS16" i="32"/>
  <c r="AT16" i="32"/>
  <c r="AU16" i="32"/>
  <c r="AV16" i="32"/>
  <c r="AW16" i="32"/>
  <c r="AX16" i="32"/>
  <c r="AM17" i="32"/>
  <c r="AN17" i="32"/>
  <c r="AO17" i="32"/>
  <c r="AP17" i="32"/>
  <c r="AQ17" i="32"/>
  <c r="AR17" i="32"/>
  <c r="AS17" i="32"/>
  <c r="AT17" i="32"/>
  <c r="AU17" i="32"/>
  <c r="AV17" i="32"/>
  <c r="AW17" i="32"/>
  <c r="AX17" i="32"/>
  <c r="AM18" i="32"/>
  <c r="AN18" i="32"/>
  <c r="AO18" i="32"/>
  <c r="AP18" i="32"/>
  <c r="AQ18" i="32"/>
  <c r="AR18" i="32"/>
  <c r="AS18" i="32"/>
  <c r="AT18" i="32"/>
  <c r="AU18" i="32"/>
  <c r="AV18" i="32"/>
  <c r="AW18" i="32"/>
  <c r="AX18" i="32"/>
  <c r="AM19" i="32"/>
  <c r="AN19" i="32"/>
  <c r="AO19" i="32"/>
  <c r="AP19" i="32"/>
  <c r="AQ19" i="32"/>
  <c r="AR19" i="32"/>
  <c r="AS19" i="32"/>
  <c r="AT19" i="32"/>
  <c r="AU19" i="32"/>
  <c r="AV19" i="32"/>
  <c r="AW19" i="32"/>
  <c r="AX19" i="32"/>
  <c r="AM20" i="32"/>
  <c r="AN20" i="32"/>
  <c r="AO20" i="32"/>
  <c r="AP20" i="32"/>
  <c r="AQ20" i="32"/>
  <c r="AR20" i="32"/>
  <c r="AS20" i="32"/>
  <c r="AT20" i="32"/>
  <c r="AU20" i="32"/>
  <c r="AV20" i="32"/>
  <c r="AW20" i="32"/>
  <c r="AX20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M22" i="32"/>
  <c r="AN22" i="32"/>
  <c r="AO22" i="32"/>
  <c r="AP22" i="32"/>
  <c r="AQ22" i="32"/>
  <c r="AR22" i="32"/>
  <c r="AS22" i="32"/>
  <c r="AT22" i="32"/>
  <c r="AU22" i="32"/>
  <c r="AV22" i="32"/>
  <c r="AW22" i="32"/>
  <c r="AX22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N5" i="32"/>
  <c r="AO5" i="32"/>
  <c r="AP5" i="32"/>
  <c r="AQ5" i="32"/>
  <c r="AR5" i="32"/>
  <c r="AS5" i="32"/>
  <c r="AT5" i="32"/>
  <c r="AU5" i="32"/>
  <c r="AV5" i="32"/>
  <c r="AW5" i="32"/>
  <c r="AX5" i="32"/>
  <c r="AM5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Y35" i="32"/>
  <c r="Z35" i="32"/>
  <c r="AA35" i="32"/>
  <c r="AB35" i="32"/>
  <c r="AC35" i="32"/>
  <c r="AD35" i="32"/>
  <c r="AE35" i="32"/>
  <c r="AF35" i="32"/>
  <c r="AG35" i="32"/>
  <c r="AH35" i="32"/>
  <c r="AI35" i="32"/>
  <c r="AJ35" i="32"/>
  <c r="Y36" i="32"/>
  <c r="Z36" i="32"/>
  <c r="AA36" i="32"/>
  <c r="AB36" i="32"/>
  <c r="AC36" i="32"/>
  <c r="AD36" i="32"/>
  <c r="AE36" i="32"/>
  <c r="AF36" i="32"/>
  <c r="AG36" i="32"/>
  <c r="AH36" i="32"/>
  <c r="AI36" i="32"/>
  <c r="AJ36" i="32"/>
  <c r="Y37" i="32"/>
  <c r="Z37" i="32"/>
  <c r="AA37" i="32"/>
  <c r="AB37" i="32"/>
  <c r="AC37" i="32"/>
  <c r="AD37" i="32"/>
  <c r="AE37" i="32"/>
  <c r="AF37" i="32"/>
  <c r="AG37" i="32"/>
  <c r="AH37" i="32"/>
  <c r="AI37" i="32"/>
  <c r="AJ37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Y39" i="32"/>
  <c r="Z39" i="32"/>
  <c r="AA39" i="32"/>
  <c r="AB39" i="32"/>
  <c r="AC39" i="32"/>
  <c r="AD39" i="32"/>
  <c r="AE39" i="32"/>
  <c r="AF39" i="32"/>
  <c r="AG39" i="32"/>
  <c r="AH39" i="32"/>
  <c r="AI39" i="32"/>
  <c r="AJ39" i="32"/>
  <c r="Y40" i="32"/>
  <c r="Z40" i="32"/>
  <c r="AA40" i="32"/>
  <c r="AB40" i="32"/>
  <c r="AC40" i="32"/>
  <c r="AD40" i="32"/>
  <c r="AE40" i="32"/>
  <c r="AF40" i="32"/>
  <c r="AG40" i="32"/>
  <c r="AH40" i="32"/>
  <c r="AI40" i="32"/>
  <c r="AJ40" i="32"/>
  <c r="Y41" i="32"/>
  <c r="Z41" i="32"/>
  <c r="AA41" i="32"/>
  <c r="AB41" i="32"/>
  <c r="AC41" i="32"/>
  <c r="AD41" i="32"/>
  <c r="AE41" i="32"/>
  <c r="AF41" i="32"/>
  <c r="AG41" i="32"/>
  <c r="AH41" i="32"/>
  <c r="AI41" i="32"/>
  <c r="AJ41" i="32"/>
  <c r="Y42" i="32"/>
  <c r="Z42" i="32"/>
  <c r="AA42" i="32"/>
  <c r="AB42" i="32"/>
  <c r="AC42" i="32"/>
  <c r="AD42" i="32"/>
  <c r="AE42" i="32"/>
  <c r="AF42" i="32"/>
  <c r="AG42" i="32"/>
  <c r="AH42" i="32"/>
  <c r="AI42" i="32"/>
  <c r="AJ42" i="32"/>
  <c r="Y43" i="32"/>
  <c r="Z43" i="32"/>
  <c r="AA43" i="32"/>
  <c r="AB43" i="32"/>
  <c r="AC43" i="32"/>
  <c r="AD43" i="32"/>
  <c r="AE43" i="32"/>
  <c r="AF43" i="32"/>
  <c r="AG43" i="32"/>
  <c r="AH43" i="32"/>
  <c r="AI43" i="32"/>
  <c r="AJ43" i="32"/>
  <c r="Y44" i="32"/>
  <c r="Z44" i="32"/>
  <c r="AA44" i="32"/>
  <c r="AB44" i="32"/>
  <c r="AC44" i="32"/>
  <c r="AD44" i="32"/>
  <c r="AE44" i="32"/>
  <c r="AF44" i="32"/>
  <c r="AG44" i="32"/>
  <c r="AH44" i="32"/>
  <c r="AI44" i="32"/>
  <c r="AJ44" i="32"/>
  <c r="Y45" i="32"/>
  <c r="Z45" i="32"/>
  <c r="AA45" i="32"/>
  <c r="AB45" i="32"/>
  <c r="AC45" i="32"/>
  <c r="AD45" i="32"/>
  <c r="AE45" i="32"/>
  <c r="AF45" i="32"/>
  <c r="AG45" i="32"/>
  <c r="AH45" i="32"/>
  <c r="AI45" i="32"/>
  <c r="AJ45" i="32"/>
  <c r="Y46" i="32"/>
  <c r="Z46" i="32"/>
  <c r="AA46" i="32"/>
  <c r="AB46" i="32"/>
  <c r="AC46" i="32"/>
  <c r="AD46" i="32"/>
  <c r="AE46" i="32"/>
  <c r="AF46" i="32"/>
  <c r="AG46" i="32"/>
  <c r="AH46" i="32"/>
  <c r="AI46" i="32"/>
  <c r="AJ46" i="32"/>
  <c r="Y47" i="32"/>
  <c r="Z47" i="32"/>
  <c r="AA47" i="32"/>
  <c r="AB47" i="32"/>
  <c r="AC47" i="32"/>
  <c r="AD47" i="32"/>
  <c r="AE47" i="32"/>
  <c r="AF47" i="32"/>
  <c r="AG47" i="32"/>
  <c r="AH47" i="32"/>
  <c r="AI47" i="32"/>
  <c r="AJ47" i="32"/>
  <c r="Y48" i="32"/>
  <c r="Z48" i="32"/>
  <c r="AA48" i="32"/>
  <c r="AB48" i="32"/>
  <c r="AC48" i="32"/>
  <c r="AD48" i="32"/>
  <c r="AE48" i="32"/>
  <c r="AF48" i="32"/>
  <c r="AG48" i="32"/>
  <c r="AH48" i="32"/>
  <c r="AI48" i="32"/>
  <c r="AJ48" i="32"/>
  <c r="Y49" i="32"/>
  <c r="Z49" i="32"/>
  <c r="AA49" i="32"/>
  <c r="AB49" i="32"/>
  <c r="AC49" i="32"/>
  <c r="AD49" i="32"/>
  <c r="AE49" i="32"/>
  <c r="AF49" i="32"/>
  <c r="AG49" i="32"/>
  <c r="AH49" i="32"/>
  <c r="AI49" i="32"/>
  <c r="AJ49" i="32"/>
  <c r="Z32" i="32"/>
  <c r="AA32" i="32"/>
  <c r="AB32" i="32"/>
  <c r="AC32" i="32"/>
  <c r="AD32" i="32"/>
  <c r="AE32" i="32"/>
  <c r="AF32" i="32"/>
  <c r="AG32" i="32"/>
  <c r="AH32" i="32"/>
  <c r="AI32" i="32"/>
  <c r="AJ32" i="32"/>
  <c r="Y32" i="32"/>
  <c r="Z5" i="32"/>
  <c r="AA5" i="32"/>
  <c r="AB5" i="32"/>
  <c r="AC5" i="32"/>
  <c r="AD5" i="32"/>
  <c r="AE5" i="32"/>
  <c r="AF5" i="32"/>
  <c r="AG5" i="32"/>
  <c r="AH5" i="32"/>
  <c r="AI5" i="32"/>
  <c r="AJ5" i="32"/>
  <c r="Z6" i="32"/>
  <c r="AA6" i="32"/>
  <c r="AB6" i="32"/>
  <c r="AC6" i="32"/>
  <c r="AD6" i="32"/>
  <c r="AE6" i="32"/>
  <c r="AF6" i="32"/>
  <c r="AG6" i="32"/>
  <c r="AH6" i="32"/>
  <c r="AI6" i="32"/>
  <c r="AJ6" i="32"/>
  <c r="Z7" i="32"/>
  <c r="AA7" i="32"/>
  <c r="AB7" i="32"/>
  <c r="AC7" i="32"/>
  <c r="AD7" i="32"/>
  <c r="AE7" i="32"/>
  <c r="AF7" i="32"/>
  <c r="AG7" i="32"/>
  <c r="AH7" i="32"/>
  <c r="AI7" i="32"/>
  <c r="AJ7" i="32"/>
  <c r="Z8" i="32"/>
  <c r="AA8" i="32"/>
  <c r="AB8" i="32"/>
  <c r="AC8" i="32"/>
  <c r="AD8" i="32"/>
  <c r="AE8" i="32"/>
  <c r="AF8" i="32"/>
  <c r="AG8" i="32"/>
  <c r="AH8" i="32"/>
  <c r="AI8" i="32"/>
  <c r="AJ8" i="32"/>
  <c r="Z9" i="32"/>
  <c r="AA9" i="32"/>
  <c r="AB9" i="32"/>
  <c r="AC9" i="32"/>
  <c r="AD9" i="32"/>
  <c r="AE9" i="32"/>
  <c r="AF9" i="32"/>
  <c r="AG9" i="32"/>
  <c r="AH9" i="32"/>
  <c r="AI9" i="32"/>
  <c r="AJ9" i="32"/>
  <c r="Z10" i="32"/>
  <c r="AA10" i="32"/>
  <c r="AB10" i="32"/>
  <c r="AC10" i="32"/>
  <c r="AD10" i="32"/>
  <c r="AE10" i="32"/>
  <c r="AF10" i="32"/>
  <c r="AG10" i="32"/>
  <c r="AH10" i="32"/>
  <c r="AI10" i="32"/>
  <c r="AJ10" i="32"/>
  <c r="Z11" i="32"/>
  <c r="AA11" i="32"/>
  <c r="AB11" i="32"/>
  <c r="AC11" i="32"/>
  <c r="AD11" i="32"/>
  <c r="AE11" i="32"/>
  <c r="AF11" i="32"/>
  <c r="AG11" i="32"/>
  <c r="AH11" i="32"/>
  <c r="AI11" i="32"/>
  <c r="AJ11" i="32"/>
  <c r="Z12" i="32"/>
  <c r="AA12" i="32"/>
  <c r="AB12" i="32"/>
  <c r="AC12" i="32"/>
  <c r="AD12" i="32"/>
  <c r="AE12" i="32"/>
  <c r="AF12" i="32"/>
  <c r="AG12" i="32"/>
  <c r="AH12" i="32"/>
  <c r="AI12" i="32"/>
  <c r="AJ12" i="32"/>
  <c r="Z13" i="32"/>
  <c r="AA13" i="32"/>
  <c r="AB13" i="32"/>
  <c r="AC13" i="32"/>
  <c r="AD13" i="32"/>
  <c r="AE13" i="32"/>
  <c r="AF13" i="32"/>
  <c r="AG13" i="32"/>
  <c r="AH13" i="32"/>
  <c r="AI13" i="32"/>
  <c r="AJ13" i="32"/>
  <c r="Z14" i="32"/>
  <c r="AA14" i="32"/>
  <c r="AB14" i="32"/>
  <c r="AC14" i="32"/>
  <c r="AD14" i="32"/>
  <c r="AE14" i="32"/>
  <c r="AF14" i="32"/>
  <c r="AG14" i="32"/>
  <c r="AH14" i="32"/>
  <c r="AI14" i="32"/>
  <c r="AJ14" i="32"/>
  <c r="Z15" i="32"/>
  <c r="AA15" i="32"/>
  <c r="AB15" i="32"/>
  <c r="AC15" i="32"/>
  <c r="AD15" i="32"/>
  <c r="AE15" i="32"/>
  <c r="AF15" i="32"/>
  <c r="AG15" i="32"/>
  <c r="AH15" i="32"/>
  <c r="AI15" i="32"/>
  <c r="AJ15" i="32"/>
  <c r="Z16" i="32"/>
  <c r="AA16" i="32"/>
  <c r="AB16" i="32"/>
  <c r="AC16" i="32"/>
  <c r="AD16" i="32"/>
  <c r="AE16" i="32"/>
  <c r="AF16" i="32"/>
  <c r="AG16" i="32"/>
  <c r="AH16" i="32"/>
  <c r="AI16" i="32"/>
  <c r="AJ16" i="32"/>
  <c r="Z17" i="32"/>
  <c r="AA17" i="32"/>
  <c r="AB17" i="32"/>
  <c r="AC17" i="32"/>
  <c r="AD17" i="32"/>
  <c r="AE17" i="32"/>
  <c r="AF17" i="32"/>
  <c r="AG17" i="32"/>
  <c r="AH17" i="32"/>
  <c r="AI17" i="32"/>
  <c r="AJ17" i="32"/>
  <c r="Z18" i="32"/>
  <c r="AA18" i="32"/>
  <c r="AB18" i="32"/>
  <c r="AC18" i="32"/>
  <c r="AD18" i="32"/>
  <c r="AE18" i="32"/>
  <c r="AF18" i="32"/>
  <c r="AG18" i="32"/>
  <c r="AH18" i="32"/>
  <c r="AI18" i="32"/>
  <c r="AJ18" i="32"/>
  <c r="Z19" i="32"/>
  <c r="AA19" i="32"/>
  <c r="AB19" i="32"/>
  <c r="AC19" i="32"/>
  <c r="AD19" i="32"/>
  <c r="AE19" i="32"/>
  <c r="AF19" i="32"/>
  <c r="AG19" i="32"/>
  <c r="AH19" i="32"/>
  <c r="AI19" i="32"/>
  <c r="AJ19" i="32"/>
  <c r="Z20" i="32"/>
  <c r="AA20" i="32"/>
  <c r="AB20" i="32"/>
  <c r="AC20" i="32"/>
  <c r="AD20" i="32"/>
  <c r="AE20" i="32"/>
  <c r="AF20" i="32"/>
  <c r="AG20" i="32"/>
  <c r="AH20" i="32"/>
  <c r="AI20" i="32"/>
  <c r="AJ20" i="32"/>
  <c r="Z21" i="32"/>
  <c r="AA21" i="32"/>
  <c r="AB21" i="32"/>
  <c r="AC21" i="32"/>
  <c r="AD21" i="32"/>
  <c r="AE21" i="32"/>
  <c r="AF21" i="32"/>
  <c r="AG21" i="32"/>
  <c r="AH21" i="32"/>
  <c r="AI21" i="32"/>
  <c r="AJ21" i="32"/>
  <c r="Z22" i="32"/>
  <c r="AA22" i="32"/>
  <c r="AB22" i="32"/>
  <c r="AC22" i="32"/>
  <c r="AD22" i="32"/>
  <c r="AE22" i="32"/>
  <c r="AF22" i="32"/>
  <c r="AG22" i="32"/>
  <c r="AH22" i="32"/>
  <c r="AI22" i="32"/>
  <c r="AJ22" i="32"/>
  <c r="Z23" i="32"/>
  <c r="AA23" i="32"/>
  <c r="AB23" i="32"/>
  <c r="AC23" i="32"/>
  <c r="AD23" i="32"/>
  <c r="AE23" i="32"/>
  <c r="AF23" i="32"/>
  <c r="AG23" i="32"/>
  <c r="AH23" i="32"/>
  <c r="AI23" i="32"/>
  <c r="AJ23" i="32"/>
  <c r="Y6" i="32"/>
  <c r="Y7" i="32"/>
  <c r="Y8" i="32"/>
  <c r="Y9" i="32"/>
  <c r="Y10" i="32"/>
  <c r="Y11" i="32"/>
  <c r="Y12" i="32"/>
  <c r="Y13" i="32"/>
  <c r="Y14" i="32"/>
  <c r="Y15" i="32"/>
  <c r="Y16" i="32"/>
  <c r="Y17" i="32"/>
  <c r="Y18" i="32"/>
  <c r="Y19" i="32"/>
  <c r="Y20" i="32"/>
  <c r="Y21" i="32"/>
  <c r="Y22" i="32"/>
  <c r="Y23" i="32"/>
  <c r="Y5" i="32"/>
  <c r="DR31" i="32"/>
  <c r="DU60" i="32" s="1"/>
  <c r="DZ60" i="32" s="1"/>
  <c r="DR4" i="32"/>
  <c r="DT60" i="32" s="1"/>
  <c r="DY60" i="32" s="1"/>
  <c r="DD4" i="32"/>
  <c r="DF60" i="32" s="1"/>
  <c r="DK60" i="32" s="1"/>
  <c r="DD31" i="32"/>
  <c r="DG60" i="32" s="1"/>
  <c r="DL60" i="32" s="1"/>
  <c r="X4" i="32"/>
  <c r="Z60" i="32" s="1"/>
  <c r="AE60" i="32" s="1"/>
  <c r="AL4" i="32"/>
  <c r="AN60" i="32" s="1"/>
  <c r="AS60" i="32" s="1"/>
  <c r="AZ4" i="32"/>
  <c r="BB60" i="32" s="1"/>
  <c r="BG60" i="32" s="1"/>
  <c r="BN4" i="32"/>
  <c r="BP60" i="32" s="1"/>
  <c r="BU60" i="32" s="1"/>
  <c r="CB4" i="32"/>
  <c r="CD60" i="32" s="1"/>
  <c r="CI60" i="32" s="1"/>
  <c r="CP4" i="32"/>
  <c r="CR60" i="32" s="1"/>
  <c r="CW60" i="32" s="1"/>
  <c r="X6" i="32"/>
  <c r="X31" i="32"/>
  <c r="AA60" i="32" s="1"/>
  <c r="AF60" i="32" s="1"/>
  <c r="AL31" i="32"/>
  <c r="AO60" i="32" s="1"/>
  <c r="AT60" i="32" s="1"/>
  <c r="AZ31" i="32"/>
  <c r="BC60" i="32" s="1"/>
  <c r="BH60" i="32" s="1"/>
  <c r="BN31" i="32"/>
  <c r="BQ60" i="32" s="1"/>
  <c r="BV60" i="32" s="1"/>
  <c r="CB31" i="32"/>
  <c r="CE60" i="32" s="1"/>
  <c r="CJ60" i="32" s="1"/>
  <c r="CP31" i="32"/>
  <c r="CS60" i="32" s="1"/>
  <c r="CX60" i="32" s="1"/>
  <c r="L50" i="11"/>
  <c r="L49" i="11"/>
  <c r="K4" i="11"/>
  <c r="J4" i="11"/>
  <c r="I4" i="11"/>
  <c r="H4" i="11"/>
  <c r="H3" i="11"/>
  <c r="G4" i="11"/>
  <c r="G3" i="11"/>
  <c r="F4" i="11"/>
  <c r="F3" i="11"/>
  <c r="E4" i="11"/>
  <c r="E3" i="11"/>
  <c r="D4" i="11"/>
  <c r="D3" i="11"/>
  <c r="C4" i="11"/>
  <c r="C3" i="11"/>
  <c r="A33" i="11"/>
  <c r="A28" i="11"/>
  <c r="E1" i="18"/>
  <c r="A14" i="11"/>
  <c r="A10" i="11"/>
  <c r="F1" i="18"/>
  <c r="A27" i="9"/>
  <c r="A28" i="9"/>
  <c r="A29" i="9"/>
  <c r="A30" i="9"/>
  <c r="A31" i="9"/>
  <c r="A32" i="9"/>
  <c r="A33" i="9"/>
  <c r="A34" i="9"/>
  <c r="A35" i="9"/>
  <c r="A36" i="9" s="1"/>
  <c r="A37" i="9" s="1"/>
  <c r="A38" i="9" s="1"/>
  <c r="A39" i="9" s="1"/>
  <c r="A43" i="11"/>
  <c r="A38" i="11"/>
  <c r="A18" i="11"/>
  <c r="I3" i="11"/>
  <c r="J3" i="11"/>
  <c r="K3" i="11"/>
  <c r="N4" i="11"/>
  <c r="L4" i="11"/>
  <c r="G5" i="18"/>
  <c r="F55" i="11" s="1"/>
  <c r="G2" i="18"/>
  <c r="C55" i="11" s="1"/>
  <c r="G4" i="18"/>
  <c r="E55" i="11" s="1"/>
  <c r="G3" i="18"/>
  <c r="D55" i="11" s="1"/>
  <c r="G2" i="57" l="1"/>
  <c r="G2" i="44"/>
  <c r="G2" i="20"/>
  <c r="BN52" i="32"/>
  <c r="BN53" i="32" s="1"/>
  <c r="BP53" i="32" s="1"/>
  <c r="BV62" i="32" s="1"/>
  <c r="BN50" i="32"/>
  <c r="BN51" i="32" s="1"/>
  <c r="H2" i="58"/>
  <c r="J2" i="58" s="1"/>
  <c r="H2" i="45"/>
  <c r="J2" i="45" s="1"/>
  <c r="H2" i="37"/>
  <c r="G2" i="59"/>
  <c r="I2" i="59" s="1"/>
  <c r="G2" i="46"/>
  <c r="I2" i="46" s="1"/>
  <c r="G2" i="22"/>
  <c r="G2" i="58"/>
  <c r="I2" i="58" s="1"/>
  <c r="G2" i="45"/>
  <c r="I2" i="45" s="1"/>
  <c r="G2" i="37"/>
  <c r="H2" i="59"/>
  <c r="J2" i="59" s="1"/>
  <c r="H2" i="46"/>
  <c r="J2" i="46" s="1"/>
  <c r="H2" i="22"/>
  <c r="H2" i="57"/>
  <c r="H2" i="44"/>
  <c r="H2" i="20"/>
  <c r="N167" i="37"/>
  <c r="K44" i="11"/>
  <c r="X23" i="17"/>
  <c r="J35" i="9"/>
  <c r="W24" i="17"/>
  <c r="T24" i="17"/>
  <c r="U24" i="17" s="1"/>
  <c r="I52" i="20"/>
  <c r="BV53" i="24"/>
  <c r="M25" i="22"/>
  <c r="M40" i="22"/>
  <c r="BR42" i="24"/>
  <c r="M26" i="22"/>
  <c r="N26" i="22" s="1"/>
  <c r="K77" i="46"/>
  <c r="K77" i="44"/>
  <c r="K27" i="46"/>
  <c r="K27" i="44"/>
  <c r="K32" i="46"/>
  <c r="K32" i="44"/>
  <c r="K100" i="46"/>
  <c r="K100" i="44"/>
  <c r="K148" i="44" s="1"/>
  <c r="K68" i="46"/>
  <c r="K68" i="44"/>
  <c r="BG132" i="24"/>
  <c r="K85" i="46"/>
  <c r="K85" i="44"/>
  <c r="K133" i="44" s="1"/>
  <c r="K35" i="46"/>
  <c r="K35" i="44"/>
  <c r="BW49" i="24"/>
  <c r="K38" i="45"/>
  <c r="I38" i="37"/>
  <c r="M38" i="37" s="1"/>
  <c r="K49" i="46"/>
  <c r="K49" i="44"/>
  <c r="K33" i="46"/>
  <c r="K33" i="44"/>
  <c r="K43" i="46"/>
  <c r="K43" i="44"/>
  <c r="K63" i="46"/>
  <c r="K63" i="44"/>
  <c r="K112" i="46"/>
  <c r="K112" i="44"/>
  <c r="K49" i="45"/>
  <c r="I49" i="37"/>
  <c r="M49" i="37" s="1"/>
  <c r="BO43" i="24"/>
  <c r="K34" i="46"/>
  <c r="K34" i="44"/>
  <c r="BG83" i="24"/>
  <c r="K36" i="46"/>
  <c r="K36" i="44"/>
  <c r="K69" i="46"/>
  <c r="K69" i="44"/>
  <c r="K71" i="46"/>
  <c r="K71" i="44"/>
  <c r="K35" i="45"/>
  <c r="I35" i="37"/>
  <c r="M35" i="37" s="1"/>
  <c r="BW43" i="24"/>
  <c r="K32" i="45"/>
  <c r="I32" i="37"/>
  <c r="M32" i="37" s="1"/>
  <c r="BV69" i="24"/>
  <c r="O3" i="22"/>
  <c r="P3" i="22" s="1"/>
  <c r="N3" i="22"/>
  <c r="Q167" i="22" s="1"/>
  <c r="O167" i="22"/>
  <c r="K45" i="46"/>
  <c r="K45" i="44"/>
  <c r="K40" i="45"/>
  <c r="I40" i="37"/>
  <c r="M40" i="37" s="1"/>
  <c r="K30" i="46"/>
  <c r="K30" i="44"/>
  <c r="K46" i="45"/>
  <c r="I46" i="37"/>
  <c r="M46" i="37" s="1"/>
  <c r="K70" i="46"/>
  <c r="K70" i="44"/>
  <c r="K72" i="46"/>
  <c r="K72" i="44"/>
  <c r="K74" i="46"/>
  <c r="K74" i="44"/>
  <c r="L27" i="44"/>
  <c r="K31" i="46"/>
  <c r="K31" i="44"/>
  <c r="K124" i="46"/>
  <c r="K124" i="44"/>
  <c r="K41" i="46"/>
  <c r="K41" i="44"/>
  <c r="K81" i="46"/>
  <c r="K81" i="44"/>
  <c r="K66" i="46"/>
  <c r="K66" i="44"/>
  <c r="L28" i="44"/>
  <c r="L29" i="44"/>
  <c r="L30" i="44"/>
  <c r="L31" i="44"/>
  <c r="L32" i="44"/>
  <c r="L33" i="44"/>
  <c r="L34" i="44"/>
  <c r="L35" i="44"/>
  <c r="L36" i="44"/>
  <c r="L37" i="44"/>
  <c r="L38" i="44"/>
  <c r="K38" i="46"/>
  <c r="K38" i="44"/>
  <c r="K65" i="46"/>
  <c r="K65" i="44"/>
  <c r="K67" i="46"/>
  <c r="K67" i="44"/>
  <c r="K73" i="46"/>
  <c r="K73" i="44"/>
  <c r="K27" i="45"/>
  <c r="I27" i="37"/>
  <c r="M27" i="37" s="1"/>
  <c r="K88" i="46"/>
  <c r="K88" i="44"/>
  <c r="K136" i="44" s="1"/>
  <c r="BW41" i="24"/>
  <c r="K30" i="45"/>
  <c r="I30" i="37"/>
  <c r="M30" i="37" s="1"/>
  <c r="K31" i="45"/>
  <c r="I31" i="37"/>
  <c r="M31" i="37" s="1"/>
  <c r="K52" i="46"/>
  <c r="K52" i="44"/>
  <c r="K28" i="45"/>
  <c r="I28" i="37"/>
  <c r="M28" i="37" s="1"/>
  <c r="N28" i="37" s="1"/>
  <c r="BW40" i="24"/>
  <c r="K29" i="45"/>
  <c r="I29" i="37"/>
  <c r="M29" i="37" s="1"/>
  <c r="BW44" i="24"/>
  <c r="K33" i="45"/>
  <c r="I33" i="37"/>
  <c r="M33" i="37" s="1"/>
  <c r="BW47" i="24"/>
  <c r="K36" i="45"/>
  <c r="I36" i="37"/>
  <c r="M36" i="37" s="1"/>
  <c r="K37" i="45"/>
  <c r="I37" i="37"/>
  <c r="M37" i="37" s="1"/>
  <c r="N37" i="37" s="1"/>
  <c r="X24" i="17"/>
  <c r="L13" i="17"/>
  <c r="L14" i="17"/>
  <c r="BA28" i="32"/>
  <c r="N52" i="22"/>
  <c r="N40" i="22"/>
  <c r="N29" i="22"/>
  <c r="N76" i="22"/>
  <c r="N20" i="22"/>
  <c r="N17" i="22"/>
  <c r="N37" i="22"/>
  <c r="N21" i="22"/>
  <c r="N64" i="22"/>
  <c r="N24" i="22"/>
  <c r="N22" i="22"/>
  <c r="N23" i="22"/>
  <c r="N18" i="22"/>
  <c r="N19" i="22"/>
  <c r="N25" i="22"/>
  <c r="BY28" i="32"/>
  <c r="BP71" i="32" s="1"/>
  <c r="DA28" i="32"/>
  <c r="CR71" i="32" s="1"/>
  <c r="CM28" i="32"/>
  <c r="CD71" i="32" s="1"/>
  <c r="CM55" i="32"/>
  <c r="CE71" i="32" s="1"/>
  <c r="BL55" i="32"/>
  <c r="BC72" i="32" s="1"/>
  <c r="CN28" i="32"/>
  <c r="CD72" i="32" s="1"/>
  <c r="BL28" i="32"/>
  <c r="AX55" i="32"/>
  <c r="AO72" i="32" s="1"/>
  <c r="CN55" i="32"/>
  <c r="CE72" i="32" s="1"/>
  <c r="DB28" i="32"/>
  <c r="CR72" i="32" s="1"/>
  <c r="DB55" i="32"/>
  <c r="CS72" i="32" s="1"/>
  <c r="DA55" i="32"/>
  <c r="CS71" i="32" s="1"/>
  <c r="K138" i="22"/>
  <c r="F149" i="33"/>
  <c r="K150" i="22" s="1"/>
  <c r="K143" i="22"/>
  <c r="F154" i="33"/>
  <c r="K155" i="22" s="1"/>
  <c r="K137" i="22"/>
  <c r="F148" i="33"/>
  <c r="K149" i="22" s="1"/>
  <c r="K142" i="22"/>
  <c r="F153" i="33"/>
  <c r="K154" i="22" s="1"/>
  <c r="K136" i="22"/>
  <c r="F147" i="33"/>
  <c r="K148" i="22" s="1"/>
  <c r="K141" i="22"/>
  <c r="F152" i="33"/>
  <c r="K153" i="22" s="1"/>
  <c r="K146" i="22"/>
  <c r="F157" i="33"/>
  <c r="K135" i="22"/>
  <c r="F146" i="33"/>
  <c r="K147" i="22" s="1"/>
  <c r="K140" i="22"/>
  <c r="F151" i="33"/>
  <c r="K152" i="22" s="1"/>
  <c r="K145" i="22"/>
  <c r="F156" i="33"/>
  <c r="K139" i="22"/>
  <c r="F150" i="33"/>
  <c r="K151" i="22" s="1"/>
  <c r="K144" i="22"/>
  <c r="F155" i="33"/>
  <c r="K156" i="22" s="1"/>
  <c r="BK55" i="32"/>
  <c r="BC71" i="32" s="1"/>
  <c r="AW55" i="32"/>
  <c r="AO71" i="32" s="1"/>
  <c r="BZ28" i="32"/>
  <c r="BP72" i="32" s="1"/>
  <c r="EC55" i="32"/>
  <c r="DU71" i="32" s="1"/>
  <c r="ED55" i="32"/>
  <c r="DU72" i="32" s="1"/>
  <c r="EC28" i="32"/>
  <c r="DT71" i="32" s="1"/>
  <c r="DO55" i="32"/>
  <c r="DG71" i="32" s="1"/>
  <c r="DP55" i="32"/>
  <c r="DG72" i="32" s="1"/>
  <c r="DP28" i="32"/>
  <c r="DF72" i="32" s="1"/>
  <c r="DO28" i="32"/>
  <c r="DF71" i="32" s="1"/>
  <c r="AX28" i="32"/>
  <c r="AN72" i="32" s="1"/>
  <c r="AW28" i="32"/>
  <c r="AN71" i="32" s="1"/>
  <c r="AI55" i="32"/>
  <c r="AA71" i="32" s="1"/>
  <c r="AJ55" i="32"/>
  <c r="AA72" i="32" s="1"/>
  <c r="AJ28" i="32"/>
  <c r="Z72" i="32" s="1"/>
  <c r="AI28" i="32"/>
  <c r="Z71" i="32" s="1"/>
  <c r="N15" i="22"/>
  <c r="L61" i="11"/>
  <c r="M50" i="11"/>
  <c r="F5" i="11"/>
  <c r="H5" i="11"/>
  <c r="J36" i="9"/>
  <c r="L44" i="11"/>
  <c r="K5" i="11"/>
  <c r="J5" i="11"/>
  <c r="D50" i="11"/>
  <c r="N19" i="37"/>
  <c r="N22" i="37"/>
  <c r="K50" i="11"/>
  <c r="H50" i="11"/>
  <c r="BK64" i="24"/>
  <c r="BV80" i="24"/>
  <c r="N15" i="37"/>
  <c r="N21" i="37"/>
  <c r="N23" i="37"/>
  <c r="N17" i="37"/>
  <c r="N25" i="37"/>
  <c r="N24" i="37"/>
  <c r="CO1" i="24"/>
  <c r="CK1" i="24"/>
  <c r="CG1" i="24"/>
  <c r="CC1" i="24"/>
  <c r="CN1" i="24"/>
  <c r="CJ1" i="24"/>
  <c r="CF1" i="24"/>
  <c r="CB1" i="24"/>
  <c r="CM1" i="24"/>
  <c r="CI1" i="24"/>
  <c r="CE1" i="24"/>
  <c r="CA1" i="24"/>
  <c r="CP1" i="24"/>
  <c r="CL1" i="24"/>
  <c r="CH1" i="24"/>
  <c r="P2" i="57" s="1"/>
  <c r="CD1" i="24"/>
  <c r="BG47" i="24"/>
  <c r="BW42" i="24"/>
  <c r="BV46" i="24"/>
  <c r="BS47" i="24"/>
  <c r="BS59" i="24" s="1"/>
  <c r="BV51" i="24"/>
  <c r="I30" i="20"/>
  <c r="I30" i="22"/>
  <c r="M30" i="22" s="1"/>
  <c r="I65" i="22"/>
  <c r="M65" i="22" s="1"/>
  <c r="I43" i="20"/>
  <c r="I43" i="22"/>
  <c r="M43" i="22" s="1"/>
  <c r="I112" i="22"/>
  <c r="M112" i="22" s="1"/>
  <c r="I66" i="22"/>
  <c r="M66" i="22" s="1"/>
  <c r="J28" i="20"/>
  <c r="J29" i="20"/>
  <c r="N29" i="37"/>
  <c r="J30" i="20"/>
  <c r="J31" i="20"/>
  <c r="J32" i="20"/>
  <c r="J33" i="20"/>
  <c r="J34" i="20"/>
  <c r="J35" i="20"/>
  <c r="J36" i="20"/>
  <c r="J37" i="20"/>
  <c r="J38" i="20"/>
  <c r="I38" i="20"/>
  <c r="I38" i="22"/>
  <c r="M38" i="22" s="1"/>
  <c r="I68" i="22"/>
  <c r="M68" i="22" s="1"/>
  <c r="I31" i="20"/>
  <c r="I31" i="22"/>
  <c r="M31" i="22" s="1"/>
  <c r="N31" i="37"/>
  <c r="I81" i="22"/>
  <c r="M81" i="22" s="1"/>
  <c r="I67" i="22"/>
  <c r="M67" i="22" s="1"/>
  <c r="I35" i="20"/>
  <c r="I35" i="22"/>
  <c r="M35" i="22" s="1"/>
  <c r="I49" i="20"/>
  <c r="I49" i="22"/>
  <c r="M49" i="22" s="1"/>
  <c r="BG78" i="24"/>
  <c r="I84" i="22"/>
  <c r="M84" i="22" s="1"/>
  <c r="I32" i="20"/>
  <c r="I32" i="22"/>
  <c r="M32" i="22" s="1"/>
  <c r="I100" i="22"/>
  <c r="M100" i="22" s="1"/>
  <c r="I69" i="22"/>
  <c r="M69" i="22" s="1"/>
  <c r="I71" i="22"/>
  <c r="M71" i="22" s="1"/>
  <c r="BW53" i="24"/>
  <c r="J27" i="20"/>
  <c r="BG60" i="24"/>
  <c r="BV81" i="24"/>
  <c r="I33" i="20"/>
  <c r="I33" i="22"/>
  <c r="M33" i="22" s="1"/>
  <c r="I77" i="22"/>
  <c r="M77" i="22" s="1"/>
  <c r="I63" i="22"/>
  <c r="M63" i="22" s="1"/>
  <c r="I73" i="22"/>
  <c r="M73" i="22" s="1"/>
  <c r="I85" i="22"/>
  <c r="M85" i="22" s="1"/>
  <c r="I41" i="20"/>
  <c r="I41" i="22"/>
  <c r="M41" i="22" s="1"/>
  <c r="I45" i="20"/>
  <c r="I45" i="22"/>
  <c r="M45" i="22" s="1"/>
  <c r="I27" i="20"/>
  <c r="I27" i="22"/>
  <c r="M27" i="22" s="1"/>
  <c r="I34" i="20"/>
  <c r="I34" i="22"/>
  <c r="M34" i="22" s="1"/>
  <c r="N34" i="37"/>
  <c r="I36" i="20"/>
  <c r="I36" i="22"/>
  <c r="M36" i="22" s="1"/>
  <c r="I70" i="22"/>
  <c r="M70" i="22" s="1"/>
  <c r="I72" i="22"/>
  <c r="M72" i="22" s="1"/>
  <c r="I74" i="22"/>
  <c r="M74" i="22" s="1"/>
  <c r="BU60" i="24"/>
  <c r="I88" i="22"/>
  <c r="M88" i="22" s="1"/>
  <c r="I124" i="22"/>
  <c r="M124" i="22" s="1"/>
  <c r="O20" i="22"/>
  <c r="P20" i="22" s="1"/>
  <c r="A25" i="17"/>
  <c r="I81" i="20"/>
  <c r="I65" i="20"/>
  <c r="I85" i="20"/>
  <c r="I133" i="20" s="1"/>
  <c r="BG46" i="24"/>
  <c r="I68" i="20"/>
  <c r="BG96" i="24"/>
  <c r="BW46" i="24"/>
  <c r="BV65" i="24"/>
  <c r="I84" i="20"/>
  <c r="I132" i="20" s="1"/>
  <c r="I67" i="20"/>
  <c r="I73" i="20"/>
  <c r="BG43" i="24"/>
  <c r="BG82" i="24"/>
  <c r="I63" i="20"/>
  <c r="I66" i="20"/>
  <c r="I100" i="20"/>
  <c r="I148" i="20" s="1"/>
  <c r="I69" i="20"/>
  <c r="I71" i="20"/>
  <c r="BS48" i="24"/>
  <c r="I77" i="20"/>
  <c r="I112" i="20"/>
  <c r="I70" i="20"/>
  <c r="I72" i="20"/>
  <c r="I74" i="20"/>
  <c r="BS39" i="24"/>
  <c r="I88" i="20"/>
  <c r="I136" i="20" s="1"/>
  <c r="BV67" i="24"/>
  <c r="BG128" i="24"/>
  <c r="BK43" i="24"/>
  <c r="BV60" i="24"/>
  <c r="BR54" i="24"/>
  <c r="BU43" i="24"/>
  <c r="BU47" i="24"/>
  <c r="BJ51" i="24"/>
  <c r="BJ55" i="24"/>
  <c r="BJ66" i="24"/>
  <c r="BU38" i="24"/>
  <c r="BL39" i="24"/>
  <c r="BT39" i="24"/>
  <c r="BL40" i="24"/>
  <c r="BT40" i="24"/>
  <c r="BP41" i="24"/>
  <c r="BL42" i="24"/>
  <c r="BX42" i="24"/>
  <c r="BP43" i="24"/>
  <c r="BX43" i="24"/>
  <c r="BP44" i="24"/>
  <c r="BX44" i="24"/>
  <c r="BT45" i="24"/>
  <c r="BT46" i="24"/>
  <c r="BL47" i="24"/>
  <c r="BT47" i="24"/>
  <c r="BL48" i="24"/>
  <c r="BT48" i="24"/>
  <c r="BL49" i="24"/>
  <c r="BM42" i="24"/>
  <c r="BM44" i="24"/>
  <c r="BG45" i="24"/>
  <c r="BG81" i="24"/>
  <c r="BS58" i="24"/>
  <c r="BG85" i="24"/>
  <c r="BG49" i="24"/>
  <c r="BW57" i="24"/>
  <c r="BN38" i="24"/>
  <c r="BV38" i="24"/>
  <c r="BG117" i="24"/>
  <c r="BG112" i="24"/>
  <c r="BG116" i="24"/>
  <c r="BQ48" i="24"/>
  <c r="BJ57" i="24"/>
  <c r="BN58" i="24"/>
  <c r="BN60" i="24"/>
  <c r="BR61" i="24"/>
  <c r="BS55" i="24"/>
  <c r="BM57" i="24"/>
  <c r="BT38" i="24"/>
  <c r="BM61" i="24"/>
  <c r="BN69" i="24"/>
  <c r="BK39" i="24"/>
  <c r="BK45" i="24"/>
  <c r="BV83" i="24"/>
  <c r="BK49" i="24"/>
  <c r="BN53" i="24"/>
  <c r="BU45" i="24"/>
  <c r="BR60" i="24"/>
  <c r="BR51" i="24"/>
  <c r="BU66" i="24"/>
  <c r="BQ38" i="24"/>
  <c r="BL41" i="24"/>
  <c r="BX41" i="24"/>
  <c r="BT42" i="24"/>
  <c r="BP46" i="24"/>
  <c r="BX49" i="24"/>
  <c r="BG41" i="24"/>
  <c r="BG77" i="24"/>
  <c r="BN63" i="24"/>
  <c r="BS66" i="24"/>
  <c r="BQ40" i="24"/>
  <c r="BQ44" i="24"/>
  <c r="BQ49" i="24"/>
  <c r="BR53" i="24"/>
  <c r="BN56" i="24"/>
  <c r="BJ59" i="24"/>
  <c r="BR59" i="24"/>
  <c r="BN66" i="24"/>
  <c r="BN67" i="24"/>
  <c r="BO38" i="24"/>
  <c r="BW38" i="24"/>
  <c r="BS53" i="24"/>
  <c r="BU68" i="24"/>
  <c r="BO71" i="24"/>
  <c r="BO66" i="24"/>
  <c r="BP38" i="24"/>
  <c r="BM51" i="24"/>
  <c r="BV92" i="24"/>
  <c r="BM53" i="24"/>
  <c r="BG124" i="24"/>
  <c r="BG79" i="24"/>
  <c r="BG110" i="24"/>
  <c r="BK41" i="24"/>
  <c r="BK46" i="24"/>
  <c r="BK48" i="24"/>
  <c r="BV61" i="24"/>
  <c r="BU39" i="24"/>
  <c r="BW54" i="24"/>
  <c r="BN61" i="24"/>
  <c r="BW51" i="24"/>
  <c r="BW61" i="24"/>
  <c r="BJ70" i="24"/>
  <c r="BG113" i="24"/>
  <c r="BP39" i="24"/>
  <c r="BX39" i="24"/>
  <c r="BP40" i="24"/>
  <c r="BX40" i="24"/>
  <c r="BT41" i="24"/>
  <c r="BP42" i="24"/>
  <c r="BL43" i="24"/>
  <c r="BT43" i="24"/>
  <c r="BL44" i="24"/>
  <c r="BT44" i="24"/>
  <c r="BP45" i="24"/>
  <c r="BL46" i="24"/>
  <c r="BX46" i="24"/>
  <c r="BP47" i="24"/>
  <c r="BX47" i="24"/>
  <c r="BP48" i="24"/>
  <c r="BX48" i="24"/>
  <c r="BT49" i="24"/>
  <c r="BM40" i="24"/>
  <c r="BO55" i="24"/>
  <c r="BR55" i="24"/>
  <c r="BJ38" i="24"/>
  <c r="BR38" i="24"/>
  <c r="BQ43" i="24"/>
  <c r="BG118" i="24"/>
  <c r="BQ46" i="24"/>
  <c r="BG119" i="24"/>
  <c r="BQ47" i="24"/>
  <c r="BJ61" i="24"/>
  <c r="BS64" i="24"/>
  <c r="BR68" i="24"/>
  <c r="BO52" i="24"/>
  <c r="BO60" i="24"/>
  <c r="BS57" i="24"/>
  <c r="BL38" i="24"/>
  <c r="BO56" i="24"/>
  <c r="BO58" i="24"/>
  <c r="BU64" i="24"/>
  <c r="BS61" i="24"/>
  <c r="BR82" i="24"/>
  <c r="BK42" i="24"/>
  <c r="BK47" i="24"/>
  <c r="BJ52" i="24"/>
  <c r="BU41" i="24"/>
  <c r="BN59" i="24"/>
  <c r="BJ60" i="24"/>
  <c r="BW60" i="24"/>
  <c r="BU49" i="24"/>
  <c r="BO53" i="24"/>
  <c r="BO57" i="24"/>
  <c r="BO63" i="24"/>
  <c r="BM38" i="24"/>
  <c r="BL45" i="24"/>
  <c r="BX45" i="24"/>
  <c r="BP49" i="24"/>
  <c r="BS56" i="24"/>
  <c r="BM46" i="24"/>
  <c r="BM48" i="24"/>
  <c r="BO61" i="24"/>
  <c r="BR64" i="24"/>
  <c r="BR57" i="24"/>
  <c r="BV76" i="24"/>
  <c r="BQ39" i="24"/>
  <c r="BQ41" i="24"/>
  <c r="BG114" i="24"/>
  <c r="BQ42" i="24"/>
  <c r="BG115" i="24"/>
  <c r="BQ45" i="24"/>
  <c r="BG120" i="24"/>
  <c r="BG121" i="24"/>
  <c r="BW55" i="24"/>
  <c r="BJ65" i="24"/>
  <c r="BJ68" i="24"/>
  <c r="BK38" i="24"/>
  <c r="BS38" i="24"/>
  <c r="BM55" i="24"/>
  <c r="BV66" i="24"/>
  <c r="BU70" i="24"/>
  <c r="BX38" i="24"/>
  <c r="BM59" i="24"/>
  <c r="BV63" i="24"/>
  <c r="BK68" i="24"/>
  <c r="BN76" i="24"/>
  <c r="BG92" i="24"/>
  <c r="BG56" i="24"/>
  <c r="BG95" i="24"/>
  <c r="BG90" i="24"/>
  <c r="BG54" i="24"/>
  <c r="BG88" i="24"/>
  <c r="BG52" i="24"/>
  <c r="BG94" i="24"/>
  <c r="BG58" i="24"/>
  <c r="BG74" i="24"/>
  <c r="BG38" i="24"/>
  <c r="DL55" i="32"/>
  <c r="DG68" i="32" s="1"/>
  <c r="DJ55" i="32"/>
  <c r="DG66" i="32" s="1"/>
  <c r="DU55" i="32"/>
  <c r="DU63" i="32" s="1"/>
  <c r="DN55" i="32"/>
  <c r="DG70" i="32" s="1"/>
  <c r="DF55" i="32"/>
  <c r="DG62" i="32" s="1"/>
  <c r="DY55" i="32"/>
  <c r="DU67" i="32" s="1"/>
  <c r="DK55" i="32"/>
  <c r="DG67" i="32" s="1"/>
  <c r="DH55" i="32"/>
  <c r="DG64" i="32" s="1"/>
  <c r="DE28" i="32"/>
  <c r="DF61" i="32" s="1"/>
  <c r="DL28" i="32"/>
  <c r="DF68" i="32" s="1"/>
  <c r="DH28" i="32"/>
  <c r="DF64" i="32" s="1"/>
  <c r="DV55" i="32"/>
  <c r="DU64" i="32" s="1"/>
  <c r="DI28" i="32"/>
  <c r="DF65" i="32" s="1"/>
  <c r="DM28" i="32"/>
  <c r="DF69" i="32" s="1"/>
  <c r="DF28" i="32"/>
  <c r="DF62" i="32" s="1"/>
  <c r="DV28" i="32"/>
  <c r="DT64" i="32" s="1"/>
  <c r="DS28" i="32"/>
  <c r="DT61" i="32" s="1"/>
  <c r="EB28" i="32"/>
  <c r="DT70" i="32" s="1"/>
  <c r="DX28" i="32"/>
  <c r="DT66" i="32" s="1"/>
  <c r="DT28" i="32"/>
  <c r="DT62" i="32" s="1"/>
  <c r="DZ28" i="32"/>
  <c r="DT68" i="32" s="1"/>
  <c r="DW28" i="32"/>
  <c r="DT65" i="32" s="1"/>
  <c r="EA28" i="32"/>
  <c r="DT69" i="32" s="1"/>
  <c r="DZ55" i="32"/>
  <c r="DU68" i="32" s="1"/>
  <c r="DJ28" i="32"/>
  <c r="DF66" i="32" s="1"/>
  <c r="DN28" i="32"/>
  <c r="DF70" i="32" s="1"/>
  <c r="BM38" i="32"/>
  <c r="BM9" i="32"/>
  <c r="BM33" i="32"/>
  <c r="BM8" i="32"/>
  <c r="BM46" i="32"/>
  <c r="DG55" i="32"/>
  <c r="DG63" i="32" s="1"/>
  <c r="BM42" i="32"/>
  <c r="BM49" i="32"/>
  <c r="BM48" i="32"/>
  <c r="BM45" i="32"/>
  <c r="BM41" i="32"/>
  <c r="BM22" i="32"/>
  <c r="BM21" i="32"/>
  <c r="BM20" i="32"/>
  <c r="BM18" i="32"/>
  <c r="BM17" i="32"/>
  <c r="BM16" i="32"/>
  <c r="BM14" i="32"/>
  <c r="BM13" i="32"/>
  <c r="BM12" i="32"/>
  <c r="BM34" i="32"/>
  <c r="BM47" i="32"/>
  <c r="BM43" i="32"/>
  <c r="BM39" i="32"/>
  <c r="BM37" i="32"/>
  <c r="BM36" i="32"/>
  <c r="BM35" i="32"/>
  <c r="BM23" i="32"/>
  <c r="BM19" i="32"/>
  <c r="BM15" i="32"/>
  <c r="BM11" i="32"/>
  <c r="BM7" i="32"/>
  <c r="BM5" i="32"/>
  <c r="BM44" i="32"/>
  <c r="BM40" i="32"/>
  <c r="BM32" i="32"/>
  <c r="BM10" i="32"/>
  <c r="BM6" i="32"/>
  <c r="DT55" i="32"/>
  <c r="DU62" i="32" s="1"/>
  <c r="DX55" i="32"/>
  <c r="DU66" i="32" s="1"/>
  <c r="EB55" i="32"/>
  <c r="DU70" i="32" s="1"/>
  <c r="DS55" i="32"/>
  <c r="DU61" i="32" s="1"/>
  <c r="DW55" i="32"/>
  <c r="DU65" i="32" s="1"/>
  <c r="EA55" i="32"/>
  <c r="DU69" i="32" s="1"/>
  <c r="DU28" i="32"/>
  <c r="DT63" i="32" s="1"/>
  <c r="DY28" i="32"/>
  <c r="DT67" i="32" s="1"/>
  <c r="DR25" i="32"/>
  <c r="DR26" i="32" s="1"/>
  <c r="DS26" i="32" s="1"/>
  <c r="DY61" i="32" s="1"/>
  <c r="DI55" i="32"/>
  <c r="DG65" i="32" s="1"/>
  <c r="DR52" i="32"/>
  <c r="DR53" i="32" s="1"/>
  <c r="DT53" i="32" s="1"/>
  <c r="DZ62" i="32" s="1"/>
  <c r="DE55" i="32"/>
  <c r="DG61" i="32" s="1"/>
  <c r="DM55" i="32"/>
  <c r="DG69" i="32" s="1"/>
  <c r="DG28" i="32"/>
  <c r="DF63" i="32" s="1"/>
  <c r="DK28" i="32"/>
  <c r="DF67" i="32" s="1"/>
  <c r="DD52" i="32"/>
  <c r="DD53" i="32" s="1"/>
  <c r="AD28" i="32"/>
  <c r="Z66" i="32" s="1"/>
  <c r="CD55" i="32"/>
  <c r="CE62" i="32" s="1"/>
  <c r="AE55" i="32"/>
  <c r="AA67" i="32" s="1"/>
  <c r="CT28" i="32"/>
  <c r="CR64" i="32" s="1"/>
  <c r="BT55" i="32"/>
  <c r="BQ66" i="32" s="1"/>
  <c r="BO28" i="32"/>
  <c r="BP61" i="32" s="1"/>
  <c r="BG55" i="32"/>
  <c r="BC67" i="32" s="1"/>
  <c r="BI55" i="32"/>
  <c r="BC69" i="32" s="1"/>
  <c r="BE55" i="32"/>
  <c r="BC65" i="32" s="1"/>
  <c r="BA55" i="32"/>
  <c r="AV55" i="32"/>
  <c r="AO70" i="32" s="1"/>
  <c r="CL55" i="32"/>
  <c r="CE70" i="32" s="1"/>
  <c r="BU55" i="32"/>
  <c r="BQ67" i="32" s="1"/>
  <c r="CK55" i="32"/>
  <c r="CE69" i="32" s="1"/>
  <c r="CG55" i="32"/>
  <c r="CE65" i="32" s="1"/>
  <c r="CC55" i="32"/>
  <c r="CE61" i="32" s="1"/>
  <c r="BO55" i="32"/>
  <c r="BQ61" i="32" s="1"/>
  <c r="AH55" i="32"/>
  <c r="AA70" i="32" s="1"/>
  <c r="AD55" i="32"/>
  <c r="AA66" i="32" s="1"/>
  <c r="Z55" i="32"/>
  <c r="AA62" i="32" s="1"/>
  <c r="CH55" i="32"/>
  <c r="CE66" i="32" s="1"/>
  <c r="BB55" i="32"/>
  <c r="BC62" i="32" s="1"/>
  <c r="CX28" i="32"/>
  <c r="CR68" i="32" s="1"/>
  <c r="CJ28" i="32"/>
  <c r="CD68" i="32" s="1"/>
  <c r="CF28" i="32"/>
  <c r="CD64" i="32" s="1"/>
  <c r="AA55" i="32"/>
  <c r="AA63" i="32" s="1"/>
  <c r="CS55" i="32"/>
  <c r="CS63" i="32" s="1"/>
  <c r="BQ55" i="32"/>
  <c r="BQ63" i="32" s="1"/>
  <c r="AP55" i="32"/>
  <c r="AO64" i="32" s="1"/>
  <c r="BJ55" i="32"/>
  <c r="BC70" i="32" s="1"/>
  <c r="BF55" i="32"/>
  <c r="BC66" i="32" s="1"/>
  <c r="AR55" i="32"/>
  <c r="AO66" i="32" s="1"/>
  <c r="BH55" i="32"/>
  <c r="BC68" i="32" s="1"/>
  <c r="BD55" i="32"/>
  <c r="BC64" i="32" s="1"/>
  <c r="AG55" i="32"/>
  <c r="AA69" i="32" s="1"/>
  <c r="AC55" i="32"/>
  <c r="AA65" i="32" s="1"/>
  <c r="Y55" i="32"/>
  <c r="AA61" i="32" s="1"/>
  <c r="CY55" i="32"/>
  <c r="CS69" i="32" s="1"/>
  <c r="CU55" i="32"/>
  <c r="CS65" i="32" s="1"/>
  <c r="CQ55" i="32"/>
  <c r="CS61" i="32" s="1"/>
  <c r="CZ55" i="32"/>
  <c r="CS70" i="32" s="1"/>
  <c r="CV55" i="32"/>
  <c r="CS66" i="32" s="1"/>
  <c r="CR55" i="32"/>
  <c r="CS62" i="32" s="1"/>
  <c r="AS55" i="32"/>
  <c r="AO67" i="32" s="1"/>
  <c r="AT55" i="32"/>
  <c r="AO68" i="32" s="1"/>
  <c r="AT28" i="32"/>
  <c r="AN68" i="32" s="1"/>
  <c r="AP28" i="32"/>
  <c r="AN64" i="32" s="1"/>
  <c r="CZ28" i="32"/>
  <c r="CR70" i="32" s="1"/>
  <c r="CV28" i="32"/>
  <c r="CR66" i="32" s="1"/>
  <c r="CR28" i="32"/>
  <c r="CR62" i="32" s="1"/>
  <c r="AS28" i="32"/>
  <c r="AN67" i="32" s="1"/>
  <c r="AO28" i="32"/>
  <c r="AN63" i="32" s="1"/>
  <c r="BH28" i="32"/>
  <c r="BB68" i="32" s="1"/>
  <c r="BD28" i="32"/>
  <c r="BB64" i="32" s="1"/>
  <c r="CI55" i="32"/>
  <c r="CE67" i="32" s="1"/>
  <c r="CE55" i="32"/>
  <c r="CE63" i="32" s="1"/>
  <c r="AF55" i="32"/>
  <c r="AA68" i="32" s="1"/>
  <c r="AB55" i="32"/>
  <c r="AA64" i="32" s="1"/>
  <c r="BW55" i="32"/>
  <c r="BQ69" i="32" s="1"/>
  <c r="BS55" i="32"/>
  <c r="BQ65" i="32" s="1"/>
  <c r="BX55" i="32"/>
  <c r="BQ70" i="32" s="1"/>
  <c r="BT53" i="32"/>
  <c r="BV66" i="32" s="1"/>
  <c r="CW55" i="32"/>
  <c r="CS67" i="32" s="1"/>
  <c r="BI28" i="32"/>
  <c r="BB69" i="32" s="1"/>
  <c r="BE28" i="32"/>
  <c r="BB65" i="32" s="1"/>
  <c r="BC55" i="32"/>
  <c r="BC63" i="32" s="1"/>
  <c r="BT28" i="32"/>
  <c r="BP66" i="32" s="1"/>
  <c r="BB28" i="32"/>
  <c r="BB62" i="32" s="1"/>
  <c r="CW28" i="32"/>
  <c r="CR67" i="32" s="1"/>
  <c r="CS28" i="32"/>
  <c r="CR63" i="32" s="1"/>
  <c r="BU28" i="32"/>
  <c r="BP67" i="32" s="1"/>
  <c r="BQ28" i="32"/>
  <c r="BP63" i="32" s="1"/>
  <c r="BG28" i="32"/>
  <c r="BB67" i="32" s="1"/>
  <c r="BW28" i="32"/>
  <c r="BP69" i="32" s="1"/>
  <c r="BS28" i="32"/>
  <c r="BP65" i="32" s="1"/>
  <c r="AV28" i="32"/>
  <c r="AN70" i="32" s="1"/>
  <c r="AR28" i="32"/>
  <c r="AN66" i="32" s="1"/>
  <c r="AO55" i="32"/>
  <c r="AO63" i="32" s="1"/>
  <c r="CB52" i="32"/>
  <c r="CB53" i="32" s="1"/>
  <c r="CL53" i="32" s="1"/>
  <c r="CJ70" i="32" s="1"/>
  <c r="H156" i="58" s="1"/>
  <c r="AN55" i="32"/>
  <c r="AO62" i="32" s="1"/>
  <c r="BP55" i="32"/>
  <c r="BQ62" i="32" s="1"/>
  <c r="CX55" i="32"/>
  <c r="CS68" i="32" s="1"/>
  <c r="CT55" i="32"/>
  <c r="CS64" i="32" s="1"/>
  <c r="BV55" i="32"/>
  <c r="BQ68" i="32" s="1"/>
  <c r="BR55" i="32"/>
  <c r="BQ64" i="32" s="1"/>
  <c r="BT52" i="32"/>
  <c r="BV80" i="32" s="1"/>
  <c r="BQ52" i="32"/>
  <c r="BV77" i="32" s="1"/>
  <c r="AN28" i="32"/>
  <c r="AN62" i="32" s="1"/>
  <c r="AU55" i="32"/>
  <c r="AO69" i="32" s="1"/>
  <c r="AQ55" i="32"/>
  <c r="AO65" i="32" s="1"/>
  <c r="AM55" i="32"/>
  <c r="CJ55" i="32"/>
  <c r="CE68" i="32" s="1"/>
  <c r="CF55" i="32"/>
  <c r="CE64" i="32" s="1"/>
  <c r="CK28" i="32"/>
  <c r="CD69" i="32" s="1"/>
  <c r="CG28" i="32"/>
  <c r="CD65" i="32" s="1"/>
  <c r="CC28" i="32"/>
  <c r="CD61" i="32" s="1"/>
  <c r="CI28" i="32"/>
  <c r="CD67" i="32" s="1"/>
  <c r="CE28" i="32"/>
  <c r="CD63" i="32" s="1"/>
  <c r="BJ28" i="32"/>
  <c r="BB70" i="32" s="1"/>
  <c r="BF28" i="32"/>
  <c r="BB66" i="32" s="1"/>
  <c r="BC28" i="32"/>
  <c r="BB63" i="32" s="1"/>
  <c r="AH28" i="32"/>
  <c r="Z70" i="32" s="1"/>
  <c r="Z28" i="32"/>
  <c r="Z62" i="32" s="1"/>
  <c r="CL28" i="32"/>
  <c r="CD70" i="32" s="1"/>
  <c r="CH28" i="32"/>
  <c r="CD66" i="32" s="1"/>
  <c r="CD28" i="32"/>
  <c r="CD62" i="32" s="1"/>
  <c r="BX28" i="32"/>
  <c r="BP70" i="32" s="1"/>
  <c r="BP28" i="32"/>
  <c r="BP62" i="32" s="1"/>
  <c r="AF28" i="32"/>
  <c r="Z68" i="32" s="1"/>
  <c r="AB28" i="32"/>
  <c r="Z64" i="32" s="1"/>
  <c r="CY28" i="32"/>
  <c r="CR69" i="32" s="1"/>
  <c r="CU28" i="32"/>
  <c r="CR65" i="32" s="1"/>
  <c r="CQ28" i="32"/>
  <c r="CR61" i="32" s="1"/>
  <c r="AE28" i="32"/>
  <c r="Z67" i="32" s="1"/>
  <c r="AA28" i="32"/>
  <c r="Z63" i="32" s="1"/>
  <c r="AU28" i="32"/>
  <c r="AN69" i="32" s="1"/>
  <c r="AQ28" i="32"/>
  <c r="AN65" i="32" s="1"/>
  <c r="AM28" i="32"/>
  <c r="BV28" i="32"/>
  <c r="BP68" i="32" s="1"/>
  <c r="BR28" i="32"/>
  <c r="BP64" i="32" s="1"/>
  <c r="AG28" i="32"/>
  <c r="Z69" i="32" s="1"/>
  <c r="AC28" i="32"/>
  <c r="Z65" i="32" s="1"/>
  <c r="Y28" i="32"/>
  <c r="Z61" i="32" s="1"/>
  <c r="X7" i="32"/>
  <c r="I5" i="11"/>
  <c r="C5" i="11"/>
  <c r="E5" i="11"/>
  <c r="G5" i="11"/>
  <c r="D5" i="11"/>
  <c r="J50" i="11"/>
  <c r="G50" i="11"/>
  <c r="E50" i="11"/>
  <c r="F50" i="11"/>
  <c r="C50" i="11"/>
  <c r="I50" i="11"/>
  <c r="BW53" i="32" l="1"/>
  <c r="BV69" i="32" s="1"/>
  <c r="H155" i="57" s="1"/>
  <c r="BR52" i="32"/>
  <c r="BV78" i="32" s="1"/>
  <c r="H138" i="57" s="1"/>
  <c r="BS53" i="32"/>
  <c r="BV65" i="32" s="1"/>
  <c r="H151" i="57" s="1"/>
  <c r="BU53" i="32"/>
  <c r="BV67" i="32" s="1"/>
  <c r="H153" i="57" s="1"/>
  <c r="BW52" i="32"/>
  <c r="BV83" i="32" s="1"/>
  <c r="H143" i="57" s="1"/>
  <c r="DX26" i="32"/>
  <c r="DY66" i="32" s="1"/>
  <c r="BY52" i="32"/>
  <c r="BV85" i="32" s="1"/>
  <c r="H145" i="57" s="1"/>
  <c r="BO53" i="32"/>
  <c r="BV61" i="32" s="1"/>
  <c r="H147" i="57" s="1"/>
  <c r="BR53" i="32"/>
  <c r="BV64" i="32" s="1"/>
  <c r="H150" i="57" s="1"/>
  <c r="BQ53" i="32"/>
  <c r="BV63" i="32" s="1"/>
  <c r="H149" i="57" s="1"/>
  <c r="BS52" i="32"/>
  <c r="BV79" i="32" s="1"/>
  <c r="H139" i="57" s="1"/>
  <c r="BO52" i="32"/>
  <c r="BV75" i="32" s="1"/>
  <c r="H135" i="57" s="1"/>
  <c r="J135" i="57" s="1"/>
  <c r="J123" i="57" s="1"/>
  <c r="J111" i="57" s="1"/>
  <c r="J99" i="57" s="1"/>
  <c r="J87" i="57" s="1"/>
  <c r="J75" i="57" s="1"/>
  <c r="J63" i="57" s="1"/>
  <c r="J51" i="57" s="1"/>
  <c r="J39" i="57" s="1"/>
  <c r="J27" i="57" s="1"/>
  <c r="J15" i="57" s="1"/>
  <c r="J3" i="57" s="1"/>
  <c r="DY25" i="32"/>
  <c r="DY81" i="32" s="1"/>
  <c r="DW25" i="32"/>
  <c r="DY79" i="32" s="1"/>
  <c r="BZ52" i="32"/>
  <c r="BV86" i="32" s="1"/>
  <c r="H146" i="57" s="1"/>
  <c r="BV53" i="32"/>
  <c r="BV68" i="32" s="1"/>
  <c r="H154" i="57" s="1"/>
  <c r="BP52" i="32"/>
  <c r="BV76" i="32" s="1"/>
  <c r="H136" i="57" s="1"/>
  <c r="P136" i="57" s="1"/>
  <c r="BX53" i="32"/>
  <c r="BV70" i="32" s="1"/>
  <c r="H156" i="57" s="1"/>
  <c r="BV52" i="32"/>
  <c r="BV82" i="32" s="1"/>
  <c r="H142" i="57" s="1"/>
  <c r="BU52" i="32"/>
  <c r="BV81" i="32" s="1"/>
  <c r="H141" i="57" s="1"/>
  <c r="BX52" i="32"/>
  <c r="BV84" i="32" s="1"/>
  <c r="H144" i="57" s="1"/>
  <c r="P144" i="57" s="1"/>
  <c r="DU25" i="32"/>
  <c r="DY77" i="32" s="1"/>
  <c r="EB25" i="32"/>
  <c r="DY84" i="32" s="1"/>
  <c r="O2" i="57"/>
  <c r="O2" i="44"/>
  <c r="M2" i="20"/>
  <c r="O168" i="22"/>
  <c r="H148" i="57"/>
  <c r="H152" i="57"/>
  <c r="H137" i="57"/>
  <c r="J137" i="57" s="1"/>
  <c r="J125" i="57" s="1"/>
  <c r="J113" i="57" s="1"/>
  <c r="J101" i="57" s="1"/>
  <c r="J89" i="57" s="1"/>
  <c r="J77" i="57" s="1"/>
  <c r="J65" i="57" s="1"/>
  <c r="J53" i="57" s="1"/>
  <c r="J41" i="57" s="1"/>
  <c r="J29" i="57" s="1"/>
  <c r="J17" i="57" s="1"/>
  <c r="J5" i="57" s="1"/>
  <c r="H140" i="57"/>
  <c r="G136" i="45"/>
  <c r="I136" i="45" s="1"/>
  <c r="I124" i="45" s="1"/>
  <c r="G137" i="45"/>
  <c r="I137" i="45" s="1"/>
  <c r="I125" i="45" s="1"/>
  <c r="G143" i="45"/>
  <c r="G155" i="45" s="1"/>
  <c r="J10" i="46"/>
  <c r="J22" i="46" s="1"/>
  <c r="J34" i="46" s="1"/>
  <c r="J46" i="46" s="1"/>
  <c r="J58" i="46" s="1"/>
  <c r="J70" i="46" s="1"/>
  <c r="J82" i="46" s="1"/>
  <c r="J94" i="46" s="1"/>
  <c r="J106" i="46" s="1"/>
  <c r="J118" i="46" s="1"/>
  <c r="J130" i="46" s="1"/>
  <c r="J142" i="46" s="1"/>
  <c r="J154" i="46" s="1"/>
  <c r="J10" i="59"/>
  <c r="J22" i="59" s="1"/>
  <c r="J34" i="59" s="1"/>
  <c r="J46" i="59" s="1"/>
  <c r="J58" i="59" s="1"/>
  <c r="J70" i="59" s="1"/>
  <c r="J82" i="59" s="1"/>
  <c r="J94" i="59" s="1"/>
  <c r="J106" i="59" s="1"/>
  <c r="J118" i="59" s="1"/>
  <c r="J130" i="59" s="1"/>
  <c r="J142" i="59" s="1"/>
  <c r="J154" i="59" s="1"/>
  <c r="J8" i="46"/>
  <c r="J20" i="46" s="1"/>
  <c r="J32" i="46" s="1"/>
  <c r="J44" i="46" s="1"/>
  <c r="J56" i="46" s="1"/>
  <c r="J68" i="46" s="1"/>
  <c r="J80" i="46" s="1"/>
  <c r="J92" i="46" s="1"/>
  <c r="J104" i="46" s="1"/>
  <c r="J116" i="46" s="1"/>
  <c r="J128" i="46" s="1"/>
  <c r="J140" i="46" s="1"/>
  <c r="J152" i="46" s="1"/>
  <c r="J8" i="59"/>
  <c r="J20" i="59" s="1"/>
  <c r="J32" i="59" s="1"/>
  <c r="J44" i="59" s="1"/>
  <c r="J56" i="59" s="1"/>
  <c r="J68" i="59" s="1"/>
  <c r="J80" i="59" s="1"/>
  <c r="J92" i="59" s="1"/>
  <c r="J104" i="59" s="1"/>
  <c r="J116" i="59" s="1"/>
  <c r="J128" i="59" s="1"/>
  <c r="J140" i="59" s="1"/>
  <c r="J152" i="59" s="1"/>
  <c r="J11" i="46"/>
  <c r="J23" i="46" s="1"/>
  <c r="J35" i="46" s="1"/>
  <c r="J47" i="46" s="1"/>
  <c r="J59" i="46" s="1"/>
  <c r="J71" i="46" s="1"/>
  <c r="J83" i="46" s="1"/>
  <c r="J95" i="46" s="1"/>
  <c r="J107" i="46" s="1"/>
  <c r="J119" i="46" s="1"/>
  <c r="J131" i="46" s="1"/>
  <c r="J143" i="46" s="1"/>
  <c r="J155" i="46" s="1"/>
  <c r="J11" i="59"/>
  <c r="J23" i="59" s="1"/>
  <c r="J35" i="59" s="1"/>
  <c r="J47" i="59" s="1"/>
  <c r="J59" i="59" s="1"/>
  <c r="J71" i="59" s="1"/>
  <c r="J83" i="59" s="1"/>
  <c r="J95" i="59" s="1"/>
  <c r="J107" i="59" s="1"/>
  <c r="J119" i="59" s="1"/>
  <c r="J131" i="59" s="1"/>
  <c r="J143" i="59" s="1"/>
  <c r="J155" i="59" s="1"/>
  <c r="H143" i="45"/>
  <c r="J143" i="45" s="1"/>
  <c r="J131" i="45" s="1"/>
  <c r="J119" i="45" s="1"/>
  <c r="J107" i="45" s="1"/>
  <c r="J95" i="45" s="1"/>
  <c r="J83" i="45" s="1"/>
  <c r="J71" i="45" s="1"/>
  <c r="J59" i="45" s="1"/>
  <c r="J47" i="45" s="1"/>
  <c r="J35" i="45" s="1"/>
  <c r="J23" i="45" s="1"/>
  <c r="J11" i="45" s="1"/>
  <c r="I5" i="46"/>
  <c r="I17" i="46" s="1"/>
  <c r="I5" i="59"/>
  <c r="J13" i="46"/>
  <c r="J13" i="59"/>
  <c r="J25" i="59" s="1"/>
  <c r="J37" i="59" s="1"/>
  <c r="J49" i="59" s="1"/>
  <c r="J61" i="59" s="1"/>
  <c r="J73" i="59" s="1"/>
  <c r="J85" i="59" s="1"/>
  <c r="J97" i="59" s="1"/>
  <c r="J109" i="59" s="1"/>
  <c r="J121" i="59" s="1"/>
  <c r="J133" i="59" s="1"/>
  <c r="J145" i="59" s="1"/>
  <c r="J157" i="59" s="1"/>
  <c r="G146" i="45"/>
  <c r="I146" i="45" s="1"/>
  <c r="I134" i="45" s="1"/>
  <c r="G140" i="45"/>
  <c r="G152" i="45" s="1"/>
  <c r="G141" i="45"/>
  <c r="G153" i="45" s="1"/>
  <c r="H138" i="45"/>
  <c r="J138" i="45" s="1"/>
  <c r="J126" i="45" s="1"/>
  <c r="J114" i="45" s="1"/>
  <c r="J102" i="45" s="1"/>
  <c r="J90" i="45" s="1"/>
  <c r="J78" i="45" s="1"/>
  <c r="J66" i="45" s="1"/>
  <c r="J54" i="45" s="1"/>
  <c r="J42" i="45" s="1"/>
  <c r="J30" i="45" s="1"/>
  <c r="J18" i="45" s="1"/>
  <c r="J6" i="45" s="1"/>
  <c r="H138" i="20"/>
  <c r="N138" i="20" s="1"/>
  <c r="H139" i="20"/>
  <c r="N139" i="20" s="1"/>
  <c r="H137" i="45"/>
  <c r="J137" i="45" s="1"/>
  <c r="J125" i="45" s="1"/>
  <c r="J113" i="45" s="1"/>
  <c r="J101" i="45" s="1"/>
  <c r="J89" i="45" s="1"/>
  <c r="J77" i="45" s="1"/>
  <c r="J65" i="45" s="1"/>
  <c r="J53" i="45" s="1"/>
  <c r="J41" i="45" s="1"/>
  <c r="J29" i="45" s="1"/>
  <c r="J17" i="45" s="1"/>
  <c r="J5" i="45" s="1"/>
  <c r="J12" i="46"/>
  <c r="J24" i="46" s="1"/>
  <c r="J36" i="46" s="1"/>
  <c r="J48" i="46" s="1"/>
  <c r="J60" i="46" s="1"/>
  <c r="J72" i="46" s="1"/>
  <c r="J84" i="46" s="1"/>
  <c r="J96" i="46" s="1"/>
  <c r="J108" i="46" s="1"/>
  <c r="J120" i="46" s="1"/>
  <c r="J132" i="46" s="1"/>
  <c r="J144" i="46" s="1"/>
  <c r="J156" i="46" s="1"/>
  <c r="J12" i="59"/>
  <c r="J24" i="59" s="1"/>
  <c r="J36" i="59" s="1"/>
  <c r="J48" i="59" s="1"/>
  <c r="J60" i="59" s="1"/>
  <c r="J72" i="59" s="1"/>
  <c r="J84" i="59" s="1"/>
  <c r="J96" i="59" s="1"/>
  <c r="J108" i="59" s="1"/>
  <c r="J120" i="59" s="1"/>
  <c r="J132" i="59" s="1"/>
  <c r="J144" i="59" s="1"/>
  <c r="J156" i="59" s="1"/>
  <c r="G138" i="45"/>
  <c r="G150" i="45" s="1"/>
  <c r="H140" i="45"/>
  <c r="J140" i="45" s="1"/>
  <c r="J128" i="45" s="1"/>
  <c r="J116" i="45" s="1"/>
  <c r="J104" i="45" s="1"/>
  <c r="J92" i="45" s="1"/>
  <c r="J80" i="45" s="1"/>
  <c r="J68" i="45" s="1"/>
  <c r="J56" i="45" s="1"/>
  <c r="J44" i="45" s="1"/>
  <c r="J32" i="45" s="1"/>
  <c r="J20" i="45" s="1"/>
  <c r="J8" i="45" s="1"/>
  <c r="H141" i="20"/>
  <c r="N141" i="20" s="1"/>
  <c r="H136" i="45"/>
  <c r="J136" i="45" s="1"/>
  <c r="J124" i="45" s="1"/>
  <c r="J112" i="45" s="1"/>
  <c r="J100" i="45" s="1"/>
  <c r="J88" i="45" s="1"/>
  <c r="J76" i="45" s="1"/>
  <c r="J64" i="45" s="1"/>
  <c r="J52" i="45" s="1"/>
  <c r="J40" i="45" s="1"/>
  <c r="J28" i="45" s="1"/>
  <c r="J16" i="45" s="1"/>
  <c r="J4" i="45" s="1"/>
  <c r="I4" i="46"/>
  <c r="I4" i="59"/>
  <c r="I6" i="46"/>
  <c r="I18" i="46" s="1"/>
  <c r="I6" i="59"/>
  <c r="J14" i="46"/>
  <c r="J14" i="59"/>
  <c r="J26" i="59" s="1"/>
  <c r="J38" i="59" s="1"/>
  <c r="J50" i="59" s="1"/>
  <c r="J62" i="59" s="1"/>
  <c r="J74" i="59" s="1"/>
  <c r="J86" i="59" s="1"/>
  <c r="J98" i="59" s="1"/>
  <c r="J110" i="59" s="1"/>
  <c r="J122" i="59" s="1"/>
  <c r="J134" i="59" s="1"/>
  <c r="J146" i="59" s="1"/>
  <c r="J158" i="59" s="1"/>
  <c r="H142" i="20"/>
  <c r="N142" i="20" s="1"/>
  <c r="J9" i="46"/>
  <c r="J21" i="46" s="1"/>
  <c r="J33" i="46" s="1"/>
  <c r="J45" i="46" s="1"/>
  <c r="J57" i="46" s="1"/>
  <c r="J69" i="46" s="1"/>
  <c r="J81" i="46" s="1"/>
  <c r="J93" i="46" s="1"/>
  <c r="J105" i="46" s="1"/>
  <c r="J117" i="46" s="1"/>
  <c r="J129" i="46" s="1"/>
  <c r="J141" i="46" s="1"/>
  <c r="J153" i="46" s="1"/>
  <c r="J9" i="59"/>
  <c r="J21" i="59" s="1"/>
  <c r="J33" i="59" s="1"/>
  <c r="J45" i="59" s="1"/>
  <c r="J57" i="59" s="1"/>
  <c r="J69" i="59" s="1"/>
  <c r="J81" i="59" s="1"/>
  <c r="J93" i="59" s="1"/>
  <c r="J105" i="59" s="1"/>
  <c r="J117" i="59" s="1"/>
  <c r="J129" i="59" s="1"/>
  <c r="J141" i="59" s="1"/>
  <c r="J153" i="59" s="1"/>
  <c r="H143" i="20"/>
  <c r="N143" i="20" s="1"/>
  <c r="H141" i="45"/>
  <c r="J141" i="45" s="1"/>
  <c r="J129" i="45" s="1"/>
  <c r="J117" i="45" s="1"/>
  <c r="J105" i="45" s="1"/>
  <c r="J93" i="45" s="1"/>
  <c r="J81" i="45" s="1"/>
  <c r="J69" i="45" s="1"/>
  <c r="J57" i="45" s="1"/>
  <c r="J45" i="45" s="1"/>
  <c r="J33" i="45" s="1"/>
  <c r="J21" i="45" s="1"/>
  <c r="J9" i="45" s="1"/>
  <c r="J3" i="46"/>
  <c r="J15" i="46" s="1"/>
  <c r="J27" i="46" s="1"/>
  <c r="J39" i="46" s="1"/>
  <c r="J51" i="46" s="1"/>
  <c r="J63" i="46" s="1"/>
  <c r="J75" i="46" s="1"/>
  <c r="J87" i="46" s="1"/>
  <c r="J99" i="46" s="1"/>
  <c r="J111" i="46" s="1"/>
  <c r="J123" i="46" s="1"/>
  <c r="J135" i="46" s="1"/>
  <c r="J147" i="46" s="1"/>
  <c r="J3" i="59"/>
  <c r="J15" i="59" s="1"/>
  <c r="J27" i="59" s="1"/>
  <c r="J39" i="59" s="1"/>
  <c r="J51" i="59" s="1"/>
  <c r="J63" i="59" s="1"/>
  <c r="J75" i="59" s="1"/>
  <c r="J87" i="59" s="1"/>
  <c r="J99" i="59" s="1"/>
  <c r="J111" i="59" s="1"/>
  <c r="J123" i="59" s="1"/>
  <c r="J135" i="59" s="1"/>
  <c r="J147" i="59" s="1"/>
  <c r="G142" i="45"/>
  <c r="I142" i="45" s="1"/>
  <c r="I130" i="45" s="1"/>
  <c r="H135" i="45"/>
  <c r="J135" i="45" s="1"/>
  <c r="J123" i="45" s="1"/>
  <c r="J111" i="45" s="1"/>
  <c r="J99" i="45" s="1"/>
  <c r="J87" i="45" s="1"/>
  <c r="J75" i="45" s="1"/>
  <c r="J63" i="45" s="1"/>
  <c r="J51" i="45" s="1"/>
  <c r="J39" i="45" s="1"/>
  <c r="J27" i="45" s="1"/>
  <c r="J15" i="45" s="1"/>
  <c r="J3" i="45" s="1"/>
  <c r="H144" i="45"/>
  <c r="J144" i="45" s="1"/>
  <c r="J132" i="45" s="1"/>
  <c r="J120" i="45" s="1"/>
  <c r="J108" i="45" s="1"/>
  <c r="J96" i="45" s="1"/>
  <c r="J84" i="45" s="1"/>
  <c r="J72" i="45" s="1"/>
  <c r="J60" i="45" s="1"/>
  <c r="J48" i="45" s="1"/>
  <c r="J36" i="45" s="1"/>
  <c r="J24" i="45" s="1"/>
  <c r="J12" i="45" s="1"/>
  <c r="H140" i="20"/>
  <c r="N140" i="20" s="1"/>
  <c r="I12" i="46"/>
  <c r="I12" i="59"/>
  <c r="I11" i="46"/>
  <c r="I23" i="46" s="1"/>
  <c r="I11" i="59"/>
  <c r="I10" i="46"/>
  <c r="I10" i="59"/>
  <c r="I13" i="46"/>
  <c r="I25" i="46" s="1"/>
  <c r="I13" i="59"/>
  <c r="H145" i="45"/>
  <c r="J145" i="45" s="1"/>
  <c r="J133" i="45" s="1"/>
  <c r="J121" i="45" s="1"/>
  <c r="J109" i="45" s="1"/>
  <c r="J97" i="45" s="1"/>
  <c r="J85" i="45" s="1"/>
  <c r="J73" i="45" s="1"/>
  <c r="J61" i="45" s="1"/>
  <c r="J49" i="45" s="1"/>
  <c r="J37" i="45" s="1"/>
  <c r="J25" i="45" s="1"/>
  <c r="J13" i="45" s="1"/>
  <c r="G138" i="44"/>
  <c r="G144" i="45"/>
  <c r="I144" i="45" s="1"/>
  <c r="I132" i="45" s="1"/>
  <c r="G135" i="45"/>
  <c r="G147" i="45" s="1"/>
  <c r="H142" i="45"/>
  <c r="J142" i="45" s="1"/>
  <c r="J130" i="45" s="1"/>
  <c r="J118" i="45" s="1"/>
  <c r="J106" i="45" s="1"/>
  <c r="J94" i="45" s="1"/>
  <c r="J82" i="45" s="1"/>
  <c r="J70" i="45" s="1"/>
  <c r="J58" i="45" s="1"/>
  <c r="J46" i="45" s="1"/>
  <c r="J34" i="45" s="1"/>
  <c r="J22" i="45" s="1"/>
  <c r="J10" i="45" s="1"/>
  <c r="G139" i="45"/>
  <c r="I139" i="45" s="1"/>
  <c r="I127" i="45" s="1"/>
  <c r="J6" i="46"/>
  <c r="J18" i="46" s="1"/>
  <c r="J30" i="46" s="1"/>
  <c r="J42" i="46" s="1"/>
  <c r="J54" i="46" s="1"/>
  <c r="J66" i="46" s="1"/>
  <c r="J78" i="46" s="1"/>
  <c r="J90" i="46" s="1"/>
  <c r="J102" i="46" s="1"/>
  <c r="J114" i="46" s="1"/>
  <c r="J126" i="46" s="1"/>
  <c r="J138" i="46" s="1"/>
  <c r="J150" i="46" s="1"/>
  <c r="J6" i="59"/>
  <c r="J18" i="59" s="1"/>
  <c r="J30" i="59" s="1"/>
  <c r="J42" i="59" s="1"/>
  <c r="J54" i="59" s="1"/>
  <c r="J66" i="59" s="1"/>
  <c r="J78" i="59" s="1"/>
  <c r="J90" i="59" s="1"/>
  <c r="J102" i="59" s="1"/>
  <c r="J114" i="59" s="1"/>
  <c r="J126" i="59" s="1"/>
  <c r="J138" i="59" s="1"/>
  <c r="J150" i="59" s="1"/>
  <c r="J4" i="46"/>
  <c r="J16" i="46" s="1"/>
  <c r="J28" i="46" s="1"/>
  <c r="J40" i="46" s="1"/>
  <c r="J52" i="46" s="1"/>
  <c r="J64" i="46" s="1"/>
  <c r="J76" i="46" s="1"/>
  <c r="J88" i="46" s="1"/>
  <c r="J100" i="46" s="1"/>
  <c r="J112" i="46" s="1"/>
  <c r="J124" i="46" s="1"/>
  <c r="J136" i="46" s="1"/>
  <c r="J148" i="46" s="1"/>
  <c r="J4" i="59"/>
  <c r="J16" i="59" s="1"/>
  <c r="J28" i="59" s="1"/>
  <c r="J40" i="59" s="1"/>
  <c r="J52" i="59" s="1"/>
  <c r="J64" i="59" s="1"/>
  <c r="J76" i="59" s="1"/>
  <c r="J88" i="59" s="1"/>
  <c r="J100" i="59" s="1"/>
  <c r="J112" i="59" s="1"/>
  <c r="J124" i="59" s="1"/>
  <c r="J136" i="59" s="1"/>
  <c r="J148" i="59" s="1"/>
  <c r="J7" i="46"/>
  <c r="J19" i="46" s="1"/>
  <c r="J31" i="46" s="1"/>
  <c r="J43" i="46" s="1"/>
  <c r="J55" i="46" s="1"/>
  <c r="J67" i="46" s="1"/>
  <c r="J79" i="46" s="1"/>
  <c r="J91" i="46" s="1"/>
  <c r="J103" i="46" s="1"/>
  <c r="J115" i="46" s="1"/>
  <c r="J127" i="46" s="1"/>
  <c r="J139" i="46" s="1"/>
  <c r="J151" i="46" s="1"/>
  <c r="J7" i="59"/>
  <c r="J19" i="59" s="1"/>
  <c r="J31" i="59" s="1"/>
  <c r="J43" i="59" s="1"/>
  <c r="J55" i="59" s="1"/>
  <c r="J67" i="59" s="1"/>
  <c r="J79" i="59" s="1"/>
  <c r="J91" i="59" s="1"/>
  <c r="J103" i="59" s="1"/>
  <c r="J115" i="59" s="1"/>
  <c r="J127" i="59" s="1"/>
  <c r="J139" i="59" s="1"/>
  <c r="J151" i="59" s="1"/>
  <c r="J5" i="46"/>
  <c r="J17" i="46" s="1"/>
  <c r="J29" i="46" s="1"/>
  <c r="J41" i="46" s="1"/>
  <c r="J53" i="46" s="1"/>
  <c r="J65" i="46" s="1"/>
  <c r="J77" i="46" s="1"/>
  <c r="J89" i="46" s="1"/>
  <c r="J101" i="46" s="1"/>
  <c r="J113" i="46" s="1"/>
  <c r="J125" i="46" s="1"/>
  <c r="J137" i="46" s="1"/>
  <c r="J149" i="46" s="1"/>
  <c r="J5" i="59"/>
  <c r="J17" i="59" s="1"/>
  <c r="J29" i="59" s="1"/>
  <c r="J41" i="59" s="1"/>
  <c r="J53" i="59" s="1"/>
  <c r="J65" i="59" s="1"/>
  <c r="J77" i="59" s="1"/>
  <c r="J89" i="59" s="1"/>
  <c r="J101" i="59" s="1"/>
  <c r="J113" i="59" s="1"/>
  <c r="J125" i="59" s="1"/>
  <c r="J137" i="59" s="1"/>
  <c r="J149" i="59" s="1"/>
  <c r="H139" i="45"/>
  <c r="J139" i="45" s="1"/>
  <c r="J127" i="45" s="1"/>
  <c r="J115" i="45" s="1"/>
  <c r="J103" i="45" s="1"/>
  <c r="J91" i="45" s="1"/>
  <c r="J79" i="45" s="1"/>
  <c r="J67" i="45" s="1"/>
  <c r="J55" i="45" s="1"/>
  <c r="J43" i="45" s="1"/>
  <c r="J31" i="45" s="1"/>
  <c r="J19" i="45" s="1"/>
  <c r="J7" i="45" s="1"/>
  <c r="I9" i="46"/>
  <c r="I9" i="59"/>
  <c r="I8" i="46"/>
  <c r="I8" i="59"/>
  <c r="I7" i="46"/>
  <c r="I19" i="46" s="1"/>
  <c r="I7" i="59"/>
  <c r="I3" i="46"/>
  <c r="I15" i="46" s="1"/>
  <c r="I3" i="59"/>
  <c r="I14" i="46"/>
  <c r="I26" i="46" s="1"/>
  <c r="I14" i="59"/>
  <c r="H146" i="45"/>
  <c r="J146" i="45" s="1"/>
  <c r="J134" i="45" s="1"/>
  <c r="J122" i="45" s="1"/>
  <c r="J110" i="45" s="1"/>
  <c r="J98" i="45" s="1"/>
  <c r="J86" i="45" s="1"/>
  <c r="J74" i="45" s="1"/>
  <c r="J62" i="45" s="1"/>
  <c r="J50" i="45" s="1"/>
  <c r="J38" i="45" s="1"/>
  <c r="J26" i="45" s="1"/>
  <c r="J14" i="45" s="1"/>
  <c r="G145" i="45"/>
  <c r="I145" i="45" s="1"/>
  <c r="I133" i="45" s="1"/>
  <c r="G137" i="20"/>
  <c r="G137" i="44"/>
  <c r="G146" i="20"/>
  <c r="G146" i="44"/>
  <c r="G145" i="20"/>
  <c r="G145" i="44"/>
  <c r="G136" i="20"/>
  <c r="G136" i="44"/>
  <c r="G139" i="20"/>
  <c r="G139" i="44"/>
  <c r="G141" i="20"/>
  <c r="G141" i="44"/>
  <c r="G140" i="20"/>
  <c r="G140" i="44"/>
  <c r="G142" i="20"/>
  <c r="G142" i="44"/>
  <c r="G144" i="20"/>
  <c r="G144" i="44"/>
  <c r="G143" i="20"/>
  <c r="G143" i="44"/>
  <c r="G135" i="20"/>
  <c r="M135" i="20" s="1"/>
  <c r="G135" i="44"/>
  <c r="O135" i="44" s="1"/>
  <c r="H144" i="20"/>
  <c r="N144" i="20" s="1"/>
  <c r="G138" i="20"/>
  <c r="H137" i="20"/>
  <c r="N137" i="20" s="1"/>
  <c r="H136" i="20"/>
  <c r="N136" i="20" s="1"/>
  <c r="H142" i="22"/>
  <c r="H154" i="22" s="1"/>
  <c r="H142" i="46"/>
  <c r="H154" i="46" s="1"/>
  <c r="H140" i="22"/>
  <c r="H140" i="46"/>
  <c r="H152" i="46" s="1"/>
  <c r="H143" i="22"/>
  <c r="H143" i="46"/>
  <c r="H155" i="46" s="1"/>
  <c r="G137" i="22"/>
  <c r="G137" i="46"/>
  <c r="G149" i="46" s="1"/>
  <c r="H145" i="22"/>
  <c r="H145" i="46"/>
  <c r="H157" i="46" s="1"/>
  <c r="H144" i="22"/>
  <c r="H144" i="46"/>
  <c r="H156" i="46" s="1"/>
  <c r="G136" i="22"/>
  <c r="G136" i="46"/>
  <c r="G148" i="46" s="1"/>
  <c r="G138" i="22"/>
  <c r="G138" i="46"/>
  <c r="G150" i="46" s="1"/>
  <c r="H146" i="22"/>
  <c r="H146" i="46"/>
  <c r="H158" i="46" s="1"/>
  <c r="H141" i="22"/>
  <c r="H153" i="22" s="1"/>
  <c r="H141" i="46"/>
  <c r="H153" i="46" s="1"/>
  <c r="H135" i="22"/>
  <c r="H135" i="46"/>
  <c r="H147" i="46" s="1"/>
  <c r="G144" i="22"/>
  <c r="G144" i="46"/>
  <c r="G156" i="46" s="1"/>
  <c r="G143" i="22"/>
  <c r="G143" i="46"/>
  <c r="G155" i="46" s="1"/>
  <c r="G142" i="22"/>
  <c r="G142" i="46"/>
  <c r="G154" i="46" s="1"/>
  <c r="G145" i="22"/>
  <c r="G145" i="46"/>
  <c r="G157" i="46" s="1"/>
  <c r="H138" i="22"/>
  <c r="H138" i="46"/>
  <c r="H150" i="46" s="1"/>
  <c r="H136" i="22"/>
  <c r="H148" i="22" s="1"/>
  <c r="H136" i="46"/>
  <c r="H148" i="46" s="1"/>
  <c r="H139" i="22"/>
  <c r="H139" i="46"/>
  <c r="H151" i="46" s="1"/>
  <c r="H137" i="22"/>
  <c r="H137" i="46"/>
  <c r="H149" i="46" s="1"/>
  <c r="G141" i="22"/>
  <c r="G141" i="46"/>
  <c r="G153" i="46" s="1"/>
  <c r="G140" i="22"/>
  <c r="G140" i="46"/>
  <c r="G152" i="46" s="1"/>
  <c r="G139" i="22"/>
  <c r="G139" i="46"/>
  <c r="G151" i="46" s="1"/>
  <c r="G135" i="22"/>
  <c r="G135" i="46"/>
  <c r="G147" i="46" s="1"/>
  <c r="G146" i="22"/>
  <c r="G146" i="46"/>
  <c r="G158" i="46" s="1"/>
  <c r="H143" i="37"/>
  <c r="H155" i="37" s="1"/>
  <c r="G146" i="37"/>
  <c r="G158" i="37" s="1"/>
  <c r="G140" i="37"/>
  <c r="G152" i="37" s="1"/>
  <c r="G141" i="37"/>
  <c r="G153" i="37" s="1"/>
  <c r="H138" i="37"/>
  <c r="H150" i="37" s="1"/>
  <c r="H137" i="37"/>
  <c r="H149" i="37" s="1"/>
  <c r="G138" i="37"/>
  <c r="G150" i="37" s="1"/>
  <c r="H140" i="37"/>
  <c r="H152" i="37" s="1"/>
  <c r="H136" i="37"/>
  <c r="H148" i="37" s="1"/>
  <c r="G143" i="37"/>
  <c r="G155" i="37" s="1"/>
  <c r="H141" i="37"/>
  <c r="H153" i="37" s="1"/>
  <c r="G142" i="37"/>
  <c r="G154" i="37" s="1"/>
  <c r="H144" i="37"/>
  <c r="H156" i="37" s="1"/>
  <c r="H145" i="37"/>
  <c r="G136" i="37"/>
  <c r="G148" i="37" s="1"/>
  <c r="G137" i="37"/>
  <c r="G149" i="37" s="1"/>
  <c r="G144" i="37"/>
  <c r="H142" i="37"/>
  <c r="H154" i="37" s="1"/>
  <c r="G139" i="37"/>
  <c r="G151" i="37" s="1"/>
  <c r="H139" i="37"/>
  <c r="H151" i="37" s="1"/>
  <c r="H146" i="37"/>
  <c r="G145" i="37"/>
  <c r="H135" i="37"/>
  <c r="H147" i="37" s="1"/>
  <c r="G135" i="37"/>
  <c r="G147" i="37" s="1"/>
  <c r="K158" i="22"/>
  <c r="M158" i="46"/>
  <c r="K157" i="22"/>
  <c r="M157" i="46"/>
  <c r="W25" i="17"/>
  <c r="M44" i="11" s="1"/>
  <c r="T25" i="17"/>
  <c r="U25" i="17" s="1"/>
  <c r="U26" i="17" s="1"/>
  <c r="K95" i="46"/>
  <c r="K95" i="44"/>
  <c r="K143" i="44" s="1"/>
  <c r="K115" i="46"/>
  <c r="K115" i="44"/>
  <c r="L48" i="44"/>
  <c r="K55" i="45"/>
  <c r="I55" i="37"/>
  <c r="M55" i="37" s="1"/>
  <c r="K111" i="46"/>
  <c r="K111" i="44"/>
  <c r="K39" i="45"/>
  <c r="I39" i="37"/>
  <c r="M39" i="37" s="1"/>
  <c r="K129" i="46"/>
  <c r="I129" i="20"/>
  <c r="K129" i="44"/>
  <c r="I129" i="22"/>
  <c r="M129" i="22" s="1"/>
  <c r="K136" i="46"/>
  <c r="K39" i="46"/>
  <c r="K39" i="44"/>
  <c r="K53" i="46"/>
  <c r="K53" i="44"/>
  <c r="K96" i="46"/>
  <c r="K96" i="44"/>
  <c r="K144" i="44" s="1"/>
  <c r="K61" i="45"/>
  <c r="I61" i="37"/>
  <c r="M61" i="37" s="1"/>
  <c r="K62" i="45"/>
  <c r="I62" i="37"/>
  <c r="M62" i="37" s="1"/>
  <c r="K58" i="45"/>
  <c r="I58" i="37"/>
  <c r="M58" i="37" s="1"/>
  <c r="BG133" i="24"/>
  <c r="K86" i="46"/>
  <c r="K86" i="44"/>
  <c r="K134" i="44" s="1"/>
  <c r="K47" i="45"/>
  <c r="I47" i="37"/>
  <c r="M47" i="37" s="1"/>
  <c r="K54" i="45"/>
  <c r="I54" i="37"/>
  <c r="M54" i="37" s="1"/>
  <c r="Q168" i="22"/>
  <c r="K148" i="46"/>
  <c r="K91" i="46"/>
  <c r="K91" i="44"/>
  <c r="K139" i="44" s="1"/>
  <c r="L39" i="44"/>
  <c r="K116" i="46"/>
  <c r="K116" i="44"/>
  <c r="K42" i="46"/>
  <c r="K42" i="44"/>
  <c r="K117" i="46"/>
  <c r="K117" i="44"/>
  <c r="K82" i="46"/>
  <c r="K82" i="44"/>
  <c r="K61" i="46"/>
  <c r="K61" i="44"/>
  <c r="BG126" i="24"/>
  <c r="K79" i="46"/>
  <c r="K79" i="44"/>
  <c r="K127" i="44" s="1"/>
  <c r="K75" i="46"/>
  <c r="K75" i="44"/>
  <c r="L41" i="44"/>
  <c r="L40" i="44"/>
  <c r="K114" i="46"/>
  <c r="K114" i="44"/>
  <c r="K80" i="46"/>
  <c r="K80" i="44"/>
  <c r="K78" i="46"/>
  <c r="K78" i="44"/>
  <c r="K126" i="44" s="1"/>
  <c r="L50" i="44"/>
  <c r="K113" i="46"/>
  <c r="K113" i="44"/>
  <c r="K46" i="46"/>
  <c r="K46" i="44"/>
  <c r="L45" i="44"/>
  <c r="L44" i="44"/>
  <c r="L43" i="44"/>
  <c r="BG130" i="24"/>
  <c r="K83" i="46"/>
  <c r="K83" i="44"/>
  <c r="K43" i="45"/>
  <c r="I43" i="37"/>
  <c r="M43" i="37" s="1"/>
  <c r="P2" i="44"/>
  <c r="K42" i="45"/>
  <c r="I42" i="37"/>
  <c r="M42" i="37" s="1"/>
  <c r="K44" i="45"/>
  <c r="I44" i="37"/>
  <c r="M44" i="37" s="1"/>
  <c r="BG131" i="24"/>
  <c r="K84" i="46"/>
  <c r="K84" i="44"/>
  <c r="K50" i="45"/>
  <c r="I50" i="37"/>
  <c r="M50" i="37" s="1"/>
  <c r="K121" i="46"/>
  <c r="K121" i="44"/>
  <c r="L47" i="44"/>
  <c r="K125" i="46"/>
  <c r="K125" i="44"/>
  <c r="K118" i="46"/>
  <c r="K118" i="44"/>
  <c r="K89" i="46"/>
  <c r="K89" i="44"/>
  <c r="K137" i="44" s="1"/>
  <c r="K57" i="46"/>
  <c r="K57" i="44"/>
  <c r="BK76" i="24"/>
  <c r="K122" i="46"/>
  <c r="K122" i="44"/>
  <c r="K59" i="46"/>
  <c r="K59" i="44"/>
  <c r="K55" i="46"/>
  <c r="K55" i="44"/>
  <c r="K93" i="46"/>
  <c r="K93" i="44"/>
  <c r="K141" i="44" s="1"/>
  <c r="K56" i="45"/>
  <c r="I56" i="37"/>
  <c r="M56" i="37" s="1"/>
  <c r="L46" i="44"/>
  <c r="K120" i="46"/>
  <c r="K120" i="44"/>
  <c r="K119" i="46"/>
  <c r="K119" i="44"/>
  <c r="L49" i="44"/>
  <c r="K52" i="45"/>
  <c r="I52" i="37"/>
  <c r="M52" i="37" s="1"/>
  <c r="L42" i="44"/>
  <c r="K50" i="46"/>
  <c r="K50" i="44"/>
  <c r="BG91" i="24"/>
  <c r="K44" i="46"/>
  <c r="K44" i="44"/>
  <c r="K97" i="46"/>
  <c r="K97" i="44"/>
  <c r="K145" i="44" s="1"/>
  <c r="K47" i="46"/>
  <c r="K47" i="44"/>
  <c r="K48" i="46"/>
  <c r="K48" i="44"/>
  <c r="BW59" i="24"/>
  <c r="K48" i="45"/>
  <c r="I48" i="37"/>
  <c r="M48" i="37" s="1"/>
  <c r="K45" i="45"/>
  <c r="I45" i="37"/>
  <c r="M45" i="37" s="1"/>
  <c r="BW56" i="24"/>
  <c r="BW52" i="24"/>
  <c r="K41" i="45"/>
  <c r="I41" i="37"/>
  <c r="M41" i="37" s="1"/>
  <c r="N168" i="37"/>
  <c r="I133" i="22"/>
  <c r="M133" i="22" s="1"/>
  <c r="K133" i="46"/>
  <c r="X25" i="17"/>
  <c r="W26" i="17" s="1"/>
  <c r="ED26" i="32"/>
  <c r="DY72" i="32" s="1"/>
  <c r="BB72" i="32"/>
  <c r="BK28" i="32"/>
  <c r="BB71" i="32" s="1"/>
  <c r="N41" i="22"/>
  <c r="N35" i="22"/>
  <c r="N31" i="22"/>
  <c r="N34" i="22"/>
  <c r="N73" i="22"/>
  <c r="N77" i="22"/>
  <c r="N67" i="22"/>
  <c r="N81" i="22"/>
  <c r="N65" i="22"/>
  <c r="N30" i="22"/>
  <c r="N124" i="22"/>
  <c r="N33" i="22"/>
  <c r="N71" i="22"/>
  <c r="N69" i="22"/>
  <c r="N32" i="22"/>
  <c r="N68" i="22"/>
  <c r="N38" i="22"/>
  <c r="N66" i="22"/>
  <c r="N112" i="22"/>
  <c r="N74" i="22"/>
  <c r="N72" i="22"/>
  <c r="N70" i="22"/>
  <c r="N36" i="22"/>
  <c r="N45" i="22"/>
  <c r="N49" i="22"/>
  <c r="N43" i="22"/>
  <c r="BZ53" i="32"/>
  <c r="BV72" i="32" s="1"/>
  <c r="BZ55" i="32"/>
  <c r="BQ72" i="32" s="1"/>
  <c r="BY55" i="32"/>
  <c r="BQ71" i="32" s="1"/>
  <c r="BY53" i="32"/>
  <c r="BV71" i="32" s="1"/>
  <c r="ED28" i="32"/>
  <c r="DT72" i="32" s="1"/>
  <c r="N84" i="22"/>
  <c r="I136" i="22"/>
  <c r="N88" i="22"/>
  <c r="N85" i="22"/>
  <c r="O172" i="22"/>
  <c r="N63" i="22"/>
  <c r="N27" i="22"/>
  <c r="O169" i="22"/>
  <c r="I148" i="22"/>
  <c r="N100" i="22"/>
  <c r="H138" i="44"/>
  <c r="P138" i="44" s="1"/>
  <c r="H136" i="44"/>
  <c r="P136" i="44" s="1"/>
  <c r="H143" i="44"/>
  <c r="H142" i="44"/>
  <c r="P142" i="44" s="1"/>
  <c r="H137" i="44"/>
  <c r="P137" i="44" s="1"/>
  <c r="H140" i="44"/>
  <c r="P140" i="44" s="1"/>
  <c r="H144" i="44"/>
  <c r="H139" i="44"/>
  <c r="P139" i="44" s="1"/>
  <c r="H135" i="44"/>
  <c r="P135" i="44" s="1"/>
  <c r="H141" i="44"/>
  <c r="P141" i="44" s="1"/>
  <c r="G61" i="11"/>
  <c r="K61" i="11"/>
  <c r="J61" i="11"/>
  <c r="H61" i="11"/>
  <c r="D61" i="11"/>
  <c r="I61" i="11"/>
  <c r="F61" i="11"/>
  <c r="E61" i="11"/>
  <c r="M61" i="11"/>
  <c r="C61" i="11"/>
  <c r="P167" i="37"/>
  <c r="N36" i="37"/>
  <c r="N32" i="37"/>
  <c r="P14" i="20"/>
  <c r="Q14" i="20"/>
  <c r="O11" i="22"/>
  <c r="P11" i="22" s="1"/>
  <c r="O19" i="22"/>
  <c r="P19" i="22" s="1"/>
  <c r="H135" i="20"/>
  <c r="N135" i="20" s="1"/>
  <c r="BG59" i="24"/>
  <c r="I48" i="22"/>
  <c r="M48" i="22" s="1"/>
  <c r="I48" i="20"/>
  <c r="N35" i="37"/>
  <c r="O35" i="22"/>
  <c r="P35" i="22" s="1"/>
  <c r="N27" i="37"/>
  <c r="I79" i="20"/>
  <c r="I127" i="20" s="1"/>
  <c r="O7" i="22"/>
  <c r="O23" i="22"/>
  <c r="P23" i="22" s="1"/>
  <c r="BW65" i="24"/>
  <c r="O31" i="22"/>
  <c r="P31" i="22" s="1"/>
  <c r="N30" i="37"/>
  <c r="N38" i="37"/>
  <c r="N2" i="20"/>
  <c r="BV58" i="24"/>
  <c r="EA26" i="32"/>
  <c r="DY69" i="32" s="1"/>
  <c r="DX25" i="32"/>
  <c r="DY80" i="32" s="1"/>
  <c r="EA25" i="32"/>
  <c r="DY83" i="32" s="1"/>
  <c r="DV25" i="32"/>
  <c r="DY78" i="32" s="1"/>
  <c r="CJ53" i="32"/>
  <c r="CJ68" i="32" s="1"/>
  <c r="H154" i="58" s="1"/>
  <c r="DS52" i="32"/>
  <c r="DZ75" i="32" s="1"/>
  <c r="DY53" i="32"/>
  <c r="DZ67" i="32" s="1"/>
  <c r="CJ52" i="32"/>
  <c r="CJ82" i="32" s="1"/>
  <c r="H142" i="58" s="1"/>
  <c r="O5" i="22"/>
  <c r="P5" i="22" s="1"/>
  <c r="O9" i="22"/>
  <c r="O13" i="22"/>
  <c r="P13" i="22" s="1"/>
  <c r="O17" i="22"/>
  <c r="P17" i="22" s="1"/>
  <c r="O21" i="22"/>
  <c r="O29" i="22"/>
  <c r="P29" i="22" s="1"/>
  <c r="O33" i="22"/>
  <c r="P33" i="22" s="1"/>
  <c r="O37" i="22"/>
  <c r="P37" i="22" s="1"/>
  <c r="O25" i="22"/>
  <c r="P25" i="22" s="1"/>
  <c r="BG55" i="24"/>
  <c r="BU72" i="24"/>
  <c r="O28" i="22"/>
  <c r="P28" i="22" s="1"/>
  <c r="I120" i="22"/>
  <c r="M120" i="22" s="1"/>
  <c r="I95" i="22"/>
  <c r="M95" i="22" s="1"/>
  <c r="I89" i="22"/>
  <c r="M89" i="22" s="1"/>
  <c r="I96" i="22"/>
  <c r="M96" i="22" s="1"/>
  <c r="I122" i="22"/>
  <c r="M122" i="22" s="1"/>
  <c r="BS51" i="24"/>
  <c r="J48" i="20"/>
  <c r="J47" i="20"/>
  <c r="I111" i="22"/>
  <c r="M111" i="22" s="1"/>
  <c r="I125" i="22"/>
  <c r="M125" i="22" s="1"/>
  <c r="I50" i="20"/>
  <c r="I50" i="22"/>
  <c r="M50" i="22" s="1"/>
  <c r="I83" i="22"/>
  <c r="M83" i="22" s="1"/>
  <c r="I97" i="22"/>
  <c r="M97" i="22" s="1"/>
  <c r="I47" i="20"/>
  <c r="I47" i="22"/>
  <c r="M47" i="22" s="1"/>
  <c r="I53" i="22"/>
  <c r="M53" i="22" s="1"/>
  <c r="I60" i="22"/>
  <c r="M60" i="22" s="1"/>
  <c r="I119" i="22"/>
  <c r="M119" i="22" s="1"/>
  <c r="J49" i="20"/>
  <c r="O49" i="22"/>
  <c r="P49" i="22" s="1"/>
  <c r="I42" i="20"/>
  <c r="I42" i="22"/>
  <c r="M42" i="22" s="1"/>
  <c r="I117" i="22"/>
  <c r="M117" i="22" s="1"/>
  <c r="I46" i="20"/>
  <c r="I46" i="22"/>
  <c r="M46" i="22" s="1"/>
  <c r="J45" i="20"/>
  <c r="O45" i="22"/>
  <c r="P45" i="22" s="1"/>
  <c r="J44" i="20"/>
  <c r="I39" i="20"/>
  <c r="I39" i="22"/>
  <c r="M39" i="22" s="1"/>
  <c r="I55" i="22"/>
  <c r="M55" i="22" s="1"/>
  <c r="I57" i="22"/>
  <c r="M57" i="22" s="1"/>
  <c r="J46" i="20"/>
  <c r="I78" i="22"/>
  <c r="M78" i="22" s="1"/>
  <c r="J50" i="20"/>
  <c r="I113" i="22"/>
  <c r="M113" i="22" s="1"/>
  <c r="I82" i="22"/>
  <c r="M82" i="22" s="1"/>
  <c r="I127" i="22"/>
  <c r="M127" i="22" s="1"/>
  <c r="I44" i="20"/>
  <c r="I44" i="22"/>
  <c r="M44" i="22" s="1"/>
  <c r="O28" i="37"/>
  <c r="P28" i="37" s="1"/>
  <c r="O36" i="37"/>
  <c r="P36" i="37" s="1"/>
  <c r="I59" i="22"/>
  <c r="M59" i="22" s="1"/>
  <c r="I118" i="22"/>
  <c r="M118" i="22" s="1"/>
  <c r="J43" i="20"/>
  <c r="O43" i="22"/>
  <c r="P43" i="22" s="1"/>
  <c r="N43" i="37"/>
  <c r="I61" i="22"/>
  <c r="M61" i="22" s="1"/>
  <c r="I75" i="22"/>
  <c r="M75" i="22" s="1"/>
  <c r="I92" i="22"/>
  <c r="M92" i="22" s="1"/>
  <c r="I91" i="22"/>
  <c r="M91" i="22" s="1"/>
  <c r="I93" i="22"/>
  <c r="M93" i="22" s="1"/>
  <c r="BG108" i="24"/>
  <c r="J39" i="20"/>
  <c r="I121" i="22"/>
  <c r="M121" i="22" s="1"/>
  <c r="I116" i="22"/>
  <c r="M116" i="22" s="1"/>
  <c r="I115" i="22"/>
  <c r="M115" i="22" s="1"/>
  <c r="J41" i="20"/>
  <c r="O41" i="22"/>
  <c r="P41" i="22" s="1"/>
  <c r="J40" i="20"/>
  <c r="O40" i="22"/>
  <c r="P40" i="22" s="1"/>
  <c r="I114" i="22"/>
  <c r="M114" i="22" s="1"/>
  <c r="I80" i="22"/>
  <c r="M80" i="22" s="1"/>
  <c r="J42" i="20"/>
  <c r="I86" i="22"/>
  <c r="M86" i="22" s="1"/>
  <c r="I61" i="20"/>
  <c r="O32" i="22"/>
  <c r="P32" i="22" s="1"/>
  <c r="O36" i="22"/>
  <c r="P36" i="22" s="1"/>
  <c r="BV93" i="24"/>
  <c r="I79" i="22"/>
  <c r="M79" i="22" s="1"/>
  <c r="O37" i="37"/>
  <c r="P37" i="37" s="1"/>
  <c r="O26" i="37"/>
  <c r="P26" i="37" s="1"/>
  <c r="O38" i="37"/>
  <c r="P38" i="37" s="1"/>
  <c r="O34" i="22"/>
  <c r="P34" i="22" s="1"/>
  <c r="CN52" i="32"/>
  <c r="CJ86" i="32" s="1"/>
  <c r="H146" i="58" s="1"/>
  <c r="CM53" i="32"/>
  <c r="CJ71" i="32" s="1"/>
  <c r="H157" i="58" s="1"/>
  <c r="DV52" i="32"/>
  <c r="DZ78" i="32" s="1"/>
  <c r="EB52" i="32"/>
  <c r="DZ84" i="32" s="1"/>
  <c r="DZ53" i="32"/>
  <c r="DZ68" i="32" s="1"/>
  <c r="O6" i="22"/>
  <c r="P6" i="22" s="1"/>
  <c r="O10" i="22"/>
  <c r="P10" i="22" s="1"/>
  <c r="O14" i="22"/>
  <c r="P14" i="22" s="1"/>
  <c r="O18" i="22"/>
  <c r="P18" i="22" s="1"/>
  <c r="O22" i="22"/>
  <c r="P22" i="22" s="1"/>
  <c r="O26" i="22"/>
  <c r="P26" i="22" s="1"/>
  <c r="O30" i="22"/>
  <c r="P30" i="22" s="1"/>
  <c r="O34" i="37"/>
  <c r="P34" i="37" s="1"/>
  <c r="O38" i="22"/>
  <c r="P38" i="22" s="1"/>
  <c r="O29" i="37"/>
  <c r="P29" i="37" s="1"/>
  <c r="O31" i="37"/>
  <c r="P31" i="37" s="1"/>
  <c r="O35" i="37"/>
  <c r="P35" i="37" s="1"/>
  <c r="O4" i="22"/>
  <c r="P4" i="22" s="1"/>
  <c r="O8" i="22"/>
  <c r="P8" i="22" s="1"/>
  <c r="O12" i="22"/>
  <c r="P12" i="22" s="1"/>
  <c r="O16" i="22"/>
  <c r="P16" i="22" s="1"/>
  <c r="O24" i="22"/>
  <c r="P24" i="22" s="1"/>
  <c r="I57" i="20"/>
  <c r="I125" i="20"/>
  <c r="BS60" i="24"/>
  <c r="I95" i="20"/>
  <c r="I143" i="20" s="1"/>
  <c r="I89" i="20"/>
  <c r="I137" i="20" s="1"/>
  <c r="I91" i="20"/>
  <c r="I139" i="20" s="1"/>
  <c r="I93" i="20"/>
  <c r="I141" i="20" s="1"/>
  <c r="I121" i="20"/>
  <c r="I116" i="20"/>
  <c r="I115" i="20"/>
  <c r="I117" i="20"/>
  <c r="I118" i="20"/>
  <c r="I82" i="20"/>
  <c r="BV79" i="24"/>
  <c r="I83" i="20"/>
  <c r="BV77" i="24"/>
  <c r="I97" i="20"/>
  <c r="I145" i="20" s="1"/>
  <c r="I59" i="20"/>
  <c r="I55" i="20"/>
  <c r="I111" i="20"/>
  <c r="I60" i="20"/>
  <c r="I114" i="20"/>
  <c r="I80" i="20"/>
  <c r="I86" i="20"/>
  <c r="I53" i="20"/>
  <c r="I75" i="20"/>
  <c r="I92" i="20"/>
  <c r="I140" i="20" s="1"/>
  <c r="I96" i="20"/>
  <c r="I144" i="20" s="1"/>
  <c r="I122" i="20"/>
  <c r="I120" i="20"/>
  <c r="I119" i="20"/>
  <c r="I78" i="20"/>
  <c r="I126" i="20" s="1"/>
  <c r="I113" i="20"/>
  <c r="BW58" i="24"/>
  <c r="BG106" i="24"/>
  <c r="BG100" i="24"/>
  <c r="BG102" i="24"/>
  <c r="BG104" i="24"/>
  <c r="BK80" i="24"/>
  <c r="BV75" i="24"/>
  <c r="BM71" i="24"/>
  <c r="BU82" i="24"/>
  <c r="BW77" i="24"/>
  <c r="BU84" i="24"/>
  <c r="BJ80" i="24"/>
  <c r="BQ54" i="24"/>
  <c r="BR76" i="24"/>
  <c r="BX57" i="24"/>
  <c r="BU61" i="24"/>
  <c r="BW72" i="24"/>
  <c r="BJ72" i="24"/>
  <c r="BJ64" i="24"/>
  <c r="BS63" i="24"/>
  <c r="BL50" i="24"/>
  <c r="BO72" i="24"/>
  <c r="BJ73" i="24"/>
  <c r="BR67" i="24"/>
  <c r="BX58" i="24"/>
  <c r="BL56" i="24"/>
  <c r="BX51" i="24"/>
  <c r="BV73" i="24"/>
  <c r="BK58" i="24"/>
  <c r="BV104" i="24"/>
  <c r="BP50" i="24"/>
  <c r="BO83" i="24"/>
  <c r="BN79" i="24"/>
  <c r="BJ71" i="24"/>
  <c r="BQ56" i="24"/>
  <c r="BQ52" i="24"/>
  <c r="BG53" i="24"/>
  <c r="BG89" i="24"/>
  <c r="BU78" i="24"/>
  <c r="BK61" i="24"/>
  <c r="BK57" i="24"/>
  <c r="BK51" i="24"/>
  <c r="BS71" i="24"/>
  <c r="BS67" i="24"/>
  <c r="BR73" i="24"/>
  <c r="BV50" i="24"/>
  <c r="BG129" i="24"/>
  <c r="BL61" i="24"/>
  <c r="BL59" i="24"/>
  <c r="BP56" i="24"/>
  <c r="BP55" i="24"/>
  <c r="BL54" i="24"/>
  <c r="BJ78" i="24"/>
  <c r="BJ63" i="24"/>
  <c r="BK55" i="24"/>
  <c r="BV78" i="24"/>
  <c r="BS50" i="24"/>
  <c r="BW67" i="24"/>
  <c r="BQ51" i="24"/>
  <c r="BR69" i="24"/>
  <c r="BO73" i="24"/>
  <c r="BP61" i="24"/>
  <c r="BO75" i="24"/>
  <c r="BO65" i="24"/>
  <c r="BU53" i="24"/>
  <c r="BR94" i="24"/>
  <c r="BS73" i="24"/>
  <c r="BR80" i="24"/>
  <c r="BS76" i="24"/>
  <c r="BQ59" i="24"/>
  <c r="BQ55" i="24"/>
  <c r="BJ50" i="24"/>
  <c r="BT61" i="24"/>
  <c r="BP59" i="24"/>
  <c r="BT56" i="24"/>
  <c r="BT55" i="24"/>
  <c r="BP54" i="24"/>
  <c r="BJ82" i="24"/>
  <c r="BW66" i="24"/>
  <c r="BM65" i="24"/>
  <c r="BM63" i="24"/>
  <c r="BG125" i="24"/>
  <c r="BT54" i="24"/>
  <c r="BU57" i="24"/>
  <c r="BN81" i="24"/>
  <c r="BM73" i="24"/>
  <c r="BN70" i="24"/>
  <c r="BG97" i="24"/>
  <c r="BG61" i="24"/>
  <c r="BM54" i="24"/>
  <c r="BT59" i="24"/>
  <c r="BX56" i="24"/>
  <c r="BX54" i="24"/>
  <c r="BP53" i="24"/>
  <c r="BL52" i="24"/>
  <c r="BJ67" i="24"/>
  <c r="BG107" i="24"/>
  <c r="BN88" i="24"/>
  <c r="BM67" i="24"/>
  <c r="BK50" i="24"/>
  <c r="BJ77" i="24"/>
  <c r="BQ53" i="24"/>
  <c r="BV88" i="24"/>
  <c r="BS68" i="24"/>
  <c r="BM50" i="24"/>
  <c r="BO69" i="24"/>
  <c r="BK54" i="24"/>
  <c r="BU76" i="24"/>
  <c r="BO68" i="24"/>
  <c r="BR50" i="24"/>
  <c r="BO67" i="24"/>
  <c r="BM52" i="24"/>
  <c r="BX60" i="24"/>
  <c r="BX59" i="24"/>
  <c r="BP57" i="24"/>
  <c r="BL55" i="24"/>
  <c r="BT53" i="24"/>
  <c r="BP52" i="24"/>
  <c r="BP51" i="24"/>
  <c r="BW63" i="24"/>
  <c r="BS65" i="24"/>
  <c r="BO50" i="24"/>
  <c r="BN78" i="24"/>
  <c r="BR65" i="24"/>
  <c r="BQ61" i="24"/>
  <c r="BN75" i="24"/>
  <c r="BP58" i="24"/>
  <c r="BX53" i="24"/>
  <c r="BQ50" i="24"/>
  <c r="BR63" i="24"/>
  <c r="BM69" i="24"/>
  <c r="BW69" i="24"/>
  <c r="BM56" i="24"/>
  <c r="BL60" i="24"/>
  <c r="BT57" i="24"/>
  <c r="BX55" i="24"/>
  <c r="BT52" i="24"/>
  <c r="BT51" i="24"/>
  <c r="BU50" i="24"/>
  <c r="BU55" i="24"/>
  <c r="BR66" i="24"/>
  <c r="BV72" i="24"/>
  <c r="BG122" i="24"/>
  <c r="BX50" i="24"/>
  <c r="BK88" i="24"/>
  <c r="BQ57" i="24"/>
  <c r="BM60" i="24"/>
  <c r="BM58" i="24"/>
  <c r="BL57" i="24"/>
  <c r="BN71" i="24"/>
  <c r="BK59" i="24"/>
  <c r="BO70" i="24"/>
  <c r="BS69" i="24"/>
  <c r="BO64" i="24"/>
  <c r="BQ58" i="24"/>
  <c r="BP60" i="24"/>
  <c r="BL58" i="24"/>
  <c r="BX52" i="24"/>
  <c r="BW73" i="24"/>
  <c r="BN73" i="24"/>
  <c r="BU51" i="24"/>
  <c r="BK60" i="24"/>
  <c r="BK53" i="24"/>
  <c r="BG127" i="24"/>
  <c r="BO78" i="24"/>
  <c r="BU80" i="24"/>
  <c r="BW50" i="24"/>
  <c r="BR71" i="24"/>
  <c r="BN68" i="24"/>
  <c r="BS78" i="24"/>
  <c r="BX61" i="24"/>
  <c r="BL53" i="24"/>
  <c r="BR72" i="24"/>
  <c r="BN65" i="24"/>
  <c r="BV95" i="24"/>
  <c r="BT50" i="24"/>
  <c r="BN72" i="24"/>
  <c r="BJ69" i="24"/>
  <c r="BQ60" i="24"/>
  <c r="BN50" i="24"/>
  <c r="BS70" i="24"/>
  <c r="BG57" i="24"/>
  <c r="BG93" i="24"/>
  <c r="BT60" i="24"/>
  <c r="BT58" i="24"/>
  <c r="BL51" i="24"/>
  <c r="BU59" i="24"/>
  <c r="BG86" i="24"/>
  <c r="BG50" i="24"/>
  <c r="BB61" i="32"/>
  <c r="BC61" i="32"/>
  <c r="BM55" i="32"/>
  <c r="DT52" i="32"/>
  <c r="DZ76" i="32" s="1"/>
  <c r="ED53" i="32"/>
  <c r="DZ72" i="32" s="1"/>
  <c r="DV53" i="32"/>
  <c r="DZ64" i="32" s="1"/>
  <c r="DX52" i="32"/>
  <c r="DZ80" i="32" s="1"/>
  <c r="DU53" i="32"/>
  <c r="DZ63" i="32" s="1"/>
  <c r="EC52" i="32"/>
  <c r="DZ85" i="32" s="1"/>
  <c r="DU26" i="32"/>
  <c r="DY63" i="32" s="1"/>
  <c r="EA52" i="32"/>
  <c r="DZ83" i="32" s="1"/>
  <c r="DT26" i="32"/>
  <c r="DY62" i="32" s="1"/>
  <c r="ED52" i="32"/>
  <c r="DZ86" i="32" s="1"/>
  <c r="DW26" i="32"/>
  <c r="DY65" i="32" s="1"/>
  <c r="DT25" i="32"/>
  <c r="DY76" i="32" s="1"/>
  <c r="EB53" i="32"/>
  <c r="DZ70" i="32" s="1"/>
  <c r="DY52" i="32"/>
  <c r="DZ81" i="32" s="1"/>
  <c r="DZ26" i="32"/>
  <c r="DY68" i="32" s="1"/>
  <c r="DS25" i="32"/>
  <c r="DY75" i="32" s="1"/>
  <c r="DW53" i="32"/>
  <c r="DZ65" i="32" s="1"/>
  <c r="ED25" i="32"/>
  <c r="DY86" i="32" s="1"/>
  <c r="DZ25" i="32"/>
  <c r="DY82" i="32" s="1"/>
  <c r="DW52" i="32"/>
  <c r="DZ79" i="32" s="1"/>
  <c r="EC25" i="32"/>
  <c r="DY85" i="32" s="1"/>
  <c r="EC53" i="32"/>
  <c r="DZ71" i="32" s="1"/>
  <c r="DZ52" i="32"/>
  <c r="DZ82" i="32" s="1"/>
  <c r="DS53" i="32"/>
  <c r="DZ61" i="32" s="1"/>
  <c r="DX53" i="32"/>
  <c r="DZ66" i="32" s="1"/>
  <c r="DU52" i="32"/>
  <c r="DZ77" i="32" s="1"/>
  <c r="DV26" i="32"/>
  <c r="DY64" i="32" s="1"/>
  <c r="EA53" i="32"/>
  <c r="DZ69" i="32" s="1"/>
  <c r="EB26" i="32"/>
  <c r="DY70" i="32" s="1"/>
  <c r="EC26" i="32"/>
  <c r="DY71" i="32" s="1"/>
  <c r="DY26" i="32"/>
  <c r="DY67" i="32" s="1"/>
  <c r="DL53" i="32"/>
  <c r="DL68" i="32" s="1"/>
  <c r="DH52" i="32"/>
  <c r="DL78" i="32" s="1"/>
  <c r="DI53" i="32"/>
  <c r="DL65" i="32" s="1"/>
  <c r="DF53" i="32"/>
  <c r="DL62" i="32" s="1"/>
  <c r="DF52" i="32"/>
  <c r="DL76" i="32" s="1"/>
  <c r="DH53" i="32"/>
  <c r="DL64" i="32" s="1"/>
  <c r="DG53" i="32"/>
  <c r="DL63" i="32" s="1"/>
  <c r="DN52" i="32"/>
  <c r="DL84" i="32" s="1"/>
  <c r="DO52" i="32"/>
  <c r="DL85" i="32" s="1"/>
  <c r="DM53" i="32"/>
  <c r="DL69" i="32" s="1"/>
  <c r="DE52" i="32"/>
  <c r="DL75" i="32" s="1"/>
  <c r="DK53" i="32"/>
  <c r="DL67" i="32" s="1"/>
  <c r="DM52" i="32"/>
  <c r="DL83" i="32" s="1"/>
  <c r="DJ52" i="32"/>
  <c r="DL80" i="32" s="1"/>
  <c r="DP52" i="32"/>
  <c r="DL86" i="32" s="1"/>
  <c r="DN53" i="32"/>
  <c r="DL70" i="32" s="1"/>
  <c r="DK52" i="32"/>
  <c r="DL81" i="32" s="1"/>
  <c r="DP53" i="32"/>
  <c r="DL72" i="32" s="1"/>
  <c r="DI52" i="32"/>
  <c r="DL79" i="32" s="1"/>
  <c r="DO53" i="32"/>
  <c r="DL71" i="32" s="1"/>
  <c r="DL52" i="32"/>
  <c r="DL82" i="32" s="1"/>
  <c r="DJ53" i="32"/>
  <c r="DL66" i="32" s="1"/>
  <c r="DG52" i="32"/>
  <c r="DL77" i="32" s="1"/>
  <c r="DE53" i="32"/>
  <c r="DL61" i="32" s="1"/>
  <c r="CG53" i="32"/>
  <c r="CJ65" i="32" s="1"/>
  <c r="H151" i="58" s="1"/>
  <c r="CE53" i="32"/>
  <c r="CJ63" i="32" s="1"/>
  <c r="H149" i="58" s="1"/>
  <c r="CF52" i="32"/>
  <c r="CJ78" i="32" s="1"/>
  <c r="H138" i="58" s="1"/>
  <c r="CI52" i="32"/>
  <c r="CJ81" i="32" s="1"/>
  <c r="H141" i="58" s="1"/>
  <c r="CL52" i="32"/>
  <c r="CJ84" i="32" s="1"/>
  <c r="H144" i="58" s="1"/>
  <c r="CD53" i="32"/>
  <c r="CJ62" i="32" s="1"/>
  <c r="H148" i="58" s="1"/>
  <c r="CF53" i="32"/>
  <c r="CJ64" i="32" s="1"/>
  <c r="H150" i="58" s="1"/>
  <c r="CH53" i="32"/>
  <c r="CJ66" i="32" s="1"/>
  <c r="H152" i="58" s="1"/>
  <c r="CN53" i="32"/>
  <c r="CJ72" i="32" s="1"/>
  <c r="H158" i="58" s="1"/>
  <c r="CE52" i="32"/>
  <c r="CJ77" i="32" s="1"/>
  <c r="H137" i="58" s="1"/>
  <c r="CH52" i="32"/>
  <c r="CJ80" i="32" s="1"/>
  <c r="H140" i="58" s="1"/>
  <c r="CG52" i="32"/>
  <c r="CJ79" i="32" s="1"/>
  <c r="H139" i="58" s="1"/>
  <c r="CC52" i="32"/>
  <c r="CJ75" i="32" s="1"/>
  <c r="H135" i="58" s="1"/>
  <c r="X8" i="32"/>
  <c r="AN61" i="32"/>
  <c r="AO61" i="32"/>
  <c r="CK53" i="32"/>
  <c r="CJ69" i="32" s="1"/>
  <c r="H155" i="58" s="1"/>
  <c r="CC53" i="32"/>
  <c r="CJ61" i="32" s="1"/>
  <c r="H147" i="58" s="1"/>
  <c r="CM52" i="32"/>
  <c r="CJ85" i="32" s="1"/>
  <c r="H145" i="58" s="1"/>
  <c r="CI53" i="32"/>
  <c r="CJ67" i="32" s="1"/>
  <c r="H153" i="58" s="1"/>
  <c r="CD52" i="32"/>
  <c r="CJ76" i="32" s="1"/>
  <c r="H136" i="58" s="1"/>
  <c r="CK52" i="32"/>
  <c r="CJ83" i="32" s="1"/>
  <c r="H143" i="58" s="1"/>
  <c r="J136" i="57" l="1"/>
  <c r="J124" i="57" s="1"/>
  <c r="J112" i="57" s="1"/>
  <c r="J100" i="57" s="1"/>
  <c r="J88" i="57" s="1"/>
  <c r="J76" i="57" s="1"/>
  <c r="J64" i="57" s="1"/>
  <c r="J52" i="57" s="1"/>
  <c r="J40" i="57" s="1"/>
  <c r="J28" i="57" s="1"/>
  <c r="J16" i="57" s="1"/>
  <c r="J4" i="57" s="1"/>
  <c r="W44" i="17"/>
  <c r="J37" i="9"/>
  <c r="G158" i="45"/>
  <c r="I158" i="45" s="1"/>
  <c r="G148" i="45"/>
  <c r="I148" i="45" s="1"/>
  <c r="I135" i="45"/>
  <c r="I123" i="45" s="1"/>
  <c r="O123" i="45" s="1"/>
  <c r="G151" i="45"/>
  <c r="I151" i="45" s="1"/>
  <c r="I143" i="45"/>
  <c r="I131" i="45" s="1"/>
  <c r="I119" i="45" s="1"/>
  <c r="O119" i="45" s="1"/>
  <c r="P135" i="57"/>
  <c r="I138" i="45"/>
  <c r="I126" i="45" s="1"/>
  <c r="I114" i="45" s="1"/>
  <c r="O114" i="45" s="1"/>
  <c r="H154" i="45"/>
  <c r="J154" i="45" s="1"/>
  <c r="I140" i="45"/>
  <c r="I128" i="45" s="1"/>
  <c r="I116" i="45" s="1"/>
  <c r="O116" i="45" s="1"/>
  <c r="G154" i="45"/>
  <c r="I154" i="45" s="1"/>
  <c r="O10" i="46"/>
  <c r="Q10" i="46" s="1"/>
  <c r="H155" i="45"/>
  <c r="J155" i="45" s="1"/>
  <c r="H150" i="45"/>
  <c r="J150" i="45" s="1"/>
  <c r="J144" i="57"/>
  <c r="J132" i="57" s="1"/>
  <c r="J120" i="57" s="1"/>
  <c r="J108" i="57" s="1"/>
  <c r="J96" i="57" s="1"/>
  <c r="J84" i="57" s="1"/>
  <c r="J72" i="57" s="1"/>
  <c r="J60" i="57" s="1"/>
  <c r="J48" i="57" s="1"/>
  <c r="J36" i="57" s="1"/>
  <c r="J24" i="57" s="1"/>
  <c r="J12" i="57" s="1"/>
  <c r="O12" i="46"/>
  <c r="P12" i="46" s="1"/>
  <c r="H151" i="45"/>
  <c r="J151" i="45" s="1"/>
  <c r="O127" i="45"/>
  <c r="O132" i="45"/>
  <c r="H152" i="45"/>
  <c r="J152" i="45" s="1"/>
  <c r="O6" i="46"/>
  <c r="P6" i="46" s="1"/>
  <c r="G149" i="45"/>
  <c r="O124" i="45"/>
  <c r="O125" i="45"/>
  <c r="O130" i="45"/>
  <c r="G157" i="45"/>
  <c r="I157" i="45" s="1"/>
  <c r="H147" i="45"/>
  <c r="J147" i="45" s="1"/>
  <c r="I141" i="45"/>
  <c r="I129" i="45" s="1"/>
  <c r="O129" i="45" s="1"/>
  <c r="I24" i="46"/>
  <c r="O24" i="46" s="1"/>
  <c r="P137" i="57"/>
  <c r="H148" i="45"/>
  <c r="J148" i="45" s="1"/>
  <c r="H149" i="45"/>
  <c r="J149" i="45" s="1"/>
  <c r="I22" i="46"/>
  <c r="O22" i="46" s="1"/>
  <c r="O9" i="46"/>
  <c r="P9" i="46" s="1"/>
  <c r="O7" i="46"/>
  <c r="P7" i="46" s="1"/>
  <c r="O3" i="46"/>
  <c r="Q3" i="46" s="1"/>
  <c r="H158" i="57"/>
  <c r="O134" i="45"/>
  <c r="H157" i="57"/>
  <c r="O4" i="46"/>
  <c r="P4" i="46" s="1"/>
  <c r="I16" i="46"/>
  <c r="O16" i="46" s="1"/>
  <c r="O11" i="46"/>
  <c r="P11" i="46" s="1"/>
  <c r="O5" i="46"/>
  <c r="Q5" i="46" s="1"/>
  <c r="O133" i="45"/>
  <c r="H156" i="45"/>
  <c r="J156" i="45" s="1"/>
  <c r="H153" i="45"/>
  <c r="J153" i="45" s="1"/>
  <c r="G156" i="45"/>
  <c r="I156" i="45" s="1"/>
  <c r="O8" i="46"/>
  <c r="Q8" i="46" s="1"/>
  <c r="I21" i="46"/>
  <c r="O21" i="46" s="1"/>
  <c r="O18" i="46"/>
  <c r="I20" i="46"/>
  <c r="O20" i="46" s="1"/>
  <c r="O17" i="46"/>
  <c r="J145" i="57"/>
  <c r="J133" i="57" s="1"/>
  <c r="J121" i="57" s="1"/>
  <c r="J109" i="57" s="1"/>
  <c r="J97" i="57" s="1"/>
  <c r="J85" i="57" s="1"/>
  <c r="J73" i="57" s="1"/>
  <c r="J61" i="57" s="1"/>
  <c r="J49" i="57" s="1"/>
  <c r="J37" i="57" s="1"/>
  <c r="J25" i="57" s="1"/>
  <c r="J13" i="57" s="1"/>
  <c r="P145" i="57"/>
  <c r="O23" i="46"/>
  <c r="O14" i="59"/>
  <c r="I26" i="59"/>
  <c r="I21" i="59"/>
  <c r="O9" i="59"/>
  <c r="P148" i="57"/>
  <c r="J148" i="57"/>
  <c r="I25" i="59"/>
  <c r="O13" i="59"/>
  <c r="P140" i="57"/>
  <c r="J140" i="57"/>
  <c r="J128" i="57" s="1"/>
  <c r="J116" i="57" s="1"/>
  <c r="J104" i="57" s="1"/>
  <c r="J92" i="57" s="1"/>
  <c r="J80" i="57" s="1"/>
  <c r="J68" i="57" s="1"/>
  <c r="J56" i="57" s="1"/>
  <c r="J44" i="57" s="1"/>
  <c r="J32" i="57" s="1"/>
  <c r="J20" i="57" s="1"/>
  <c r="J8" i="57" s="1"/>
  <c r="J147" i="58"/>
  <c r="J135" i="58"/>
  <c r="J123" i="58" s="1"/>
  <c r="J111" i="58" s="1"/>
  <c r="J99" i="58" s="1"/>
  <c r="J87" i="58" s="1"/>
  <c r="J75" i="58" s="1"/>
  <c r="J63" i="58" s="1"/>
  <c r="J51" i="58" s="1"/>
  <c r="J39" i="58" s="1"/>
  <c r="J27" i="58" s="1"/>
  <c r="J15" i="58" s="1"/>
  <c r="J3" i="58" s="1"/>
  <c r="P143" i="57"/>
  <c r="J143" i="57"/>
  <c r="J131" i="57" s="1"/>
  <c r="J119" i="57" s="1"/>
  <c r="J107" i="57" s="1"/>
  <c r="J95" i="57" s="1"/>
  <c r="J83" i="57" s="1"/>
  <c r="J71" i="57" s="1"/>
  <c r="J59" i="57" s="1"/>
  <c r="J47" i="57" s="1"/>
  <c r="J35" i="57" s="1"/>
  <c r="J23" i="57" s="1"/>
  <c r="J11" i="57" s="1"/>
  <c r="J136" i="58"/>
  <c r="J124" i="58" s="1"/>
  <c r="J112" i="58" s="1"/>
  <c r="J100" i="58" s="1"/>
  <c r="J88" i="58" s="1"/>
  <c r="J76" i="58" s="1"/>
  <c r="J64" i="58" s="1"/>
  <c r="J52" i="58" s="1"/>
  <c r="J40" i="58" s="1"/>
  <c r="J28" i="58" s="1"/>
  <c r="J16" i="58" s="1"/>
  <c r="J4" i="58" s="1"/>
  <c r="J148" i="58"/>
  <c r="P147" i="57"/>
  <c r="J147" i="57"/>
  <c r="J137" i="58"/>
  <c r="J125" i="58" s="1"/>
  <c r="J113" i="58" s="1"/>
  <c r="J101" i="58" s="1"/>
  <c r="J89" i="58" s="1"/>
  <c r="J77" i="58" s="1"/>
  <c r="J65" i="58" s="1"/>
  <c r="J53" i="58" s="1"/>
  <c r="J41" i="58" s="1"/>
  <c r="J29" i="58" s="1"/>
  <c r="J17" i="58" s="1"/>
  <c r="J5" i="58" s="1"/>
  <c r="J149" i="58"/>
  <c r="P138" i="57"/>
  <c r="J138" i="57"/>
  <c r="J126" i="57" s="1"/>
  <c r="J114" i="57" s="1"/>
  <c r="J102" i="57" s="1"/>
  <c r="J90" i="57" s="1"/>
  <c r="J78" i="57" s="1"/>
  <c r="J66" i="57" s="1"/>
  <c r="J54" i="57" s="1"/>
  <c r="J42" i="57" s="1"/>
  <c r="J30" i="57" s="1"/>
  <c r="J18" i="57" s="1"/>
  <c r="J6" i="57" s="1"/>
  <c r="J155" i="58"/>
  <c r="J143" i="58"/>
  <c r="J131" i="58" s="1"/>
  <c r="J119" i="58" s="1"/>
  <c r="J107" i="58" s="1"/>
  <c r="J95" i="58" s="1"/>
  <c r="J83" i="58" s="1"/>
  <c r="J71" i="58" s="1"/>
  <c r="J59" i="58" s="1"/>
  <c r="J47" i="58" s="1"/>
  <c r="J35" i="58" s="1"/>
  <c r="J23" i="58" s="1"/>
  <c r="J11" i="58" s="1"/>
  <c r="P146" i="57"/>
  <c r="J146" i="57"/>
  <c r="J134" i="57" s="1"/>
  <c r="J122" i="57" s="1"/>
  <c r="J110" i="57" s="1"/>
  <c r="J98" i="57" s="1"/>
  <c r="J86" i="57" s="1"/>
  <c r="J74" i="57" s="1"/>
  <c r="J62" i="57" s="1"/>
  <c r="J50" i="57" s="1"/>
  <c r="J38" i="57" s="1"/>
  <c r="J26" i="57" s="1"/>
  <c r="J14" i="57" s="1"/>
  <c r="I20" i="59"/>
  <c r="O8" i="59"/>
  <c r="I24" i="59"/>
  <c r="O12" i="59"/>
  <c r="P149" i="57"/>
  <c r="J149" i="57"/>
  <c r="P142" i="57"/>
  <c r="J142" i="57"/>
  <c r="J130" i="57" s="1"/>
  <c r="J118" i="57" s="1"/>
  <c r="J106" i="57" s="1"/>
  <c r="J94" i="57" s="1"/>
  <c r="J82" i="57" s="1"/>
  <c r="J70" i="57" s="1"/>
  <c r="J58" i="57" s="1"/>
  <c r="J46" i="57" s="1"/>
  <c r="J34" i="57" s="1"/>
  <c r="J22" i="57" s="1"/>
  <c r="J10" i="57" s="1"/>
  <c r="I16" i="59"/>
  <c r="O4" i="59"/>
  <c r="J140" i="58"/>
  <c r="J128" i="58" s="1"/>
  <c r="J116" i="58" s="1"/>
  <c r="J104" i="58" s="1"/>
  <c r="J92" i="58" s="1"/>
  <c r="J80" i="58" s="1"/>
  <c r="J68" i="58" s="1"/>
  <c r="J56" i="58" s="1"/>
  <c r="J44" i="58" s="1"/>
  <c r="J32" i="58" s="1"/>
  <c r="J20" i="58" s="1"/>
  <c r="J8" i="58" s="1"/>
  <c r="J152" i="58"/>
  <c r="I17" i="59"/>
  <c r="O5" i="59"/>
  <c r="J158" i="58"/>
  <c r="J146" i="58"/>
  <c r="J134" i="58" s="1"/>
  <c r="J122" i="58" s="1"/>
  <c r="J110" i="58" s="1"/>
  <c r="J98" i="58" s="1"/>
  <c r="J86" i="58" s="1"/>
  <c r="J74" i="58" s="1"/>
  <c r="J62" i="58" s="1"/>
  <c r="J50" i="58" s="1"/>
  <c r="J38" i="58" s="1"/>
  <c r="J26" i="58" s="1"/>
  <c r="J14" i="58" s="1"/>
  <c r="I19" i="59"/>
  <c r="O7" i="59"/>
  <c r="J154" i="58"/>
  <c r="J142" i="58"/>
  <c r="J130" i="58" s="1"/>
  <c r="J118" i="58" s="1"/>
  <c r="J106" i="58" s="1"/>
  <c r="J94" i="58" s="1"/>
  <c r="J82" i="58" s="1"/>
  <c r="J70" i="58" s="1"/>
  <c r="J58" i="58" s="1"/>
  <c r="J46" i="58" s="1"/>
  <c r="J34" i="58" s="1"/>
  <c r="J22" i="58" s="1"/>
  <c r="J10" i="58" s="1"/>
  <c r="J145" i="58"/>
  <c r="J133" i="58" s="1"/>
  <c r="J121" i="58" s="1"/>
  <c r="J109" i="58" s="1"/>
  <c r="J97" i="58" s="1"/>
  <c r="J85" i="58" s="1"/>
  <c r="J73" i="58" s="1"/>
  <c r="J61" i="58" s="1"/>
  <c r="J49" i="58" s="1"/>
  <c r="J37" i="58" s="1"/>
  <c r="J25" i="58" s="1"/>
  <c r="J13" i="58" s="1"/>
  <c r="J157" i="58"/>
  <c r="I23" i="59"/>
  <c r="O11" i="59"/>
  <c r="J144" i="58"/>
  <c r="J132" i="58" s="1"/>
  <c r="J120" i="58" s="1"/>
  <c r="J108" i="58" s="1"/>
  <c r="J96" i="58" s="1"/>
  <c r="J84" i="58" s="1"/>
  <c r="J72" i="58" s="1"/>
  <c r="J60" i="58" s="1"/>
  <c r="J48" i="58" s="1"/>
  <c r="J36" i="58" s="1"/>
  <c r="J24" i="58" s="1"/>
  <c r="J12" i="58" s="1"/>
  <c r="J156" i="58"/>
  <c r="J141" i="58"/>
  <c r="J129" i="58" s="1"/>
  <c r="J117" i="58" s="1"/>
  <c r="J105" i="58" s="1"/>
  <c r="J93" i="58" s="1"/>
  <c r="J81" i="58" s="1"/>
  <c r="J69" i="58" s="1"/>
  <c r="J57" i="58" s="1"/>
  <c r="J45" i="58" s="1"/>
  <c r="J33" i="58" s="1"/>
  <c r="J21" i="58" s="1"/>
  <c r="J9" i="58" s="1"/>
  <c r="J153" i="58"/>
  <c r="O6" i="59"/>
  <c r="I18" i="59"/>
  <c r="P139" i="57"/>
  <c r="J139" i="57"/>
  <c r="J127" i="57" s="1"/>
  <c r="J115" i="57" s="1"/>
  <c r="J103" i="57" s="1"/>
  <c r="J91" i="57" s="1"/>
  <c r="J79" i="57" s="1"/>
  <c r="J67" i="57" s="1"/>
  <c r="J55" i="57" s="1"/>
  <c r="J43" i="57" s="1"/>
  <c r="J31" i="57" s="1"/>
  <c r="J19" i="57" s="1"/>
  <c r="J7" i="57" s="1"/>
  <c r="J150" i="58"/>
  <c r="J138" i="58"/>
  <c r="J126" i="58" s="1"/>
  <c r="J114" i="58" s="1"/>
  <c r="J102" i="58" s="1"/>
  <c r="J90" i="58" s="1"/>
  <c r="J78" i="58" s="1"/>
  <c r="J66" i="58" s="1"/>
  <c r="J54" i="58" s="1"/>
  <c r="J42" i="58" s="1"/>
  <c r="J30" i="58" s="1"/>
  <c r="J18" i="58" s="1"/>
  <c r="J6" i="58" s="1"/>
  <c r="P156" i="57"/>
  <c r="J156" i="57"/>
  <c r="I15" i="59"/>
  <c r="O3" i="59"/>
  <c r="J151" i="58"/>
  <c r="J139" i="58"/>
  <c r="J127" i="58" s="1"/>
  <c r="J115" i="58" s="1"/>
  <c r="J103" i="58" s="1"/>
  <c r="J91" i="58" s="1"/>
  <c r="J79" i="58" s="1"/>
  <c r="J67" i="58" s="1"/>
  <c r="J55" i="58" s="1"/>
  <c r="J43" i="58" s="1"/>
  <c r="J31" i="58" s="1"/>
  <c r="J19" i="58" s="1"/>
  <c r="J7" i="58" s="1"/>
  <c r="I22" i="59"/>
  <c r="O10" i="59"/>
  <c r="J141" i="57"/>
  <c r="J129" i="57" s="1"/>
  <c r="J117" i="57" s="1"/>
  <c r="J105" i="57" s="1"/>
  <c r="J93" i="57" s="1"/>
  <c r="J81" i="57" s="1"/>
  <c r="J69" i="57" s="1"/>
  <c r="J57" i="57" s="1"/>
  <c r="J45" i="57" s="1"/>
  <c r="J33" i="57" s="1"/>
  <c r="J21" i="57" s="1"/>
  <c r="J9" i="57" s="1"/>
  <c r="P141" i="57"/>
  <c r="O19" i="46"/>
  <c r="O15" i="46"/>
  <c r="J25" i="46"/>
  <c r="J37" i="46" s="1"/>
  <c r="J49" i="46" s="1"/>
  <c r="J61" i="46" s="1"/>
  <c r="J73" i="46" s="1"/>
  <c r="J85" i="46" s="1"/>
  <c r="J97" i="46" s="1"/>
  <c r="J109" i="46" s="1"/>
  <c r="J121" i="46" s="1"/>
  <c r="J133" i="46" s="1"/>
  <c r="J145" i="46" s="1"/>
  <c r="J157" i="46" s="1"/>
  <c r="H145" i="20"/>
  <c r="N145" i="20" s="1"/>
  <c r="J26" i="46"/>
  <c r="J38" i="46" s="1"/>
  <c r="J50" i="46" s="1"/>
  <c r="J62" i="46" s="1"/>
  <c r="J74" i="46" s="1"/>
  <c r="J86" i="46" s="1"/>
  <c r="J98" i="46" s="1"/>
  <c r="J110" i="46" s="1"/>
  <c r="J122" i="46" s="1"/>
  <c r="J134" i="46" s="1"/>
  <c r="J146" i="46" s="1"/>
  <c r="J158" i="46" s="1"/>
  <c r="H146" i="20"/>
  <c r="N146" i="20" s="1"/>
  <c r="O13" i="46"/>
  <c r="O14" i="46"/>
  <c r="O135" i="46"/>
  <c r="I27" i="46"/>
  <c r="O27" i="46" s="1"/>
  <c r="I30" i="46"/>
  <c r="O30" i="46" s="1"/>
  <c r="I38" i="46"/>
  <c r="I35" i="46"/>
  <c r="O35" i="46" s="1"/>
  <c r="I31" i="46"/>
  <c r="O31" i="46" s="1"/>
  <c r="I37" i="46"/>
  <c r="I29" i="46"/>
  <c r="O29" i="46" s="1"/>
  <c r="O135" i="20"/>
  <c r="O143" i="44"/>
  <c r="O139" i="44"/>
  <c r="Q139" i="44" s="1"/>
  <c r="O138" i="44"/>
  <c r="Q138" i="44" s="1"/>
  <c r="O137" i="44"/>
  <c r="Q137" i="44" s="1"/>
  <c r="O144" i="44"/>
  <c r="O141" i="44"/>
  <c r="Q141" i="44" s="1"/>
  <c r="O136" i="44"/>
  <c r="Q136" i="44" s="1"/>
  <c r="O145" i="44"/>
  <c r="O140" i="44"/>
  <c r="Q140" i="44" s="1"/>
  <c r="O142" i="44"/>
  <c r="Q142" i="44" s="1"/>
  <c r="O146" i="44"/>
  <c r="Q135" i="44"/>
  <c r="I155" i="45"/>
  <c r="I152" i="45"/>
  <c r="I153" i="45"/>
  <c r="I150" i="45"/>
  <c r="I147" i="45"/>
  <c r="I122" i="45"/>
  <c r="O122" i="45" s="1"/>
  <c r="I113" i="45"/>
  <c r="O113" i="45" s="1"/>
  <c r="I115" i="45"/>
  <c r="O115" i="45" s="1"/>
  <c r="I118" i="45"/>
  <c r="O118" i="45" s="1"/>
  <c r="I120" i="45"/>
  <c r="O120" i="45" s="1"/>
  <c r="I112" i="45"/>
  <c r="O112" i="45" s="1"/>
  <c r="I121" i="45"/>
  <c r="O121" i="45" s="1"/>
  <c r="H158" i="45"/>
  <c r="J158" i="45" s="1"/>
  <c r="H157" i="45"/>
  <c r="J157" i="45" s="1"/>
  <c r="M140" i="20"/>
  <c r="O140" i="20" s="1"/>
  <c r="M146" i="20"/>
  <c r="M138" i="20"/>
  <c r="O138" i="20" s="1"/>
  <c r="M145" i="20"/>
  <c r="M136" i="20"/>
  <c r="O136" i="20" s="1"/>
  <c r="M139" i="20"/>
  <c r="O139" i="20" s="1"/>
  <c r="M143" i="20"/>
  <c r="O143" i="20" s="1"/>
  <c r="M144" i="20"/>
  <c r="O144" i="20" s="1"/>
  <c r="M137" i="20"/>
  <c r="O137" i="20" s="1"/>
  <c r="M141" i="20"/>
  <c r="O141" i="20" s="1"/>
  <c r="M142" i="20"/>
  <c r="O142" i="20" s="1"/>
  <c r="R14" i="20"/>
  <c r="U27" i="17"/>
  <c r="T26" i="17"/>
  <c r="U61" i="17"/>
  <c r="U72" i="17"/>
  <c r="J38" i="9"/>
  <c r="X27" i="17"/>
  <c r="W27" i="17" s="1"/>
  <c r="X61" i="17"/>
  <c r="X73" i="17"/>
  <c r="X74" i="17" s="1"/>
  <c r="X75" i="17" s="1"/>
  <c r="X76" i="17" s="1"/>
  <c r="X77" i="17" s="1"/>
  <c r="X78" i="17" s="1"/>
  <c r="X79" i="17" s="1"/>
  <c r="X80" i="17" s="1"/>
  <c r="X81" i="17" s="1"/>
  <c r="X82" i="17" s="1"/>
  <c r="X83" i="17" s="1"/>
  <c r="L53" i="44"/>
  <c r="L57" i="44"/>
  <c r="K54" i="46"/>
  <c r="K54" i="44"/>
  <c r="K78" i="45"/>
  <c r="I78" i="37"/>
  <c r="M78" i="37" s="1"/>
  <c r="K103" i="46"/>
  <c r="K103" i="44"/>
  <c r="K151" i="44" s="1"/>
  <c r="K139" i="46"/>
  <c r="K94" i="46"/>
  <c r="K94" i="44"/>
  <c r="K142" i="44" s="1"/>
  <c r="L62" i="44"/>
  <c r="K51" i="45"/>
  <c r="I51" i="37"/>
  <c r="M51" i="37" s="1"/>
  <c r="K74" i="45"/>
  <c r="I74" i="37"/>
  <c r="M74" i="37" s="1"/>
  <c r="L51" i="44"/>
  <c r="K123" i="46"/>
  <c r="K123" i="44"/>
  <c r="L56" i="44"/>
  <c r="K70" i="45"/>
  <c r="I70" i="37"/>
  <c r="M70" i="37" s="1"/>
  <c r="L61" i="44"/>
  <c r="BG103" i="24"/>
  <c r="K62" i="46"/>
  <c r="K62" i="44"/>
  <c r="K68" i="45"/>
  <c r="I68" i="37"/>
  <c r="M68" i="37" s="1"/>
  <c r="L52" i="44"/>
  <c r="L59" i="44"/>
  <c r="K60" i="46"/>
  <c r="K60" i="44"/>
  <c r="N133" i="22"/>
  <c r="O133" i="22"/>
  <c r="P133" i="22" s="1"/>
  <c r="K60" i="45"/>
  <c r="I60" i="37"/>
  <c r="M60" i="37" s="1"/>
  <c r="BW71" i="24"/>
  <c r="K131" i="46"/>
  <c r="I131" i="22"/>
  <c r="M131" i="22" s="1"/>
  <c r="I131" i="20"/>
  <c r="K131" i="44"/>
  <c r="K143" i="46"/>
  <c r="K107" i="46"/>
  <c r="K107" i="44"/>
  <c r="K155" i="44" s="1"/>
  <c r="K56" i="46"/>
  <c r="K56" i="44"/>
  <c r="K51" i="46"/>
  <c r="K51" i="44"/>
  <c r="K58" i="46"/>
  <c r="K58" i="44"/>
  <c r="L54" i="44"/>
  <c r="L55" i="44"/>
  <c r="K126" i="46"/>
  <c r="K130" i="46"/>
  <c r="I130" i="20"/>
  <c r="I130" i="22"/>
  <c r="M130" i="22" s="1"/>
  <c r="K130" i="44"/>
  <c r="K90" i="46"/>
  <c r="K90" i="44"/>
  <c r="K138" i="44" s="1"/>
  <c r="K73" i="45"/>
  <c r="I73" i="37"/>
  <c r="M73" i="37" s="1"/>
  <c r="L58" i="44"/>
  <c r="K105" i="46"/>
  <c r="K105" i="44"/>
  <c r="K153" i="44" s="1"/>
  <c r="K101" i="46"/>
  <c r="K101" i="44"/>
  <c r="K149" i="44" s="1"/>
  <c r="K59" i="45"/>
  <c r="I59" i="37"/>
  <c r="M59" i="37" s="1"/>
  <c r="I109" i="20"/>
  <c r="I157" i="20" s="1"/>
  <c r="K109" i="46"/>
  <c r="K109" i="44"/>
  <c r="K157" i="44" s="1"/>
  <c r="K145" i="46"/>
  <c r="K144" i="46"/>
  <c r="K108" i="46"/>
  <c r="K108" i="44"/>
  <c r="K156" i="44" s="1"/>
  <c r="K67" i="45"/>
  <c r="I67" i="37"/>
  <c r="M67" i="37" s="1"/>
  <c r="K57" i="45"/>
  <c r="I57" i="37"/>
  <c r="M57" i="37" s="1"/>
  <c r="N57" i="37" s="1"/>
  <c r="BW68" i="24"/>
  <c r="K137" i="46"/>
  <c r="K87" i="46"/>
  <c r="K87" i="44"/>
  <c r="K135" i="44" s="1"/>
  <c r="K128" i="46"/>
  <c r="K128" i="44"/>
  <c r="I128" i="20"/>
  <c r="I128" i="22"/>
  <c r="M128" i="22" s="1"/>
  <c r="K64" i="45"/>
  <c r="I64" i="37"/>
  <c r="M64" i="37" s="1"/>
  <c r="L60" i="44"/>
  <c r="K98" i="46"/>
  <c r="K98" i="44"/>
  <c r="K146" i="44" s="1"/>
  <c r="I56" i="22"/>
  <c r="M56" i="22" s="1"/>
  <c r="N56" i="22" s="1"/>
  <c r="K66" i="45"/>
  <c r="I66" i="37"/>
  <c r="M66" i="37" s="1"/>
  <c r="K53" i="45"/>
  <c r="I53" i="37"/>
  <c r="M53" i="37" s="1"/>
  <c r="BW64" i="24"/>
  <c r="K92" i="46"/>
  <c r="K92" i="44"/>
  <c r="K140" i="44" s="1"/>
  <c r="K141" i="46"/>
  <c r="K132" i="46"/>
  <c r="I132" i="22"/>
  <c r="M132" i="22" s="1"/>
  <c r="K132" i="44"/>
  <c r="K127" i="46"/>
  <c r="K134" i="46"/>
  <c r="I134" i="20"/>
  <c r="I134" i="22"/>
  <c r="M134" i="22" s="1"/>
  <c r="O129" i="22"/>
  <c r="P129" i="22" s="1"/>
  <c r="N129" i="22"/>
  <c r="N169" i="37"/>
  <c r="BM28" i="32"/>
  <c r="G154" i="44"/>
  <c r="G152" i="44"/>
  <c r="I140" i="44"/>
  <c r="I128" i="44" s="1"/>
  <c r="G158" i="44"/>
  <c r="I146" i="44"/>
  <c r="I134" i="44" s="1"/>
  <c r="G149" i="44"/>
  <c r="I135" i="44"/>
  <c r="I123" i="44" s="1"/>
  <c r="I137" i="44"/>
  <c r="I125" i="44" s="1"/>
  <c r="G147" i="44"/>
  <c r="G157" i="44"/>
  <c r="I145" i="44"/>
  <c r="I133" i="44" s="1"/>
  <c r="G156" i="44"/>
  <c r="I141" i="44"/>
  <c r="I129" i="44" s="1"/>
  <c r="G153" i="44"/>
  <c r="G155" i="44"/>
  <c r="I139" i="44"/>
  <c r="I127" i="44" s="1"/>
  <c r="G151" i="44"/>
  <c r="I136" i="44"/>
  <c r="I124" i="44" s="1"/>
  <c r="G148" i="44"/>
  <c r="I143" i="44"/>
  <c r="I131" i="44" s="1"/>
  <c r="I142" i="44"/>
  <c r="I130" i="44" s="1"/>
  <c r="I144" i="44"/>
  <c r="I132" i="44" s="1"/>
  <c r="H145" i="44"/>
  <c r="P145" i="44" s="1"/>
  <c r="J144" i="44"/>
  <c r="P144" i="44"/>
  <c r="J143" i="44"/>
  <c r="P143" i="44"/>
  <c r="N61" i="22"/>
  <c r="N57" i="22"/>
  <c r="N55" i="22"/>
  <c r="N119" i="22"/>
  <c r="N60" i="22"/>
  <c r="N53" i="22"/>
  <c r="Q172" i="22"/>
  <c r="N80" i="22"/>
  <c r="N114" i="22"/>
  <c r="N46" i="22"/>
  <c r="N125" i="22"/>
  <c r="N118" i="22"/>
  <c r="N59" i="22"/>
  <c r="N44" i="22"/>
  <c r="N117" i="22"/>
  <c r="N42" i="22"/>
  <c r="N122" i="22"/>
  <c r="N120" i="22"/>
  <c r="N79" i="22"/>
  <c r="N115" i="22"/>
  <c r="N116" i="22"/>
  <c r="N121" i="22"/>
  <c r="N127" i="22"/>
  <c r="N82" i="22"/>
  <c r="N113" i="22"/>
  <c r="N78" i="22"/>
  <c r="N47" i="22"/>
  <c r="Q169" i="22"/>
  <c r="H149" i="20"/>
  <c r="N149" i="20" s="1"/>
  <c r="H152" i="20"/>
  <c r="N152" i="20" s="1"/>
  <c r="H147" i="20"/>
  <c r="N147" i="20" s="1"/>
  <c r="G150" i="20"/>
  <c r="G148" i="20"/>
  <c r="H150" i="20"/>
  <c r="N150" i="20" s="1"/>
  <c r="H154" i="20"/>
  <c r="N154" i="20" s="1"/>
  <c r="H148" i="20"/>
  <c r="N148" i="20" s="1"/>
  <c r="G149" i="20"/>
  <c r="G153" i="20"/>
  <c r="G154" i="20"/>
  <c r="H151" i="20"/>
  <c r="N151" i="20" s="1"/>
  <c r="G151" i="20"/>
  <c r="H153" i="20"/>
  <c r="N153" i="20" s="1"/>
  <c r="G147" i="20"/>
  <c r="H158" i="37"/>
  <c r="H146" i="44"/>
  <c r="H157" i="22"/>
  <c r="G153" i="22"/>
  <c r="G157" i="22"/>
  <c r="G148" i="22"/>
  <c r="G158" i="22"/>
  <c r="G151" i="22"/>
  <c r="G150" i="22"/>
  <c r="G149" i="22"/>
  <c r="G152" i="22"/>
  <c r="G154" i="22"/>
  <c r="I141" i="22"/>
  <c r="N93" i="22"/>
  <c r="I139" i="22"/>
  <c r="N91" i="22"/>
  <c r="I140" i="22"/>
  <c r="N92" i="22"/>
  <c r="N75" i="22"/>
  <c r="I145" i="22"/>
  <c r="N97" i="22"/>
  <c r="N83" i="22"/>
  <c r="N50" i="22"/>
  <c r="N86" i="22"/>
  <c r="N39" i="22"/>
  <c r="N111" i="22"/>
  <c r="O176" i="22"/>
  <c r="I144" i="22"/>
  <c r="N96" i="22"/>
  <c r="I137" i="22"/>
  <c r="N89" i="22"/>
  <c r="I143" i="22"/>
  <c r="N95" i="22"/>
  <c r="N48" i="22"/>
  <c r="G155" i="22"/>
  <c r="G157" i="37"/>
  <c r="G156" i="22"/>
  <c r="G152" i="20"/>
  <c r="I138" i="44"/>
  <c r="G156" i="37"/>
  <c r="H153" i="44"/>
  <c r="J141" i="44"/>
  <c r="H152" i="44"/>
  <c r="J140" i="44"/>
  <c r="H154" i="44"/>
  <c r="J142" i="44"/>
  <c r="H150" i="44"/>
  <c r="J138" i="44"/>
  <c r="J126" i="44" s="1"/>
  <c r="J114" i="44" s="1"/>
  <c r="J102" i="44" s="1"/>
  <c r="J90" i="44" s="1"/>
  <c r="J78" i="44" s="1"/>
  <c r="J66" i="44" s="1"/>
  <c r="J54" i="44" s="1"/>
  <c r="J42" i="44" s="1"/>
  <c r="J30" i="44" s="1"/>
  <c r="J18" i="44" s="1"/>
  <c r="J6" i="44" s="1"/>
  <c r="H147" i="44"/>
  <c r="J135" i="44"/>
  <c r="J123" i="44" s="1"/>
  <c r="J111" i="44" s="1"/>
  <c r="J99" i="44" s="1"/>
  <c r="J87" i="44" s="1"/>
  <c r="J75" i="44" s="1"/>
  <c r="J63" i="44" s="1"/>
  <c r="J51" i="44" s="1"/>
  <c r="J39" i="44" s="1"/>
  <c r="J27" i="44" s="1"/>
  <c r="J15" i="44" s="1"/>
  <c r="J3" i="44" s="1"/>
  <c r="H149" i="44"/>
  <c r="J137" i="44"/>
  <c r="J125" i="44" s="1"/>
  <c r="J113" i="44" s="1"/>
  <c r="J101" i="44" s="1"/>
  <c r="J89" i="44" s="1"/>
  <c r="J77" i="44" s="1"/>
  <c r="J65" i="44" s="1"/>
  <c r="J53" i="44" s="1"/>
  <c r="J41" i="44" s="1"/>
  <c r="J29" i="44" s="1"/>
  <c r="J17" i="44" s="1"/>
  <c r="J5" i="44" s="1"/>
  <c r="H148" i="44"/>
  <c r="J136" i="44"/>
  <c r="J124" i="44" s="1"/>
  <c r="J112" i="44" s="1"/>
  <c r="J100" i="44" s="1"/>
  <c r="J88" i="44" s="1"/>
  <c r="J76" i="44" s="1"/>
  <c r="J64" i="44" s="1"/>
  <c r="J52" i="44" s="1"/>
  <c r="J40" i="44" s="1"/>
  <c r="J28" i="44" s="1"/>
  <c r="J16" i="44" s="1"/>
  <c r="J4" i="44" s="1"/>
  <c r="H151" i="44"/>
  <c r="J139" i="44"/>
  <c r="J127" i="44" s="1"/>
  <c r="J115" i="44" s="1"/>
  <c r="J103" i="44" s="1"/>
  <c r="J91" i="44" s="1"/>
  <c r="J79" i="44" s="1"/>
  <c r="J67" i="44" s="1"/>
  <c r="J55" i="44" s="1"/>
  <c r="J43" i="44" s="1"/>
  <c r="J31" i="44" s="1"/>
  <c r="J19" i="44" s="1"/>
  <c r="J7" i="44" s="1"/>
  <c r="G150" i="44"/>
  <c r="H155" i="44"/>
  <c r="H156" i="44"/>
  <c r="P156" i="44" s="1"/>
  <c r="P9" i="22"/>
  <c r="P21" i="22"/>
  <c r="P7" i="22"/>
  <c r="H156" i="22"/>
  <c r="H150" i="22"/>
  <c r="H149" i="22"/>
  <c r="H155" i="22"/>
  <c r="H152" i="22"/>
  <c r="H151" i="22"/>
  <c r="G147" i="22"/>
  <c r="O47" i="22"/>
  <c r="P47" i="22" s="1"/>
  <c r="O15" i="22"/>
  <c r="P15" i="22" s="1"/>
  <c r="O27" i="22"/>
  <c r="P27" i="22" s="1"/>
  <c r="O30" i="37"/>
  <c r="P30" i="37" s="1"/>
  <c r="O32" i="37"/>
  <c r="P32" i="37" s="1"/>
  <c r="O33" i="37"/>
  <c r="N33" i="37"/>
  <c r="P168" i="37" s="1"/>
  <c r="O49" i="37"/>
  <c r="P49" i="37" s="1"/>
  <c r="N49" i="37"/>
  <c r="O47" i="37"/>
  <c r="P47" i="37" s="1"/>
  <c r="N47" i="37"/>
  <c r="O45" i="37"/>
  <c r="N45" i="37"/>
  <c r="Q19" i="20"/>
  <c r="P19" i="20"/>
  <c r="Q11" i="20"/>
  <c r="P11" i="20"/>
  <c r="Q13" i="20"/>
  <c r="P13" i="20"/>
  <c r="Q7" i="20"/>
  <c r="P7" i="20"/>
  <c r="P30" i="20"/>
  <c r="Q30" i="20"/>
  <c r="Q5" i="20"/>
  <c r="P5" i="20"/>
  <c r="Q12" i="20"/>
  <c r="P12" i="20"/>
  <c r="Q8" i="20"/>
  <c r="P8" i="20"/>
  <c r="O166" i="20"/>
  <c r="Q3" i="20"/>
  <c r="P3" i="20"/>
  <c r="Q4" i="20"/>
  <c r="P4" i="20"/>
  <c r="P6" i="20"/>
  <c r="Q6" i="20"/>
  <c r="P10" i="20"/>
  <c r="Q10" i="20"/>
  <c r="Q9" i="20"/>
  <c r="P9" i="20"/>
  <c r="G156" i="20"/>
  <c r="G157" i="20"/>
  <c r="H156" i="20"/>
  <c r="N156" i="20" s="1"/>
  <c r="G158" i="20"/>
  <c r="H155" i="20"/>
  <c r="N155" i="20" s="1"/>
  <c r="G155" i="20"/>
  <c r="H147" i="22"/>
  <c r="I56" i="20"/>
  <c r="O43" i="37"/>
  <c r="P43" i="37" s="1"/>
  <c r="BV70" i="24"/>
  <c r="O44" i="22"/>
  <c r="O46" i="22"/>
  <c r="O60" i="22"/>
  <c r="P60" i="22" s="1"/>
  <c r="O55" i="22"/>
  <c r="P55" i="22" s="1"/>
  <c r="I126" i="22"/>
  <c r="M126" i="22" s="1"/>
  <c r="I58" i="22"/>
  <c r="M58" i="22" s="1"/>
  <c r="I123" i="22"/>
  <c r="M123" i="22" s="1"/>
  <c r="N56" i="37"/>
  <c r="I51" i="22"/>
  <c r="M51" i="22" s="1"/>
  <c r="I108" i="22"/>
  <c r="M108" i="22" s="1"/>
  <c r="I98" i="22"/>
  <c r="M98" i="22" s="1"/>
  <c r="I54" i="22"/>
  <c r="M54" i="22" s="1"/>
  <c r="I103" i="22"/>
  <c r="M103" i="22" s="1"/>
  <c r="I107" i="22"/>
  <c r="M107" i="22" s="1"/>
  <c r="I87" i="22"/>
  <c r="M87" i="22" s="1"/>
  <c r="N53" i="37"/>
  <c r="O61" i="22"/>
  <c r="P61" i="22" s="1"/>
  <c r="O57" i="22"/>
  <c r="P57" i="22" s="1"/>
  <c r="O52" i="22"/>
  <c r="P52" i="22" s="1"/>
  <c r="O59" i="22"/>
  <c r="P59" i="22" s="1"/>
  <c r="I109" i="22"/>
  <c r="M109" i="22" s="1"/>
  <c r="I94" i="22"/>
  <c r="M94" i="22" s="1"/>
  <c r="I104" i="22"/>
  <c r="M104" i="22" s="1"/>
  <c r="I62" i="22"/>
  <c r="M62" i="22" s="1"/>
  <c r="I90" i="22"/>
  <c r="M90" i="22" s="1"/>
  <c r="I105" i="22"/>
  <c r="M105" i="22" s="1"/>
  <c r="I101" i="22"/>
  <c r="M101" i="22" s="1"/>
  <c r="BV105" i="24"/>
  <c r="O27" i="37"/>
  <c r="P27" i="37" s="1"/>
  <c r="O42" i="22"/>
  <c r="P42" i="22" s="1"/>
  <c r="I94" i="20"/>
  <c r="I142" i="20" s="1"/>
  <c r="J62" i="20"/>
  <c r="I104" i="20"/>
  <c r="I152" i="20" s="1"/>
  <c r="I62" i="20"/>
  <c r="I54" i="20"/>
  <c r="J58" i="20"/>
  <c r="I105" i="20"/>
  <c r="I153" i="20" s="1"/>
  <c r="I101" i="20"/>
  <c r="I149" i="20" s="1"/>
  <c r="I58" i="20"/>
  <c r="J60" i="20"/>
  <c r="J55" i="20"/>
  <c r="J52" i="20"/>
  <c r="J59" i="20"/>
  <c r="BW70" i="24"/>
  <c r="I51" i="20"/>
  <c r="J51" i="20"/>
  <c r="J54" i="20"/>
  <c r="I108" i="20"/>
  <c r="I156" i="20" s="1"/>
  <c r="I98" i="20"/>
  <c r="I146" i="20" s="1"/>
  <c r="I90" i="20"/>
  <c r="I138" i="20" s="1"/>
  <c r="I103" i="20"/>
  <c r="I151" i="20" s="1"/>
  <c r="I107" i="20"/>
  <c r="I155" i="20" s="1"/>
  <c r="I87" i="20"/>
  <c r="I135" i="20" s="1"/>
  <c r="J53" i="20"/>
  <c r="I123" i="20"/>
  <c r="J56" i="20"/>
  <c r="J61" i="20"/>
  <c r="J57" i="20"/>
  <c r="BV89" i="24"/>
  <c r="BV91" i="24"/>
  <c r="BS72" i="24"/>
  <c r="BG98" i="24"/>
  <c r="BW62" i="24"/>
  <c r="BK65" i="24"/>
  <c r="BW85" i="24"/>
  <c r="BO76" i="24"/>
  <c r="BX62" i="24"/>
  <c r="BT64" i="24"/>
  <c r="BX65" i="24"/>
  <c r="BO62" i="24"/>
  <c r="BP63" i="24"/>
  <c r="BO79" i="24"/>
  <c r="BT71" i="24"/>
  <c r="BP66" i="24"/>
  <c r="BV90" i="24"/>
  <c r="BK73" i="24"/>
  <c r="BV116" i="24"/>
  <c r="BV85" i="24"/>
  <c r="BX69" i="24"/>
  <c r="BL63" i="24"/>
  <c r="BT72" i="24"/>
  <c r="BG105" i="24"/>
  <c r="BJ81" i="24"/>
  <c r="BT62" i="24"/>
  <c r="BN77" i="24"/>
  <c r="BU92" i="24"/>
  <c r="BX64" i="24"/>
  <c r="BK71" i="24"/>
  <c r="BQ69" i="24"/>
  <c r="BK100" i="24"/>
  <c r="BT63" i="24"/>
  <c r="BR75" i="24"/>
  <c r="BQ62" i="24"/>
  <c r="BN87" i="24"/>
  <c r="BR77" i="24"/>
  <c r="BN90" i="24"/>
  <c r="BW75" i="24"/>
  <c r="BM64" i="24"/>
  <c r="BU88" i="24"/>
  <c r="BO81" i="24"/>
  <c r="BX68" i="24"/>
  <c r="BU69" i="24"/>
  <c r="BP71" i="24"/>
  <c r="BR92" i="24"/>
  <c r="BR106" i="24"/>
  <c r="BP73" i="24"/>
  <c r="BR81" i="24"/>
  <c r="BP68" i="24"/>
  <c r="BK69" i="24"/>
  <c r="BQ64" i="24"/>
  <c r="BP62" i="24"/>
  <c r="BX70" i="24"/>
  <c r="BO84" i="24"/>
  <c r="BS75" i="24"/>
  <c r="BM83" i="24"/>
  <c r="BX73" i="24"/>
  <c r="BL70" i="24"/>
  <c r="BO82" i="24"/>
  <c r="BP69" i="24"/>
  <c r="BO80" i="24"/>
  <c r="BM62" i="24"/>
  <c r="BL64" i="24"/>
  <c r="BG109" i="24"/>
  <c r="BQ67" i="24"/>
  <c r="BO85" i="24"/>
  <c r="BJ75" i="24"/>
  <c r="BS79" i="24"/>
  <c r="BQ66" i="24"/>
  <c r="BU71" i="24"/>
  <c r="BT70" i="24"/>
  <c r="BS82" i="24"/>
  <c r="BQ72" i="24"/>
  <c r="BN84" i="24"/>
  <c r="BV107" i="24"/>
  <c r="BR84" i="24"/>
  <c r="BN83" i="24"/>
  <c r="BL69" i="24"/>
  <c r="BM70" i="24"/>
  <c r="BV84" i="24"/>
  <c r="BU67" i="24"/>
  <c r="BU62" i="24"/>
  <c r="BT69" i="24"/>
  <c r="BT65" i="24"/>
  <c r="BX72" i="24"/>
  <c r="BJ89" i="24"/>
  <c r="BM79" i="24"/>
  <c r="BN100" i="24"/>
  <c r="BX66" i="24"/>
  <c r="BN93" i="24"/>
  <c r="BT66" i="24"/>
  <c r="BM75" i="24"/>
  <c r="BW78" i="24"/>
  <c r="BT68" i="24"/>
  <c r="BS85" i="24"/>
  <c r="BW79" i="24"/>
  <c r="BS62" i="24"/>
  <c r="BK67" i="24"/>
  <c r="BP67" i="24"/>
  <c r="BL71" i="24"/>
  <c r="BL73" i="24"/>
  <c r="BK63" i="24"/>
  <c r="BJ83" i="24"/>
  <c r="BO95" i="24"/>
  <c r="BL68" i="24"/>
  <c r="BR79" i="24"/>
  <c r="BL62" i="24"/>
  <c r="BJ76" i="24"/>
  <c r="BW84" i="24"/>
  <c r="BU96" i="24"/>
  <c r="BU94" i="24"/>
  <c r="BK92" i="24"/>
  <c r="BN80" i="24"/>
  <c r="BO90" i="24"/>
  <c r="BU63" i="24"/>
  <c r="BQ70" i="24"/>
  <c r="BR78" i="24"/>
  <c r="BM68" i="24"/>
  <c r="BS77" i="24"/>
  <c r="BK66" i="24"/>
  <c r="BV100" i="24"/>
  <c r="BQ65" i="24"/>
  <c r="BT73" i="24"/>
  <c r="BS88" i="24"/>
  <c r="BO87" i="24"/>
  <c r="BQ63" i="24"/>
  <c r="BR85" i="24"/>
  <c r="BS83" i="24"/>
  <c r="BJ85" i="24"/>
  <c r="BN62" i="24"/>
  <c r="BL65" i="24"/>
  <c r="BS90" i="24"/>
  <c r="BR83" i="24"/>
  <c r="BK72" i="24"/>
  <c r="BN85" i="24"/>
  <c r="BP72" i="24"/>
  <c r="BS81" i="24"/>
  <c r="BM72" i="24"/>
  <c r="BX67" i="24"/>
  <c r="BL72" i="24"/>
  <c r="BW81" i="24"/>
  <c r="BM81" i="24"/>
  <c r="BP70" i="24"/>
  <c r="BQ73" i="24"/>
  <c r="BP64" i="24"/>
  <c r="BL67" i="24"/>
  <c r="BX71" i="24"/>
  <c r="BR62" i="24"/>
  <c r="BS80" i="24"/>
  <c r="BK62" i="24"/>
  <c r="BJ79" i="24"/>
  <c r="BP65" i="24"/>
  <c r="BM66" i="24"/>
  <c r="BN82" i="24"/>
  <c r="BM85" i="24"/>
  <c r="BM77" i="24"/>
  <c r="BJ94" i="24"/>
  <c r="BT67" i="24"/>
  <c r="BJ62" i="24"/>
  <c r="BQ71" i="24"/>
  <c r="BU65" i="24"/>
  <c r="BO77" i="24"/>
  <c r="BJ90" i="24"/>
  <c r="BL66" i="24"/>
  <c r="BV62" i="24"/>
  <c r="BU90" i="24"/>
  <c r="BG101" i="24"/>
  <c r="BQ68" i="24"/>
  <c r="BN91" i="24"/>
  <c r="BK70" i="24"/>
  <c r="BX63" i="24"/>
  <c r="BJ84" i="24"/>
  <c r="BU73" i="24"/>
  <c r="BR88" i="24"/>
  <c r="BJ92" i="24"/>
  <c r="BW89" i="24"/>
  <c r="BV87" i="24"/>
  <c r="X9" i="32"/>
  <c r="W45" i="17" l="1"/>
  <c r="J39" i="9"/>
  <c r="I111" i="45"/>
  <c r="O111" i="45" s="1"/>
  <c r="O126" i="45"/>
  <c r="O131" i="45"/>
  <c r="O128" i="45"/>
  <c r="I32" i="46"/>
  <c r="O32" i="46" s="1"/>
  <c r="I117" i="45"/>
  <c r="O117" i="45" s="1"/>
  <c r="P10" i="46"/>
  <c r="P8" i="46"/>
  <c r="Q12" i="46"/>
  <c r="Q6" i="46"/>
  <c r="R6" i="46" s="1"/>
  <c r="Q11" i="46"/>
  <c r="Q4" i="46"/>
  <c r="I36" i="46"/>
  <c r="O36" i="46" s="1"/>
  <c r="I149" i="45"/>
  <c r="Q9" i="46"/>
  <c r="R9" i="46" s="1"/>
  <c r="I34" i="46"/>
  <c r="O34" i="46" s="1"/>
  <c r="P3" i="46"/>
  <c r="P5" i="46"/>
  <c r="Q7" i="46"/>
  <c r="R7" i="46" s="1"/>
  <c r="I28" i="46"/>
  <c r="O28" i="46" s="1"/>
  <c r="I33" i="46"/>
  <c r="O33" i="46" s="1"/>
  <c r="O25" i="46"/>
  <c r="P25" i="46" s="1"/>
  <c r="O38" i="46"/>
  <c r="O37" i="46"/>
  <c r="Q3" i="59"/>
  <c r="P3" i="59"/>
  <c r="Q167" i="59"/>
  <c r="P6" i="59"/>
  <c r="Q6" i="59"/>
  <c r="I31" i="59"/>
  <c r="O19" i="59"/>
  <c r="I29" i="59"/>
  <c r="O17" i="59"/>
  <c r="I32" i="59"/>
  <c r="O20" i="59"/>
  <c r="P152" i="57"/>
  <c r="J152" i="57"/>
  <c r="I37" i="59"/>
  <c r="O25" i="59"/>
  <c r="P14" i="59"/>
  <c r="Q14" i="59"/>
  <c r="Q10" i="59"/>
  <c r="P10" i="59"/>
  <c r="I27" i="59"/>
  <c r="O15" i="59"/>
  <c r="Q11" i="59"/>
  <c r="P11" i="59"/>
  <c r="P4" i="59"/>
  <c r="Q4" i="59"/>
  <c r="P12" i="59"/>
  <c r="Q12" i="59"/>
  <c r="O22" i="59"/>
  <c r="I34" i="59"/>
  <c r="P151" i="57"/>
  <c r="J151" i="57"/>
  <c r="I35" i="59"/>
  <c r="O23" i="59"/>
  <c r="I28" i="59"/>
  <c r="O16" i="59"/>
  <c r="J154" i="57"/>
  <c r="P154" i="57"/>
  <c r="I36" i="59"/>
  <c r="O24" i="59"/>
  <c r="J150" i="57"/>
  <c r="P150" i="57"/>
  <c r="Q9" i="59"/>
  <c r="P9" i="59"/>
  <c r="J157" i="57"/>
  <c r="P157" i="57"/>
  <c r="P153" i="57"/>
  <c r="J153" i="57"/>
  <c r="I30" i="59"/>
  <c r="O18" i="59"/>
  <c r="Q7" i="59"/>
  <c r="P7" i="59"/>
  <c r="P5" i="59"/>
  <c r="Q5" i="59"/>
  <c r="P8" i="59"/>
  <c r="Q8" i="59"/>
  <c r="J158" i="57"/>
  <c r="P158" i="57"/>
  <c r="P155" i="57"/>
  <c r="J155" i="57"/>
  <c r="Q13" i="59"/>
  <c r="P13" i="59"/>
  <c r="I33" i="59"/>
  <c r="O21" i="59"/>
  <c r="I38" i="59"/>
  <c r="O26" i="59"/>
  <c r="O26" i="46"/>
  <c r="Q26" i="46" s="1"/>
  <c r="Q167" i="46"/>
  <c r="Q17" i="46"/>
  <c r="P17" i="46"/>
  <c r="Q19" i="46"/>
  <c r="P19" i="46"/>
  <c r="Q22" i="46"/>
  <c r="P22" i="46"/>
  <c r="R5" i="46"/>
  <c r="R10" i="46"/>
  <c r="I50" i="46"/>
  <c r="O50" i="46" s="1"/>
  <c r="I41" i="46"/>
  <c r="O41" i="46" s="1"/>
  <c r="I43" i="46"/>
  <c r="O43" i="46" s="1"/>
  <c r="R8" i="46"/>
  <c r="Q16" i="46"/>
  <c r="P16" i="46"/>
  <c r="P18" i="46"/>
  <c r="Q18" i="46"/>
  <c r="Q15" i="46"/>
  <c r="P15" i="46"/>
  <c r="P20" i="46"/>
  <c r="Q20" i="46"/>
  <c r="Q23" i="46"/>
  <c r="P23" i="46"/>
  <c r="P13" i="46"/>
  <c r="Q13" i="46"/>
  <c r="I42" i="46"/>
  <c r="O42" i="46" s="1"/>
  <c r="I39" i="46"/>
  <c r="O39" i="46" s="1"/>
  <c r="I49" i="46"/>
  <c r="O49" i="46" s="1"/>
  <c r="I47" i="46"/>
  <c r="O47" i="46" s="1"/>
  <c r="Q21" i="46"/>
  <c r="P21" i="46"/>
  <c r="P24" i="46"/>
  <c r="Q24" i="46"/>
  <c r="P14" i="46"/>
  <c r="Q14" i="46"/>
  <c r="R3" i="46"/>
  <c r="O146" i="20"/>
  <c r="O145" i="20"/>
  <c r="Q144" i="44"/>
  <c r="Q143" i="44"/>
  <c r="Q145" i="44"/>
  <c r="O150" i="44"/>
  <c r="O156" i="44"/>
  <c r="Q156" i="44" s="1"/>
  <c r="O158" i="44"/>
  <c r="O148" i="44"/>
  <c r="O155" i="44"/>
  <c r="O153" i="44"/>
  <c r="O157" i="44"/>
  <c r="O149" i="44"/>
  <c r="O152" i="44"/>
  <c r="O151" i="44"/>
  <c r="O147" i="44"/>
  <c r="O154" i="44"/>
  <c r="I115" i="44"/>
  <c r="Q115" i="44" s="1"/>
  <c r="Q127" i="44"/>
  <c r="R127" i="44" s="1"/>
  <c r="Q125" i="44"/>
  <c r="I111" i="44"/>
  <c r="Q111" i="44" s="1"/>
  <c r="Q123" i="44"/>
  <c r="Q124" i="44"/>
  <c r="I102" i="45"/>
  <c r="O102" i="45" s="1"/>
  <c r="I109" i="45"/>
  <c r="O109" i="45" s="1"/>
  <c r="I108" i="45"/>
  <c r="O108" i="45" s="1"/>
  <c r="I103" i="45"/>
  <c r="O103" i="45" s="1"/>
  <c r="I110" i="45"/>
  <c r="O110" i="45" s="1"/>
  <c r="I104" i="45"/>
  <c r="O104" i="45" s="1"/>
  <c r="I107" i="45"/>
  <c r="O107" i="45" s="1"/>
  <c r="I100" i="45"/>
  <c r="O100" i="45" s="1"/>
  <c r="I106" i="45"/>
  <c r="O106" i="45" s="1"/>
  <c r="I101" i="45"/>
  <c r="O101" i="45" s="1"/>
  <c r="H159" i="45"/>
  <c r="M156" i="20"/>
  <c r="O156" i="20" s="1"/>
  <c r="M152" i="20"/>
  <c r="O152" i="20" s="1"/>
  <c r="M150" i="20"/>
  <c r="O150" i="20" s="1"/>
  <c r="M158" i="20"/>
  <c r="M147" i="20"/>
  <c r="O147" i="20" s="1"/>
  <c r="M154" i="20"/>
  <c r="O154" i="20" s="1"/>
  <c r="M153" i="20"/>
  <c r="O153" i="20" s="1"/>
  <c r="M155" i="20"/>
  <c r="O155" i="20" s="1"/>
  <c r="M157" i="20"/>
  <c r="M151" i="20"/>
  <c r="O151" i="20" s="1"/>
  <c r="M149" i="20"/>
  <c r="O149" i="20" s="1"/>
  <c r="M148" i="20"/>
  <c r="O148" i="20" s="1"/>
  <c r="R6" i="20"/>
  <c r="R8" i="20"/>
  <c r="R5" i="20"/>
  <c r="R7" i="20"/>
  <c r="R11" i="20"/>
  <c r="R9" i="20"/>
  <c r="R3" i="20"/>
  <c r="R30" i="20"/>
  <c r="R4" i="20"/>
  <c r="R10" i="20"/>
  <c r="R12" i="20"/>
  <c r="R13" i="20"/>
  <c r="R19" i="20"/>
  <c r="T61" i="17"/>
  <c r="U62" i="17"/>
  <c r="U63" i="17" s="1"/>
  <c r="U64" i="17" s="1"/>
  <c r="U65" i="17" s="1"/>
  <c r="U66" i="17" s="1"/>
  <c r="U67" i="17" s="1"/>
  <c r="U68" i="17" s="1"/>
  <c r="U69" i="17" s="1"/>
  <c r="U70" i="17" s="1"/>
  <c r="U71" i="17" s="1"/>
  <c r="U73" i="17" s="1"/>
  <c r="U74" i="17" s="1"/>
  <c r="U75" i="17" s="1"/>
  <c r="U76" i="17" s="1"/>
  <c r="U77" i="17" s="1"/>
  <c r="U78" i="17" s="1"/>
  <c r="U79" i="17" s="1"/>
  <c r="U80" i="17" s="1"/>
  <c r="U81" i="17" s="1"/>
  <c r="U82" i="17" s="1"/>
  <c r="U83" i="17" s="1"/>
  <c r="T44" i="17"/>
  <c r="T40" i="17"/>
  <c r="T27" i="17"/>
  <c r="X62" i="17"/>
  <c r="X63" i="17" s="1"/>
  <c r="X64" i="17" s="1"/>
  <c r="X65" i="17" s="1"/>
  <c r="X66" i="17" s="1"/>
  <c r="X67" i="17" s="1"/>
  <c r="X68" i="17" s="1"/>
  <c r="X69" i="17" s="1"/>
  <c r="X70" i="17" s="1"/>
  <c r="X71" i="17" s="1"/>
  <c r="X72" i="17" s="1"/>
  <c r="W61" i="17"/>
  <c r="L64" i="44"/>
  <c r="K71" i="45"/>
  <c r="I71" i="37"/>
  <c r="M71" i="37" s="1"/>
  <c r="L70" i="44"/>
  <c r="K99" i="46"/>
  <c r="K99" i="44"/>
  <c r="K147" i="44" s="1"/>
  <c r="K82" i="45"/>
  <c r="I82" i="37"/>
  <c r="M82" i="37" s="1"/>
  <c r="K80" i="45"/>
  <c r="I80" i="37"/>
  <c r="M80" i="37" s="1"/>
  <c r="L67" i="44"/>
  <c r="K110" i="46"/>
  <c r="K110" i="44"/>
  <c r="K158" i="44" s="1"/>
  <c r="L71" i="44"/>
  <c r="L69" i="44"/>
  <c r="L65" i="44"/>
  <c r="L66" i="44"/>
  <c r="L63" i="44"/>
  <c r="K86" i="45"/>
  <c r="I86" i="37"/>
  <c r="M86" i="37" s="1"/>
  <c r="K63" i="45"/>
  <c r="I63" i="37"/>
  <c r="M63" i="37" s="1"/>
  <c r="N63" i="37" s="1"/>
  <c r="N132" i="22"/>
  <c r="O132" i="22"/>
  <c r="P132" i="22" s="1"/>
  <c r="K146" i="46"/>
  <c r="N131" i="22"/>
  <c r="O131" i="22"/>
  <c r="P131" i="22" s="1"/>
  <c r="K104" i="46"/>
  <c r="K104" i="44"/>
  <c r="K152" i="44" s="1"/>
  <c r="L72" i="44"/>
  <c r="L68" i="44"/>
  <c r="K79" i="45"/>
  <c r="I79" i="37"/>
  <c r="M79" i="37" s="1"/>
  <c r="K76" i="45"/>
  <c r="I76" i="37"/>
  <c r="M76" i="37" s="1"/>
  <c r="K106" i="46"/>
  <c r="K106" i="44"/>
  <c r="K154" i="44" s="1"/>
  <c r="O56" i="22"/>
  <c r="P56" i="22" s="1"/>
  <c r="K140" i="46"/>
  <c r="K69" i="45"/>
  <c r="I69" i="37"/>
  <c r="M69" i="37" s="1"/>
  <c r="BW80" i="24"/>
  <c r="K138" i="46"/>
  <c r="K72" i="45"/>
  <c r="I72" i="37"/>
  <c r="M72" i="37" s="1"/>
  <c r="BW83" i="24"/>
  <c r="K151" i="46"/>
  <c r="K102" i="46"/>
  <c r="K102" i="44"/>
  <c r="K150" i="44" s="1"/>
  <c r="N128" i="22"/>
  <c r="O128" i="22"/>
  <c r="P128" i="22" s="1"/>
  <c r="K156" i="46"/>
  <c r="N130" i="22"/>
  <c r="O130" i="22"/>
  <c r="P130" i="22" s="1"/>
  <c r="K155" i="46"/>
  <c r="K142" i="46"/>
  <c r="K85" i="45"/>
  <c r="I85" i="37"/>
  <c r="M85" i="37" s="1"/>
  <c r="L73" i="44"/>
  <c r="N134" i="22"/>
  <c r="O134" i="22"/>
  <c r="P134" i="22" s="1"/>
  <c r="K90" i="45"/>
  <c r="I90" i="37"/>
  <c r="M90" i="37" s="1"/>
  <c r="L74" i="44"/>
  <c r="K65" i="45"/>
  <c r="I65" i="37"/>
  <c r="M65" i="37" s="1"/>
  <c r="BW76" i="24"/>
  <c r="K135" i="46"/>
  <c r="K157" i="46"/>
  <c r="K149" i="46"/>
  <c r="K153" i="46"/>
  <c r="N170" i="37"/>
  <c r="J130" i="44"/>
  <c r="J118" i="44" s="1"/>
  <c r="J106" i="44" s="1"/>
  <c r="J94" i="44" s="1"/>
  <c r="J82" i="44" s="1"/>
  <c r="J70" i="44" s="1"/>
  <c r="J58" i="44" s="1"/>
  <c r="J46" i="44" s="1"/>
  <c r="J34" i="44" s="1"/>
  <c r="J22" i="44" s="1"/>
  <c r="J10" i="44" s="1"/>
  <c r="J129" i="44"/>
  <c r="J117" i="44" s="1"/>
  <c r="J105" i="44" s="1"/>
  <c r="J93" i="44" s="1"/>
  <c r="J81" i="44" s="1"/>
  <c r="J69" i="44" s="1"/>
  <c r="J57" i="44" s="1"/>
  <c r="J45" i="44" s="1"/>
  <c r="J33" i="44" s="1"/>
  <c r="J21" i="44" s="1"/>
  <c r="J9" i="44" s="1"/>
  <c r="J131" i="44"/>
  <c r="Q131" i="44" s="1"/>
  <c r="J128" i="44"/>
  <c r="J116" i="44" s="1"/>
  <c r="J104" i="44" s="1"/>
  <c r="J92" i="44" s="1"/>
  <c r="J80" i="44" s="1"/>
  <c r="J68" i="44" s="1"/>
  <c r="J56" i="44" s="1"/>
  <c r="J44" i="44" s="1"/>
  <c r="J32" i="44" s="1"/>
  <c r="J20" i="44" s="1"/>
  <c r="J8" i="44" s="1"/>
  <c r="J132" i="44"/>
  <c r="Q132" i="44" s="1"/>
  <c r="I154" i="44"/>
  <c r="I158" i="44"/>
  <c r="I152" i="44"/>
  <c r="I148" i="44"/>
  <c r="I149" i="44"/>
  <c r="I147" i="44"/>
  <c r="I157" i="44"/>
  <c r="I155" i="44"/>
  <c r="I156" i="44"/>
  <c r="I151" i="44"/>
  <c r="H157" i="44"/>
  <c r="J157" i="44" s="1"/>
  <c r="J145" i="44"/>
  <c r="I153" i="44"/>
  <c r="J147" i="44"/>
  <c r="P147" i="44"/>
  <c r="J151" i="44"/>
  <c r="P151" i="44"/>
  <c r="J153" i="44"/>
  <c r="P153" i="44"/>
  <c r="J155" i="44"/>
  <c r="P155" i="44"/>
  <c r="J148" i="44"/>
  <c r="P148" i="44"/>
  <c r="J150" i="44"/>
  <c r="P150" i="44"/>
  <c r="J152" i="44"/>
  <c r="P152" i="44"/>
  <c r="J149" i="44"/>
  <c r="P149" i="44"/>
  <c r="J154" i="44"/>
  <c r="P154" i="44"/>
  <c r="J146" i="44"/>
  <c r="P146" i="44"/>
  <c r="Q146" i="44" s="1"/>
  <c r="N54" i="22"/>
  <c r="N62" i="22"/>
  <c r="Q176" i="22"/>
  <c r="N123" i="22"/>
  <c r="N58" i="22"/>
  <c r="H158" i="20"/>
  <c r="N158" i="20" s="1"/>
  <c r="H157" i="20"/>
  <c r="N157" i="20" s="1"/>
  <c r="H158" i="44"/>
  <c r="H158" i="22"/>
  <c r="H157" i="37"/>
  <c r="I152" i="22"/>
  <c r="N104" i="22"/>
  <c r="O173" i="22"/>
  <c r="I142" i="22"/>
  <c r="N94" i="22"/>
  <c r="N126" i="22"/>
  <c r="O126" i="22"/>
  <c r="P126" i="22" s="1"/>
  <c r="O48" i="22"/>
  <c r="Q173" i="22"/>
  <c r="I138" i="22"/>
  <c r="N90" i="22"/>
  <c r="I135" i="22"/>
  <c r="Q170" i="22"/>
  <c r="I149" i="22"/>
  <c r="N101" i="22"/>
  <c r="I153" i="22"/>
  <c r="N105" i="22"/>
  <c r="I157" i="22"/>
  <c r="N109" i="22"/>
  <c r="I155" i="22"/>
  <c r="N107" i="22"/>
  <c r="I151" i="22"/>
  <c r="N103" i="22"/>
  <c r="I146" i="22"/>
  <c r="N98" i="22"/>
  <c r="I156" i="22"/>
  <c r="N108" i="22"/>
  <c r="N51" i="22"/>
  <c r="O171" i="22"/>
  <c r="O170" i="22"/>
  <c r="O50" i="22"/>
  <c r="I113" i="44"/>
  <c r="Q113" i="44" s="1"/>
  <c r="I118" i="44"/>
  <c r="I116" i="44"/>
  <c r="I112" i="44"/>
  <c r="Q112" i="44" s="1"/>
  <c r="I117" i="44"/>
  <c r="I126" i="44"/>
  <c r="Q126" i="44" s="1"/>
  <c r="I121" i="44"/>
  <c r="I120" i="44"/>
  <c r="I119" i="44"/>
  <c r="I122" i="44"/>
  <c r="I150" i="44"/>
  <c r="J156" i="44"/>
  <c r="G159" i="44"/>
  <c r="G160" i="46"/>
  <c r="P46" i="22"/>
  <c r="P44" i="22"/>
  <c r="O62" i="22"/>
  <c r="P62" i="22" s="1"/>
  <c r="O39" i="22"/>
  <c r="P33" i="37"/>
  <c r="P45" i="37"/>
  <c r="O39" i="37"/>
  <c r="N39" i="37"/>
  <c r="O44" i="37"/>
  <c r="P44" i="37" s="1"/>
  <c r="N44" i="37"/>
  <c r="O42" i="37"/>
  <c r="N42" i="37"/>
  <c r="O40" i="37"/>
  <c r="N40" i="37"/>
  <c r="O48" i="37"/>
  <c r="P48" i="37" s="1"/>
  <c r="N48" i="37"/>
  <c r="O50" i="37"/>
  <c r="P50" i="37" s="1"/>
  <c r="N50" i="37"/>
  <c r="O41" i="37"/>
  <c r="P41" i="37" s="1"/>
  <c r="N41" i="37"/>
  <c r="O46" i="37"/>
  <c r="N46" i="37"/>
  <c r="Q47" i="20"/>
  <c r="P47" i="20"/>
  <c r="Q33" i="20"/>
  <c r="P33" i="20"/>
  <c r="P38" i="20"/>
  <c r="Q38" i="20"/>
  <c r="Q31" i="20"/>
  <c r="P31" i="20"/>
  <c r="Q32" i="20"/>
  <c r="P32" i="20"/>
  <c r="P46" i="20"/>
  <c r="Q46" i="20"/>
  <c r="Q36" i="20"/>
  <c r="P36" i="20"/>
  <c r="Q44" i="20"/>
  <c r="P44" i="20"/>
  <c r="Q166" i="20"/>
  <c r="Q57" i="20"/>
  <c r="P57" i="20"/>
  <c r="Q55" i="20"/>
  <c r="P55" i="20"/>
  <c r="Q24" i="20"/>
  <c r="P24" i="20"/>
  <c r="Q49" i="20"/>
  <c r="P49" i="20"/>
  <c r="Q23" i="20"/>
  <c r="P23" i="20"/>
  <c r="P18" i="20"/>
  <c r="Q18" i="20"/>
  <c r="Q48" i="20"/>
  <c r="P48" i="20"/>
  <c r="Q29" i="20"/>
  <c r="P29" i="20"/>
  <c r="Q43" i="20"/>
  <c r="P43" i="20"/>
  <c r="Q35" i="20"/>
  <c r="P35" i="20"/>
  <c r="Q15" i="20"/>
  <c r="O167" i="20"/>
  <c r="P15" i="20"/>
  <c r="Q40" i="20"/>
  <c r="P40" i="20"/>
  <c r="Q39" i="20"/>
  <c r="O169" i="20"/>
  <c r="P39" i="20"/>
  <c r="Q21" i="20"/>
  <c r="P21" i="20"/>
  <c r="P34" i="20"/>
  <c r="Q34" i="20"/>
  <c r="Q25" i="20"/>
  <c r="P25" i="20"/>
  <c r="Q45" i="20"/>
  <c r="P45" i="20"/>
  <c r="P50" i="20"/>
  <c r="Q50" i="20"/>
  <c r="P42" i="20"/>
  <c r="Q42" i="20"/>
  <c r="P26" i="20"/>
  <c r="Q26" i="20"/>
  <c r="Q17" i="20"/>
  <c r="P17" i="20"/>
  <c r="P22" i="20"/>
  <c r="Q22" i="20"/>
  <c r="Q37" i="20"/>
  <c r="P37" i="20"/>
  <c r="Q16" i="20"/>
  <c r="P16" i="20"/>
  <c r="Q41" i="20"/>
  <c r="P41" i="20"/>
  <c r="Q20" i="20"/>
  <c r="P20" i="20"/>
  <c r="Q28" i="20"/>
  <c r="P28" i="20"/>
  <c r="Q27" i="20"/>
  <c r="O168" i="20"/>
  <c r="P27" i="20"/>
  <c r="G159" i="20"/>
  <c r="C49" i="11"/>
  <c r="B6" i="9"/>
  <c r="F49" i="11"/>
  <c r="B9" i="9"/>
  <c r="O53" i="37"/>
  <c r="N51" i="37"/>
  <c r="O57" i="37"/>
  <c r="O56" i="37"/>
  <c r="P56" i="37" s="1"/>
  <c r="BV82" i="24"/>
  <c r="O53" i="22"/>
  <c r="P53" i="22" s="1"/>
  <c r="O71" i="22"/>
  <c r="P71" i="22" s="1"/>
  <c r="O54" i="22"/>
  <c r="P54" i="22" s="1"/>
  <c r="O58" i="22"/>
  <c r="P58" i="22" s="1"/>
  <c r="O64" i="22"/>
  <c r="P64" i="22" s="1"/>
  <c r="I102" i="22"/>
  <c r="M102" i="22" s="1"/>
  <c r="O69" i="22"/>
  <c r="P69" i="22" s="1"/>
  <c r="O70" i="22"/>
  <c r="P70" i="22" s="1"/>
  <c r="N22" i="17"/>
  <c r="Q23" i="17"/>
  <c r="E19" i="17"/>
  <c r="F19" i="17" s="1"/>
  <c r="H20" i="17"/>
  <c r="E23" i="17"/>
  <c r="H24" i="17"/>
  <c r="K25" i="17"/>
  <c r="B23" i="17"/>
  <c r="Z23" i="17" s="1"/>
  <c r="B17" i="17"/>
  <c r="Z17" i="17" s="1"/>
  <c r="E25" i="17"/>
  <c r="B15" i="17"/>
  <c r="Q24" i="17"/>
  <c r="E20" i="17"/>
  <c r="E24" i="17"/>
  <c r="B19" i="17"/>
  <c r="G39" i="11"/>
  <c r="N21" i="17"/>
  <c r="N25" i="17"/>
  <c r="H19" i="17"/>
  <c r="I19" i="17" s="1"/>
  <c r="E22" i="17"/>
  <c r="H23" i="17"/>
  <c r="K24" i="17"/>
  <c r="B20" i="17"/>
  <c r="Z20" i="17" s="1"/>
  <c r="B24" i="17"/>
  <c r="B16" i="17"/>
  <c r="Z16" i="17" s="1"/>
  <c r="B21" i="17"/>
  <c r="B18" i="17"/>
  <c r="Z18" i="17" s="1"/>
  <c r="H21" i="17"/>
  <c r="H25" i="17"/>
  <c r="N20" i="17"/>
  <c r="N24" i="17"/>
  <c r="Q25" i="17"/>
  <c r="E21" i="17"/>
  <c r="H22" i="17"/>
  <c r="K23" i="17"/>
  <c r="B25" i="17"/>
  <c r="N23" i="17"/>
  <c r="K22" i="17"/>
  <c r="B22" i="17"/>
  <c r="O65" i="22"/>
  <c r="P65" i="22" s="1"/>
  <c r="I106" i="22"/>
  <c r="M106" i="22" s="1"/>
  <c r="BV117" i="24"/>
  <c r="O67" i="22"/>
  <c r="P67" i="22" s="1"/>
  <c r="O72" i="22"/>
  <c r="P72" i="22" s="1"/>
  <c r="O68" i="22"/>
  <c r="P68" i="22" s="1"/>
  <c r="O73" i="22"/>
  <c r="P73" i="22" s="1"/>
  <c r="I110" i="22"/>
  <c r="M110" i="22" s="1"/>
  <c r="O74" i="22"/>
  <c r="P74" i="22" s="1"/>
  <c r="O66" i="22"/>
  <c r="P66" i="22" s="1"/>
  <c r="I99" i="22"/>
  <c r="M99" i="22" s="1"/>
  <c r="J67" i="20"/>
  <c r="I106" i="20"/>
  <c r="I154" i="20" s="1"/>
  <c r="J64" i="20"/>
  <c r="I102" i="20"/>
  <c r="I150" i="20" s="1"/>
  <c r="J68" i="20"/>
  <c r="I110" i="20"/>
  <c r="I158" i="20" s="1"/>
  <c r="J74" i="20"/>
  <c r="J66" i="20"/>
  <c r="J63" i="20"/>
  <c r="I99" i="20"/>
  <c r="I147" i="20" s="1"/>
  <c r="J71" i="20"/>
  <c r="J65" i="20"/>
  <c r="BV101" i="24"/>
  <c r="BW82" i="24"/>
  <c r="J72" i="20"/>
  <c r="J73" i="20"/>
  <c r="J69" i="20"/>
  <c r="J70" i="20"/>
  <c r="BS84" i="24"/>
  <c r="BV103" i="24"/>
  <c r="BV74" i="24"/>
  <c r="BJ102" i="24"/>
  <c r="BU77" i="24"/>
  <c r="BJ74" i="24"/>
  <c r="BM93" i="24"/>
  <c r="BP84" i="24"/>
  <c r="BO99" i="24"/>
  <c r="BR91" i="24"/>
  <c r="BK75" i="24"/>
  <c r="BX78" i="24"/>
  <c r="BN96" i="24"/>
  <c r="BS94" i="24"/>
  <c r="BL82" i="24"/>
  <c r="BQ81" i="24"/>
  <c r="BO91" i="24"/>
  <c r="BT76" i="24"/>
  <c r="BW97" i="24"/>
  <c r="BU85" i="24"/>
  <c r="BJ96" i="24"/>
  <c r="BL78" i="24"/>
  <c r="BK74" i="24"/>
  <c r="BL79" i="24"/>
  <c r="BP82" i="24"/>
  <c r="BW93" i="24"/>
  <c r="BX79" i="24"/>
  <c r="BR95" i="24"/>
  <c r="BQ75" i="24"/>
  <c r="BS100" i="24"/>
  <c r="BK78" i="24"/>
  <c r="BU75" i="24"/>
  <c r="BU106" i="24"/>
  <c r="BL74" i="24"/>
  <c r="BJ95" i="24"/>
  <c r="BP79" i="24"/>
  <c r="BW91" i="24"/>
  <c r="BW90" i="24"/>
  <c r="BN105" i="24"/>
  <c r="BN112" i="24"/>
  <c r="BT81" i="24"/>
  <c r="BU79" i="24"/>
  <c r="BV119" i="24"/>
  <c r="BO94" i="24"/>
  <c r="BX82" i="24"/>
  <c r="BQ76" i="24"/>
  <c r="BP80" i="24"/>
  <c r="BR93" i="24"/>
  <c r="BR118" i="24"/>
  <c r="BR89" i="24"/>
  <c r="BN99" i="24"/>
  <c r="BQ74" i="24"/>
  <c r="BN89" i="24"/>
  <c r="BV97" i="24"/>
  <c r="BK85" i="24"/>
  <c r="BX77" i="24"/>
  <c r="BO88" i="24"/>
  <c r="BN103" i="24"/>
  <c r="BM89" i="24"/>
  <c r="BM78" i="24"/>
  <c r="BM84" i="24"/>
  <c r="BS89" i="24"/>
  <c r="BU108" i="24"/>
  <c r="BS97" i="24"/>
  <c r="BV96" i="24"/>
  <c r="BU83" i="24"/>
  <c r="BM74" i="24"/>
  <c r="BP74" i="24"/>
  <c r="BR87" i="24"/>
  <c r="BK112" i="24"/>
  <c r="BX81" i="24"/>
  <c r="BV99" i="24"/>
  <c r="BJ104" i="24"/>
  <c r="BK82" i="24"/>
  <c r="BJ106" i="24"/>
  <c r="BJ91" i="24"/>
  <c r="BX83" i="24"/>
  <c r="BQ85" i="24"/>
  <c r="BL84" i="24"/>
  <c r="BK84" i="24"/>
  <c r="BN74" i="24"/>
  <c r="BS95" i="24"/>
  <c r="BT85" i="24"/>
  <c r="BQ77" i="24"/>
  <c r="BV112" i="24"/>
  <c r="BR90" i="24"/>
  <c r="BO102" i="24"/>
  <c r="BJ88" i="24"/>
  <c r="BO107" i="24"/>
  <c r="BL83" i="24"/>
  <c r="BS74" i="24"/>
  <c r="BN95" i="24"/>
  <c r="BR96" i="24"/>
  <c r="BQ78" i="24"/>
  <c r="BJ87" i="24"/>
  <c r="BQ79" i="24"/>
  <c r="BL76" i="24"/>
  <c r="BP81" i="24"/>
  <c r="BM95" i="24"/>
  <c r="BS87" i="24"/>
  <c r="BO96" i="24"/>
  <c r="BK81" i="24"/>
  <c r="BP85" i="24"/>
  <c r="BR104" i="24"/>
  <c r="BO93" i="24"/>
  <c r="BM76" i="24"/>
  <c r="BK83" i="24"/>
  <c r="BU104" i="24"/>
  <c r="BT74" i="24"/>
  <c r="BT84" i="24"/>
  <c r="BL75" i="24"/>
  <c r="BV128" i="24"/>
  <c r="BP78" i="24"/>
  <c r="BO74" i="24"/>
  <c r="BX74" i="24"/>
  <c r="BW74" i="24"/>
  <c r="BU102" i="24"/>
  <c r="BS92" i="24"/>
  <c r="BP76" i="24"/>
  <c r="BS102" i="24"/>
  <c r="BK104" i="24"/>
  <c r="BT78" i="24"/>
  <c r="BM91" i="24"/>
  <c r="BU74" i="24"/>
  <c r="BN102" i="24"/>
  <c r="BW101" i="24"/>
  <c r="BR100" i="24"/>
  <c r="BX75" i="24"/>
  <c r="BQ80" i="24"/>
  <c r="BO89" i="24"/>
  <c r="BQ83" i="24"/>
  <c r="BT79" i="24"/>
  <c r="BM97" i="24"/>
  <c r="BN94" i="24"/>
  <c r="BP77" i="24"/>
  <c r="BR74" i="24"/>
  <c r="BS93" i="24"/>
  <c r="BN97" i="24"/>
  <c r="BL77" i="24"/>
  <c r="BJ97" i="24"/>
  <c r="BR97" i="24"/>
  <c r="BM80" i="24"/>
  <c r="BQ82" i="24"/>
  <c r="BN92" i="24"/>
  <c r="BW96" i="24"/>
  <c r="BL80" i="24"/>
  <c r="BL85" i="24"/>
  <c r="BK79" i="24"/>
  <c r="BT80" i="24"/>
  <c r="BM87" i="24"/>
  <c r="BJ101" i="24"/>
  <c r="BX84" i="24"/>
  <c r="BT77" i="24"/>
  <c r="BM82" i="24"/>
  <c r="BL81" i="24"/>
  <c r="BQ84" i="24"/>
  <c r="BT82" i="24"/>
  <c r="BS91" i="24"/>
  <c r="BO97" i="24"/>
  <c r="BO92" i="24"/>
  <c r="BX85" i="24"/>
  <c r="BP83" i="24"/>
  <c r="BU81" i="24"/>
  <c r="BX80" i="24"/>
  <c r="BU100" i="24"/>
  <c r="BW87" i="24"/>
  <c r="BT75" i="24"/>
  <c r="BX76" i="24"/>
  <c r="BJ93" i="24"/>
  <c r="BV102" i="24"/>
  <c r="BT83" i="24"/>
  <c r="BP75" i="24"/>
  <c r="BK77" i="24"/>
  <c r="AL52" i="32"/>
  <c r="AL53" i="32" s="1"/>
  <c r="AM53" i="32" s="1"/>
  <c r="X10" i="32"/>
  <c r="I99" i="45" l="1"/>
  <c r="O99" i="45" s="1"/>
  <c r="I44" i="46"/>
  <c r="O44" i="46" s="1"/>
  <c r="I105" i="45"/>
  <c r="O105" i="45" s="1"/>
  <c r="R11" i="46"/>
  <c r="I48" i="46"/>
  <c r="O48" i="46" s="1"/>
  <c r="R12" i="46"/>
  <c r="I40" i="46"/>
  <c r="O40" i="46" s="1"/>
  <c r="I46" i="46"/>
  <c r="O46" i="46" s="1"/>
  <c r="R4" i="46"/>
  <c r="I45" i="46"/>
  <c r="O45" i="46" s="1"/>
  <c r="Q25" i="46"/>
  <c r="Q168" i="46"/>
  <c r="P26" i="46"/>
  <c r="S168" i="46" s="1"/>
  <c r="Q150" i="44"/>
  <c r="Q155" i="44"/>
  <c r="Q152" i="44"/>
  <c r="I45" i="59"/>
  <c r="O33" i="59"/>
  <c r="R8" i="59"/>
  <c r="O30" i="59"/>
  <c r="I42" i="59"/>
  <c r="I48" i="59"/>
  <c r="O36" i="59"/>
  <c r="O28" i="59"/>
  <c r="I40" i="59"/>
  <c r="P22" i="59"/>
  <c r="Q22" i="59"/>
  <c r="R12" i="59"/>
  <c r="P20" i="59"/>
  <c r="Q20" i="59"/>
  <c r="Q19" i="59"/>
  <c r="P19" i="59"/>
  <c r="Q26" i="59"/>
  <c r="P26" i="59"/>
  <c r="Q23" i="59"/>
  <c r="P23" i="59"/>
  <c r="R10" i="59"/>
  <c r="I44" i="59"/>
  <c r="O32" i="59"/>
  <c r="I43" i="59"/>
  <c r="O31" i="59"/>
  <c r="O38" i="59"/>
  <c r="I50" i="59"/>
  <c r="R13" i="59"/>
  <c r="R7" i="59"/>
  <c r="I47" i="59"/>
  <c r="O35" i="59"/>
  <c r="R4" i="59"/>
  <c r="Q15" i="59"/>
  <c r="P15" i="59"/>
  <c r="Q168" i="59"/>
  <c r="Q25" i="59"/>
  <c r="P25" i="59"/>
  <c r="Q17" i="59"/>
  <c r="P17" i="59"/>
  <c r="S167" i="59"/>
  <c r="P21" i="59"/>
  <c r="Q21" i="59"/>
  <c r="R5" i="59"/>
  <c r="Q18" i="59"/>
  <c r="P18" i="59"/>
  <c r="R9" i="59"/>
  <c r="P24" i="59"/>
  <c r="Q24" i="59"/>
  <c r="P16" i="59"/>
  <c r="Q16" i="59"/>
  <c r="I46" i="59"/>
  <c r="O34" i="59"/>
  <c r="R11" i="59"/>
  <c r="I39" i="59"/>
  <c r="O27" i="59"/>
  <c r="R14" i="59"/>
  <c r="I49" i="59"/>
  <c r="O37" i="59"/>
  <c r="I41" i="59"/>
  <c r="O29" i="59"/>
  <c r="R6" i="59"/>
  <c r="R3" i="59"/>
  <c r="Q116" i="44"/>
  <c r="S116" i="44" s="1"/>
  <c r="S167" i="46"/>
  <c r="R24" i="46"/>
  <c r="R26" i="46"/>
  <c r="Q35" i="46"/>
  <c r="P35" i="46"/>
  <c r="Q37" i="46"/>
  <c r="P37" i="46"/>
  <c r="Q27" i="46"/>
  <c r="P27" i="46"/>
  <c r="Q169" i="46"/>
  <c r="Q28" i="46"/>
  <c r="P28" i="46"/>
  <c r="R13" i="46"/>
  <c r="R20" i="46"/>
  <c r="I55" i="46"/>
  <c r="O55" i="46" s="1"/>
  <c r="P36" i="46"/>
  <c r="Q36" i="46"/>
  <c r="P38" i="46"/>
  <c r="Q38" i="46"/>
  <c r="I59" i="46"/>
  <c r="O59" i="46" s="1"/>
  <c r="I61" i="46"/>
  <c r="O61" i="46" s="1"/>
  <c r="I51" i="46"/>
  <c r="O51" i="46" s="1"/>
  <c r="Q34" i="46"/>
  <c r="P34" i="46"/>
  <c r="Q29" i="46"/>
  <c r="P29" i="46"/>
  <c r="I62" i="46"/>
  <c r="O62" i="46" s="1"/>
  <c r="R19" i="46"/>
  <c r="R14" i="46"/>
  <c r="Q32" i="46"/>
  <c r="P32" i="46"/>
  <c r="P30" i="46"/>
  <c r="Q30" i="46"/>
  <c r="R15" i="46"/>
  <c r="R16" i="46"/>
  <c r="I53" i="46"/>
  <c r="O53" i="46" s="1"/>
  <c r="P33" i="46"/>
  <c r="Q33" i="46"/>
  <c r="R21" i="46"/>
  <c r="I54" i="46"/>
  <c r="O54" i="46" s="1"/>
  <c r="R23" i="46"/>
  <c r="R18" i="46"/>
  <c r="P31" i="46"/>
  <c r="Q31" i="46"/>
  <c r="R22" i="46"/>
  <c r="R17" i="46"/>
  <c r="I99" i="44"/>
  <c r="Q99" i="44" s="1"/>
  <c r="O157" i="20"/>
  <c r="O158" i="20"/>
  <c r="Q147" i="44"/>
  <c r="Q154" i="44"/>
  <c r="Q149" i="44"/>
  <c r="Q148" i="44"/>
  <c r="Q151" i="44"/>
  <c r="Q153" i="44"/>
  <c r="Q118" i="44"/>
  <c r="S118" i="44" s="1"/>
  <c r="I103" i="44"/>
  <c r="Q103" i="44" s="1"/>
  <c r="Q117" i="44"/>
  <c r="R117" i="44" s="1"/>
  <c r="Q129" i="44"/>
  <c r="S129" i="44" s="1"/>
  <c r="T129" i="44" s="1"/>
  <c r="Q130" i="44"/>
  <c r="S130" i="44" s="1"/>
  <c r="T130" i="44" s="1"/>
  <c r="Q128" i="44"/>
  <c r="R128" i="44" s="1"/>
  <c r="I89" i="45"/>
  <c r="O89" i="45" s="1"/>
  <c r="I88" i="45"/>
  <c r="O88" i="45" s="1"/>
  <c r="I92" i="45"/>
  <c r="O92" i="45" s="1"/>
  <c r="I98" i="45"/>
  <c r="O98" i="45" s="1"/>
  <c r="I96" i="45"/>
  <c r="O96" i="45" s="1"/>
  <c r="I94" i="45"/>
  <c r="O94" i="45" s="1"/>
  <c r="I95" i="45"/>
  <c r="O95" i="45" s="1"/>
  <c r="I91" i="45"/>
  <c r="O91" i="45" s="1"/>
  <c r="I97" i="45"/>
  <c r="O97" i="45" s="1"/>
  <c r="I90" i="45"/>
  <c r="O90" i="45" s="1"/>
  <c r="R31" i="20"/>
  <c r="R27" i="20"/>
  <c r="R20" i="20"/>
  <c r="R16" i="20"/>
  <c r="R25" i="20"/>
  <c r="R21" i="20"/>
  <c r="R15" i="20"/>
  <c r="R43" i="20"/>
  <c r="R48" i="20"/>
  <c r="R23" i="20"/>
  <c r="R24" i="20"/>
  <c r="R57" i="20"/>
  <c r="R38" i="20"/>
  <c r="R22" i="20"/>
  <c r="R33" i="20"/>
  <c r="R42" i="20"/>
  <c r="R34" i="20"/>
  <c r="R40" i="20"/>
  <c r="R32" i="20"/>
  <c r="R47" i="20"/>
  <c r="R50" i="20"/>
  <c r="R39" i="20"/>
  <c r="R28" i="20"/>
  <c r="R41" i="20"/>
  <c r="R37" i="20"/>
  <c r="R17" i="20"/>
  <c r="R45" i="20"/>
  <c r="R35" i="20"/>
  <c r="R29" i="20"/>
  <c r="R49" i="20"/>
  <c r="R55" i="20"/>
  <c r="R46" i="20"/>
  <c r="U40" i="17"/>
  <c r="N39" i="11"/>
  <c r="Z21" i="17"/>
  <c r="Z19" i="17"/>
  <c r="C15" i="17"/>
  <c r="Z15" i="17"/>
  <c r="Z22" i="17"/>
  <c r="Z25" i="17"/>
  <c r="Z24" i="17"/>
  <c r="T45" i="17"/>
  <c r="T41" i="17"/>
  <c r="T62" i="17"/>
  <c r="T63" i="17" s="1"/>
  <c r="T64" i="17" s="1"/>
  <c r="T65" i="17" s="1"/>
  <c r="T66" i="17" s="1"/>
  <c r="T67" i="17" s="1"/>
  <c r="T68" i="17" s="1"/>
  <c r="T69" i="17" s="1"/>
  <c r="T70" i="17" s="1"/>
  <c r="T71" i="17" s="1"/>
  <c r="T72" i="17" s="1"/>
  <c r="W62" i="17"/>
  <c r="K102" i="45"/>
  <c r="I102" i="37"/>
  <c r="M102" i="37" s="1"/>
  <c r="BR130" i="24"/>
  <c r="L83" i="44"/>
  <c r="K98" i="45"/>
  <c r="I98" i="37"/>
  <c r="M98" i="37" s="1"/>
  <c r="K83" i="45"/>
  <c r="I83" i="37"/>
  <c r="M83" i="37" s="1"/>
  <c r="L86" i="44"/>
  <c r="K97" i="45"/>
  <c r="I97" i="37"/>
  <c r="M97" i="37" s="1"/>
  <c r="K75" i="45"/>
  <c r="I75" i="37"/>
  <c r="M75" i="37" s="1"/>
  <c r="N75" i="37" s="1"/>
  <c r="L82" i="44"/>
  <c r="BV131" i="24"/>
  <c r="K92" i="45"/>
  <c r="I92" i="37"/>
  <c r="M92" i="37" s="1"/>
  <c r="L80" i="44"/>
  <c r="Q171" i="22"/>
  <c r="K84" i="45"/>
  <c r="I84" i="37"/>
  <c r="M84" i="37" s="1"/>
  <c r="BW95" i="24"/>
  <c r="K152" i="46"/>
  <c r="K158" i="46"/>
  <c r="I20" i="17"/>
  <c r="K77" i="45"/>
  <c r="I77" i="37"/>
  <c r="M77" i="37" s="1"/>
  <c r="BW88" i="24"/>
  <c r="K154" i="46"/>
  <c r="N171" i="37"/>
  <c r="L76" i="44"/>
  <c r="L84" i="44"/>
  <c r="L77" i="44"/>
  <c r="K88" i="45"/>
  <c r="I88" i="37"/>
  <c r="M88" i="37" s="1"/>
  <c r="L78" i="44"/>
  <c r="L81" i="44"/>
  <c r="L85" i="44"/>
  <c r="L75" i="44"/>
  <c r="K91" i="45"/>
  <c r="I91" i="37"/>
  <c r="M91" i="37" s="1"/>
  <c r="K94" i="45"/>
  <c r="I94" i="37"/>
  <c r="M94" i="37" s="1"/>
  <c r="L79" i="44"/>
  <c r="K150" i="46"/>
  <c r="K81" i="45"/>
  <c r="I81" i="37"/>
  <c r="M81" i="37" s="1"/>
  <c r="BW92" i="24"/>
  <c r="K147" i="46"/>
  <c r="O21" i="17"/>
  <c r="I22" i="17"/>
  <c r="I21" i="17"/>
  <c r="F22" i="17"/>
  <c r="C22" i="17"/>
  <c r="G29" i="11"/>
  <c r="O19" i="17"/>
  <c r="F21" i="17"/>
  <c r="C18" i="17"/>
  <c r="F53" i="11" s="1"/>
  <c r="C20" i="17"/>
  <c r="L20" i="17"/>
  <c r="R22" i="17"/>
  <c r="F24" i="17"/>
  <c r="F25" i="17"/>
  <c r="I24" i="17"/>
  <c r="C25" i="17"/>
  <c r="F20" i="17"/>
  <c r="F23" i="17"/>
  <c r="O23" i="17"/>
  <c r="O24" i="17"/>
  <c r="C24" i="17"/>
  <c r="C19" i="17"/>
  <c r="L25" i="17"/>
  <c r="O22" i="17"/>
  <c r="L22" i="17"/>
  <c r="G24" i="11"/>
  <c r="L19" i="17"/>
  <c r="O20" i="17"/>
  <c r="C21" i="17"/>
  <c r="L24" i="17"/>
  <c r="L23" i="17"/>
  <c r="H37" i="9"/>
  <c r="R25" i="17"/>
  <c r="I25" i="17"/>
  <c r="C16" i="17"/>
  <c r="D53" i="11" s="1"/>
  <c r="I23" i="17"/>
  <c r="O25" i="17"/>
  <c r="R24" i="17"/>
  <c r="C23" i="17"/>
  <c r="L21" i="17"/>
  <c r="R23" i="17"/>
  <c r="J119" i="44"/>
  <c r="J107" i="44" s="1"/>
  <c r="J95" i="44" s="1"/>
  <c r="J83" i="44" s="1"/>
  <c r="J71" i="44" s="1"/>
  <c r="J59" i="44" s="1"/>
  <c r="J47" i="44" s="1"/>
  <c r="J35" i="44" s="1"/>
  <c r="J23" i="44" s="1"/>
  <c r="J11" i="44" s="1"/>
  <c r="S132" i="44"/>
  <c r="T132" i="44" s="1"/>
  <c r="R132" i="44"/>
  <c r="J120" i="44"/>
  <c r="J108" i="44" s="1"/>
  <c r="J96" i="44" s="1"/>
  <c r="J84" i="44" s="1"/>
  <c r="J72" i="44" s="1"/>
  <c r="J60" i="44" s="1"/>
  <c r="J48" i="44" s="1"/>
  <c r="J36" i="44" s="1"/>
  <c r="J24" i="44" s="1"/>
  <c r="J12" i="44" s="1"/>
  <c r="J133" i="44"/>
  <c r="Q133" i="44" s="1"/>
  <c r="J134" i="44"/>
  <c r="Q134" i="44" s="1"/>
  <c r="R131" i="44"/>
  <c r="S131" i="44"/>
  <c r="T131" i="44" s="1"/>
  <c r="H24" i="11"/>
  <c r="M19" i="11"/>
  <c r="H29" i="11"/>
  <c r="H39" i="11"/>
  <c r="I29" i="11"/>
  <c r="I24" i="11"/>
  <c r="I39" i="11"/>
  <c r="C53" i="11"/>
  <c r="C11" i="11"/>
  <c r="H19" i="11"/>
  <c r="F54" i="11"/>
  <c r="F60" i="11" s="1"/>
  <c r="F7" i="11"/>
  <c r="C7" i="11"/>
  <c r="C54" i="11"/>
  <c r="C60" i="11" s="1"/>
  <c r="P157" i="44"/>
  <c r="Q157" i="44" s="1"/>
  <c r="J158" i="44"/>
  <c r="P158" i="44"/>
  <c r="Q158" i="44" s="1"/>
  <c r="H159" i="44"/>
  <c r="H160" i="46"/>
  <c r="H159" i="20"/>
  <c r="J39" i="11"/>
  <c r="M39" i="11"/>
  <c r="I154" i="22"/>
  <c r="N106" i="22"/>
  <c r="P50" i="22"/>
  <c r="P48" i="22"/>
  <c r="I147" i="22"/>
  <c r="I158" i="22"/>
  <c r="N110" i="22"/>
  <c r="I150" i="22"/>
  <c r="N102" i="22"/>
  <c r="N87" i="22"/>
  <c r="Q174" i="22" s="1"/>
  <c r="O174" i="22"/>
  <c r="I101" i="44"/>
  <c r="Q101" i="44" s="1"/>
  <c r="I100" i="44"/>
  <c r="Q100" i="44" s="1"/>
  <c r="I105" i="44"/>
  <c r="Q105" i="44" s="1"/>
  <c r="I104" i="44"/>
  <c r="Q104" i="44" s="1"/>
  <c r="I106" i="44"/>
  <c r="Q106" i="44" s="1"/>
  <c r="I114" i="44"/>
  <c r="Q114" i="44" s="1"/>
  <c r="I110" i="44"/>
  <c r="I109" i="44"/>
  <c r="I107" i="44"/>
  <c r="I108" i="44"/>
  <c r="R123" i="44"/>
  <c r="S123" i="44"/>
  <c r="S125" i="44"/>
  <c r="R125" i="44"/>
  <c r="R115" i="44"/>
  <c r="S115" i="44"/>
  <c r="R112" i="44"/>
  <c r="S112" i="44"/>
  <c r="S126" i="44"/>
  <c r="R126" i="44"/>
  <c r="S124" i="44"/>
  <c r="R124" i="44"/>
  <c r="R111" i="44"/>
  <c r="S111" i="44"/>
  <c r="S127" i="44"/>
  <c r="S113" i="44"/>
  <c r="R113" i="44"/>
  <c r="J11" i="11"/>
  <c r="C34" i="9"/>
  <c r="G31" i="9"/>
  <c r="I15" i="11"/>
  <c r="D33" i="9"/>
  <c r="I33" i="9"/>
  <c r="L11" i="11"/>
  <c r="C36" i="9"/>
  <c r="J15" i="11"/>
  <c r="D34" i="9"/>
  <c r="I35" i="9"/>
  <c r="K39" i="11"/>
  <c r="G11" i="11"/>
  <c r="C31" i="9"/>
  <c r="C27" i="9"/>
  <c r="M24" i="11"/>
  <c r="F37" i="9"/>
  <c r="E32" i="9"/>
  <c r="J29" i="11"/>
  <c r="G34" i="9"/>
  <c r="J24" i="11"/>
  <c r="F34" i="9"/>
  <c r="M11" i="11"/>
  <c r="F31" i="9"/>
  <c r="G32" i="9"/>
  <c r="F11" i="11"/>
  <c r="F63" i="11" s="1"/>
  <c r="F64" i="11" s="1"/>
  <c r="C30" i="9"/>
  <c r="H11" i="11"/>
  <c r="C32" i="9"/>
  <c r="F32" i="9"/>
  <c r="J34" i="11"/>
  <c r="H34" i="9"/>
  <c r="L15" i="11"/>
  <c r="D36" i="9"/>
  <c r="M15" i="11"/>
  <c r="L19" i="11"/>
  <c r="E36" i="9"/>
  <c r="G15" i="11"/>
  <c r="D31" i="9"/>
  <c r="I32" i="9"/>
  <c r="K24" i="11"/>
  <c r="F35" i="9"/>
  <c r="M34" i="11"/>
  <c r="I11" i="11"/>
  <c r="C33" i="9"/>
  <c r="L24" i="11"/>
  <c r="F36" i="9"/>
  <c r="G19" i="11"/>
  <c r="E31" i="9"/>
  <c r="G33" i="9"/>
  <c r="H15" i="11"/>
  <c r="D32" i="9"/>
  <c r="E11" i="11"/>
  <c r="C29" i="9"/>
  <c r="K15" i="11"/>
  <c r="D35" i="9"/>
  <c r="I36" i="9"/>
  <c r="L39" i="11"/>
  <c r="K29" i="11"/>
  <c r="G35" i="9"/>
  <c r="J19" i="11"/>
  <c r="E34" i="9"/>
  <c r="L29" i="11"/>
  <c r="G36" i="9"/>
  <c r="I19" i="11"/>
  <c r="E33" i="9"/>
  <c r="D11" i="11"/>
  <c r="C28" i="9"/>
  <c r="K19" i="11"/>
  <c r="E35" i="9"/>
  <c r="M29" i="11"/>
  <c r="G37" i="9"/>
  <c r="L34" i="11"/>
  <c r="K11" i="11"/>
  <c r="C35" i="9"/>
  <c r="F33" i="9"/>
  <c r="K34" i="11"/>
  <c r="H35" i="9"/>
  <c r="I34" i="9"/>
  <c r="I37" i="9"/>
  <c r="I31" i="9"/>
  <c r="P39" i="22"/>
  <c r="O51" i="22"/>
  <c r="P51" i="22" s="1"/>
  <c r="P46" i="37"/>
  <c r="P40" i="37"/>
  <c r="P53" i="37"/>
  <c r="P169" i="37"/>
  <c r="P42" i="37"/>
  <c r="P39" i="37"/>
  <c r="P57" i="37"/>
  <c r="O54" i="37"/>
  <c r="P54" i="37" s="1"/>
  <c r="N54" i="37"/>
  <c r="O58" i="37"/>
  <c r="P58" i="37" s="1"/>
  <c r="N58" i="37"/>
  <c r="O60" i="37"/>
  <c r="P60" i="37" s="1"/>
  <c r="N60" i="37"/>
  <c r="O55" i="37"/>
  <c r="P55" i="37" s="1"/>
  <c r="N55" i="37"/>
  <c r="O52" i="37"/>
  <c r="N52" i="37"/>
  <c r="O61" i="37"/>
  <c r="N61" i="37"/>
  <c r="O59" i="37"/>
  <c r="N59" i="37"/>
  <c r="O62" i="37"/>
  <c r="P62" i="37" s="1"/>
  <c r="N62" i="37"/>
  <c r="Q168" i="20"/>
  <c r="O170" i="20"/>
  <c r="Q51" i="20"/>
  <c r="P51" i="20"/>
  <c r="Q61" i="20"/>
  <c r="P61" i="20"/>
  <c r="Q56" i="20"/>
  <c r="P56" i="20"/>
  <c r="R26" i="20"/>
  <c r="Q167" i="20"/>
  <c r="Q63" i="20"/>
  <c r="P63" i="20"/>
  <c r="Q59" i="20"/>
  <c r="P59" i="20"/>
  <c r="P54" i="20"/>
  <c r="Q54" i="20"/>
  <c r="P62" i="20"/>
  <c r="Q62" i="20"/>
  <c r="R44" i="20"/>
  <c r="P58" i="20"/>
  <c r="Q58" i="20"/>
  <c r="Q52" i="20"/>
  <c r="P52" i="20"/>
  <c r="Q53" i="20"/>
  <c r="P53" i="20"/>
  <c r="Q60" i="20"/>
  <c r="P60" i="20"/>
  <c r="Q169" i="20"/>
  <c r="R18" i="20"/>
  <c r="R36" i="20"/>
  <c r="B8" i="9"/>
  <c r="E49" i="11"/>
  <c r="D49" i="11"/>
  <c r="B7" i="9"/>
  <c r="N72" i="37"/>
  <c r="BV94" i="24"/>
  <c r="AO52" i="32"/>
  <c r="AT77" i="32" s="1"/>
  <c r="AX53" i="32"/>
  <c r="AT72" i="32" s="1"/>
  <c r="AS53" i="32"/>
  <c r="AT67" i="32" s="1"/>
  <c r="AO53" i="32"/>
  <c r="AT63" i="32" s="1"/>
  <c r="AT52" i="32"/>
  <c r="AT82" i="32" s="1"/>
  <c r="AQ52" i="32"/>
  <c r="AT79" i="32" s="1"/>
  <c r="O79" i="22"/>
  <c r="P79" i="22" s="1"/>
  <c r="O51" i="37"/>
  <c r="P51" i="37" s="1"/>
  <c r="O63" i="22"/>
  <c r="P63" i="22" s="1"/>
  <c r="O77" i="22"/>
  <c r="P77" i="22" s="1"/>
  <c r="O84" i="22"/>
  <c r="P84" i="22" s="1"/>
  <c r="O83" i="22"/>
  <c r="P83" i="22" s="1"/>
  <c r="O76" i="22"/>
  <c r="P76" i="22" s="1"/>
  <c r="O78" i="22"/>
  <c r="P78" i="22" s="1"/>
  <c r="O63" i="37"/>
  <c r="P63" i="37" s="1"/>
  <c r="BV129" i="24"/>
  <c r="O86" i="22"/>
  <c r="P86" i="22" s="1"/>
  <c r="O81" i="22"/>
  <c r="P81" i="22" s="1"/>
  <c r="O85" i="22"/>
  <c r="P85" i="22" s="1"/>
  <c r="O82" i="22"/>
  <c r="P82" i="22" s="1"/>
  <c r="O80" i="22"/>
  <c r="P80" i="22" s="1"/>
  <c r="J81" i="20"/>
  <c r="J85" i="20"/>
  <c r="J80" i="20"/>
  <c r="J84" i="20"/>
  <c r="J83" i="20"/>
  <c r="BV115" i="24"/>
  <c r="J86" i="20"/>
  <c r="J75" i="20"/>
  <c r="J82" i="20"/>
  <c r="J79" i="20"/>
  <c r="BW94" i="24"/>
  <c r="BV113" i="24"/>
  <c r="J77" i="20"/>
  <c r="J76" i="20"/>
  <c r="J78" i="20"/>
  <c r="BS96" i="24"/>
  <c r="BK89" i="24"/>
  <c r="BT87" i="24"/>
  <c r="BU93" i="24"/>
  <c r="BT94" i="24"/>
  <c r="BL93" i="24"/>
  <c r="BK91" i="24"/>
  <c r="BN104" i="24"/>
  <c r="BM92" i="24"/>
  <c r="BR109" i="24"/>
  <c r="BN109" i="24"/>
  <c r="BR86" i="24"/>
  <c r="BT91" i="24"/>
  <c r="BO101" i="24"/>
  <c r="BW113" i="24"/>
  <c r="BS104" i="24"/>
  <c r="BW86" i="24"/>
  <c r="BO86" i="24"/>
  <c r="BL88" i="24"/>
  <c r="BJ99" i="24"/>
  <c r="BS86" i="24"/>
  <c r="BO114" i="24"/>
  <c r="BT97" i="24"/>
  <c r="BN86" i="24"/>
  <c r="BX95" i="24"/>
  <c r="BJ118" i="24"/>
  <c r="BJ116" i="24"/>
  <c r="BK124" i="24"/>
  <c r="BR99" i="24"/>
  <c r="BM86" i="24"/>
  <c r="BV108" i="24"/>
  <c r="BU120" i="24"/>
  <c r="BO100" i="24"/>
  <c r="BK97" i="24"/>
  <c r="BN101" i="24"/>
  <c r="BN111" i="24"/>
  <c r="BO106" i="24"/>
  <c r="BT93" i="24"/>
  <c r="BW103" i="24"/>
  <c r="BP94" i="24"/>
  <c r="BQ93" i="24"/>
  <c r="BX90" i="24"/>
  <c r="BR103" i="24"/>
  <c r="BV86" i="24"/>
  <c r="BJ105" i="24"/>
  <c r="BW99" i="24"/>
  <c r="BX92" i="24"/>
  <c r="BO104" i="24"/>
  <c r="BX96" i="24"/>
  <c r="BW108" i="24"/>
  <c r="BQ94" i="24"/>
  <c r="BL89" i="24"/>
  <c r="BS105" i="24"/>
  <c r="BM109" i="24"/>
  <c r="BQ95" i="24"/>
  <c r="BQ92" i="24"/>
  <c r="BR112" i="24"/>
  <c r="BM103" i="24"/>
  <c r="BU114" i="24"/>
  <c r="BL87" i="24"/>
  <c r="BK95" i="24"/>
  <c r="BM88" i="24"/>
  <c r="BK93" i="24"/>
  <c r="BP93" i="24"/>
  <c r="BL95" i="24"/>
  <c r="BO119" i="24"/>
  <c r="BJ100" i="24"/>
  <c r="BV124" i="24"/>
  <c r="BJ103" i="24"/>
  <c r="BV111" i="24"/>
  <c r="BP86" i="24"/>
  <c r="BU95" i="24"/>
  <c r="BS109" i="24"/>
  <c r="BS101" i="24"/>
  <c r="BM90" i="24"/>
  <c r="BV109" i="24"/>
  <c r="BR105" i="24"/>
  <c r="BP92" i="24"/>
  <c r="BN124" i="24"/>
  <c r="BW102" i="24"/>
  <c r="BP91" i="24"/>
  <c r="BL86" i="24"/>
  <c r="BU87" i="24"/>
  <c r="BS112" i="24"/>
  <c r="BW105" i="24"/>
  <c r="BL91" i="24"/>
  <c r="BW109" i="24"/>
  <c r="BT88" i="24"/>
  <c r="BO103" i="24"/>
  <c r="BL94" i="24"/>
  <c r="BN108" i="24"/>
  <c r="BO111" i="24"/>
  <c r="BM105" i="24"/>
  <c r="BJ114" i="24"/>
  <c r="BT95" i="24"/>
  <c r="BU112" i="24"/>
  <c r="BX97" i="24"/>
  <c r="BO109" i="24"/>
  <c r="BT89" i="24"/>
  <c r="BM99" i="24"/>
  <c r="BL92" i="24"/>
  <c r="BN106" i="24"/>
  <c r="BX87" i="24"/>
  <c r="BU86" i="24"/>
  <c r="BT90" i="24"/>
  <c r="BS114" i="24"/>
  <c r="BT96" i="24"/>
  <c r="BU116" i="24"/>
  <c r="BO105" i="24"/>
  <c r="BP97" i="24"/>
  <c r="BO108" i="24"/>
  <c r="BM107" i="24"/>
  <c r="BR108" i="24"/>
  <c r="BL96" i="24"/>
  <c r="BX93" i="24"/>
  <c r="BM96" i="24"/>
  <c r="BM101" i="24"/>
  <c r="BQ88" i="24"/>
  <c r="BN117" i="24"/>
  <c r="BJ107" i="24"/>
  <c r="BU118" i="24"/>
  <c r="BK90" i="24"/>
  <c r="BQ87" i="24"/>
  <c r="BX91" i="24"/>
  <c r="BK86" i="24"/>
  <c r="BS106" i="24"/>
  <c r="BP96" i="24"/>
  <c r="BU89" i="24"/>
  <c r="BP87" i="24"/>
  <c r="BV114" i="24"/>
  <c r="BX88" i="24"/>
  <c r="BP95" i="24"/>
  <c r="BS103" i="24"/>
  <c r="BQ96" i="24"/>
  <c r="BM94" i="24"/>
  <c r="BJ113" i="24"/>
  <c r="BT92" i="24"/>
  <c r="BL97" i="24"/>
  <c r="BJ109" i="24"/>
  <c r="BP89" i="24"/>
  <c r="BN114" i="24"/>
  <c r="BK116" i="24"/>
  <c r="BP88" i="24"/>
  <c r="BX86" i="24"/>
  <c r="BP90" i="24"/>
  <c r="BT86" i="24"/>
  <c r="BR116" i="24"/>
  <c r="BS99" i="24"/>
  <c r="BQ91" i="24"/>
  <c r="BQ90" i="24"/>
  <c r="BN107" i="24"/>
  <c r="BR102" i="24"/>
  <c r="BQ89" i="24"/>
  <c r="BS107" i="24"/>
  <c r="BK96" i="24"/>
  <c r="BQ97" i="24"/>
  <c r="BK94" i="24"/>
  <c r="BN115" i="24"/>
  <c r="BX89" i="24"/>
  <c r="BQ86" i="24"/>
  <c r="BR101" i="24"/>
  <c r="BX94" i="24"/>
  <c r="BU91" i="24"/>
  <c r="BR107" i="24"/>
  <c r="BL90" i="24"/>
  <c r="BJ108" i="24"/>
  <c r="BU97" i="24"/>
  <c r="BK87" i="24"/>
  <c r="BJ86" i="24"/>
  <c r="AT61" i="32"/>
  <c r="AN52" i="32"/>
  <c r="AT76" i="32" s="1"/>
  <c r="AU52" i="32"/>
  <c r="AT83" i="32" s="1"/>
  <c r="AR53" i="32"/>
  <c r="AT66" i="32" s="1"/>
  <c r="AN53" i="32"/>
  <c r="AT62" i="32" s="1"/>
  <c r="AW52" i="32"/>
  <c r="AT85" i="32" s="1"/>
  <c r="X11" i="32"/>
  <c r="AP53" i="32"/>
  <c r="AT64" i="32" s="1"/>
  <c r="AW53" i="32"/>
  <c r="AT71" i="32" s="1"/>
  <c r="AP52" i="32"/>
  <c r="AT78" i="32" s="1"/>
  <c r="AX52" i="32"/>
  <c r="AT86" i="32" s="1"/>
  <c r="AV52" i="32"/>
  <c r="AT84" i="32" s="1"/>
  <c r="CB25" i="32"/>
  <c r="CB26" i="32" s="1"/>
  <c r="CK26" i="32" s="1"/>
  <c r="CI69" i="32" s="1"/>
  <c r="G155" i="58" s="1"/>
  <c r="AT53" i="32"/>
  <c r="AT68" i="32" s="1"/>
  <c r="AU53" i="32"/>
  <c r="AT69" i="32" s="1"/>
  <c r="AV53" i="32"/>
  <c r="AT70" i="32" s="1"/>
  <c r="AQ53" i="32"/>
  <c r="AT65" i="32" s="1"/>
  <c r="AR52" i="32"/>
  <c r="AT80" i="32" s="1"/>
  <c r="AS52" i="32"/>
  <c r="AT81" i="32" s="1"/>
  <c r="AM52" i="32"/>
  <c r="AT75" i="32" s="1"/>
  <c r="CJ26" i="32" l="1"/>
  <c r="CI68" i="32" s="1"/>
  <c r="G154" i="58" s="1"/>
  <c r="L63" i="11"/>
  <c r="L64" i="11" s="1"/>
  <c r="I87" i="45"/>
  <c r="O87" i="45" s="1"/>
  <c r="I56" i="46"/>
  <c r="O56" i="46" s="1"/>
  <c r="W63" i="17"/>
  <c r="I93" i="45"/>
  <c r="O93" i="45" s="1"/>
  <c r="I60" i="46"/>
  <c r="O60" i="46" s="1"/>
  <c r="I52" i="46"/>
  <c r="O52" i="46" s="1"/>
  <c r="I58" i="46"/>
  <c r="O58" i="46" s="1"/>
  <c r="I57" i="46"/>
  <c r="O57" i="46" s="1"/>
  <c r="R25" i="46"/>
  <c r="I53" i="59"/>
  <c r="O41" i="59"/>
  <c r="I61" i="59"/>
  <c r="O49" i="59"/>
  <c r="Q27" i="59"/>
  <c r="P27" i="59"/>
  <c r="Q169" i="59"/>
  <c r="O46" i="59"/>
  <c r="I58" i="59"/>
  <c r="R17" i="59"/>
  <c r="R25" i="59"/>
  <c r="R15" i="59"/>
  <c r="P38" i="59"/>
  <c r="Q38" i="59"/>
  <c r="P32" i="59"/>
  <c r="Q32" i="59"/>
  <c r="P28" i="59"/>
  <c r="Q28" i="59"/>
  <c r="P30" i="59"/>
  <c r="Q30" i="59"/>
  <c r="I57" i="59"/>
  <c r="O45" i="59"/>
  <c r="I51" i="59"/>
  <c r="O39" i="59"/>
  <c r="R24" i="59"/>
  <c r="Q35" i="59"/>
  <c r="P35" i="59"/>
  <c r="I56" i="59"/>
  <c r="O44" i="59"/>
  <c r="R23" i="59"/>
  <c r="R19" i="59"/>
  <c r="R22" i="59"/>
  <c r="P36" i="59"/>
  <c r="Q36" i="59"/>
  <c r="R18" i="59"/>
  <c r="I59" i="59"/>
  <c r="O47" i="59"/>
  <c r="Q31" i="59"/>
  <c r="P31" i="59"/>
  <c r="R20" i="59"/>
  <c r="I60" i="59"/>
  <c r="O48" i="59"/>
  <c r="Q29" i="59"/>
  <c r="P29" i="59"/>
  <c r="P37" i="59"/>
  <c r="Q37" i="59"/>
  <c r="Q34" i="59"/>
  <c r="P34" i="59"/>
  <c r="R16" i="59"/>
  <c r="R21" i="59"/>
  <c r="S168" i="59"/>
  <c r="I62" i="59"/>
  <c r="O50" i="59"/>
  <c r="I55" i="59"/>
  <c r="O43" i="59"/>
  <c r="R26" i="59"/>
  <c r="I52" i="59"/>
  <c r="O40" i="59"/>
  <c r="I54" i="59"/>
  <c r="O42" i="59"/>
  <c r="Q33" i="59"/>
  <c r="P33" i="59"/>
  <c r="Q107" i="44"/>
  <c r="Q108" i="44"/>
  <c r="I87" i="44"/>
  <c r="Q87" i="44" s="1"/>
  <c r="I74" i="46"/>
  <c r="O74" i="46" s="1"/>
  <c r="R29" i="46"/>
  <c r="I73" i="46"/>
  <c r="O73" i="46" s="1"/>
  <c r="I67" i="46"/>
  <c r="O67" i="46" s="1"/>
  <c r="R37" i="46"/>
  <c r="P45" i="46"/>
  <c r="Q45" i="46"/>
  <c r="P42" i="46"/>
  <c r="Q42" i="46"/>
  <c r="Q41" i="46"/>
  <c r="P41" i="46"/>
  <c r="P48" i="46"/>
  <c r="Q48" i="46"/>
  <c r="Q39" i="46"/>
  <c r="Q170" i="46"/>
  <c r="P39" i="46"/>
  <c r="P47" i="46"/>
  <c r="Q47" i="46"/>
  <c r="R36" i="46"/>
  <c r="S169" i="46"/>
  <c r="O178" i="20"/>
  <c r="I66" i="46"/>
  <c r="O66" i="46" s="1"/>
  <c r="I65" i="46"/>
  <c r="O65" i="46" s="1"/>
  <c r="R32" i="46"/>
  <c r="R34" i="46"/>
  <c r="I63" i="46"/>
  <c r="O63" i="46" s="1"/>
  <c r="I71" i="46"/>
  <c r="O71" i="46" s="1"/>
  <c r="R27" i="46"/>
  <c r="R35" i="46"/>
  <c r="R31" i="46"/>
  <c r="Q44" i="46"/>
  <c r="P44" i="46"/>
  <c r="R33" i="46"/>
  <c r="P46" i="46"/>
  <c r="Q46" i="46"/>
  <c r="R30" i="46"/>
  <c r="P50" i="46"/>
  <c r="Q50" i="46"/>
  <c r="Q40" i="46"/>
  <c r="P40" i="46"/>
  <c r="Q49" i="46"/>
  <c r="P49" i="46"/>
  <c r="R38" i="46"/>
  <c r="Q43" i="46"/>
  <c r="P43" i="46"/>
  <c r="R28" i="46"/>
  <c r="I91" i="44"/>
  <c r="Q91" i="44" s="1"/>
  <c r="Q178" i="44"/>
  <c r="Q119" i="44"/>
  <c r="R119" i="44" s="1"/>
  <c r="Q120" i="44"/>
  <c r="R120" i="44" s="1"/>
  <c r="I78" i="45"/>
  <c r="O78" i="45" s="1"/>
  <c r="I79" i="45"/>
  <c r="O79" i="45" s="1"/>
  <c r="I83" i="45"/>
  <c r="O83" i="45" s="1"/>
  <c r="I86" i="45"/>
  <c r="O86" i="45" s="1"/>
  <c r="I76" i="45"/>
  <c r="O76" i="45" s="1"/>
  <c r="I85" i="45"/>
  <c r="O85" i="45" s="1"/>
  <c r="I82" i="45"/>
  <c r="O82" i="45" s="1"/>
  <c r="I84" i="45"/>
  <c r="O84" i="45" s="1"/>
  <c r="I80" i="45"/>
  <c r="O80" i="45" s="1"/>
  <c r="I77" i="45"/>
  <c r="O77" i="45" s="1"/>
  <c r="R53" i="20"/>
  <c r="R59" i="20"/>
  <c r="R54" i="20"/>
  <c r="R61" i="20"/>
  <c r="R60" i="20"/>
  <c r="R52" i="20"/>
  <c r="R63" i="20"/>
  <c r="R58" i="20"/>
  <c r="R62" i="20"/>
  <c r="R56" i="20"/>
  <c r="R51" i="20"/>
  <c r="O39" i="11"/>
  <c r="U41" i="17"/>
  <c r="T32" i="17"/>
  <c r="T36" i="17" s="1"/>
  <c r="T73" i="17"/>
  <c r="T74" i="17" s="1"/>
  <c r="T75" i="17" s="1"/>
  <c r="T76" i="17" s="1"/>
  <c r="T77" i="17" s="1"/>
  <c r="T78" i="17" s="1"/>
  <c r="T79" i="17" s="1"/>
  <c r="T80" i="17" s="1"/>
  <c r="T81" i="17" s="1"/>
  <c r="T82" i="17" s="1"/>
  <c r="T83" i="17" s="1"/>
  <c r="F42" i="9"/>
  <c r="F17" i="9"/>
  <c r="I38" i="9"/>
  <c r="H38" i="9"/>
  <c r="E60" i="17"/>
  <c r="R26" i="17"/>
  <c r="L27" i="17"/>
  <c r="G53" i="11"/>
  <c r="O26" i="17"/>
  <c r="O27" i="17" s="1"/>
  <c r="K100" i="45"/>
  <c r="I100" i="37"/>
  <c r="M100" i="37" s="1"/>
  <c r="L96" i="44"/>
  <c r="L144" i="44" s="1"/>
  <c r="K87" i="45"/>
  <c r="I87" i="37"/>
  <c r="M87" i="37" s="1"/>
  <c r="K95" i="45"/>
  <c r="I95" i="37"/>
  <c r="M95" i="37" s="1"/>
  <c r="K89" i="45"/>
  <c r="I89" i="37"/>
  <c r="M89" i="37" s="1"/>
  <c r="BW100" i="24"/>
  <c r="BU130" i="24"/>
  <c r="L94" i="44"/>
  <c r="L142" i="44" s="1"/>
  <c r="L88" i="44"/>
  <c r="L136" i="44" s="1"/>
  <c r="L98" i="44"/>
  <c r="L146" i="44" s="1"/>
  <c r="BJ130" i="24"/>
  <c r="I27" i="17"/>
  <c r="K96" i="45"/>
  <c r="I96" i="37"/>
  <c r="M96" i="37" s="1"/>
  <c r="BW107" i="24"/>
  <c r="L89" i="44"/>
  <c r="L137" i="44" s="1"/>
  <c r="L97" i="44"/>
  <c r="L145" i="44" s="1"/>
  <c r="L93" i="44"/>
  <c r="L141" i="44" s="1"/>
  <c r="K104" i="45"/>
  <c r="I104" i="37"/>
  <c r="M104" i="37" s="1"/>
  <c r="BU132" i="24"/>
  <c r="K93" i="45"/>
  <c r="I93" i="37"/>
  <c r="M93" i="37" s="1"/>
  <c r="BW104" i="24"/>
  <c r="K110" i="45"/>
  <c r="I110" i="37"/>
  <c r="M110" i="37" s="1"/>
  <c r="K106" i="45"/>
  <c r="I106" i="37"/>
  <c r="M106" i="37" s="1"/>
  <c r="L87" i="44"/>
  <c r="L135" i="44" s="1"/>
  <c r="L95" i="44"/>
  <c r="L143" i="44" s="1"/>
  <c r="L90" i="44"/>
  <c r="L138" i="44" s="1"/>
  <c r="L92" i="44"/>
  <c r="L140" i="44" s="1"/>
  <c r="K103" i="45"/>
  <c r="I103" i="37"/>
  <c r="M103" i="37" s="1"/>
  <c r="BO131" i="24"/>
  <c r="K109" i="45"/>
  <c r="I109" i="37"/>
  <c r="M109" i="37" s="1"/>
  <c r="L91" i="44"/>
  <c r="L139" i="44" s="1"/>
  <c r="K114" i="45"/>
  <c r="I114" i="37"/>
  <c r="N172" i="37"/>
  <c r="I53" i="11"/>
  <c r="F27" i="17"/>
  <c r="H26" i="17"/>
  <c r="E53" i="11"/>
  <c r="R129" i="44"/>
  <c r="S117" i="44"/>
  <c r="T117" i="44" s="1"/>
  <c r="R130" i="44"/>
  <c r="R118" i="44"/>
  <c r="S128" i="44"/>
  <c r="T128" i="44" s="1"/>
  <c r="R116" i="44"/>
  <c r="S134" i="44"/>
  <c r="T134" i="44" s="1"/>
  <c r="R134" i="44"/>
  <c r="R133" i="44"/>
  <c r="S133" i="44"/>
  <c r="T133" i="44" s="1"/>
  <c r="J122" i="44"/>
  <c r="Q122" i="44" s="1"/>
  <c r="J121" i="44"/>
  <c r="Q121" i="44" s="1"/>
  <c r="D7" i="11"/>
  <c r="D54" i="11"/>
  <c r="E54" i="11"/>
  <c r="E7" i="11"/>
  <c r="O177" i="22"/>
  <c r="K53" i="11"/>
  <c r="Q177" i="22"/>
  <c r="N99" i="22"/>
  <c r="Q175" i="22" s="1"/>
  <c r="O175" i="22"/>
  <c r="I89" i="44"/>
  <c r="Q89" i="44" s="1"/>
  <c r="I88" i="44"/>
  <c r="Q88" i="44" s="1"/>
  <c r="I92" i="44"/>
  <c r="Q92" i="44" s="1"/>
  <c r="I93" i="44"/>
  <c r="Q93" i="44" s="1"/>
  <c r="I102" i="44"/>
  <c r="Q102" i="44" s="1"/>
  <c r="I94" i="44"/>
  <c r="Q94" i="44" s="1"/>
  <c r="I95" i="44"/>
  <c r="Q95" i="44" s="1"/>
  <c r="I98" i="44"/>
  <c r="I96" i="44"/>
  <c r="Q96" i="44" s="1"/>
  <c r="I97" i="44"/>
  <c r="T124" i="44"/>
  <c r="T113" i="44"/>
  <c r="T111" i="44"/>
  <c r="R100" i="44"/>
  <c r="S100" i="44"/>
  <c r="S105" i="44"/>
  <c r="R105" i="44"/>
  <c r="R103" i="44"/>
  <c r="S103" i="44"/>
  <c r="S104" i="44"/>
  <c r="R104" i="44"/>
  <c r="S99" i="44"/>
  <c r="R99" i="44"/>
  <c r="T126" i="44"/>
  <c r="T125" i="44"/>
  <c r="T116" i="44"/>
  <c r="T127" i="44"/>
  <c r="T118" i="44"/>
  <c r="R114" i="44"/>
  <c r="S114" i="44"/>
  <c r="T112" i="44"/>
  <c r="T115" i="44"/>
  <c r="S101" i="44"/>
  <c r="R101" i="44"/>
  <c r="T123" i="44"/>
  <c r="S106" i="44"/>
  <c r="R106" i="44"/>
  <c r="D63" i="11"/>
  <c r="D48" i="11"/>
  <c r="E48" i="11"/>
  <c r="E63" i="11"/>
  <c r="I48" i="11"/>
  <c r="I63" i="11"/>
  <c r="I64" i="11" s="1"/>
  <c r="M48" i="11"/>
  <c r="M63" i="11"/>
  <c r="M64" i="11" s="1"/>
  <c r="C63" i="11"/>
  <c r="C48" i="11"/>
  <c r="C59" i="11" s="1"/>
  <c r="L48" i="11"/>
  <c r="H63" i="11"/>
  <c r="H64" i="11" s="1"/>
  <c r="H48" i="11"/>
  <c r="G48" i="11"/>
  <c r="G63" i="11"/>
  <c r="G64" i="11" s="1"/>
  <c r="K63" i="11"/>
  <c r="K64" i="11" s="1"/>
  <c r="K48" i="11"/>
  <c r="F48" i="11"/>
  <c r="J48" i="11"/>
  <c r="J63" i="11"/>
  <c r="J64" i="11" s="1"/>
  <c r="P170" i="37"/>
  <c r="P61" i="37"/>
  <c r="P59" i="37"/>
  <c r="P52" i="37"/>
  <c r="O70" i="37"/>
  <c r="P70" i="37" s="1"/>
  <c r="N70" i="37"/>
  <c r="O72" i="37"/>
  <c r="O65" i="37"/>
  <c r="P65" i="37" s="1"/>
  <c r="N65" i="37"/>
  <c r="O68" i="37"/>
  <c r="P68" i="37" s="1"/>
  <c r="N68" i="37"/>
  <c r="O67" i="37"/>
  <c r="N67" i="37"/>
  <c r="O74" i="37"/>
  <c r="P74" i="37" s="1"/>
  <c r="N74" i="37"/>
  <c r="O66" i="37"/>
  <c r="P66" i="37" s="1"/>
  <c r="N66" i="37"/>
  <c r="O73" i="37"/>
  <c r="P73" i="37" s="1"/>
  <c r="N73" i="37"/>
  <c r="O64" i="37"/>
  <c r="P64" i="37" s="1"/>
  <c r="N64" i="37"/>
  <c r="O71" i="37"/>
  <c r="P71" i="37" s="1"/>
  <c r="N71" i="37"/>
  <c r="O69" i="37"/>
  <c r="P69" i="37" s="1"/>
  <c r="N69" i="37"/>
  <c r="P64" i="20"/>
  <c r="Q64" i="20"/>
  <c r="Q73" i="20"/>
  <c r="P73" i="20"/>
  <c r="Q69" i="20"/>
  <c r="P69" i="20"/>
  <c r="Q170" i="20"/>
  <c r="P68" i="20"/>
  <c r="Q68" i="20"/>
  <c r="P70" i="20"/>
  <c r="Q70" i="20"/>
  <c r="P66" i="20"/>
  <c r="Q66" i="20"/>
  <c r="Q74" i="20"/>
  <c r="P74" i="20"/>
  <c r="Q65" i="20"/>
  <c r="P65" i="20"/>
  <c r="Q75" i="20"/>
  <c r="P75" i="20"/>
  <c r="Q67" i="20"/>
  <c r="P67" i="20"/>
  <c r="Q71" i="20"/>
  <c r="P71" i="20"/>
  <c r="P72" i="20"/>
  <c r="Q72" i="20"/>
  <c r="O171" i="20"/>
  <c r="B10" i="9"/>
  <c r="G49" i="11"/>
  <c r="BV106" i="24"/>
  <c r="CM26" i="32"/>
  <c r="CI71" i="32" s="1"/>
  <c r="G157" i="58" s="1"/>
  <c r="O75" i="37"/>
  <c r="P75" i="37" s="1"/>
  <c r="O75" i="22"/>
  <c r="P75" i="22" s="1"/>
  <c r="CD26" i="32"/>
  <c r="CI62" i="32" s="1"/>
  <c r="G148" i="58" s="1"/>
  <c r="CD25" i="32"/>
  <c r="CI76" i="32" s="1"/>
  <c r="G136" i="58" s="1"/>
  <c r="CH25" i="32"/>
  <c r="CI80" i="32" s="1"/>
  <c r="G140" i="58" s="1"/>
  <c r="CE26" i="32"/>
  <c r="CI63" i="32" s="1"/>
  <c r="G149" i="58" s="1"/>
  <c r="CG25" i="32"/>
  <c r="CI79" i="32" s="1"/>
  <c r="G139" i="58" s="1"/>
  <c r="CF26" i="32"/>
  <c r="CI64" i="32" s="1"/>
  <c r="G150" i="58" s="1"/>
  <c r="CH26" i="32"/>
  <c r="CI66" i="32" s="1"/>
  <c r="G152" i="58" s="1"/>
  <c r="J87" i="20"/>
  <c r="J92" i="20"/>
  <c r="J140" i="20" s="1"/>
  <c r="BS108" i="24"/>
  <c r="BV125" i="24"/>
  <c r="J91" i="20"/>
  <c r="J139" i="20" s="1"/>
  <c r="J95" i="20"/>
  <c r="J143" i="20" s="1"/>
  <c r="J90" i="20"/>
  <c r="J138" i="20" s="1"/>
  <c r="J94" i="20"/>
  <c r="J142" i="20" s="1"/>
  <c r="J88" i="20"/>
  <c r="J136" i="20" s="1"/>
  <c r="J98" i="20"/>
  <c r="J146" i="20" s="1"/>
  <c r="BV127" i="24"/>
  <c r="J89" i="20"/>
  <c r="J137" i="20" s="1"/>
  <c r="J97" i="20"/>
  <c r="J145" i="20" s="1"/>
  <c r="J93" i="20"/>
  <c r="J141" i="20" s="1"/>
  <c r="J96" i="20"/>
  <c r="J144" i="20" s="1"/>
  <c r="BW106" i="24"/>
  <c r="BU109" i="24"/>
  <c r="BK106" i="24"/>
  <c r="BX105" i="24"/>
  <c r="BT108" i="24"/>
  <c r="BW117" i="24"/>
  <c r="BP98" i="24"/>
  <c r="BQ107" i="24"/>
  <c r="BQ106" i="24"/>
  <c r="BJ117" i="24"/>
  <c r="BJ111" i="24"/>
  <c r="BN121" i="24"/>
  <c r="BK103" i="24"/>
  <c r="BJ120" i="24"/>
  <c r="BX106" i="24"/>
  <c r="BN127" i="24"/>
  <c r="BS119" i="24"/>
  <c r="BR114" i="24"/>
  <c r="BT98" i="24"/>
  <c r="BP100" i="24"/>
  <c r="BL109" i="24"/>
  <c r="BS115" i="24"/>
  <c r="BP108" i="24"/>
  <c r="BX103" i="24"/>
  <c r="BK102" i="24"/>
  <c r="BJ119" i="24"/>
  <c r="BQ100" i="24"/>
  <c r="BM108" i="24"/>
  <c r="BM119" i="24"/>
  <c r="BU128" i="24"/>
  <c r="BT102" i="24"/>
  <c r="BU98" i="24"/>
  <c r="BO121" i="24"/>
  <c r="BU124" i="24"/>
  <c r="BT100" i="24"/>
  <c r="BW114" i="24"/>
  <c r="BP104" i="24"/>
  <c r="BU107" i="24"/>
  <c r="BM100" i="24"/>
  <c r="BM115" i="24"/>
  <c r="BQ104" i="24"/>
  <c r="BW111" i="24"/>
  <c r="BX102" i="24"/>
  <c r="BP106" i="24"/>
  <c r="BN113" i="24"/>
  <c r="BR111" i="24"/>
  <c r="BJ128" i="24"/>
  <c r="BT109" i="24"/>
  <c r="BO113" i="24"/>
  <c r="BR98" i="24"/>
  <c r="BU105" i="24"/>
  <c r="BK99" i="24"/>
  <c r="BN119" i="24"/>
  <c r="BK128" i="24"/>
  <c r="BT104" i="24"/>
  <c r="BO117" i="24"/>
  <c r="BT101" i="24"/>
  <c r="BN120" i="24"/>
  <c r="BP103" i="24"/>
  <c r="BK107" i="24"/>
  <c r="BR124" i="24"/>
  <c r="BO118" i="24"/>
  <c r="BM98" i="24"/>
  <c r="BO126" i="24"/>
  <c r="BN116" i="24"/>
  <c r="BJ98" i="24"/>
  <c r="BL102" i="24"/>
  <c r="BU103" i="24"/>
  <c r="BX101" i="24"/>
  <c r="BQ101" i="24"/>
  <c r="BQ103" i="24"/>
  <c r="BR128" i="24"/>
  <c r="BP102" i="24"/>
  <c r="BN126" i="24"/>
  <c r="BJ121" i="24"/>
  <c r="BJ125" i="24"/>
  <c r="BQ108" i="24"/>
  <c r="BP107" i="24"/>
  <c r="BU101" i="24"/>
  <c r="BK98" i="24"/>
  <c r="BM113" i="24"/>
  <c r="BO120" i="24"/>
  <c r="BL104" i="24"/>
  <c r="BX109" i="24"/>
  <c r="BW121" i="24"/>
  <c r="BU99" i="24"/>
  <c r="BM102" i="24"/>
  <c r="BJ112" i="24"/>
  <c r="BK105" i="24"/>
  <c r="BU126" i="24"/>
  <c r="BS117" i="24"/>
  <c r="BX104" i="24"/>
  <c r="BR115" i="24"/>
  <c r="BQ105" i="24"/>
  <c r="BK109" i="24"/>
  <c r="BN98" i="24"/>
  <c r="BW98" i="24"/>
  <c r="BW125" i="24"/>
  <c r="BT103" i="24"/>
  <c r="BT106" i="24"/>
  <c r="BR113" i="24"/>
  <c r="BK108" i="24"/>
  <c r="BV126" i="24"/>
  <c r="BS118" i="24"/>
  <c r="BQ99" i="24"/>
  <c r="BN129" i="24"/>
  <c r="BR120" i="24"/>
  <c r="BX99" i="24"/>
  <c r="BM117" i="24"/>
  <c r="BO115" i="24"/>
  <c r="BS124" i="24"/>
  <c r="BR117" i="24"/>
  <c r="BS121" i="24"/>
  <c r="BJ115" i="24"/>
  <c r="BL107" i="24"/>
  <c r="BX108" i="24"/>
  <c r="BN123" i="24"/>
  <c r="BM104" i="24"/>
  <c r="BT99" i="24"/>
  <c r="BR119" i="24"/>
  <c r="BQ98" i="24"/>
  <c r="BQ109" i="24"/>
  <c r="BQ102" i="24"/>
  <c r="BS111" i="24"/>
  <c r="BX98" i="24"/>
  <c r="BP101" i="24"/>
  <c r="BM106" i="24"/>
  <c r="BX100" i="24"/>
  <c r="BP99" i="24"/>
  <c r="BL108" i="24"/>
  <c r="BP109" i="24"/>
  <c r="BS126" i="24"/>
  <c r="BN118" i="24"/>
  <c r="BM111" i="24"/>
  <c r="BT107" i="24"/>
  <c r="BJ126" i="24"/>
  <c r="BO123" i="24"/>
  <c r="BL106" i="24"/>
  <c r="BL103" i="24"/>
  <c r="BL98" i="24"/>
  <c r="BV121" i="24"/>
  <c r="BS113" i="24"/>
  <c r="BV123" i="24"/>
  <c r="BP105" i="24"/>
  <c r="BL99" i="24"/>
  <c r="BM121" i="24"/>
  <c r="BL101" i="24"/>
  <c r="BW120" i="24"/>
  <c r="BO116" i="24"/>
  <c r="BV98" i="24"/>
  <c r="BW115" i="24"/>
  <c r="BT105" i="24"/>
  <c r="BO112" i="24"/>
  <c r="BV120" i="24"/>
  <c r="BX107" i="24"/>
  <c r="BS98" i="24"/>
  <c r="BL100" i="24"/>
  <c r="BO98" i="24"/>
  <c r="BS116" i="24"/>
  <c r="BR121" i="24"/>
  <c r="BL105" i="24"/>
  <c r="BK101" i="24"/>
  <c r="CI25" i="32"/>
  <c r="CI81" i="32" s="1"/>
  <c r="G141" i="58" s="1"/>
  <c r="CK25" i="32"/>
  <c r="CI83" i="32" s="1"/>
  <c r="G143" i="58" s="1"/>
  <c r="CL26" i="32"/>
  <c r="CI70" i="32" s="1"/>
  <c r="G156" i="58" s="1"/>
  <c r="CE25" i="32"/>
  <c r="CI77" i="32" s="1"/>
  <c r="G137" i="58" s="1"/>
  <c r="CC26" i="32"/>
  <c r="CI61" i="32" s="1"/>
  <c r="G147" i="58" s="1"/>
  <c r="CN26" i="32"/>
  <c r="CI72" i="32" s="1"/>
  <c r="G158" i="58" s="1"/>
  <c r="CG26" i="32"/>
  <c r="CI65" i="32" s="1"/>
  <c r="G151" i="58" s="1"/>
  <c r="CN25" i="32"/>
  <c r="CI86" i="32" s="1"/>
  <c r="G146" i="58" s="1"/>
  <c r="CM25" i="32"/>
  <c r="CI85" i="32" s="1"/>
  <c r="G145" i="58" s="1"/>
  <c r="CI26" i="32"/>
  <c r="CI67" i="32" s="1"/>
  <c r="G153" i="58" s="1"/>
  <c r="CC25" i="32"/>
  <c r="CI75" i="32" s="1"/>
  <c r="G135" i="58" s="1"/>
  <c r="CF25" i="32"/>
  <c r="CI78" i="32" s="1"/>
  <c r="G138" i="58" s="1"/>
  <c r="CL25" i="32"/>
  <c r="CI84" i="32" s="1"/>
  <c r="G144" i="58" s="1"/>
  <c r="CJ25" i="32"/>
  <c r="CI82" i="32" s="1"/>
  <c r="G142" i="58" s="1"/>
  <c r="X52" i="32"/>
  <c r="X12" i="32"/>
  <c r="I39" i="9" l="1"/>
  <c r="I75" i="45"/>
  <c r="O75" i="45" s="1"/>
  <c r="I68" i="46"/>
  <c r="O68" i="46" s="1"/>
  <c r="I81" i="45"/>
  <c r="O81" i="45" s="1"/>
  <c r="W64" i="17"/>
  <c r="L135" i="58"/>
  <c r="I64" i="46"/>
  <c r="O64" i="46" s="1"/>
  <c r="I72" i="46"/>
  <c r="O72" i="46" s="1"/>
  <c r="I69" i="46"/>
  <c r="O69" i="46" s="1"/>
  <c r="I70" i="46"/>
  <c r="O70" i="46" s="1"/>
  <c r="I75" i="44"/>
  <c r="Q75" i="44" s="1"/>
  <c r="I64" i="59"/>
  <c r="O52" i="59"/>
  <c r="I67" i="59"/>
  <c r="O55" i="59"/>
  <c r="P48" i="59"/>
  <c r="Q48" i="59"/>
  <c r="R35" i="59"/>
  <c r="R38" i="59"/>
  <c r="I70" i="59"/>
  <c r="O58" i="59"/>
  <c r="Q49" i="59"/>
  <c r="P49" i="59"/>
  <c r="Q42" i="59"/>
  <c r="P42" i="59"/>
  <c r="Q50" i="59"/>
  <c r="P50" i="59"/>
  <c r="R34" i="59"/>
  <c r="I72" i="59"/>
  <c r="O60" i="59"/>
  <c r="Q47" i="59"/>
  <c r="P47" i="59"/>
  <c r="Q39" i="59"/>
  <c r="P39" i="59"/>
  <c r="Q170" i="59"/>
  <c r="Q45" i="59"/>
  <c r="P45" i="59"/>
  <c r="R28" i="59"/>
  <c r="P46" i="59"/>
  <c r="Q46" i="59"/>
  <c r="I73" i="59"/>
  <c r="O61" i="59"/>
  <c r="O54" i="59"/>
  <c r="I66" i="59"/>
  <c r="O62" i="59"/>
  <c r="I74" i="59"/>
  <c r="R29" i="59"/>
  <c r="R31" i="59"/>
  <c r="I71" i="59"/>
  <c r="O59" i="59"/>
  <c r="P44" i="59"/>
  <c r="Q44" i="59"/>
  <c r="I63" i="59"/>
  <c r="O51" i="59"/>
  <c r="I69" i="59"/>
  <c r="O57" i="59"/>
  <c r="R32" i="59"/>
  <c r="S169" i="59"/>
  <c r="Q41" i="59"/>
  <c r="P41" i="59"/>
  <c r="R33" i="59"/>
  <c r="P40" i="59"/>
  <c r="Q40" i="59"/>
  <c r="Q43" i="59"/>
  <c r="P43" i="59"/>
  <c r="R37" i="59"/>
  <c r="R36" i="59"/>
  <c r="I68" i="59"/>
  <c r="O56" i="59"/>
  <c r="R30" i="59"/>
  <c r="R27" i="59"/>
  <c r="I65" i="59"/>
  <c r="O53" i="59"/>
  <c r="I79" i="44"/>
  <c r="Q79" i="44" s="1"/>
  <c r="R40" i="46"/>
  <c r="I83" i="46"/>
  <c r="O83" i="46" s="1"/>
  <c r="I78" i="46"/>
  <c r="O78" i="46" s="1"/>
  <c r="R48" i="46"/>
  <c r="R42" i="46"/>
  <c r="P61" i="46"/>
  <c r="Q61" i="46"/>
  <c r="P58" i="46"/>
  <c r="Q58" i="46"/>
  <c r="R50" i="46"/>
  <c r="Q51" i="46"/>
  <c r="P51" i="46"/>
  <c r="Q171" i="46"/>
  <c r="Q60" i="46"/>
  <c r="P60" i="46"/>
  <c r="P53" i="46"/>
  <c r="Q53" i="46"/>
  <c r="P57" i="46"/>
  <c r="Q57" i="46"/>
  <c r="S170" i="46"/>
  <c r="I85" i="46"/>
  <c r="O85" i="46" s="1"/>
  <c r="R43" i="46"/>
  <c r="R49" i="46"/>
  <c r="R46" i="46"/>
  <c r="I75" i="46"/>
  <c r="O75" i="46" s="1"/>
  <c r="I77" i="46"/>
  <c r="O77" i="46" s="1"/>
  <c r="R45" i="46"/>
  <c r="P55" i="46"/>
  <c r="Q55" i="46"/>
  <c r="P52" i="46"/>
  <c r="Q52" i="46"/>
  <c r="P62" i="46"/>
  <c r="Q62" i="46"/>
  <c r="P56" i="46"/>
  <c r="Q56" i="46"/>
  <c r="R44" i="46"/>
  <c r="Q59" i="46"/>
  <c r="P59" i="46"/>
  <c r="Q54" i="46"/>
  <c r="P54" i="46"/>
  <c r="R47" i="46"/>
  <c r="R39" i="46"/>
  <c r="R41" i="46"/>
  <c r="I79" i="46"/>
  <c r="O79" i="46" s="1"/>
  <c r="I86" i="46"/>
  <c r="O86" i="46" s="1"/>
  <c r="I65" i="45"/>
  <c r="O65" i="45" s="1"/>
  <c r="I72" i="45"/>
  <c r="O72" i="45" s="1"/>
  <c r="I64" i="45"/>
  <c r="O64" i="45" s="1"/>
  <c r="I67" i="45"/>
  <c r="O67" i="45" s="1"/>
  <c r="I68" i="45"/>
  <c r="O68" i="45" s="1"/>
  <c r="I70" i="45"/>
  <c r="O70" i="45" s="1"/>
  <c r="I73" i="45"/>
  <c r="O73" i="45" s="1"/>
  <c r="I74" i="45"/>
  <c r="O74" i="45" s="1"/>
  <c r="I71" i="45"/>
  <c r="O71" i="45" s="1"/>
  <c r="I66" i="45"/>
  <c r="O66" i="45" s="1"/>
  <c r="R73" i="20"/>
  <c r="R72" i="20"/>
  <c r="R66" i="20"/>
  <c r="R68" i="20"/>
  <c r="R69" i="20"/>
  <c r="R70" i="20"/>
  <c r="R71" i="20"/>
  <c r="R75" i="20"/>
  <c r="R74" i="20"/>
  <c r="R64" i="20"/>
  <c r="R67" i="20"/>
  <c r="R65" i="20"/>
  <c r="T33" i="17"/>
  <c r="T37" i="17" s="1"/>
  <c r="F22" i="9"/>
  <c r="L135" i="45"/>
  <c r="O135" i="45" s="1"/>
  <c r="J135" i="37"/>
  <c r="H39" i="9"/>
  <c r="F38" i="9"/>
  <c r="I18" i="9"/>
  <c r="I23" i="9" s="1"/>
  <c r="I17" i="9"/>
  <c r="I22" i="9" s="1"/>
  <c r="H44" i="17"/>
  <c r="F61" i="17"/>
  <c r="F72" i="17"/>
  <c r="F73" i="17" s="1"/>
  <c r="F74" i="17" s="1"/>
  <c r="F75" i="17" s="1"/>
  <c r="F76" i="17" s="1"/>
  <c r="F77" i="17" s="1"/>
  <c r="F78" i="17" s="1"/>
  <c r="F79" i="17" s="1"/>
  <c r="F80" i="17" s="1"/>
  <c r="F81" i="17" s="1"/>
  <c r="F82" i="17" s="1"/>
  <c r="F83" i="17" s="1"/>
  <c r="M53" i="11"/>
  <c r="R27" i="17"/>
  <c r="Q26" i="17"/>
  <c r="L53" i="11"/>
  <c r="E26" i="17"/>
  <c r="I61" i="17"/>
  <c r="I72" i="17"/>
  <c r="J53" i="11"/>
  <c r="L105" i="44"/>
  <c r="L153" i="44" s="1"/>
  <c r="BM131" i="24"/>
  <c r="K116" i="45"/>
  <c r="I116" i="37"/>
  <c r="K101" i="45"/>
  <c r="I101" i="37"/>
  <c r="M101" i="37" s="1"/>
  <c r="BW112" i="24"/>
  <c r="L101" i="44"/>
  <c r="L149" i="44" s="1"/>
  <c r="BR131" i="24"/>
  <c r="L109" i="44"/>
  <c r="L157" i="44" s="1"/>
  <c r="L100" i="44"/>
  <c r="L148" i="44" s="1"/>
  <c r="BS130" i="24"/>
  <c r="BO132" i="24"/>
  <c r="BR133" i="24"/>
  <c r="BV132" i="24"/>
  <c r="BM133" i="24"/>
  <c r="BO130" i="24"/>
  <c r="BN132" i="24"/>
  <c r="K112" i="45"/>
  <c r="I112" i="37"/>
  <c r="K115" i="45"/>
  <c r="I115" i="37"/>
  <c r="BJ131" i="24"/>
  <c r="L104" i="44"/>
  <c r="L152" i="44" s="1"/>
  <c r="BJ132" i="24"/>
  <c r="BN133" i="24"/>
  <c r="K118" i="45"/>
  <c r="I118" i="37"/>
  <c r="L106" i="44"/>
  <c r="L154" i="44" s="1"/>
  <c r="H53" i="11"/>
  <c r="I138" i="37"/>
  <c r="I150" i="37" s="1"/>
  <c r="M114" i="37"/>
  <c r="K108" i="45"/>
  <c r="I108" i="37"/>
  <c r="M108" i="37" s="1"/>
  <c r="BW119" i="24"/>
  <c r="N173" i="37"/>
  <c r="L108" i="44"/>
  <c r="L156" i="44" s="1"/>
  <c r="BJ133" i="24"/>
  <c r="BN131" i="24"/>
  <c r="L103" i="44"/>
  <c r="L151" i="44" s="1"/>
  <c r="BO133" i="24"/>
  <c r="BS131" i="24"/>
  <c r="L107" i="44"/>
  <c r="L155" i="44" s="1"/>
  <c r="K107" i="45"/>
  <c r="I107" i="37"/>
  <c r="M107" i="37" s="1"/>
  <c r="K126" i="45"/>
  <c r="I126" i="37"/>
  <c r="M126" i="37" s="1"/>
  <c r="L110" i="44"/>
  <c r="L158" i="44" s="1"/>
  <c r="BW132" i="24"/>
  <c r="K121" i="45"/>
  <c r="I121" i="37"/>
  <c r="BV133" i="24"/>
  <c r="BN130" i="24"/>
  <c r="L99" i="44"/>
  <c r="L147" i="44" s="1"/>
  <c r="BS133" i="24"/>
  <c r="BR132" i="24"/>
  <c r="K99" i="45"/>
  <c r="I99" i="37"/>
  <c r="M99" i="37" s="1"/>
  <c r="BW133" i="24"/>
  <c r="K122" i="45"/>
  <c r="I122" i="37"/>
  <c r="L102" i="44"/>
  <c r="L150" i="44" s="1"/>
  <c r="K138" i="45"/>
  <c r="K150" i="45" s="1"/>
  <c r="K105" i="45"/>
  <c r="I105" i="37"/>
  <c r="M105" i="37" s="1"/>
  <c r="BW116" i="24"/>
  <c r="P87" i="45"/>
  <c r="Q87" i="45"/>
  <c r="H27" i="17"/>
  <c r="N26" i="17"/>
  <c r="K26" i="17"/>
  <c r="S176" i="44"/>
  <c r="S119" i="44"/>
  <c r="S120" i="44"/>
  <c r="J109" i="44"/>
  <c r="Q109" i="44" s="1"/>
  <c r="J110" i="44"/>
  <c r="Q110" i="44" s="1"/>
  <c r="M135" i="22"/>
  <c r="N135" i="22" s="1"/>
  <c r="D60" i="11"/>
  <c r="E60" i="11"/>
  <c r="G54" i="11"/>
  <c r="G7" i="11"/>
  <c r="I77" i="44"/>
  <c r="Q77" i="44" s="1"/>
  <c r="R145" i="44"/>
  <c r="R135" i="44"/>
  <c r="R138" i="44"/>
  <c r="I76" i="44"/>
  <c r="Q76" i="44" s="1"/>
  <c r="I80" i="44"/>
  <c r="Q80" i="44" s="1"/>
  <c r="I81" i="44"/>
  <c r="Q81" i="44" s="1"/>
  <c r="I82" i="44"/>
  <c r="Q82" i="44" s="1"/>
  <c r="I90" i="44"/>
  <c r="Q90" i="44" s="1"/>
  <c r="I85" i="44"/>
  <c r="I84" i="44"/>
  <c r="Q84" i="44" s="1"/>
  <c r="R108" i="44"/>
  <c r="S108" i="44"/>
  <c r="I86" i="44"/>
  <c r="I83" i="44"/>
  <c r="Q83" i="44" s="1"/>
  <c r="S107" i="44"/>
  <c r="R107" i="44"/>
  <c r="T106" i="44"/>
  <c r="T101" i="44"/>
  <c r="S89" i="44"/>
  <c r="R89" i="44"/>
  <c r="S102" i="44"/>
  <c r="R102" i="44"/>
  <c r="T114" i="44"/>
  <c r="S88" i="44"/>
  <c r="R88" i="44"/>
  <c r="T105" i="44"/>
  <c r="T103" i="44"/>
  <c r="T100" i="44"/>
  <c r="R94" i="44"/>
  <c r="S94" i="44"/>
  <c r="S87" i="44"/>
  <c r="R87" i="44"/>
  <c r="R92" i="44"/>
  <c r="S92" i="44"/>
  <c r="S91" i="44"/>
  <c r="R91" i="44"/>
  <c r="S93" i="44"/>
  <c r="R93" i="44"/>
  <c r="T99" i="44"/>
  <c r="T104" i="44"/>
  <c r="I59" i="11"/>
  <c r="G59" i="11"/>
  <c r="E59" i="11"/>
  <c r="F59" i="11"/>
  <c r="K59" i="11"/>
  <c r="D59" i="11"/>
  <c r="M16" i="11"/>
  <c r="D37" i="9"/>
  <c r="O93" i="22"/>
  <c r="P93" i="22" s="1"/>
  <c r="O91" i="22"/>
  <c r="P91" i="22" s="1"/>
  <c r="O92" i="22"/>
  <c r="O90" i="22"/>
  <c r="P90" i="22" s="1"/>
  <c r="O95" i="22"/>
  <c r="P95" i="22" s="1"/>
  <c r="O97" i="22"/>
  <c r="P97" i="22" s="1"/>
  <c r="O96" i="22"/>
  <c r="P96" i="22" s="1"/>
  <c r="O98" i="22"/>
  <c r="P98" i="22" s="1"/>
  <c r="O88" i="22"/>
  <c r="P88" i="22" s="1"/>
  <c r="O94" i="22"/>
  <c r="P94" i="22" s="1"/>
  <c r="O89" i="22"/>
  <c r="P89" i="22" s="1"/>
  <c r="P171" i="37"/>
  <c r="P67" i="37"/>
  <c r="P72" i="37"/>
  <c r="O78" i="37"/>
  <c r="P78" i="37" s="1"/>
  <c r="N78" i="37"/>
  <c r="O79" i="37"/>
  <c r="N79" i="37"/>
  <c r="O76" i="37"/>
  <c r="P76" i="37" s="1"/>
  <c r="N76" i="37"/>
  <c r="O86" i="37"/>
  <c r="P86" i="37" s="1"/>
  <c r="N86" i="37"/>
  <c r="O77" i="37"/>
  <c r="N77" i="37"/>
  <c r="O85" i="37"/>
  <c r="P85" i="37" s="1"/>
  <c r="N85" i="37"/>
  <c r="O82" i="37"/>
  <c r="N82" i="37"/>
  <c r="O84" i="37"/>
  <c r="N84" i="37"/>
  <c r="O83" i="37"/>
  <c r="P83" i="37" s="1"/>
  <c r="N83" i="37"/>
  <c r="O80" i="37"/>
  <c r="N80" i="37"/>
  <c r="O81" i="37"/>
  <c r="N81" i="37"/>
  <c r="Q171" i="20"/>
  <c r="Q76" i="20"/>
  <c r="P76" i="20"/>
  <c r="P78" i="20"/>
  <c r="Q78" i="20"/>
  <c r="Q85" i="20"/>
  <c r="P85" i="20"/>
  <c r="P86" i="20"/>
  <c r="Q86" i="20"/>
  <c r="Q81" i="20"/>
  <c r="P81" i="20"/>
  <c r="Q84" i="20"/>
  <c r="P84" i="20"/>
  <c r="Q82" i="20"/>
  <c r="P82" i="20"/>
  <c r="P80" i="20"/>
  <c r="Q80" i="20"/>
  <c r="Q79" i="20"/>
  <c r="P79" i="20"/>
  <c r="Q77" i="20"/>
  <c r="P77" i="20"/>
  <c r="Q83" i="20"/>
  <c r="P83" i="20"/>
  <c r="O172" i="20"/>
  <c r="J135" i="20"/>
  <c r="H49" i="11"/>
  <c r="B11" i="9"/>
  <c r="BV118" i="24"/>
  <c r="BV130" i="24" s="1"/>
  <c r="O87" i="22"/>
  <c r="P87" i="22" s="1"/>
  <c r="J101" i="20"/>
  <c r="J149" i="20" s="1"/>
  <c r="J102" i="20"/>
  <c r="J150" i="20" s="1"/>
  <c r="J105" i="20"/>
  <c r="J153" i="20" s="1"/>
  <c r="J103" i="20"/>
  <c r="J151" i="20" s="1"/>
  <c r="J107" i="20"/>
  <c r="J155" i="20" s="1"/>
  <c r="BW118" i="24"/>
  <c r="J109" i="20"/>
  <c r="J157" i="20" s="1"/>
  <c r="J100" i="20"/>
  <c r="J148" i="20" s="1"/>
  <c r="J110" i="20"/>
  <c r="J158" i="20" s="1"/>
  <c r="BS120" i="24"/>
  <c r="BS132" i="24" s="1"/>
  <c r="J108" i="20"/>
  <c r="J156" i="20" s="1"/>
  <c r="J99" i="20"/>
  <c r="J104" i="20"/>
  <c r="J152" i="20" s="1"/>
  <c r="J106" i="20"/>
  <c r="J154" i="20" s="1"/>
  <c r="BO128" i="24"/>
  <c r="BL111" i="24"/>
  <c r="BT111" i="24"/>
  <c r="BQ111" i="24"/>
  <c r="BR125" i="24"/>
  <c r="BW110" i="24"/>
  <c r="BK121" i="24"/>
  <c r="BS129" i="24"/>
  <c r="BL114" i="24"/>
  <c r="BM110" i="24"/>
  <c r="BP115" i="24"/>
  <c r="BT112" i="24"/>
  <c r="BP120" i="24"/>
  <c r="BK115" i="24"/>
  <c r="BP110" i="24"/>
  <c r="BS110" i="24"/>
  <c r="BV110" i="24"/>
  <c r="BS125" i="24"/>
  <c r="BL118" i="24"/>
  <c r="BL120" i="24"/>
  <c r="BP113" i="24"/>
  <c r="BL119" i="24"/>
  <c r="BR127" i="24"/>
  <c r="BJ124" i="24"/>
  <c r="BU111" i="24"/>
  <c r="BK110" i="24"/>
  <c r="BU115" i="24"/>
  <c r="BK119" i="24"/>
  <c r="BO129" i="24"/>
  <c r="BK111" i="24"/>
  <c r="BT121" i="24"/>
  <c r="BR123" i="24"/>
  <c r="BP118" i="24"/>
  <c r="BM127" i="24"/>
  <c r="BW126" i="24"/>
  <c r="BU110" i="24"/>
  <c r="BX115" i="24"/>
  <c r="BS127" i="24"/>
  <c r="BP112" i="24"/>
  <c r="BJ129" i="24"/>
  <c r="BX117" i="24"/>
  <c r="BM118" i="24"/>
  <c r="BX116" i="24"/>
  <c r="BM114" i="24"/>
  <c r="BL116" i="24"/>
  <c r="BM125" i="24"/>
  <c r="BU117" i="24"/>
  <c r="BM112" i="24"/>
  <c r="BT114" i="24"/>
  <c r="BQ112" i="24"/>
  <c r="BQ118" i="24"/>
  <c r="BL117" i="24"/>
  <c r="BS128" i="24"/>
  <c r="BL112" i="24"/>
  <c r="BO124" i="24"/>
  <c r="BL113" i="24"/>
  <c r="BL115" i="24"/>
  <c r="BT119" i="24"/>
  <c r="BP121" i="24"/>
  <c r="BX110" i="24"/>
  <c r="BQ114" i="24"/>
  <c r="BQ110" i="24"/>
  <c r="BM129" i="24"/>
  <c r="BT115" i="24"/>
  <c r="BQ117" i="24"/>
  <c r="BK117" i="24"/>
  <c r="BQ120" i="24"/>
  <c r="BP114" i="24"/>
  <c r="BQ115" i="24"/>
  <c r="BN128" i="24"/>
  <c r="BT113" i="24"/>
  <c r="BN125" i="24"/>
  <c r="BQ116" i="24"/>
  <c r="BP116" i="24"/>
  <c r="BL121" i="24"/>
  <c r="BR126" i="24"/>
  <c r="BT120" i="24"/>
  <c r="BX119" i="24"/>
  <c r="BW127" i="24"/>
  <c r="BP111" i="24"/>
  <c r="BU113" i="24"/>
  <c r="BX113" i="24"/>
  <c r="BO125" i="24"/>
  <c r="BX114" i="24"/>
  <c r="BM120" i="24"/>
  <c r="BK114" i="24"/>
  <c r="BT110" i="24"/>
  <c r="BX118" i="24"/>
  <c r="BK113" i="24"/>
  <c r="BO110" i="24"/>
  <c r="BT117" i="24"/>
  <c r="BP117" i="24"/>
  <c r="BL110" i="24"/>
  <c r="BM123" i="24"/>
  <c r="BX112" i="24"/>
  <c r="BS123" i="24"/>
  <c r="BQ121" i="24"/>
  <c r="BM116" i="24"/>
  <c r="BX120" i="24"/>
  <c r="BJ127" i="24"/>
  <c r="BR129" i="24"/>
  <c r="BO127" i="24"/>
  <c r="BX111" i="24"/>
  <c r="BK120" i="24"/>
  <c r="BT118" i="24"/>
  <c r="BN110" i="24"/>
  <c r="BX121" i="24"/>
  <c r="BP119" i="24"/>
  <c r="BQ113" i="24"/>
  <c r="BJ110" i="24"/>
  <c r="BT116" i="24"/>
  <c r="BR110" i="24"/>
  <c r="BW123" i="24"/>
  <c r="BU119" i="24"/>
  <c r="BJ123" i="24"/>
  <c r="BQ119" i="24"/>
  <c r="BW129" i="24"/>
  <c r="BK118" i="24"/>
  <c r="BU121" i="24"/>
  <c r="Y52" i="32"/>
  <c r="AF75" i="32" s="1"/>
  <c r="AE52" i="32"/>
  <c r="AF81" i="32" s="1"/>
  <c r="AB52" i="32"/>
  <c r="AF78" i="32" s="1"/>
  <c r="AD52" i="32"/>
  <c r="AF80" i="32" s="1"/>
  <c r="Z52" i="32"/>
  <c r="AF76" i="32" s="1"/>
  <c r="AH52" i="32"/>
  <c r="AF84" i="32" s="1"/>
  <c r="AG52" i="32"/>
  <c r="AF83" i="32" s="1"/>
  <c r="AA52" i="32"/>
  <c r="AF77" i="32" s="1"/>
  <c r="AC52" i="32"/>
  <c r="AF79" i="32" s="1"/>
  <c r="AJ52" i="32"/>
  <c r="AF86" i="32" s="1"/>
  <c r="AI52" i="32"/>
  <c r="AF85" i="32" s="1"/>
  <c r="AF52" i="32"/>
  <c r="AF82" i="32" s="1"/>
  <c r="X53" i="32"/>
  <c r="X13" i="32"/>
  <c r="I63" i="45" l="1"/>
  <c r="O63" i="45" s="1"/>
  <c r="I69" i="45"/>
  <c r="O69" i="45" s="1"/>
  <c r="P69" i="45" s="1"/>
  <c r="I80" i="46"/>
  <c r="O80" i="46" s="1"/>
  <c r="W65" i="17"/>
  <c r="I81" i="46"/>
  <c r="O81" i="46" s="1"/>
  <c r="I84" i="46"/>
  <c r="O84" i="46" s="1"/>
  <c r="I76" i="46"/>
  <c r="O76" i="46" s="1"/>
  <c r="I63" i="44"/>
  <c r="Q63" i="44" s="1"/>
  <c r="I82" i="46"/>
  <c r="O82" i="46" s="1"/>
  <c r="P56" i="59"/>
  <c r="Q56" i="59"/>
  <c r="Q57" i="59"/>
  <c r="P57" i="59"/>
  <c r="Q51" i="59"/>
  <c r="P51" i="59"/>
  <c r="Q171" i="59"/>
  <c r="Q59" i="59"/>
  <c r="P59" i="59"/>
  <c r="P54" i="59"/>
  <c r="Q54" i="59"/>
  <c r="R39" i="59"/>
  <c r="Q58" i="59"/>
  <c r="P58" i="59"/>
  <c r="I79" i="59"/>
  <c r="O67" i="59"/>
  <c r="I67" i="44"/>
  <c r="Q67" i="44" s="1"/>
  <c r="Q53" i="59"/>
  <c r="P53" i="59"/>
  <c r="I80" i="59"/>
  <c r="O68" i="59"/>
  <c r="I81" i="59"/>
  <c r="O69" i="59"/>
  <c r="I75" i="59"/>
  <c r="O63" i="59"/>
  <c r="I83" i="59"/>
  <c r="O71" i="59"/>
  <c r="P61" i="59"/>
  <c r="Q61" i="59"/>
  <c r="R45" i="59"/>
  <c r="R42" i="59"/>
  <c r="O70" i="59"/>
  <c r="I82" i="59"/>
  <c r="R48" i="59"/>
  <c r="P52" i="59"/>
  <c r="Q52" i="59"/>
  <c r="R40" i="59"/>
  <c r="R44" i="59"/>
  <c r="I86" i="59"/>
  <c r="O74" i="59"/>
  <c r="I85" i="59"/>
  <c r="O73" i="59"/>
  <c r="P60" i="59"/>
  <c r="Q60" i="59"/>
  <c r="I76" i="59"/>
  <c r="O64" i="59"/>
  <c r="I77" i="59"/>
  <c r="O65" i="59"/>
  <c r="R43" i="59"/>
  <c r="R41" i="59"/>
  <c r="P62" i="59"/>
  <c r="Q62" i="59"/>
  <c r="I78" i="59"/>
  <c r="O66" i="59"/>
  <c r="R46" i="59"/>
  <c r="S170" i="59"/>
  <c r="R47" i="59"/>
  <c r="I84" i="59"/>
  <c r="O72" i="59"/>
  <c r="R50" i="59"/>
  <c r="R49" i="59"/>
  <c r="Q55" i="59"/>
  <c r="P55" i="59"/>
  <c r="P92" i="22"/>
  <c r="P68" i="46"/>
  <c r="Q68" i="46"/>
  <c r="P64" i="46"/>
  <c r="Q64" i="46"/>
  <c r="I97" i="46"/>
  <c r="O97" i="46" s="1"/>
  <c r="R53" i="46"/>
  <c r="R61" i="46"/>
  <c r="P71" i="46"/>
  <c r="Q71" i="46"/>
  <c r="R59" i="46"/>
  <c r="R56" i="46"/>
  <c r="R52" i="46"/>
  <c r="P65" i="46"/>
  <c r="Q65" i="46"/>
  <c r="Q172" i="46"/>
  <c r="Q63" i="46"/>
  <c r="P63" i="46"/>
  <c r="P70" i="46"/>
  <c r="Q70" i="46"/>
  <c r="S171" i="46"/>
  <c r="I95" i="46"/>
  <c r="O95" i="46" s="1"/>
  <c r="P74" i="46"/>
  <c r="Q74" i="46"/>
  <c r="P67" i="46"/>
  <c r="Q67" i="46"/>
  <c r="I89" i="46"/>
  <c r="O89" i="46" s="1"/>
  <c r="I87" i="46"/>
  <c r="O87" i="46" s="1"/>
  <c r="R57" i="46"/>
  <c r="R51" i="46"/>
  <c r="R58" i="46"/>
  <c r="P66" i="46"/>
  <c r="Q66" i="46"/>
  <c r="I98" i="46"/>
  <c r="O98" i="46" s="1"/>
  <c r="I91" i="46"/>
  <c r="O91" i="46" s="1"/>
  <c r="R54" i="46"/>
  <c r="R62" i="46"/>
  <c r="R55" i="46"/>
  <c r="P69" i="46"/>
  <c r="Q69" i="46"/>
  <c r="Q72" i="46"/>
  <c r="P72" i="46"/>
  <c r="P73" i="46"/>
  <c r="Q73" i="46"/>
  <c r="R60" i="46"/>
  <c r="I90" i="46"/>
  <c r="O90" i="46" s="1"/>
  <c r="I54" i="45"/>
  <c r="O54" i="45" s="1"/>
  <c r="I62" i="45"/>
  <c r="O62" i="45" s="1"/>
  <c r="I58" i="45"/>
  <c r="O58" i="45" s="1"/>
  <c r="I55" i="45"/>
  <c r="O55" i="45" s="1"/>
  <c r="I52" i="45"/>
  <c r="O52" i="45" s="1"/>
  <c r="I60" i="45"/>
  <c r="O60" i="45" s="1"/>
  <c r="P75" i="45"/>
  <c r="Q75" i="45"/>
  <c r="I59" i="45"/>
  <c r="O59" i="45" s="1"/>
  <c r="I61" i="45"/>
  <c r="O61" i="45" s="1"/>
  <c r="I56" i="45"/>
  <c r="O56" i="45" s="1"/>
  <c r="I53" i="45"/>
  <c r="O53" i="45" s="1"/>
  <c r="Q74" i="45"/>
  <c r="P74" i="45"/>
  <c r="Q70" i="45"/>
  <c r="P70" i="45"/>
  <c r="Q68" i="45"/>
  <c r="P68" i="45"/>
  <c r="R77" i="20"/>
  <c r="R83" i="20"/>
  <c r="R79" i="20"/>
  <c r="R82" i="20"/>
  <c r="R81" i="20"/>
  <c r="R85" i="20"/>
  <c r="R76" i="20"/>
  <c r="R84" i="20"/>
  <c r="R80" i="20"/>
  <c r="R86" i="20"/>
  <c r="R78" i="20"/>
  <c r="F17" i="18"/>
  <c r="N40" i="11"/>
  <c r="N25" i="11"/>
  <c r="C17" i="18"/>
  <c r="Z26" i="17"/>
  <c r="M59" i="11"/>
  <c r="F18" i="18"/>
  <c r="O40" i="11"/>
  <c r="F13" i="18"/>
  <c r="F14" i="18"/>
  <c r="L59" i="11"/>
  <c r="H45" i="17"/>
  <c r="E27" i="17"/>
  <c r="E44" i="17"/>
  <c r="K44" i="17"/>
  <c r="F62" i="17"/>
  <c r="F63" i="17" s="1"/>
  <c r="F64" i="17" s="1"/>
  <c r="F65" i="17" s="1"/>
  <c r="F66" i="17" s="1"/>
  <c r="F67" i="17" s="1"/>
  <c r="F68" i="17" s="1"/>
  <c r="F69" i="17" s="1"/>
  <c r="F70" i="17" s="1"/>
  <c r="F71" i="17" s="1"/>
  <c r="E61" i="17"/>
  <c r="N44" i="17"/>
  <c r="N40" i="17"/>
  <c r="Q44" i="17"/>
  <c r="Q61" i="17"/>
  <c r="R62" i="17"/>
  <c r="R63" i="17" s="1"/>
  <c r="R64" i="17" s="1"/>
  <c r="R65" i="17" s="1"/>
  <c r="R66" i="17" s="1"/>
  <c r="R67" i="17" s="1"/>
  <c r="R68" i="17" s="1"/>
  <c r="R69" i="17" s="1"/>
  <c r="R70" i="17" s="1"/>
  <c r="R71" i="17" s="1"/>
  <c r="R73" i="17" s="1"/>
  <c r="R74" i="17" s="1"/>
  <c r="R75" i="17" s="1"/>
  <c r="R76" i="17" s="1"/>
  <c r="R77" i="17" s="1"/>
  <c r="R78" i="17" s="1"/>
  <c r="R79" i="17" s="1"/>
  <c r="R80" i="17" s="1"/>
  <c r="R81" i="17" s="1"/>
  <c r="R82" i="17" s="1"/>
  <c r="R83" i="17" s="1"/>
  <c r="Q27" i="17"/>
  <c r="J59" i="11"/>
  <c r="T120" i="44"/>
  <c r="H59" i="11"/>
  <c r="R136" i="44"/>
  <c r="R142" i="44"/>
  <c r="R143" i="44"/>
  <c r="R144" i="44"/>
  <c r="R146" i="44"/>
  <c r="R137" i="44"/>
  <c r="R139" i="44"/>
  <c r="R140" i="44"/>
  <c r="R141" i="44"/>
  <c r="H61" i="17"/>
  <c r="I62" i="17"/>
  <c r="I63" i="17" s="1"/>
  <c r="I64" i="17" s="1"/>
  <c r="I65" i="17" s="1"/>
  <c r="I66" i="17" s="1"/>
  <c r="I67" i="17" s="1"/>
  <c r="I68" i="17" s="1"/>
  <c r="I69" i="17" s="1"/>
  <c r="I70" i="17" s="1"/>
  <c r="I71" i="17" s="1"/>
  <c r="I73" i="17" s="1"/>
  <c r="I74" i="17" s="1"/>
  <c r="I75" i="17" s="1"/>
  <c r="I76" i="17" s="1"/>
  <c r="I77" i="17" s="1"/>
  <c r="I78" i="17" s="1"/>
  <c r="I79" i="17" s="1"/>
  <c r="I80" i="17" s="1"/>
  <c r="I81" i="17" s="1"/>
  <c r="I82" i="17" s="1"/>
  <c r="I83" i="17" s="1"/>
  <c r="BX130" i="24"/>
  <c r="L119" i="44"/>
  <c r="L115" i="44"/>
  <c r="BL133" i="24"/>
  <c r="BQ132" i="24"/>
  <c r="BL132" i="24"/>
  <c r="P99" i="45"/>
  <c r="Q99" i="45"/>
  <c r="K133" i="45"/>
  <c r="I133" i="37"/>
  <c r="M133" i="37" s="1"/>
  <c r="BW131" i="24"/>
  <c r="K120" i="45"/>
  <c r="I120" i="37"/>
  <c r="I142" i="37"/>
  <c r="I154" i="37" s="1"/>
  <c r="M118" i="37"/>
  <c r="I139" i="37"/>
  <c r="I151" i="37" s="1"/>
  <c r="M115" i="37"/>
  <c r="I136" i="37"/>
  <c r="I148" i="37" s="1"/>
  <c r="M112" i="37"/>
  <c r="BK130" i="24"/>
  <c r="L114" i="44"/>
  <c r="BT132" i="24"/>
  <c r="BP133" i="24"/>
  <c r="L117" i="44"/>
  <c r="BK131" i="24"/>
  <c r="BL131" i="24"/>
  <c r="BP132" i="24"/>
  <c r="BQ130" i="24"/>
  <c r="L118" i="44"/>
  <c r="BK133" i="24"/>
  <c r="BU133" i="24"/>
  <c r="K130" i="45"/>
  <c r="I130" i="37"/>
  <c r="M130" i="37" s="1"/>
  <c r="L112" i="44"/>
  <c r="BQ133" i="24"/>
  <c r="BX131" i="24"/>
  <c r="L120" i="44"/>
  <c r="BT133" i="24"/>
  <c r="R87" i="45"/>
  <c r="K117" i="45"/>
  <c r="I117" i="37"/>
  <c r="BW128" i="24"/>
  <c r="K134" i="45"/>
  <c r="I134" i="37"/>
  <c r="M134" i="37" s="1"/>
  <c r="I145" i="37"/>
  <c r="I157" i="37" s="1"/>
  <c r="M121" i="37"/>
  <c r="K142" i="45"/>
  <c r="K154" i="45" s="1"/>
  <c r="K139" i="45"/>
  <c r="K151" i="45" s="1"/>
  <c r="K136" i="45"/>
  <c r="K148" i="45" s="1"/>
  <c r="K113" i="45"/>
  <c r="I113" i="37"/>
  <c r="BW124" i="24"/>
  <c r="BX133" i="24"/>
  <c r="L122" i="44"/>
  <c r="K124" i="45"/>
  <c r="I124" i="37"/>
  <c r="M124" i="37" s="1"/>
  <c r="BT130" i="24"/>
  <c r="BP131" i="24"/>
  <c r="BX132" i="24"/>
  <c r="L121" i="44"/>
  <c r="L113" i="44"/>
  <c r="L111" i="44"/>
  <c r="BT131" i="24"/>
  <c r="L116" i="44"/>
  <c r="K127" i="45"/>
  <c r="I127" i="37"/>
  <c r="M127" i="37" s="1"/>
  <c r="BP130" i="24"/>
  <c r="BW130" i="24"/>
  <c r="K119" i="45"/>
  <c r="I119" i="37"/>
  <c r="BU131" i="24"/>
  <c r="BK132" i="24"/>
  <c r="BM132" i="24"/>
  <c r="BM130" i="24"/>
  <c r="BL130" i="24"/>
  <c r="K111" i="45"/>
  <c r="I111" i="37"/>
  <c r="I146" i="37"/>
  <c r="I158" i="37" s="1"/>
  <c r="M122" i="37"/>
  <c r="K145" i="45"/>
  <c r="K157" i="45" s="1"/>
  <c r="I140" i="37"/>
  <c r="I152" i="37" s="1"/>
  <c r="M116" i="37"/>
  <c r="BQ131" i="24"/>
  <c r="I128" i="37"/>
  <c r="M128" i="37" s="1"/>
  <c r="K128" i="45"/>
  <c r="N27" i="17"/>
  <c r="K146" i="45"/>
  <c r="K158" i="45" s="1"/>
  <c r="N174" i="37"/>
  <c r="K140" i="45"/>
  <c r="K152" i="45" s="1"/>
  <c r="K27" i="17"/>
  <c r="T119" i="44"/>
  <c r="S122" i="44"/>
  <c r="R122" i="44"/>
  <c r="J98" i="44"/>
  <c r="Q98" i="44" s="1"/>
  <c r="S121" i="44"/>
  <c r="R121" i="44"/>
  <c r="Q175" i="44"/>
  <c r="J97" i="44"/>
  <c r="Q97" i="44" s="1"/>
  <c r="H7" i="11"/>
  <c r="H54" i="11"/>
  <c r="G60" i="11"/>
  <c r="I65" i="44"/>
  <c r="Q65" i="44" s="1"/>
  <c r="I69" i="44"/>
  <c r="Q69" i="44" s="1"/>
  <c r="I64" i="44"/>
  <c r="Q64" i="44" s="1"/>
  <c r="I68" i="44"/>
  <c r="Q68" i="44" s="1"/>
  <c r="R158" i="44"/>
  <c r="R154" i="44"/>
  <c r="R150" i="44"/>
  <c r="R156" i="44"/>
  <c r="R153" i="44"/>
  <c r="R149" i="44"/>
  <c r="R155" i="44"/>
  <c r="R151" i="44"/>
  <c r="R147" i="44"/>
  <c r="R152" i="44"/>
  <c r="R148" i="44"/>
  <c r="R157" i="44"/>
  <c r="I70" i="44"/>
  <c r="Q70" i="44" s="1"/>
  <c r="I78" i="44"/>
  <c r="Q78" i="44" s="1"/>
  <c r="I71" i="44"/>
  <c r="Q71" i="44" s="1"/>
  <c r="I72" i="44"/>
  <c r="Q72" i="44" s="1"/>
  <c r="T107" i="44"/>
  <c r="R95" i="44"/>
  <c r="S95" i="44"/>
  <c r="S96" i="44"/>
  <c r="R96" i="44"/>
  <c r="I74" i="44"/>
  <c r="T108" i="44"/>
  <c r="I73" i="44"/>
  <c r="T88" i="44"/>
  <c r="S81" i="44"/>
  <c r="R81" i="44"/>
  <c r="R80" i="44"/>
  <c r="S80" i="44"/>
  <c r="R82" i="44"/>
  <c r="S82" i="44"/>
  <c r="T91" i="44"/>
  <c r="R76" i="44"/>
  <c r="S76" i="44"/>
  <c r="S90" i="44"/>
  <c r="R90" i="44"/>
  <c r="S77" i="44"/>
  <c r="R77" i="44"/>
  <c r="T102" i="44"/>
  <c r="T92" i="44"/>
  <c r="T87" i="44"/>
  <c r="T94" i="44"/>
  <c r="T89" i="44"/>
  <c r="R79" i="44"/>
  <c r="S79" i="44"/>
  <c r="R75" i="44"/>
  <c r="S75" i="44"/>
  <c r="T93" i="44"/>
  <c r="O106" i="22"/>
  <c r="P106" i="22" s="1"/>
  <c r="O104" i="22"/>
  <c r="P104" i="22" s="1"/>
  <c r="O102" i="22"/>
  <c r="P102" i="22" s="1"/>
  <c r="O108" i="22"/>
  <c r="P108" i="22" s="1"/>
  <c r="O110" i="22"/>
  <c r="P110" i="22" s="1"/>
  <c r="O103" i="22"/>
  <c r="P103" i="22" s="1"/>
  <c r="O105" i="22"/>
  <c r="P105" i="22" s="1"/>
  <c r="O101" i="22"/>
  <c r="P101" i="22" s="1"/>
  <c r="O100" i="22"/>
  <c r="O109" i="22"/>
  <c r="P109" i="22" s="1"/>
  <c r="O107" i="22"/>
  <c r="P107" i="22" s="1"/>
  <c r="P172" i="37"/>
  <c r="P81" i="37"/>
  <c r="P82" i="37"/>
  <c r="P77" i="37"/>
  <c r="P80" i="37"/>
  <c r="P84" i="37"/>
  <c r="P79" i="37"/>
  <c r="O89" i="37"/>
  <c r="N89" i="37"/>
  <c r="O95" i="37"/>
  <c r="P95" i="37" s="1"/>
  <c r="N95" i="37"/>
  <c r="O93" i="37"/>
  <c r="P93" i="37" s="1"/>
  <c r="N93" i="37"/>
  <c r="O97" i="37"/>
  <c r="P97" i="37" s="1"/>
  <c r="N97" i="37"/>
  <c r="O90" i="37"/>
  <c r="P90" i="37" s="1"/>
  <c r="N90" i="37"/>
  <c r="O94" i="37"/>
  <c r="P94" i="37" s="1"/>
  <c r="N94" i="37"/>
  <c r="O91" i="37"/>
  <c r="N91" i="37"/>
  <c r="O92" i="37"/>
  <c r="N92" i="37"/>
  <c r="O88" i="37"/>
  <c r="P88" i="37" s="1"/>
  <c r="N88" i="37"/>
  <c r="O98" i="37"/>
  <c r="P98" i="37" s="1"/>
  <c r="N98" i="37"/>
  <c r="O96" i="37"/>
  <c r="N96" i="37"/>
  <c r="O87" i="37"/>
  <c r="P87" i="37" s="1"/>
  <c r="N87" i="37"/>
  <c r="N99" i="37"/>
  <c r="Q172" i="20"/>
  <c r="Q90" i="20"/>
  <c r="P90" i="20"/>
  <c r="P94" i="20"/>
  <c r="Q94" i="20"/>
  <c r="P96" i="20"/>
  <c r="Q96" i="20"/>
  <c r="Q89" i="20"/>
  <c r="P89" i="20"/>
  <c r="Q98" i="20"/>
  <c r="P98" i="20"/>
  <c r="Q92" i="20"/>
  <c r="P92" i="20"/>
  <c r="P88" i="20"/>
  <c r="Q88" i="20"/>
  <c r="Q93" i="20"/>
  <c r="P93" i="20"/>
  <c r="Q91" i="20"/>
  <c r="P91" i="20"/>
  <c r="Q95" i="20"/>
  <c r="P95" i="20"/>
  <c r="Q97" i="20"/>
  <c r="P97" i="20"/>
  <c r="Q87" i="20"/>
  <c r="P87" i="20"/>
  <c r="O173" i="20"/>
  <c r="P144" i="20"/>
  <c r="P142" i="20"/>
  <c r="P137" i="20"/>
  <c r="P143" i="20"/>
  <c r="P138" i="20"/>
  <c r="J147" i="20"/>
  <c r="I49" i="11"/>
  <c r="B12" i="9"/>
  <c r="Y53" i="32"/>
  <c r="Z53" i="32"/>
  <c r="O112" i="22"/>
  <c r="P112" i="22" s="1"/>
  <c r="O121" i="22"/>
  <c r="P121" i="22" s="1"/>
  <c r="O113" i="22"/>
  <c r="P113" i="22" s="1"/>
  <c r="O120" i="22"/>
  <c r="P120" i="22" s="1"/>
  <c r="O99" i="22"/>
  <c r="P99" i="22" s="1"/>
  <c r="O122" i="22"/>
  <c r="P122" i="22" s="1"/>
  <c r="O114" i="22"/>
  <c r="P114" i="22" s="1"/>
  <c r="O117" i="22"/>
  <c r="P117" i="22" s="1"/>
  <c r="O119" i="22"/>
  <c r="P119" i="22" s="1"/>
  <c r="O115" i="22"/>
  <c r="P115" i="22" s="1"/>
  <c r="O118" i="22"/>
  <c r="P118" i="22" s="1"/>
  <c r="O116" i="22"/>
  <c r="P116" i="22" s="1"/>
  <c r="J119" i="20"/>
  <c r="J115" i="20"/>
  <c r="J118" i="20"/>
  <c r="J112" i="20"/>
  <c r="J121" i="20"/>
  <c r="J113" i="20"/>
  <c r="J120" i="20"/>
  <c r="J111" i="20"/>
  <c r="J116" i="20"/>
  <c r="J122" i="20"/>
  <c r="J114" i="20"/>
  <c r="J117" i="20"/>
  <c r="BQ123" i="24"/>
  <c r="BL122" i="24"/>
  <c r="BT122" i="24"/>
  <c r="BQ129" i="24"/>
  <c r="BL127" i="24"/>
  <c r="BU129" i="24"/>
  <c r="BL128" i="24"/>
  <c r="BP124" i="24"/>
  <c r="BV122" i="24"/>
  <c r="BP122" i="24"/>
  <c r="BP127" i="24"/>
  <c r="BP129" i="24"/>
  <c r="BK126" i="24"/>
  <c r="BK129" i="24"/>
  <c r="BX122" i="24"/>
  <c r="BL125" i="24"/>
  <c r="BL124" i="24"/>
  <c r="BK122" i="24"/>
  <c r="BL123" i="24"/>
  <c r="BR122" i="24"/>
  <c r="BM128" i="24"/>
  <c r="BX126" i="24"/>
  <c r="BX125" i="24"/>
  <c r="BP126" i="24"/>
  <c r="BT127" i="24"/>
  <c r="BQ122" i="24"/>
  <c r="BL129" i="24"/>
  <c r="BT126" i="24"/>
  <c r="BM124" i="24"/>
  <c r="BM126" i="24"/>
  <c r="BU122" i="24"/>
  <c r="BK123" i="24"/>
  <c r="BK127" i="24"/>
  <c r="BT124" i="24"/>
  <c r="BW122" i="24"/>
  <c r="BJ122" i="24"/>
  <c r="BN122" i="24"/>
  <c r="BO122" i="24"/>
  <c r="BP123" i="24"/>
  <c r="BP128" i="24"/>
  <c r="BQ124" i="24"/>
  <c r="BP125" i="24"/>
  <c r="BS122" i="24"/>
  <c r="BM122" i="24"/>
  <c r="BT128" i="24"/>
  <c r="BQ125" i="24"/>
  <c r="BX123" i="24"/>
  <c r="BX124" i="24"/>
  <c r="BT129" i="24"/>
  <c r="BK125" i="24"/>
  <c r="BU125" i="24"/>
  <c r="BQ128" i="24"/>
  <c r="BT125" i="24"/>
  <c r="BQ127" i="24"/>
  <c r="BQ126" i="24"/>
  <c r="BX128" i="24"/>
  <c r="BX129" i="24"/>
  <c r="BX127" i="24"/>
  <c r="BU127" i="24"/>
  <c r="BU123" i="24"/>
  <c r="BL126" i="24"/>
  <c r="BT123" i="24"/>
  <c r="AA53" i="32"/>
  <c r="AG53" i="32"/>
  <c r="AB53" i="32"/>
  <c r="AJ53" i="32"/>
  <c r="AF53" i="32"/>
  <c r="AC53" i="32"/>
  <c r="AI53" i="32"/>
  <c r="AE53" i="32"/>
  <c r="AD53" i="32"/>
  <c r="AH53" i="32"/>
  <c r="X14" i="32"/>
  <c r="I51" i="45" l="1"/>
  <c r="O51" i="45" s="1"/>
  <c r="Q69" i="45"/>
  <c r="I57" i="45"/>
  <c r="O57" i="45" s="1"/>
  <c r="L136" i="59"/>
  <c r="O41" i="11"/>
  <c r="N41" i="11"/>
  <c r="N26" i="11"/>
  <c r="I92" i="46"/>
  <c r="O92" i="46" s="1"/>
  <c r="D24" i="49"/>
  <c r="W66" i="17"/>
  <c r="I96" i="46"/>
  <c r="O96" i="46" s="1"/>
  <c r="L136" i="58"/>
  <c r="I93" i="46"/>
  <c r="O93" i="46" s="1"/>
  <c r="I88" i="46"/>
  <c r="O88" i="46" s="1"/>
  <c r="I51" i="44"/>
  <c r="Q51" i="44" s="1"/>
  <c r="I94" i="46"/>
  <c r="O94" i="46" s="1"/>
  <c r="I55" i="44"/>
  <c r="Q55" i="44" s="1"/>
  <c r="P72" i="59"/>
  <c r="Q72" i="59"/>
  <c r="I89" i="59"/>
  <c r="O77" i="59"/>
  <c r="Q73" i="59"/>
  <c r="P73" i="59"/>
  <c r="R61" i="59"/>
  <c r="Q63" i="59"/>
  <c r="P63" i="59"/>
  <c r="Q172" i="59"/>
  <c r="P68" i="59"/>
  <c r="Q68" i="59"/>
  <c r="R59" i="59"/>
  <c r="R57" i="59"/>
  <c r="R55" i="59"/>
  <c r="O84" i="59"/>
  <c r="I96" i="59"/>
  <c r="Q66" i="59"/>
  <c r="P66" i="59"/>
  <c r="P64" i="59"/>
  <c r="Q64" i="59"/>
  <c r="I97" i="59"/>
  <c r="O85" i="59"/>
  <c r="I87" i="59"/>
  <c r="O75" i="59"/>
  <c r="I92" i="59"/>
  <c r="O80" i="59"/>
  <c r="Q67" i="59"/>
  <c r="P67" i="59"/>
  <c r="S171" i="59"/>
  <c r="I90" i="59"/>
  <c r="O78" i="59"/>
  <c r="I88" i="59"/>
  <c r="O76" i="59"/>
  <c r="R60" i="59"/>
  <c r="Q74" i="59"/>
  <c r="P74" i="59"/>
  <c r="R52" i="59"/>
  <c r="I94" i="59"/>
  <c r="O82" i="59"/>
  <c r="Q71" i="59"/>
  <c r="P71" i="59"/>
  <c r="Q69" i="59"/>
  <c r="P69" i="59"/>
  <c r="I91" i="59"/>
  <c r="O79" i="59"/>
  <c r="R58" i="59"/>
  <c r="R54" i="59"/>
  <c r="R51" i="59"/>
  <c r="R62" i="59"/>
  <c r="Q65" i="59"/>
  <c r="P65" i="59"/>
  <c r="I98" i="59"/>
  <c r="O86" i="59"/>
  <c r="P70" i="59"/>
  <c r="Q70" i="59"/>
  <c r="O83" i="59"/>
  <c r="I95" i="59"/>
  <c r="I93" i="59"/>
  <c r="O81" i="59"/>
  <c r="R53" i="59"/>
  <c r="R56" i="59"/>
  <c r="S175" i="44"/>
  <c r="R72" i="46"/>
  <c r="I110" i="46"/>
  <c r="O110" i="46" s="1"/>
  <c r="I99" i="46"/>
  <c r="O99" i="46" s="1"/>
  <c r="R67" i="46"/>
  <c r="P83" i="46"/>
  <c r="Q83" i="46"/>
  <c r="R65" i="46"/>
  <c r="P76" i="46"/>
  <c r="Q76" i="46"/>
  <c r="R71" i="46"/>
  <c r="Q84" i="46"/>
  <c r="P84" i="46"/>
  <c r="R64" i="46"/>
  <c r="Q78" i="46"/>
  <c r="P78" i="46"/>
  <c r="R73" i="46"/>
  <c r="R69" i="46"/>
  <c r="P79" i="46"/>
  <c r="Q79" i="46"/>
  <c r="R66" i="46"/>
  <c r="P82" i="46"/>
  <c r="Q82" i="46"/>
  <c r="P77" i="46"/>
  <c r="Q77" i="46"/>
  <c r="I107" i="46"/>
  <c r="O107" i="46" s="1"/>
  <c r="S172" i="46"/>
  <c r="I102" i="46"/>
  <c r="O102" i="46" s="1"/>
  <c r="I103" i="46"/>
  <c r="O103" i="46" s="1"/>
  <c r="I101" i="46"/>
  <c r="O101" i="46" s="1"/>
  <c r="R74" i="46"/>
  <c r="R63" i="46"/>
  <c r="P80" i="46"/>
  <c r="Q80" i="46"/>
  <c r="P85" i="46"/>
  <c r="Q85" i="46"/>
  <c r="Q81" i="46"/>
  <c r="P81" i="46"/>
  <c r="R68" i="46"/>
  <c r="P86" i="46"/>
  <c r="Q86" i="46"/>
  <c r="P75" i="46"/>
  <c r="Q173" i="46"/>
  <c r="Q75" i="46"/>
  <c r="R70" i="46"/>
  <c r="I109" i="46"/>
  <c r="O109" i="46" s="1"/>
  <c r="I44" i="45"/>
  <c r="O44" i="45" s="1"/>
  <c r="I47" i="45"/>
  <c r="O47" i="45" s="1"/>
  <c r="I48" i="45"/>
  <c r="O48" i="45" s="1"/>
  <c r="I43" i="45"/>
  <c r="O43" i="45" s="1"/>
  <c r="I50" i="45"/>
  <c r="O50" i="45" s="1"/>
  <c r="P63" i="45"/>
  <c r="Q63" i="45"/>
  <c r="R75" i="45"/>
  <c r="I41" i="45"/>
  <c r="O41" i="45" s="1"/>
  <c r="I49" i="45"/>
  <c r="O49" i="45" s="1"/>
  <c r="I40" i="45"/>
  <c r="O40" i="45" s="1"/>
  <c r="I46" i="45"/>
  <c r="O46" i="45" s="1"/>
  <c r="I42" i="45"/>
  <c r="O42" i="45" s="1"/>
  <c r="P65" i="45"/>
  <c r="Q65" i="45"/>
  <c r="P66" i="45"/>
  <c r="Q66" i="45"/>
  <c r="P82" i="45"/>
  <c r="Q82" i="45"/>
  <c r="P67" i="45"/>
  <c r="Q67" i="45"/>
  <c r="R74" i="45"/>
  <c r="P71" i="45"/>
  <c r="Q71" i="45"/>
  <c r="Q73" i="45"/>
  <c r="P73" i="45"/>
  <c r="P64" i="45"/>
  <c r="Q64" i="45"/>
  <c r="P171" i="45"/>
  <c r="Q80" i="45"/>
  <c r="P80" i="45"/>
  <c r="Q86" i="45"/>
  <c r="P86" i="45"/>
  <c r="Q81" i="45"/>
  <c r="P81" i="45"/>
  <c r="R70" i="45"/>
  <c r="R68" i="45"/>
  <c r="P72" i="45"/>
  <c r="Q72" i="45"/>
  <c r="R95" i="20"/>
  <c r="R93" i="20"/>
  <c r="R92" i="20"/>
  <c r="R89" i="20"/>
  <c r="R88" i="20"/>
  <c r="R96" i="20"/>
  <c r="R87" i="20"/>
  <c r="R97" i="20"/>
  <c r="R91" i="20"/>
  <c r="R98" i="20"/>
  <c r="R90" i="20"/>
  <c r="R94" i="20"/>
  <c r="N29" i="11"/>
  <c r="J136" i="22"/>
  <c r="M136" i="22" s="1"/>
  <c r="L136" i="46"/>
  <c r="O136" i="46" s="1"/>
  <c r="L136" i="45"/>
  <c r="O136" i="45" s="1"/>
  <c r="J136" i="37"/>
  <c r="M136" i="37" s="1"/>
  <c r="O136" i="37" s="1"/>
  <c r="Z27" i="17"/>
  <c r="K45" i="17"/>
  <c r="N45" i="17"/>
  <c r="N41" i="17"/>
  <c r="E45" i="17"/>
  <c r="K36" i="17"/>
  <c r="L40" i="17"/>
  <c r="N36" i="17"/>
  <c r="O40" i="17"/>
  <c r="E62" i="17"/>
  <c r="P139" i="20"/>
  <c r="Q62" i="17"/>
  <c r="Q63" i="17" s="1"/>
  <c r="Q64" i="17" s="1"/>
  <c r="Q65" i="17" s="1"/>
  <c r="Q66" i="17" s="1"/>
  <c r="Q67" i="17" s="1"/>
  <c r="Q68" i="17" s="1"/>
  <c r="Q69" i="17" s="1"/>
  <c r="Q70" i="17" s="1"/>
  <c r="Q71" i="17" s="1"/>
  <c r="Q72" i="17" s="1"/>
  <c r="P145" i="20"/>
  <c r="P146" i="20"/>
  <c r="P136" i="20"/>
  <c r="S177" i="44"/>
  <c r="P141" i="20"/>
  <c r="H62" i="17"/>
  <c r="L124" i="44"/>
  <c r="K123" i="45"/>
  <c r="I123" i="37"/>
  <c r="M123" i="37" s="1"/>
  <c r="K143" i="45"/>
  <c r="K125" i="45"/>
  <c r="I125" i="37"/>
  <c r="M125" i="37" s="1"/>
  <c r="K141" i="45"/>
  <c r="I135" i="37"/>
  <c r="M111" i="37"/>
  <c r="O111" i="37" s="1"/>
  <c r="P111" i="37" s="1"/>
  <c r="K132" i="45"/>
  <c r="I132" i="37"/>
  <c r="M132" i="37" s="1"/>
  <c r="O133" i="37"/>
  <c r="N133" i="37"/>
  <c r="L131" i="44"/>
  <c r="J131" i="20"/>
  <c r="L130" i="44"/>
  <c r="J130" i="20"/>
  <c r="L125" i="44"/>
  <c r="L127" i="44"/>
  <c r="L123" i="44"/>
  <c r="K135" i="45"/>
  <c r="K131" i="45"/>
  <c r="I131" i="37"/>
  <c r="M131" i="37" s="1"/>
  <c r="L134" i="44"/>
  <c r="J134" i="20"/>
  <c r="I137" i="37"/>
  <c r="M113" i="37"/>
  <c r="K129" i="45"/>
  <c r="I129" i="37"/>
  <c r="M129" i="37" s="1"/>
  <c r="L132" i="44"/>
  <c r="J132" i="20"/>
  <c r="I144" i="37"/>
  <c r="M120" i="37"/>
  <c r="L128" i="44"/>
  <c r="J128" i="20"/>
  <c r="L129" i="44"/>
  <c r="J129" i="20"/>
  <c r="L126" i="44"/>
  <c r="N128" i="37"/>
  <c r="O128" i="37"/>
  <c r="I143" i="37"/>
  <c r="M119" i="37"/>
  <c r="L133" i="44"/>
  <c r="J133" i="20"/>
  <c r="K137" i="45"/>
  <c r="N134" i="37"/>
  <c r="O134" i="37"/>
  <c r="I141" i="37"/>
  <c r="M117" i="37"/>
  <c r="O130" i="37"/>
  <c r="N130" i="37"/>
  <c r="K144" i="45"/>
  <c r="R99" i="45"/>
  <c r="J85" i="44"/>
  <c r="Q85" i="44" s="1"/>
  <c r="R110" i="44"/>
  <c r="S110" i="44"/>
  <c r="J86" i="44"/>
  <c r="Q86" i="44" s="1"/>
  <c r="Q174" i="44"/>
  <c r="S109" i="44"/>
  <c r="R109" i="44"/>
  <c r="T121" i="44"/>
  <c r="T122" i="44"/>
  <c r="I7" i="11"/>
  <c r="I54" i="11"/>
  <c r="H60" i="11"/>
  <c r="AF64" i="32"/>
  <c r="AF70" i="32"/>
  <c r="AF69" i="32"/>
  <c r="AF66" i="32"/>
  <c r="AF63" i="32"/>
  <c r="AF71" i="32"/>
  <c r="AF65" i="32"/>
  <c r="AF68" i="32"/>
  <c r="AF67" i="32"/>
  <c r="AF72" i="32"/>
  <c r="AF62" i="32"/>
  <c r="AF61" i="32"/>
  <c r="I66" i="44"/>
  <c r="Q66" i="44" s="1"/>
  <c r="I53" i="44"/>
  <c r="Q53" i="44" s="1"/>
  <c r="I52" i="44"/>
  <c r="Q52" i="44" s="1"/>
  <c r="I57" i="44"/>
  <c r="Q57" i="44" s="1"/>
  <c r="P140" i="20"/>
  <c r="I56" i="44"/>
  <c r="Q56" i="44" s="1"/>
  <c r="S178" i="44"/>
  <c r="I58" i="44"/>
  <c r="Q58" i="44" s="1"/>
  <c r="I61" i="44"/>
  <c r="I62" i="44"/>
  <c r="T96" i="44"/>
  <c r="T95" i="44"/>
  <c r="I60" i="44"/>
  <c r="Q60" i="44" s="1"/>
  <c r="I59" i="44"/>
  <c r="Q59" i="44" s="1"/>
  <c r="S84" i="44"/>
  <c r="R84" i="44"/>
  <c r="R83" i="44"/>
  <c r="S83" i="44"/>
  <c r="R63" i="44"/>
  <c r="S63" i="44"/>
  <c r="T79" i="44"/>
  <c r="T90" i="44"/>
  <c r="T82" i="44"/>
  <c r="R65" i="44"/>
  <c r="S65" i="44"/>
  <c r="R67" i="44"/>
  <c r="S67" i="44"/>
  <c r="S78" i="44"/>
  <c r="R78" i="44"/>
  <c r="S69" i="44"/>
  <c r="R69" i="44"/>
  <c r="T76" i="44"/>
  <c r="T81" i="44"/>
  <c r="R64" i="44"/>
  <c r="S64" i="44"/>
  <c r="S68" i="44"/>
  <c r="R68" i="44"/>
  <c r="T75" i="44"/>
  <c r="T77" i="44"/>
  <c r="R70" i="44"/>
  <c r="S70" i="44"/>
  <c r="T80" i="44"/>
  <c r="C37" i="9"/>
  <c r="M12" i="11"/>
  <c r="P100" i="22"/>
  <c r="P173" i="37"/>
  <c r="P96" i="37"/>
  <c r="P91" i="37"/>
  <c r="P89" i="37"/>
  <c r="P92" i="37"/>
  <c r="O101" i="37"/>
  <c r="N101" i="37"/>
  <c r="O103" i="37"/>
  <c r="N103" i="37"/>
  <c r="O109" i="37"/>
  <c r="N109" i="37"/>
  <c r="O106" i="37"/>
  <c r="N106" i="37"/>
  <c r="O104" i="37"/>
  <c r="P104" i="37" s="1"/>
  <c r="N104" i="37"/>
  <c r="O100" i="37"/>
  <c r="P100" i="37" s="1"/>
  <c r="N100" i="37"/>
  <c r="O105" i="37"/>
  <c r="P105" i="37" s="1"/>
  <c r="N105" i="37"/>
  <c r="O107" i="37"/>
  <c r="N107" i="37"/>
  <c r="O102" i="37"/>
  <c r="N102" i="37"/>
  <c r="O108" i="37"/>
  <c r="P108" i="37" s="1"/>
  <c r="N108" i="37"/>
  <c r="O110" i="37"/>
  <c r="N110" i="37"/>
  <c r="O99" i="37"/>
  <c r="P99" i="37" s="1"/>
  <c r="Q173" i="20"/>
  <c r="Q106" i="20"/>
  <c r="P106" i="20"/>
  <c r="P104" i="20"/>
  <c r="Q104" i="20"/>
  <c r="O174" i="20"/>
  <c r="Q99" i="20"/>
  <c r="P99" i="20"/>
  <c r="P102" i="20"/>
  <c r="Q102" i="20"/>
  <c r="Q105" i="20"/>
  <c r="P105" i="20"/>
  <c r="Q101" i="20"/>
  <c r="P101" i="20"/>
  <c r="Q111" i="20"/>
  <c r="P111" i="20"/>
  <c r="Q109" i="20"/>
  <c r="P109" i="20"/>
  <c r="Q107" i="20"/>
  <c r="P107" i="20"/>
  <c r="Q100" i="20"/>
  <c r="P100" i="20"/>
  <c r="P110" i="20"/>
  <c r="Q110" i="20"/>
  <c r="Q103" i="20"/>
  <c r="P103" i="20"/>
  <c r="Q108" i="20"/>
  <c r="P108" i="20"/>
  <c r="O177" i="20"/>
  <c r="P155" i="20"/>
  <c r="P150" i="20"/>
  <c r="P154" i="20"/>
  <c r="P151" i="20"/>
  <c r="P157" i="20"/>
  <c r="P156" i="20"/>
  <c r="P158" i="20"/>
  <c r="P153" i="20"/>
  <c r="P152" i="20"/>
  <c r="P149" i="20"/>
  <c r="P148" i="20"/>
  <c r="P135" i="20"/>
  <c r="B13" i="9"/>
  <c r="J49" i="11"/>
  <c r="O111" i="22"/>
  <c r="P111" i="22" s="1"/>
  <c r="O124" i="22"/>
  <c r="P124" i="22" s="1"/>
  <c r="N123" i="37"/>
  <c r="O125" i="22"/>
  <c r="P125" i="22" s="1"/>
  <c r="O127" i="22"/>
  <c r="P127" i="22" s="1"/>
  <c r="J127" i="20"/>
  <c r="J124" i="20"/>
  <c r="J125" i="20"/>
  <c r="J126" i="20"/>
  <c r="J123" i="20"/>
  <c r="AZ25" i="32"/>
  <c r="BE25" i="32" s="1"/>
  <c r="BG79" i="32" s="1"/>
  <c r="X15" i="32"/>
  <c r="I39" i="45" l="1"/>
  <c r="O39" i="45" s="1"/>
  <c r="R69" i="45"/>
  <c r="I45" i="45"/>
  <c r="O45" i="45" s="1"/>
  <c r="L137" i="59"/>
  <c r="I104" i="46"/>
  <c r="O104" i="46" s="1"/>
  <c r="I108" i="46"/>
  <c r="O108" i="46" s="1"/>
  <c r="W67" i="17"/>
  <c r="L137" i="58"/>
  <c r="I39" i="44"/>
  <c r="Q39" i="44" s="1"/>
  <c r="I105" i="46"/>
  <c r="O105" i="46" s="1"/>
  <c r="I100" i="46"/>
  <c r="O100" i="46" s="1"/>
  <c r="I43" i="44"/>
  <c r="Q43" i="44" s="1"/>
  <c r="I106" i="46"/>
  <c r="O106" i="46" s="1"/>
  <c r="Q83" i="59"/>
  <c r="P83" i="59"/>
  <c r="I106" i="59"/>
  <c r="O94" i="59"/>
  <c r="I100" i="59"/>
  <c r="O88" i="59"/>
  <c r="R67" i="59"/>
  <c r="O87" i="59"/>
  <c r="I99" i="59"/>
  <c r="I109" i="59"/>
  <c r="O97" i="59"/>
  <c r="R68" i="59"/>
  <c r="P77" i="59"/>
  <c r="Q77" i="59"/>
  <c r="R72" i="59"/>
  <c r="P81" i="59"/>
  <c r="Q81" i="59"/>
  <c r="Q86" i="59"/>
  <c r="P86" i="59"/>
  <c r="R69" i="59"/>
  <c r="Q78" i="59"/>
  <c r="P78" i="59"/>
  <c r="Q80" i="59"/>
  <c r="P80" i="59"/>
  <c r="R64" i="59"/>
  <c r="I108" i="59"/>
  <c r="O96" i="59"/>
  <c r="S172" i="59"/>
  <c r="O89" i="59"/>
  <c r="I101" i="59"/>
  <c r="I105" i="59"/>
  <c r="O93" i="59"/>
  <c r="I110" i="59"/>
  <c r="O98" i="59"/>
  <c r="R65" i="59"/>
  <c r="Q79" i="59"/>
  <c r="P79" i="59"/>
  <c r="R74" i="59"/>
  <c r="I102" i="59"/>
  <c r="O90" i="59"/>
  <c r="I104" i="59"/>
  <c r="O92" i="59"/>
  <c r="R66" i="59"/>
  <c r="P84" i="59"/>
  <c r="Q84" i="59"/>
  <c r="R63" i="59"/>
  <c r="R73" i="59"/>
  <c r="O95" i="59"/>
  <c r="I107" i="59"/>
  <c r="R70" i="59"/>
  <c r="I103" i="59"/>
  <c r="O91" i="59"/>
  <c r="R71" i="59"/>
  <c r="P82" i="59"/>
  <c r="Q82" i="59"/>
  <c r="Q76" i="59"/>
  <c r="P76" i="59"/>
  <c r="Q75" i="59"/>
  <c r="P75" i="59"/>
  <c r="Q173" i="59"/>
  <c r="P85" i="59"/>
  <c r="Q85" i="59"/>
  <c r="P93" i="46"/>
  <c r="Q93" i="46"/>
  <c r="P92" i="46"/>
  <c r="Q92" i="46"/>
  <c r="R75" i="46"/>
  <c r="R81" i="46"/>
  <c r="P94" i="46"/>
  <c r="Q94" i="46"/>
  <c r="I115" i="46"/>
  <c r="O115" i="46" s="1"/>
  <c r="Q95" i="46"/>
  <c r="P95" i="46"/>
  <c r="R82" i="46"/>
  <c r="R79" i="46"/>
  <c r="P98" i="46"/>
  <c r="Q98" i="46"/>
  <c r="R85" i="46"/>
  <c r="P90" i="46"/>
  <c r="Q90" i="46"/>
  <c r="P88" i="46"/>
  <c r="Q88" i="46"/>
  <c r="I119" i="46"/>
  <c r="O119" i="46" s="1"/>
  <c r="I122" i="46"/>
  <c r="O122" i="46" s="1"/>
  <c r="P97" i="46"/>
  <c r="Q97" i="46"/>
  <c r="S173" i="46"/>
  <c r="P89" i="46"/>
  <c r="Q89" i="46"/>
  <c r="I114" i="46"/>
  <c r="O114" i="46" s="1"/>
  <c r="R77" i="46"/>
  <c r="R76" i="46"/>
  <c r="R83" i="46"/>
  <c r="Q87" i="46"/>
  <c r="P87" i="46"/>
  <c r="Q174" i="46"/>
  <c r="I121" i="46"/>
  <c r="O121" i="46" s="1"/>
  <c r="R86" i="46"/>
  <c r="R80" i="46"/>
  <c r="I113" i="46"/>
  <c r="O113" i="46" s="1"/>
  <c r="P91" i="46"/>
  <c r="Q91" i="46"/>
  <c r="P96" i="46"/>
  <c r="Q96" i="46"/>
  <c r="R78" i="46"/>
  <c r="R84" i="46"/>
  <c r="I111" i="46"/>
  <c r="O111" i="46" s="1"/>
  <c r="P54" i="45"/>
  <c r="Q54" i="45"/>
  <c r="P52" i="45"/>
  <c r="Q52" i="45"/>
  <c r="Q51" i="45"/>
  <c r="P51" i="45"/>
  <c r="P170" i="45"/>
  <c r="Q62" i="45"/>
  <c r="P62" i="45"/>
  <c r="Q60" i="45"/>
  <c r="P60" i="45"/>
  <c r="P56" i="45"/>
  <c r="Q56" i="45"/>
  <c r="I30" i="45"/>
  <c r="O30" i="45" s="1"/>
  <c r="I28" i="45"/>
  <c r="O28" i="45" s="1"/>
  <c r="I38" i="45"/>
  <c r="O38" i="45" s="1"/>
  <c r="I36" i="45"/>
  <c r="O36" i="45" s="1"/>
  <c r="I32" i="45"/>
  <c r="O32" i="45" s="1"/>
  <c r="P58" i="45"/>
  <c r="Q58" i="45"/>
  <c r="P61" i="45"/>
  <c r="Q61" i="45"/>
  <c r="P53" i="45"/>
  <c r="Q53" i="45"/>
  <c r="R63" i="45"/>
  <c r="Q55" i="45"/>
  <c r="P55" i="45"/>
  <c r="P59" i="45"/>
  <c r="Q59" i="45"/>
  <c r="P57" i="45"/>
  <c r="Q57" i="45"/>
  <c r="I34" i="45"/>
  <c r="O34" i="45" s="1"/>
  <c r="I37" i="45"/>
  <c r="O37" i="45" s="1"/>
  <c r="I29" i="45"/>
  <c r="O29" i="45" s="1"/>
  <c r="I31" i="45"/>
  <c r="O31" i="45" s="1"/>
  <c r="I35" i="45"/>
  <c r="O35" i="45" s="1"/>
  <c r="R171" i="45"/>
  <c r="R72" i="45"/>
  <c r="P93" i="45"/>
  <c r="Q93" i="45"/>
  <c r="P76" i="45"/>
  <c r="Q76" i="45"/>
  <c r="P172" i="45"/>
  <c r="R71" i="45"/>
  <c r="P94" i="45"/>
  <c r="Q94" i="45"/>
  <c r="R82" i="45"/>
  <c r="R86" i="45"/>
  <c r="R80" i="45"/>
  <c r="P98" i="45"/>
  <c r="Q98" i="45"/>
  <c r="P92" i="45"/>
  <c r="Q92" i="45"/>
  <c r="P85" i="45"/>
  <c r="Q85" i="45"/>
  <c r="Q83" i="45"/>
  <c r="P83" i="45"/>
  <c r="R73" i="45"/>
  <c r="P79" i="45"/>
  <c r="Q79" i="45"/>
  <c r="P78" i="45"/>
  <c r="Q78" i="45"/>
  <c r="Q84" i="45"/>
  <c r="P84" i="45"/>
  <c r="R67" i="45"/>
  <c r="R81" i="45"/>
  <c r="R64" i="45"/>
  <c r="Q77" i="45"/>
  <c r="P77" i="45"/>
  <c r="R66" i="45"/>
  <c r="R65" i="45"/>
  <c r="P130" i="37"/>
  <c r="P128" i="37"/>
  <c r="P133" i="37"/>
  <c r="P134" i="37"/>
  <c r="R103" i="20"/>
  <c r="R100" i="20"/>
  <c r="R109" i="20"/>
  <c r="R101" i="20"/>
  <c r="R104" i="20"/>
  <c r="R110" i="20"/>
  <c r="R108" i="20"/>
  <c r="R107" i="20"/>
  <c r="R111" i="20"/>
  <c r="R105" i="20"/>
  <c r="R99" i="20"/>
  <c r="R102" i="20"/>
  <c r="R106" i="20"/>
  <c r="N136" i="37"/>
  <c r="O29" i="11"/>
  <c r="G42" i="9"/>
  <c r="G18" i="9" s="1"/>
  <c r="G22" i="9"/>
  <c r="G38" i="9"/>
  <c r="H63" i="17"/>
  <c r="L137" i="46"/>
  <c r="O137" i="46" s="1"/>
  <c r="J137" i="22"/>
  <c r="M137" i="22" s="1"/>
  <c r="N137" i="22" s="1"/>
  <c r="N136" i="22"/>
  <c r="E63" i="17"/>
  <c r="L137" i="45"/>
  <c r="O137" i="45" s="1"/>
  <c r="J137" i="37"/>
  <c r="M137" i="37" s="1"/>
  <c r="G23" i="9"/>
  <c r="F23" i="9"/>
  <c r="G39" i="9"/>
  <c r="F39" i="9"/>
  <c r="C14" i="18"/>
  <c r="K37" i="17"/>
  <c r="L41" i="17"/>
  <c r="N37" i="17"/>
  <c r="O41" i="17"/>
  <c r="B32" i="17"/>
  <c r="Q73" i="17"/>
  <c r="Q74" i="17" s="1"/>
  <c r="Q75" i="17" s="1"/>
  <c r="Q76" i="17" s="1"/>
  <c r="Q77" i="17" s="1"/>
  <c r="Q78" i="17" s="1"/>
  <c r="Q79" i="17" s="1"/>
  <c r="Q80" i="17" s="1"/>
  <c r="Q81" i="17" s="1"/>
  <c r="Q82" i="17" s="1"/>
  <c r="Q83" i="17" s="1"/>
  <c r="Q32" i="17"/>
  <c r="Q40" i="17" s="1"/>
  <c r="D14" i="18"/>
  <c r="K156" i="45"/>
  <c r="I153" i="37"/>
  <c r="K149" i="45"/>
  <c r="P133" i="20"/>
  <c r="Q133" i="20"/>
  <c r="P128" i="20"/>
  <c r="Q128" i="20"/>
  <c r="I149" i="37"/>
  <c r="N131" i="37"/>
  <c r="O131" i="37"/>
  <c r="Q131" i="20"/>
  <c r="P131" i="20"/>
  <c r="I147" i="37"/>
  <c r="M135" i="37"/>
  <c r="I155" i="37"/>
  <c r="P129" i="20"/>
  <c r="Q129" i="20"/>
  <c r="I156" i="37"/>
  <c r="Q130" i="20"/>
  <c r="P130" i="20"/>
  <c r="K153" i="45"/>
  <c r="O129" i="37"/>
  <c r="N129" i="37"/>
  <c r="Q134" i="20"/>
  <c r="P134" i="20"/>
  <c r="P111" i="45"/>
  <c r="Q111" i="45"/>
  <c r="K155" i="45"/>
  <c r="N176" i="37"/>
  <c r="Q132" i="20"/>
  <c r="P132" i="20"/>
  <c r="K147" i="45"/>
  <c r="N132" i="37"/>
  <c r="O132" i="37"/>
  <c r="N175" i="37"/>
  <c r="N111" i="37"/>
  <c r="P123" i="45"/>
  <c r="Q123" i="45"/>
  <c r="S174" i="44"/>
  <c r="T109" i="44"/>
  <c r="T110" i="44"/>
  <c r="R98" i="44"/>
  <c r="S98" i="44"/>
  <c r="R97" i="44"/>
  <c r="Q173" i="44"/>
  <c r="S97" i="44"/>
  <c r="J74" i="44"/>
  <c r="Q74" i="44" s="1"/>
  <c r="J73" i="44"/>
  <c r="Q73" i="44" s="1"/>
  <c r="I60" i="11"/>
  <c r="J7" i="11"/>
  <c r="J54" i="11"/>
  <c r="I40" i="44"/>
  <c r="Q40" i="44" s="1"/>
  <c r="I54" i="44"/>
  <c r="Q54" i="44" s="1"/>
  <c r="I41" i="44"/>
  <c r="Q41" i="44" s="1"/>
  <c r="I45" i="44"/>
  <c r="Q45" i="44" s="1"/>
  <c r="Q177" i="20"/>
  <c r="I44" i="44"/>
  <c r="Q44" i="44" s="1"/>
  <c r="I46" i="44"/>
  <c r="Q46" i="44" s="1"/>
  <c r="T83" i="44"/>
  <c r="I47" i="44"/>
  <c r="Q47" i="44" s="1"/>
  <c r="I50" i="44"/>
  <c r="R71" i="44"/>
  <c r="S71" i="44"/>
  <c r="I48" i="44"/>
  <c r="Q48" i="44" s="1"/>
  <c r="I49" i="44"/>
  <c r="T84" i="44"/>
  <c r="R72" i="44"/>
  <c r="S72" i="44"/>
  <c r="T70" i="44"/>
  <c r="R57" i="44"/>
  <c r="S57" i="44"/>
  <c r="T65" i="44"/>
  <c r="R52" i="44"/>
  <c r="S52" i="44"/>
  <c r="R51" i="44"/>
  <c r="S51" i="44"/>
  <c r="S58" i="44"/>
  <c r="R58" i="44"/>
  <c r="T68" i="44"/>
  <c r="T69" i="44"/>
  <c r="T63" i="44"/>
  <c r="T67" i="44"/>
  <c r="S56" i="44"/>
  <c r="R56" i="44"/>
  <c r="R53" i="44"/>
  <c r="S53" i="44"/>
  <c r="S66" i="44"/>
  <c r="R66" i="44"/>
  <c r="S55" i="44"/>
  <c r="R55" i="44"/>
  <c r="T64" i="44"/>
  <c r="T78" i="44"/>
  <c r="P174" i="37"/>
  <c r="P110" i="37"/>
  <c r="P102" i="37"/>
  <c r="P109" i="37"/>
  <c r="P101" i="37"/>
  <c r="P107" i="37"/>
  <c r="P106" i="37"/>
  <c r="P103" i="37"/>
  <c r="O121" i="37"/>
  <c r="N121" i="37"/>
  <c r="O113" i="37"/>
  <c r="N113" i="37"/>
  <c r="O115" i="37"/>
  <c r="P115" i="37" s="1"/>
  <c r="N115" i="37"/>
  <c r="O112" i="37"/>
  <c r="N112" i="37"/>
  <c r="O119" i="37"/>
  <c r="N119" i="37"/>
  <c r="O116" i="37"/>
  <c r="P116" i="37" s="1"/>
  <c r="N116" i="37"/>
  <c r="O120" i="37"/>
  <c r="N120" i="37"/>
  <c r="O122" i="37"/>
  <c r="P122" i="37" s="1"/>
  <c r="N122" i="37"/>
  <c r="O117" i="37"/>
  <c r="N117" i="37"/>
  <c r="O118" i="37"/>
  <c r="P118" i="37" s="1"/>
  <c r="N118" i="37"/>
  <c r="O114" i="37"/>
  <c r="P114" i="37" s="1"/>
  <c r="N114" i="37"/>
  <c r="O175" i="20"/>
  <c r="P120" i="20"/>
  <c r="Q120" i="20"/>
  <c r="Q113" i="20"/>
  <c r="P113" i="20"/>
  <c r="Q119" i="20"/>
  <c r="P119" i="20"/>
  <c r="Q116" i="20"/>
  <c r="P116" i="20"/>
  <c r="Q115" i="20"/>
  <c r="P115" i="20"/>
  <c r="Q174" i="20"/>
  <c r="Q123" i="20"/>
  <c r="P123" i="20"/>
  <c r="P118" i="20"/>
  <c r="Q118" i="20"/>
  <c r="Q122" i="20"/>
  <c r="P122" i="20"/>
  <c r="P112" i="20"/>
  <c r="Q112" i="20"/>
  <c r="Q121" i="20"/>
  <c r="P121" i="20"/>
  <c r="Q117" i="20"/>
  <c r="P117" i="20"/>
  <c r="Q114" i="20"/>
  <c r="P114" i="20"/>
  <c r="P147" i="20"/>
  <c r="B14" i="9"/>
  <c r="K49" i="11"/>
  <c r="BK25" i="32"/>
  <c r="BG85" i="32" s="1"/>
  <c r="BB25" i="32"/>
  <c r="BG76" i="32" s="1"/>
  <c r="BD25" i="32"/>
  <c r="BG78" i="32" s="1"/>
  <c r="BL25" i="32"/>
  <c r="BG86" i="32" s="1"/>
  <c r="O123" i="37"/>
  <c r="P123" i="37" s="1"/>
  <c r="O123" i="22"/>
  <c r="P123" i="22" s="1"/>
  <c r="P159" i="22" s="1"/>
  <c r="X16" i="32"/>
  <c r="X17" i="32" s="1"/>
  <c r="X18" i="32" s="1"/>
  <c r="X19" i="32" s="1"/>
  <c r="X20" i="32" s="1"/>
  <c r="X21" i="32" s="1"/>
  <c r="X22" i="32" s="1"/>
  <c r="X23" i="32" s="1"/>
  <c r="X24" i="32" s="1"/>
  <c r="AZ26" i="32"/>
  <c r="BI25" i="32"/>
  <c r="BG83" i="32" s="1"/>
  <c r="BC25" i="32"/>
  <c r="BG77" i="32" s="1"/>
  <c r="BF25" i="32"/>
  <c r="BG80" i="32" s="1"/>
  <c r="BJ25" i="32"/>
  <c r="BG84" i="32" s="1"/>
  <c r="BG25" i="32"/>
  <c r="BG81" i="32" s="1"/>
  <c r="BA25" i="32"/>
  <c r="BG75" i="32" s="1"/>
  <c r="BH25" i="32"/>
  <c r="BG82" i="32" s="1"/>
  <c r="CP52" i="32"/>
  <c r="CX52" i="32" s="1"/>
  <c r="CX82" i="32" s="1"/>
  <c r="H142" i="59" s="1"/>
  <c r="AL25" i="32"/>
  <c r="AW25" i="32" s="1"/>
  <c r="AS85" i="32" s="1"/>
  <c r="I27" i="45" l="1"/>
  <c r="O27" i="45" s="1"/>
  <c r="I33" i="45"/>
  <c r="O33" i="45" s="1"/>
  <c r="L138" i="59"/>
  <c r="I116" i="46"/>
  <c r="O116" i="46" s="1"/>
  <c r="I27" i="44"/>
  <c r="Q27" i="44" s="1"/>
  <c r="I120" i="46"/>
  <c r="O120" i="46" s="1"/>
  <c r="I117" i="46"/>
  <c r="O117" i="46" s="1"/>
  <c r="I118" i="46"/>
  <c r="O118" i="46" s="1"/>
  <c r="W68" i="17"/>
  <c r="C17" i="9"/>
  <c r="C22" i="9" s="1"/>
  <c r="I112" i="46"/>
  <c r="O112" i="46" s="1"/>
  <c r="L138" i="58"/>
  <c r="I31" i="44"/>
  <c r="Q31" i="44" s="1"/>
  <c r="Q178" i="20"/>
  <c r="S173" i="59"/>
  <c r="R82" i="59"/>
  <c r="P91" i="59"/>
  <c r="Q91" i="59"/>
  <c r="P95" i="59"/>
  <c r="Q95" i="59"/>
  <c r="P92" i="59"/>
  <c r="Q92" i="59"/>
  <c r="Q90" i="59"/>
  <c r="P90" i="59"/>
  <c r="I120" i="59"/>
  <c r="O108" i="59"/>
  <c r="R80" i="59"/>
  <c r="R86" i="59"/>
  <c r="R77" i="59"/>
  <c r="R85" i="59"/>
  <c r="R75" i="59"/>
  <c r="I115" i="59"/>
  <c r="O103" i="59"/>
  <c r="I116" i="59"/>
  <c r="O104" i="59"/>
  <c r="I114" i="59"/>
  <c r="O102" i="59"/>
  <c r="R84" i="59"/>
  <c r="Q98" i="59"/>
  <c r="P98" i="59"/>
  <c r="P93" i="59"/>
  <c r="Q93" i="59"/>
  <c r="I113" i="59"/>
  <c r="O101" i="59"/>
  <c r="R78" i="59"/>
  <c r="Q97" i="59"/>
  <c r="P97" i="59"/>
  <c r="I111" i="59"/>
  <c r="O99" i="59"/>
  <c r="P88" i="59"/>
  <c r="Q88" i="59"/>
  <c r="Q94" i="59"/>
  <c r="P94" i="59"/>
  <c r="R76" i="59"/>
  <c r="I119" i="59"/>
  <c r="O107" i="59"/>
  <c r="R79" i="59"/>
  <c r="I122" i="59"/>
  <c r="O110" i="59"/>
  <c r="I117" i="59"/>
  <c r="O105" i="59"/>
  <c r="P89" i="59"/>
  <c r="Q89" i="59"/>
  <c r="P96" i="59"/>
  <c r="Q96" i="59"/>
  <c r="R81" i="59"/>
  <c r="I121" i="59"/>
  <c r="O109" i="59"/>
  <c r="P87" i="59"/>
  <c r="Q87" i="59"/>
  <c r="Q174" i="59"/>
  <c r="I112" i="59"/>
  <c r="O100" i="59"/>
  <c r="I118" i="59"/>
  <c r="O106" i="59"/>
  <c r="R83" i="59"/>
  <c r="Q99" i="46"/>
  <c r="P99" i="46"/>
  <c r="Q175" i="46"/>
  <c r="R96" i="46"/>
  <c r="P101" i="46"/>
  <c r="Q101" i="46"/>
  <c r="I133" i="46"/>
  <c r="O133" i="46" s="1"/>
  <c r="P102" i="46"/>
  <c r="Q102" i="46"/>
  <c r="P110" i="46"/>
  <c r="Q110" i="46"/>
  <c r="R88" i="46"/>
  <c r="P106" i="46"/>
  <c r="Q106" i="46"/>
  <c r="P104" i="46"/>
  <c r="Q104" i="46"/>
  <c r="R95" i="46"/>
  <c r="I127" i="46"/>
  <c r="O127" i="46" s="1"/>
  <c r="I123" i="46"/>
  <c r="I125" i="46"/>
  <c r="O125" i="46" s="1"/>
  <c r="I126" i="46"/>
  <c r="O126" i="46" s="1"/>
  <c r="I134" i="46"/>
  <c r="O134" i="46" s="1"/>
  <c r="R98" i="46"/>
  <c r="P108" i="46"/>
  <c r="Q108" i="46"/>
  <c r="R94" i="46"/>
  <c r="R93" i="46"/>
  <c r="R91" i="46"/>
  <c r="S174" i="46"/>
  <c r="Q100" i="46"/>
  <c r="P100" i="46"/>
  <c r="R89" i="46"/>
  <c r="R97" i="46"/>
  <c r="Q107" i="46"/>
  <c r="P107" i="46"/>
  <c r="R90" i="46"/>
  <c r="P105" i="46"/>
  <c r="Q105" i="46"/>
  <c r="P109" i="46"/>
  <c r="Q109" i="46"/>
  <c r="R87" i="46"/>
  <c r="I131" i="46"/>
  <c r="O131" i="46" s="1"/>
  <c r="P103" i="46"/>
  <c r="Q103" i="46"/>
  <c r="R92" i="46"/>
  <c r="I23" i="45"/>
  <c r="O23" i="45" s="1"/>
  <c r="I17" i="45"/>
  <c r="I22" i="45"/>
  <c r="O22" i="45" s="1"/>
  <c r="I20" i="45"/>
  <c r="O20" i="45" s="1"/>
  <c r="I26" i="45"/>
  <c r="O26" i="45" s="1"/>
  <c r="I16" i="45"/>
  <c r="R62" i="45"/>
  <c r="R52" i="45"/>
  <c r="Q45" i="45"/>
  <c r="P45" i="45"/>
  <c r="Q43" i="45"/>
  <c r="P43" i="45"/>
  <c r="Q49" i="45"/>
  <c r="P49" i="45"/>
  <c r="R57" i="45"/>
  <c r="R53" i="45"/>
  <c r="R58" i="45"/>
  <c r="P48" i="45"/>
  <c r="Q48" i="45"/>
  <c r="Q39" i="45"/>
  <c r="P39" i="45"/>
  <c r="P169" i="45"/>
  <c r="P42" i="45"/>
  <c r="Q42" i="45"/>
  <c r="I19" i="45"/>
  <c r="I25" i="45"/>
  <c r="O25" i="45" s="1"/>
  <c r="R55" i="45"/>
  <c r="I24" i="45"/>
  <c r="O24" i="45" s="1"/>
  <c r="I18" i="45"/>
  <c r="R60" i="45"/>
  <c r="R170" i="45"/>
  <c r="R54" i="45"/>
  <c r="Q47" i="45"/>
  <c r="P47" i="45"/>
  <c r="Q41" i="45"/>
  <c r="P41" i="45"/>
  <c r="P46" i="45"/>
  <c r="Q46" i="45"/>
  <c r="R59" i="45"/>
  <c r="R61" i="45"/>
  <c r="P44" i="45"/>
  <c r="Q44" i="45"/>
  <c r="P50" i="45"/>
  <c r="Q50" i="45"/>
  <c r="Q40" i="45"/>
  <c r="P40" i="45"/>
  <c r="R56" i="45"/>
  <c r="R51" i="45"/>
  <c r="Q96" i="45"/>
  <c r="P96" i="45"/>
  <c r="P90" i="45"/>
  <c r="Q90" i="45"/>
  <c r="P95" i="45"/>
  <c r="Q95" i="45"/>
  <c r="Q104" i="45"/>
  <c r="P104" i="45"/>
  <c r="R79" i="45"/>
  <c r="R92" i="45"/>
  <c r="P88" i="45"/>
  <c r="Q88" i="45"/>
  <c r="P173" i="45"/>
  <c r="R94" i="45"/>
  <c r="AH88" i="45"/>
  <c r="R84" i="45"/>
  <c r="R83" i="45"/>
  <c r="R76" i="45"/>
  <c r="P91" i="45"/>
  <c r="Q91" i="45"/>
  <c r="Q97" i="45"/>
  <c r="P97" i="45"/>
  <c r="P110" i="45"/>
  <c r="Q110" i="45"/>
  <c r="R78" i="45"/>
  <c r="R85" i="45"/>
  <c r="R98" i="45"/>
  <c r="P106" i="45"/>
  <c r="Q106" i="45"/>
  <c r="Q105" i="45"/>
  <c r="P105" i="45"/>
  <c r="P89" i="45"/>
  <c r="Q89" i="45"/>
  <c r="R172" i="45"/>
  <c r="R77" i="45"/>
  <c r="R93" i="45"/>
  <c r="P129" i="37"/>
  <c r="P131" i="37"/>
  <c r="P132" i="37"/>
  <c r="R134" i="20"/>
  <c r="R133" i="20"/>
  <c r="R114" i="20"/>
  <c r="R121" i="20"/>
  <c r="R122" i="20"/>
  <c r="R123" i="20"/>
  <c r="R129" i="20"/>
  <c r="R131" i="20"/>
  <c r="R115" i="20"/>
  <c r="R119" i="20"/>
  <c r="R112" i="20"/>
  <c r="R118" i="20"/>
  <c r="R132" i="20"/>
  <c r="R128" i="20"/>
  <c r="R116" i="20"/>
  <c r="R113" i="20"/>
  <c r="R117" i="20"/>
  <c r="R120" i="20"/>
  <c r="R130" i="20"/>
  <c r="Q36" i="17"/>
  <c r="N34" i="11"/>
  <c r="H17" i="9"/>
  <c r="N30" i="11"/>
  <c r="D17" i="18"/>
  <c r="H64" i="17"/>
  <c r="L138" i="46"/>
  <c r="O138" i="46" s="1"/>
  <c r="J138" i="22"/>
  <c r="M138" i="22" s="1"/>
  <c r="E64" i="17"/>
  <c r="L138" i="45"/>
  <c r="O138" i="45" s="1"/>
  <c r="J138" i="37"/>
  <c r="M138" i="37" s="1"/>
  <c r="D18" i="18"/>
  <c r="O30" i="11"/>
  <c r="C18" i="18"/>
  <c r="O25" i="11"/>
  <c r="B40" i="17"/>
  <c r="B33" i="17"/>
  <c r="R40" i="17"/>
  <c r="J60" i="11"/>
  <c r="R123" i="45"/>
  <c r="P135" i="45"/>
  <c r="Q135" i="45"/>
  <c r="N137" i="37"/>
  <c r="O137" i="37"/>
  <c r="R111" i="45"/>
  <c r="O135" i="37"/>
  <c r="N135" i="37"/>
  <c r="J61" i="44"/>
  <c r="Q61" i="44" s="1"/>
  <c r="S86" i="44"/>
  <c r="R86" i="44"/>
  <c r="S173" i="44"/>
  <c r="J62" i="44"/>
  <c r="Q62" i="44" s="1"/>
  <c r="T98" i="44"/>
  <c r="Q172" i="44"/>
  <c r="R85" i="44"/>
  <c r="S85" i="44"/>
  <c r="T97" i="44"/>
  <c r="K54" i="11"/>
  <c r="K7" i="11"/>
  <c r="I28" i="44"/>
  <c r="Q28" i="44" s="1"/>
  <c r="I29" i="44"/>
  <c r="Q29" i="44" s="1"/>
  <c r="I42" i="44"/>
  <c r="Q42" i="44" s="1"/>
  <c r="I33" i="44"/>
  <c r="Q33" i="44" s="1"/>
  <c r="I32" i="44"/>
  <c r="Q32" i="44" s="1"/>
  <c r="I34" i="44"/>
  <c r="Q34" i="44" s="1"/>
  <c r="T72" i="44"/>
  <c r="I37" i="44"/>
  <c r="I38" i="44"/>
  <c r="I35" i="44"/>
  <c r="Q35" i="44" s="1"/>
  <c r="S59" i="44"/>
  <c r="R59" i="44"/>
  <c r="I36" i="44"/>
  <c r="Q36" i="44" s="1"/>
  <c r="T71" i="44"/>
  <c r="R60" i="44"/>
  <c r="S60" i="44"/>
  <c r="R40" i="44"/>
  <c r="S40" i="44"/>
  <c r="T55" i="44"/>
  <c r="T66" i="44"/>
  <c r="T51" i="44"/>
  <c r="R44" i="44"/>
  <c r="S44" i="44"/>
  <c r="T53" i="44"/>
  <c r="S46" i="44"/>
  <c r="R46" i="44"/>
  <c r="S39" i="44"/>
  <c r="R39" i="44"/>
  <c r="R45" i="44"/>
  <c r="S45" i="44"/>
  <c r="S43" i="44"/>
  <c r="R43" i="44"/>
  <c r="S54" i="44"/>
  <c r="R54" i="44"/>
  <c r="S41" i="44"/>
  <c r="R41" i="44"/>
  <c r="T56" i="44"/>
  <c r="T58" i="44"/>
  <c r="T52" i="44"/>
  <c r="T57" i="44"/>
  <c r="M20" i="11"/>
  <c r="E37" i="9"/>
  <c r="B31" i="18"/>
  <c r="B16" i="9"/>
  <c r="P175" i="37"/>
  <c r="P117" i="37"/>
  <c r="P120" i="37"/>
  <c r="P119" i="37"/>
  <c r="P121" i="37"/>
  <c r="P112" i="37"/>
  <c r="P113" i="37"/>
  <c r="O125" i="37"/>
  <c r="N125" i="37"/>
  <c r="O127" i="37"/>
  <c r="N127" i="37"/>
  <c r="O124" i="37"/>
  <c r="N124" i="37"/>
  <c r="O126" i="37"/>
  <c r="N126" i="37"/>
  <c r="O176" i="20"/>
  <c r="Q175" i="20"/>
  <c r="Q125" i="20"/>
  <c r="P125" i="20"/>
  <c r="Q127" i="20"/>
  <c r="P127" i="20"/>
  <c r="P126" i="20"/>
  <c r="Q126" i="20"/>
  <c r="Q124" i="20"/>
  <c r="P124" i="20"/>
  <c r="B15" i="9"/>
  <c r="AO25" i="32"/>
  <c r="AS77" i="32" s="1"/>
  <c r="AN25" i="32"/>
  <c r="AS76" i="32" s="1"/>
  <c r="AT25" i="32"/>
  <c r="AS82" i="32" s="1"/>
  <c r="BM25" i="32"/>
  <c r="DD25" i="32"/>
  <c r="DE25" i="32" s="1"/>
  <c r="DK75" i="32" s="1"/>
  <c r="G135" i="59" s="1"/>
  <c r="AL26" i="32"/>
  <c r="AX25" i="32"/>
  <c r="AS86" i="32" s="1"/>
  <c r="AQ25" i="32"/>
  <c r="AS79" i="32" s="1"/>
  <c r="AP25" i="32"/>
  <c r="AS78" i="32" s="1"/>
  <c r="AM25" i="32"/>
  <c r="AS75" i="32" s="1"/>
  <c r="AU25" i="32"/>
  <c r="AS83" i="32" s="1"/>
  <c r="AV25" i="32"/>
  <c r="AS84" i="32" s="1"/>
  <c r="AS25" i="32"/>
  <c r="AS81" i="32" s="1"/>
  <c r="AR25" i="32"/>
  <c r="AS80" i="32" s="1"/>
  <c r="CP53" i="32"/>
  <c r="CY52" i="32"/>
  <c r="CX83" i="32" s="1"/>
  <c r="H143" i="59" s="1"/>
  <c r="CS52" i="32"/>
  <c r="CX77" i="32" s="1"/>
  <c r="H137" i="59" s="1"/>
  <c r="CT52" i="32"/>
  <c r="CX78" i="32" s="1"/>
  <c r="H138" i="59" s="1"/>
  <c r="CQ52" i="32"/>
  <c r="CX75" i="32" s="1"/>
  <c r="H135" i="59" s="1"/>
  <c r="CR52" i="32"/>
  <c r="CX76" i="32" s="1"/>
  <c r="H136" i="59" s="1"/>
  <c r="DA52" i="32"/>
  <c r="CX85" i="32" s="1"/>
  <c r="H145" i="59" s="1"/>
  <c r="CW52" i="32"/>
  <c r="CX81" i="32" s="1"/>
  <c r="H141" i="59" s="1"/>
  <c r="DB52" i="32"/>
  <c r="CX86" i="32" s="1"/>
  <c r="H146" i="59" s="1"/>
  <c r="CZ52" i="32"/>
  <c r="CX84" i="32" s="1"/>
  <c r="H144" i="59" s="1"/>
  <c r="CV52" i="32"/>
  <c r="CX80" i="32" s="1"/>
  <c r="H140" i="59" s="1"/>
  <c r="CU52" i="32"/>
  <c r="CX79" i="32" s="1"/>
  <c r="H139" i="59" s="1"/>
  <c r="AZ52" i="32"/>
  <c r="BK52" i="32" s="1"/>
  <c r="BH85" i="32" s="1"/>
  <c r="BH26" i="32"/>
  <c r="BK26" i="32"/>
  <c r="BJ26" i="32"/>
  <c r="BC26" i="32"/>
  <c r="BG26" i="32"/>
  <c r="BA26" i="32"/>
  <c r="BL26" i="32"/>
  <c r="BI26" i="32"/>
  <c r="BD26" i="32"/>
  <c r="BB26" i="32"/>
  <c r="BE26" i="32"/>
  <c r="BF26" i="32"/>
  <c r="CP25" i="32"/>
  <c r="CP26" i="32" s="1"/>
  <c r="CR26" i="32" s="1"/>
  <c r="CW62" i="32" s="1"/>
  <c r="BN25" i="32"/>
  <c r="BN26" i="32" s="1"/>
  <c r="BZ26" i="32" s="1"/>
  <c r="BU72" i="32" s="1"/>
  <c r="X25" i="32"/>
  <c r="AD25" i="32" s="1"/>
  <c r="AE80" i="32" s="1"/>
  <c r="I15" i="45" l="1"/>
  <c r="O15" i="45" s="1"/>
  <c r="I21" i="45"/>
  <c r="O21" i="45" s="1"/>
  <c r="L139" i="59"/>
  <c r="I128" i="46"/>
  <c r="O128" i="46" s="1"/>
  <c r="N31" i="11"/>
  <c r="O26" i="11"/>
  <c r="I15" i="44"/>
  <c r="Q15" i="44" s="1"/>
  <c r="I132" i="46"/>
  <c r="O132" i="46" s="1"/>
  <c r="I129" i="46"/>
  <c r="O129" i="46" s="1"/>
  <c r="D22" i="49"/>
  <c r="E22" i="49" s="1"/>
  <c r="AE10" i="49" s="1"/>
  <c r="AE13" i="49" s="1"/>
  <c r="D21" i="49"/>
  <c r="E21" i="49" s="1"/>
  <c r="AD10" i="49" s="1"/>
  <c r="AD31" i="49" s="1"/>
  <c r="I19" i="44"/>
  <c r="Q19" i="44" s="1"/>
  <c r="I130" i="46"/>
  <c r="O130" i="46" s="1"/>
  <c r="W69" i="17"/>
  <c r="C18" i="9"/>
  <c r="C23" i="9" s="1"/>
  <c r="I124" i="46"/>
  <c r="O124" i="46" s="1"/>
  <c r="L139" i="58"/>
  <c r="N12" i="11"/>
  <c r="G158" i="57"/>
  <c r="S174" i="59"/>
  <c r="I124" i="59"/>
  <c r="O112" i="59"/>
  <c r="R87" i="59"/>
  <c r="R96" i="59"/>
  <c r="P105" i="59"/>
  <c r="Q105" i="59"/>
  <c r="Q110" i="59"/>
  <c r="P110" i="59"/>
  <c r="I123" i="59"/>
  <c r="O111" i="59"/>
  <c r="I125" i="59"/>
  <c r="O113" i="59"/>
  <c r="I128" i="59"/>
  <c r="O116" i="59"/>
  <c r="I132" i="59"/>
  <c r="O120" i="59"/>
  <c r="R91" i="59"/>
  <c r="Q106" i="59"/>
  <c r="P106" i="59"/>
  <c r="I129" i="59"/>
  <c r="O117" i="59"/>
  <c r="I134" i="59"/>
  <c r="O122" i="59"/>
  <c r="R93" i="59"/>
  <c r="Q102" i="59"/>
  <c r="P102" i="59"/>
  <c r="I130" i="59"/>
  <c r="O118" i="59"/>
  <c r="P109" i="59"/>
  <c r="Q109" i="59"/>
  <c r="R89" i="59"/>
  <c r="P107" i="59"/>
  <c r="Q107" i="59"/>
  <c r="R94" i="59"/>
  <c r="R97" i="59"/>
  <c r="R98" i="59"/>
  <c r="I126" i="59"/>
  <c r="O114" i="59"/>
  <c r="P103" i="59"/>
  <c r="Q103" i="59"/>
  <c r="R90" i="59"/>
  <c r="R95" i="59"/>
  <c r="P100" i="59"/>
  <c r="Q100" i="59"/>
  <c r="I133" i="59"/>
  <c r="O121" i="59"/>
  <c r="I131" i="59"/>
  <c r="O119" i="59"/>
  <c r="R88" i="59"/>
  <c r="P99" i="59"/>
  <c r="Q99" i="59"/>
  <c r="Q175" i="59"/>
  <c r="P101" i="59"/>
  <c r="Q101" i="59"/>
  <c r="Q104" i="59"/>
  <c r="P104" i="59"/>
  <c r="I127" i="59"/>
  <c r="O115" i="59"/>
  <c r="P108" i="59"/>
  <c r="Q108" i="59"/>
  <c r="R92" i="59"/>
  <c r="O123" i="46"/>
  <c r="I135" i="46"/>
  <c r="I143" i="46"/>
  <c r="P120" i="46"/>
  <c r="Q120" i="46"/>
  <c r="I138" i="46"/>
  <c r="I145" i="46"/>
  <c r="Q117" i="46"/>
  <c r="P117" i="46"/>
  <c r="P112" i="46"/>
  <c r="Q112" i="46"/>
  <c r="R109" i="46"/>
  <c r="R100" i="46"/>
  <c r="R108" i="46"/>
  <c r="Q116" i="46"/>
  <c r="P116" i="46"/>
  <c r="P122" i="46"/>
  <c r="Q122" i="46"/>
  <c r="P113" i="46"/>
  <c r="Q113" i="46"/>
  <c r="P115" i="46"/>
  <c r="Q115" i="46"/>
  <c r="R104" i="46"/>
  <c r="R102" i="46"/>
  <c r="R101" i="46"/>
  <c r="R105" i="46"/>
  <c r="I146" i="46"/>
  <c r="I137" i="46"/>
  <c r="I139" i="46"/>
  <c r="S175" i="46"/>
  <c r="R103" i="46"/>
  <c r="Q119" i="46"/>
  <c r="P119" i="46"/>
  <c r="R107" i="46"/>
  <c r="P118" i="46"/>
  <c r="Q118" i="46"/>
  <c r="Q114" i="46"/>
  <c r="P114" i="46"/>
  <c r="Q176" i="46"/>
  <c r="Q111" i="46"/>
  <c r="P111" i="46"/>
  <c r="R106" i="46"/>
  <c r="R110" i="46"/>
  <c r="P121" i="46"/>
  <c r="Q121" i="46"/>
  <c r="R99" i="46"/>
  <c r="R50" i="45"/>
  <c r="R46" i="45"/>
  <c r="I6" i="45"/>
  <c r="O6" i="45" s="1"/>
  <c r="O18" i="45"/>
  <c r="I12" i="45"/>
  <c r="O12" i="45" s="1"/>
  <c r="I13" i="45"/>
  <c r="O13" i="45" s="1"/>
  <c r="R169" i="45"/>
  <c r="P28" i="45"/>
  <c r="Q28" i="45"/>
  <c r="Q32" i="45"/>
  <c r="P32" i="45"/>
  <c r="P29" i="45"/>
  <c r="Q29" i="45"/>
  <c r="R47" i="45"/>
  <c r="P27" i="45"/>
  <c r="Q27" i="45"/>
  <c r="P168" i="45"/>
  <c r="Q31" i="45"/>
  <c r="P31" i="45"/>
  <c r="R42" i="45"/>
  <c r="R39" i="45"/>
  <c r="R43" i="45"/>
  <c r="O16" i="45"/>
  <c r="I4" i="45"/>
  <c r="O4" i="45" s="1"/>
  <c r="I8" i="45"/>
  <c r="O8" i="45" s="1"/>
  <c r="I5" i="45"/>
  <c r="O5" i="45" s="1"/>
  <c r="O17" i="45"/>
  <c r="AH87" i="45"/>
  <c r="R44" i="45"/>
  <c r="I7" i="45"/>
  <c r="O7" i="45" s="1"/>
  <c r="O19" i="45"/>
  <c r="R48" i="45"/>
  <c r="Q38" i="45"/>
  <c r="P38" i="45"/>
  <c r="Q34" i="45"/>
  <c r="P34" i="45"/>
  <c r="P35" i="45"/>
  <c r="Q35" i="45"/>
  <c r="R40" i="45"/>
  <c r="R41" i="45"/>
  <c r="P30" i="45"/>
  <c r="Q30" i="45"/>
  <c r="P36" i="45"/>
  <c r="Q36" i="45"/>
  <c r="Q37" i="45"/>
  <c r="P37" i="45"/>
  <c r="Q33" i="45"/>
  <c r="P33" i="45"/>
  <c r="R49" i="45"/>
  <c r="R45" i="45"/>
  <c r="I14" i="45"/>
  <c r="O14" i="45" s="1"/>
  <c r="I10" i="45"/>
  <c r="O10" i="45" s="1"/>
  <c r="I11" i="45"/>
  <c r="O11" i="45" s="1"/>
  <c r="R89" i="45"/>
  <c r="R106" i="45"/>
  <c r="R110" i="45"/>
  <c r="R91" i="45"/>
  <c r="P100" i="45"/>
  <c r="Q100" i="45"/>
  <c r="P174" i="45"/>
  <c r="P107" i="45"/>
  <c r="Q107" i="45"/>
  <c r="R90" i="45"/>
  <c r="P101" i="45"/>
  <c r="Q101" i="45"/>
  <c r="P118" i="45"/>
  <c r="Q118" i="45"/>
  <c r="P109" i="45"/>
  <c r="Q109" i="45"/>
  <c r="P108" i="45"/>
  <c r="Q108" i="45"/>
  <c r="R104" i="45"/>
  <c r="P116" i="45"/>
  <c r="Q116" i="45"/>
  <c r="R88" i="45"/>
  <c r="R95" i="45"/>
  <c r="Q117" i="45"/>
  <c r="P117" i="45"/>
  <c r="P122" i="45"/>
  <c r="Q122" i="45"/>
  <c r="P103" i="45"/>
  <c r="Q103" i="45"/>
  <c r="R105" i="45"/>
  <c r="R97" i="45"/>
  <c r="AH89" i="45"/>
  <c r="Q102" i="45"/>
  <c r="P102" i="45"/>
  <c r="R173" i="45"/>
  <c r="R96" i="45"/>
  <c r="R124" i="20"/>
  <c r="R127" i="20"/>
  <c r="R126" i="20"/>
  <c r="R125" i="20"/>
  <c r="B36" i="17"/>
  <c r="N11" i="11"/>
  <c r="C40" i="17"/>
  <c r="C38" i="9"/>
  <c r="H22" i="9"/>
  <c r="E13" i="18"/>
  <c r="O31" i="11"/>
  <c r="H65" i="17"/>
  <c r="L139" i="46"/>
  <c r="O139" i="46" s="1"/>
  <c r="J139" i="22"/>
  <c r="M139" i="22" s="1"/>
  <c r="N139" i="22" s="1"/>
  <c r="N138" i="22"/>
  <c r="E65" i="17"/>
  <c r="L139" i="45"/>
  <c r="O139" i="45" s="1"/>
  <c r="J139" i="37"/>
  <c r="M139" i="37" s="1"/>
  <c r="O138" i="37"/>
  <c r="N138" i="37"/>
  <c r="B41" i="17"/>
  <c r="K60" i="11"/>
  <c r="S172" i="44"/>
  <c r="T85" i="44"/>
  <c r="S74" i="44"/>
  <c r="R74" i="44"/>
  <c r="T86" i="44"/>
  <c r="J50" i="44"/>
  <c r="Q50" i="44" s="1"/>
  <c r="Q171" i="44"/>
  <c r="S73" i="44"/>
  <c r="R73" i="44"/>
  <c r="J49" i="44"/>
  <c r="Q49" i="44" s="1"/>
  <c r="CT25" i="32"/>
  <c r="CW78" i="32" s="1"/>
  <c r="L7" i="11"/>
  <c r="L54" i="11"/>
  <c r="BG62" i="32"/>
  <c r="BG71" i="32"/>
  <c r="BG64" i="32"/>
  <c r="BG67" i="32"/>
  <c r="BG68" i="32"/>
  <c r="BG66" i="32"/>
  <c r="BG69" i="32"/>
  <c r="BG63" i="32"/>
  <c r="BG65" i="32"/>
  <c r="BG72" i="32"/>
  <c r="BG70" i="32"/>
  <c r="M49" i="11"/>
  <c r="I16" i="44"/>
  <c r="Q16" i="44" s="1"/>
  <c r="I17" i="44"/>
  <c r="Q17" i="44" s="1"/>
  <c r="I30" i="44"/>
  <c r="Q30" i="44" s="1"/>
  <c r="I21" i="44"/>
  <c r="Q21" i="44" s="1"/>
  <c r="I20" i="44"/>
  <c r="Q20" i="44" s="1"/>
  <c r="I22" i="44"/>
  <c r="Q22" i="44" s="1"/>
  <c r="R48" i="44"/>
  <c r="S48" i="44"/>
  <c r="I23" i="44"/>
  <c r="Q23" i="44" s="1"/>
  <c r="I25" i="44"/>
  <c r="S47" i="44"/>
  <c r="R47" i="44"/>
  <c r="T59" i="44"/>
  <c r="I26" i="44"/>
  <c r="T60" i="44"/>
  <c r="I24" i="44"/>
  <c r="Q24" i="44" s="1"/>
  <c r="T54" i="44"/>
  <c r="T45" i="44"/>
  <c r="S28" i="44"/>
  <c r="R28" i="44"/>
  <c r="S42" i="44"/>
  <c r="R42" i="44"/>
  <c r="S32" i="44"/>
  <c r="R32" i="44"/>
  <c r="T40" i="44"/>
  <c r="R29" i="44"/>
  <c r="S29" i="44"/>
  <c r="S33" i="44"/>
  <c r="R33" i="44"/>
  <c r="R27" i="44"/>
  <c r="S27" i="44"/>
  <c r="T46" i="44"/>
  <c r="T41" i="44"/>
  <c r="T43" i="44"/>
  <c r="T39" i="44"/>
  <c r="T44" i="44"/>
  <c r="S34" i="44"/>
  <c r="R34" i="44"/>
  <c r="S31" i="44"/>
  <c r="R31" i="44"/>
  <c r="B35" i="18"/>
  <c r="B39" i="18"/>
  <c r="M7" i="11"/>
  <c r="M54" i="11"/>
  <c r="P124" i="37"/>
  <c r="P125" i="37"/>
  <c r="P126" i="37"/>
  <c r="P127" i="37"/>
  <c r="P176" i="37"/>
  <c r="Q176" i="20"/>
  <c r="CY26" i="32"/>
  <c r="CW69" i="32" s="1"/>
  <c r="BL52" i="32"/>
  <c r="BH86" i="32" s="1"/>
  <c r="CS25" i="32"/>
  <c r="CW77" i="32" s="1"/>
  <c r="BI52" i="32"/>
  <c r="BH83" i="32" s="1"/>
  <c r="BF52" i="32"/>
  <c r="BH80" i="32" s="1"/>
  <c r="BC52" i="32"/>
  <c r="BH77" i="32" s="1"/>
  <c r="BH52" i="32"/>
  <c r="BH82" i="32" s="1"/>
  <c r="DK25" i="32"/>
  <c r="DK81" i="32" s="1"/>
  <c r="G141" i="59" s="1"/>
  <c r="CX25" i="32"/>
  <c r="CW82" i="32" s="1"/>
  <c r="BE52" i="32"/>
  <c r="BH79" i="32" s="1"/>
  <c r="BB52" i="32"/>
  <c r="BH76" i="32" s="1"/>
  <c r="BD52" i="32" a="1"/>
  <c r="BD52" i="32" s="1"/>
  <c r="BH78" i="32" s="1"/>
  <c r="DG25" i="32"/>
  <c r="DK77" i="32" s="1"/>
  <c r="G137" i="59" s="1"/>
  <c r="CW26" i="32"/>
  <c r="CW67" i="32" s="1"/>
  <c r="BA52" i="32"/>
  <c r="BH75" i="32" s="1"/>
  <c r="BG52" i="32"/>
  <c r="BH81" i="32" s="1"/>
  <c r="BV25" i="32"/>
  <c r="BU82" i="32" s="1"/>
  <c r="DO25" i="32"/>
  <c r="DK85" i="32" s="1"/>
  <c r="G145" i="59" s="1"/>
  <c r="DI25" i="32"/>
  <c r="DK79" i="32" s="1"/>
  <c r="G139" i="59" s="1"/>
  <c r="DN25" i="32"/>
  <c r="DK84" i="32" s="1"/>
  <c r="G144" i="59" s="1"/>
  <c r="DF25" i="32"/>
  <c r="DK76" i="32" s="1"/>
  <c r="G136" i="59" s="1"/>
  <c r="DM25" i="32"/>
  <c r="DK83" i="32" s="1"/>
  <c r="G143" i="59" s="1"/>
  <c r="DJ25" i="32"/>
  <c r="DK80" i="32" s="1"/>
  <c r="G140" i="59" s="1"/>
  <c r="BG61" i="32"/>
  <c r="BM26" i="32"/>
  <c r="DD26" i="32"/>
  <c r="DH25" i="32"/>
  <c r="DK78" i="32" s="1"/>
  <c r="G138" i="59" s="1"/>
  <c r="DL25" i="32"/>
  <c r="DK82" i="32" s="1"/>
  <c r="G142" i="59" s="1"/>
  <c r="DP25" i="32"/>
  <c r="DK86" i="32" s="1"/>
  <c r="G146" i="59" s="1"/>
  <c r="BR26" i="32"/>
  <c r="BU64" i="32" s="1"/>
  <c r="BO25" i="32"/>
  <c r="BU75" i="32" s="1"/>
  <c r="BW25" i="32"/>
  <c r="BU83" i="32" s="1"/>
  <c r="BZ25" i="32"/>
  <c r="BU86" i="32" s="1"/>
  <c r="BQ26" i="32"/>
  <c r="BU63" i="32" s="1"/>
  <c r="X26" i="32"/>
  <c r="Z26" i="32" s="1"/>
  <c r="AJ25" i="32"/>
  <c r="AE86" i="32" s="1"/>
  <c r="AF25" i="32"/>
  <c r="AE82" i="32" s="1"/>
  <c r="AB25" i="32"/>
  <c r="AE78" i="32" s="1"/>
  <c r="AA25" i="32"/>
  <c r="AE77" i="32" s="1"/>
  <c r="Y25" i="32"/>
  <c r="AE75" i="32" s="1"/>
  <c r="BP25" i="32"/>
  <c r="BU76" i="32" s="1"/>
  <c r="BU26" i="32"/>
  <c r="BU67" i="32" s="1"/>
  <c r="BS26" i="32"/>
  <c r="BU65" i="32" s="1"/>
  <c r="BY26" i="32"/>
  <c r="BU71" i="32" s="1"/>
  <c r="BP26" i="32"/>
  <c r="BU62" i="32" s="1"/>
  <c r="BR25" i="32"/>
  <c r="BU78" i="32" s="1"/>
  <c r="CU26" i="32"/>
  <c r="CW65" i="32" s="1"/>
  <c r="DA26" i="32"/>
  <c r="CW71" i="32" s="1"/>
  <c r="CR25" i="32"/>
  <c r="CW76" i="32" s="1"/>
  <c r="CV25" i="32"/>
  <c r="CW80" i="32" s="1"/>
  <c r="CS26" i="32"/>
  <c r="CW63" i="32" s="1"/>
  <c r="DB26" i="32"/>
  <c r="CW72" i="32" s="1"/>
  <c r="BY25" i="32"/>
  <c r="BU85" i="32" s="1"/>
  <c r="BT26" i="32"/>
  <c r="BU66" i="32" s="1"/>
  <c r="BV26" i="32"/>
  <c r="BU68" i="32" s="1"/>
  <c r="BU25" i="32"/>
  <c r="BU81" i="32" s="1"/>
  <c r="DA25" i="32"/>
  <c r="CW85" i="32" s="1"/>
  <c r="CW25" i="32"/>
  <c r="CW81" i="32" s="1"/>
  <c r="CT26" i="32"/>
  <c r="CW64" i="32" s="1"/>
  <c r="CY25" i="32"/>
  <c r="CW83" i="32" s="1"/>
  <c r="CZ25" i="32"/>
  <c r="CW84" i="32" s="1"/>
  <c r="CV26" i="32"/>
  <c r="CW66" i="32" s="1"/>
  <c r="AZ53" i="32"/>
  <c r="BJ52" i="32"/>
  <c r="BH84" i="32" s="1"/>
  <c r="DB53" i="32"/>
  <c r="CX72" i="32" s="1"/>
  <c r="H158" i="59" s="1"/>
  <c r="CQ53" i="32"/>
  <c r="CX61" i="32" s="1"/>
  <c r="H147" i="59" s="1"/>
  <c r="CZ53" i="32"/>
  <c r="CX70" i="32" s="1"/>
  <c r="H156" i="59" s="1"/>
  <c r="CT53" i="32"/>
  <c r="CX64" i="32" s="1"/>
  <c r="H150" i="59" s="1"/>
  <c r="CU53" i="32"/>
  <c r="CX65" i="32" s="1"/>
  <c r="H151" i="59" s="1"/>
  <c r="CX53" i="32"/>
  <c r="CX68" i="32" s="1"/>
  <c r="H154" i="59" s="1"/>
  <c r="CS53" i="32"/>
  <c r="CX63" i="32" s="1"/>
  <c r="H149" i="59" s="1"/>
  <c r="DA53" i="32"/>
  <c r="CX71" i="32" s="1"/>
  <c r="H157" i="59" s="1"/>
  <c r="CW53" i="32"/>
  <c r="CX67" i="32" s="1"/>
  <c r="H153" i="59" s="1"/>
  <c r="CV53" i="32"/>
  <c r="CX66" i="32" s="1"/>
  <c r="H152" i="59" s="1"/>
  <c r="CY53" i="32"/>
  <c r="CX69" i="32" s="1"/>
  <c r="H155" i="59" s="1"/>
  <c r="CR53" i="32"/>
  <c r="CX62" i="32" s="1"/>
  <c r="H148" i="59" s="1"/>
  <c r="AG25" i="32"/>
  <c r="AE83" i="32" s="1"/>
  <c r="AC25" i="32"/>
  <c r="AE79" i="32" s="1"/>
  <c r="AH25" i="32"/>
  <c r="AE84" i="32" s="1"/>
  <c r="BO26" i="32"/>
  <c r="BU61" i="32" s="1"/>
  <c r="AI25" i="32"/>
  <c r="AE85" i="32" s="1"/>
  <c r="AE25" i="32"/>
  <c r="AE81" i="32" s="1"/>
  <c r="Z25" i="32"/>
  <c r="AE76" i="32" s="1"/>
  <c r="BX25" i="32"/>
  <c r="BU84" i="32" s="1"/>
  <c r="BT25" i="32"/>
  <c r="BU80" i="32" s="1"/>
  <c r="BS25" i="32"/>
  <c r="BU79" i="32" s="1"/>
  <c r="BW26" i="32"/>
  <c r="BU69" i="32" s="1"/>
  <c r="BX26" i="32"/>
  <c r="BU70" i="32" s="1"/>
  <c r="BQ25" i="32"/>
  <c r="BU77" i="32" s="1"/>
  <c r="CZ26" i="32"/>
  <c r="CW70" i="32" s="1"/>
  <c r="CU25" i="32"/>
  <c r="CW79" i="32" s="1"/>
  <c r="CQ26" i="32"/>
  <c r="CW61" i="32" s="1"/>
  <c r="CX26" i="32"/>
  <c r="CW68" i="32" s="1"/>
  <c r="DB25" i="32"/>
  <c r="CW86" i="32" s="1"/>
  <c r="CQ25" i="32"/>
  <c r="CW75" i="32" s="1"/>
  <c r="AQ26" i="32"/>
  <c r="AS65" i="32" s="1"/>
  <c r="AS26" i="32"/>
  <c r="AS67" i="32" s="1"/>
  <c r="AV26" i="32"/>
  <c r="AS70" i="32" s="1"/>
  <c r="AO26" i="32"/>
  <c r="AS63" i="32" s="1"/>
  <c r="AM26" i="32"/>
  <c r="AW26" i="32"/>
  <c r="AS71" i="32" s="1"/>
  <c r="AR26" i="32"/>
  <c r="AS66" i="32" s="1"/>
  <c r="AP26" i="32"/>
  <c r="AS64" i="32" s="1"/>
  <c r="AU26" i="32"/>
  <c r="AS69" i="32" s="1"/>
  <c r="AT26" i="32"/>
  <c r="AS68" i="32" s="1"/>
  <c r="AX26" i="32"/>
  <c r="AS72" i="32" s="1"/>
  <c r="AN26" i="32"/>
  <c r="AS62" i="32" s="1"/>
  <c r="R159" i="20" l="1"/>
  <c r="I3" i="45"/>
  <c r="O3" i="45" s="1"/>
  <c r="Q3" i="45" s="1"/>
  <c r="I9" i="45"/>
  <c r="O9" i="45" s="1"/>
  <c r="L140" i="59"/>
  <c r="I140" i="46"/>
  <c r="I152" i="46" s="1"/>
  <c r="I3" i="44"/>
  <c r="Q3" i="44" s="1"/>
  <c r="S3" i="44" s="1"/>
  <c r="I141" i="46"/>
  <c r="I153" i="46" s="1"/>
  <c r="O12" i="11"/>
  <c r="I144" i="46"/>
  <c r="I156" i="46" s="1"/>
  <c r="AD39" i="49"/>
  <c r="I7" i="44"/>
  <c r="Q7" i="44" s="1"/>
  <c r="R7" i="44" s="1"/>
  <c r="AE38" i="49"/>
  <c r="AD23" i="49"/>
  <c r="AD42" i="49"/>
  <c r="AD15" i="49"/>
  <c r="AD25" i="49"/>
  <c r="AD37" i="49"/>
  <c r="AD14" i="49"/>
  <c r="AD19" i="49"/>
  <c r="AD43" i="49"/>
  <c r="AE30" i="49"/>
  <c r="AD45" i="49"/>
  <c r="AD32" i="49"/>
  <c r="AE24" i="49"/>
  <c r="AD38" i="49"/>
  <c r="AD24" i="49"/>
  <c r="AE32" i="49"/>
  <c r="AD18" i="49"/>
  <c r="AD30" i="49"/>
  <c r="AE18" i="49"/>
  <c r="AE37" i="49"/>
  <c r="AD13" i="49"/>
  <c r="AE14" i="49"/>
  <c r="AE20" i="49"/>
  <c r="AE19" i="49"/>
  <c r="AE23" i="49"/>
  <c r="AD44" i="49"/>
  <c r="AE15" i="49"/>
  <c r="AE45" i="49"/>
  <c r="AE39" i="49"/>
  <c r="AD33" i="49"/>
  <c r="AE44" i="49"/>
  <c r="AE33" i="49"/>
  <c r="AE31" i="49"/>
  <c r="AE25" i="49"/>
  <c r="AE42" i="49"/>
  <c r="AE43" i="49"/>
  <c r="AD20" i="49"/>
  <c r="AE36" i="49"/>
  <c r="AD36" i="49"/>
  <c r="I142" i="46"/>
  <c r="I154" i="46" s="1"/>
  <c r="W70" i="17"/>
  <c r="I136" i="46"/>
  <c r="I148" i="46" s="1"/>
  <c r="L140" i="58"/>
  <c r="H160" i="59"/>
  <c r="G156" i="57"/>
  <c r="G157" i="57"/>
  <c r="G155" i="57"/>
  <c r="G154" i="57"/>
  <c r="G151" i="57"/>
  <c r="G152" i="57"/>
  <c r="G153" i="57"/>
  <c r="G149" i="57"/>
  <c r="G150" i="57"/>
  <c r="G148" i="57"/>
  <c r="G147" i="57"/>
  <c r="G144" i="57"/>
  <c r="G139" i="57"/>
  <c r="G138" i="57"/>
  <c r="G137" i="57"/>
  <c r="G140" i="57"/>
  <c r="G145" i="57"/>
  <c r="G136" i="57"/>
  <c r="G146" i="57"/>
  <c r="G141" i="57"/>
  <c r="G143" i="57"/>
  <c r="G142" i="57"/>
  <c r="I135" i="58"/>
  <c r="G135" i="57"/>
  <c r="I135" i="57" s="1"/>
  <c r="I135" i="59"/>
  <c r="I147" i="59" s="1"/>
  <c r="R101" i="59"/>
  <c r="S175" i="59"/>
  <c r="I143" i="59"/>
  <c r="I155" i="59" s="1"/>
  <c r="O131" i="59"/>
  <c r="I138" i="59"/>
  <c r="I150" i="59" s="1"/>
  <c r="O126" i="59"/>
  <c r="I142" i="59"/>
  <c r="I154" i="59" s="1"/>
  <c r="O130" i="59"/>
  <c r="Q122" i="59"/>
  <c r="P122" i="59"/>
  <c r="P113" i="59"/>
  <c r="Q113" i="59"/>
  <c r="P111" i="59"/>
  <c r="Q111" i="59"/>
  <c r="Q176" i="59"/>
  <c r="R104" i="59"/>
  <c r="P121" i="59"/>
  <c r="Q121" i="59"/>
  <c r="R103" i="59"/>
  <c r="I146" i="59"/>
  <c r="I158" i="59" s="1"/>
  <c r="O134" i="59"/>
  <c r="R106" i="59"/>
  <c r="P116" i="59"/>
  <c r="Q116" i="59"/>
  <c r="I137" i="59"/>
  <c r="I149" i="59" s="1"/>
  <c r="O125" i="59"/>
  <c r="O123" i="59"/>
  <c r="R110" i="59"/>
  <c r="R108" i="59"/>
  <c r="P115" i="59"/>
  <c r="Q115" i="59"/>
  <c r="I145" i="59"/>
  <c r="I157" i="59" s="1"/>
  <c r="O133" i="59"/>
  <c r="P117" i="59"/>
  <c r="Q117" i="59"/>
  <c r="P120" i="59"/>
  <c r="Q120" i="59"/>
  <c r="I140" i="59"/>
  <c r="I152" i="59" s="1"/>
  <c r="O128" i="59"/>
  <c r="R105" i="59"/>
  <c r="P112" i="59"/>
  <c r="Q112" i="59"/>
  <c r="I139" i="59"/>
  <c r="I151" i="59" s="1"/>
  <c r="O127" i="59"/>
  <c r="R99" i="59"/>
  <c r="P119" i="59"/>
  <c r="Q119" i="59"/>
  <c r="R100" i="59"/>
  <c r="Q114" i="59"/>
  <c r="P114" i="59"/>
  <c r="R107" i="59"/>
  <c r="R109" i="59"/>
  <c r="Q118" i="59"/>
  <c r="P118" i="59"/>
  <c r="R102" i="59"/>
  <c r="I141" i="59"/>
  <c r="I153" i="59" s="1"/>
  <c r="O129" i="59"/>
  <c r="I144" i="59"/>
  <c r="I156" i="59" s="1"/>
  <c r="O132" i="59"/>
  <c r="I136" i="59"/>
  <c r="I148" i="59" s="1"/>
  <c r="O124" i="59"/>
  <c r="S176" i="46"/>
  <c r="R114" i="46"/>
  <c r="I151" i="46"/>
  <c r="I158" i="46"/>
  <c r="R115" i="46"/>
  <c r="R122" i="46"/>
  <c r="Q132" i="46"/>
  <c r="R132" i="46" s="1"/>
  <c r="P132" i="46"/>
  <c r="R112" i="46"/>
  <c r="P133" i="46"/>
  <c r="Q133" i="46"/>
  <c r="R133" i="46" s="1"/>
  <c r="Q126" i="46"/>
  <c r="P126" i="46"/>
  <c r="R120" i="46"/>
  <c r="R111" i="46"/>
  <c r="R118" i="46"/>
  <c r="P125" i="46"/>
  <c r="Q125" i="46"/>
  <c r="Q128" i="46"/>
  <c r="P128" i="46"/>
  <c r="P124" i="46"/>
  <c r="Q124" i="46"/>
  <c r="I157" i="46"/>
  <c r="I150" i="46"/>
  <c r="P138" i="46"/>
  <c r="P139" i="46"/>
  <c r="R121" i="46"/>
  <c r="I149" i="46"/>
  <c r="P137" i="46"/>
  <c r="P136" i="46"/>
  <c r="R113" i="46"/>
  <c r="Q123" i="46"/>
  <c r="P123" i="46"/>
  <c r="Q177" i="46"/>
  <c r="Q130" i="46"/>
  <c r="R130" i="46" s="1"/>
  <c r="P130" i="46"/>
  <c r="P131" i="46"/>
  <c r="Q131" i="46"/>
  <c r="R131" i="46" s="1"/>
  <c r="R119" i="46"/>
  <c r="P127" i="46"/>
  <c r="Q127" i="46"/>
  <c r="Q134" i="46"/>
  <c r="R134" i="46" s="1"/>
  <c r="P134" i="46"/>
  <c r="Q129" i="46"/>
  <c r="R129" i="46" s="1"/>
  <c r="P129" i="46"/>
  <c r="R116" i="46"/>
  <c r="R117" i="46"/>
  <c r="I147" i="46"/>
  <c r="P135" i="46"/>
  <c r="I155" i="46"/>
  <c r="Q10" i="45"/>
  <c r="P10" i="45"/>
  <c r="R33" i="45"/>
  <c r="R38" i="45"/>
  <c r="Q7" i="45"/>
  <c r="P7" i="45"/>
  <c r="P20" i="45"/>
  <c r="Q20" i="45"/>
  <c r="R32" i="45"/>
  <c r="P21" i="45"/>
  <c r="Q21" i="45"/>
  <c r="P24" i="45"/>
  <c r="Q24" i="45"/>
  <c r="Q23" i="45"/>
  <c r="P23" i="45"/>
  <c r="P26" i="45"/>
  <c r="Q26" i="45"/>
  <c r="R30" i="45"/>
  <c r="Q8" i="45"/>
  <c r="P8" i="45"/>
  <c r="R27" i="45"/>
  <c r="R29" i="45"/>
  <c r="R28" i="45"/>
  <c r="Q12" i="45"/>
  <c r="P12" i="45"/>
  <c r="P11" i="45"/>
  <c r="Q11" i="45"/>
  <c r="P14" i="45"/>
  <c r="Q14" i="45"/>
  <c r="R37" i="45"/>
  <c r="R34" i="45"/>
  <c r="Q15" i="45"/>
  <c r="P15" i="45"/>
  <c r="P167" i="45"/>
  <c r="Q17" i="45"/>
  <c r="P17" i="45"/>
  <c r="Q4" i="45"/>
  <c r="P4" i="45"/>
  <c r="AH86" i="45"/>
  <c r="R168" i="45"/>
  <c r="P25" i="45"/>
  <c r="Q25" i="45"/>
  <c r="Q18" i="45"/>
  <c r="P18" i="45"/>
  <c r="P22" i="45"/>
  <c r="Q22" i="45"/>
  <c r="R36" i="45"/>
  <c r="R35" i="45"/>
  <c r="P19" i="45"/>
  <c r="Q19" i="45"/>
  <c r="Q5" i="45"/>
  <c r="P5" i="45"/>
  <c r="Q16" i="45"/>
  <c r="P16" i="45"/>
  <c r="R31" i="45"/>
  <c r="P13" i="45"/>
  <c r="Q13" i="45"/>
  <c r="P6" i="45"/>
  <c r="Q6" i="45"/>
  <c r="P121" i="45"/>
  <c r="Q121" i="45"/>
  <c r="P113" i="45"/>
  <c r="Q113" i="45"/>
  <c r="R108" i="45"/>
  <c r="Q112" i="45"/>
  <c r="P112" i="45"/>
  <c r="P175" i="45"/>
  <c r="R118" i="45"/>
  <c r="R107" i="45"/>
  <c r="R174" i="45"/>
  <c r="R102" i="45"/>
  <c r="R103" i="45"/>
  <c r="AH90" i="45"/>
  <c r="R116" i="45"/>
  <c r="P115" i="45"/>
  <c r="Q115" i="45"/>
  <c r="Q129" i="45"/>
  <c r="R129" i="45" s="1"/>
  <c r="P129" i="45"/>
  <c r="Q128" i="45"/>
  <c r="R128" i="45" s="1"/>
  <c r="P128" i="45"/>
  <c r="R117" i="45"/>
  <c r="P130" i="45"/>
  <c r="Q130" i="45"/>
  <c r="R130" i="45" s="1"/>
  <c r="P119" i="45"/>
  <c r="Q119" i="45"/>
  <c r="R109" i="45"/>
  <c r="R101" i="45"/>
  <c r="P114" i="45"/>
  <c r="Q114" i="45"/>
  <c r="R122" i="45"/>
  <c r="P120" i="45"/>
  <c r="Q120" i="45"/>
  <c r="R100" i="45"/>
  <c r="Q134" i="45"/>
  <c r="R134" i="45" s="1"/>
  <c r="P134" i="45"/>
  <c r="B37" i="17"/>
  <c r="O11" i="11"/>
  <c r="C39" i="9"/>
  <c r="R41" i="17"/>
  <c r="O34" i="11"/>
  <c r="H18" i="9"/>
  <c r="E17" i="18"/>
  <c r="N35" i="11"/>
  <c r="H66" i="17"/>
  <c r="J140" i="22"/>
  <c r="M140" i="22" s="1"/>
  <c r="L140" i="46"/>
  <c r="O140" i="46" s="1"/>
  <c r="O139" i="37"/>
  <c r="N139" i="37"/>
  <c r="E66" i="17"/>
  <c r="L140" i="45"/>
  <c r="O140" i="45" s="1"/>
  <c r="J140" i="37"/>
  <c r="M140" i="37" s="1"/>
  <c r="Q37" i="17"/>
  <c r="C41" i="17"/>
  <c r="B33" i="18"/>
  <c r="B32" i="18"/>
  <c r="S171" i="44"/>
  <c r="J37" i="44"/>
  <c r="Q37" i="44" s="1"/>
  <c r="S62" i="44"/>
  <c r="R62" i="44"/>
  <c r="J38" i="44"/>
  <c r="Q38" i="44" s="1"/>
  <c r="T74" i="44"/>
  <c r="T73" i="44"/>
  <c r="R61" i="44"/>
  <c r="Q170" i="44"/>
  <c r="S61" i="44"/>
  <c r="L60" i="11"/>
  <c r="I4" i="44"/>
  <c r="Q4" i="44" s="1"/>
  <c r="R4" i="44" s="1"/>
  <c r="I5" i="44"/>
  <c r="I9" i="44"/>
  <c r="I18" i="44"/>
  <c r="Q18" i="44" s="1"/>
  <c r="I8" i="44"/>
  <c r="I10" i="44"/>
  <c r="I11" i="44"/>
  <c r="Q11" i="44" s="1"/>
  <c r="T48" i="44"/>
  <c r="I12" i="44"/>
  <c r="Q12" i="44" s="1"/>
  <c r="T47" i="44"/>
  <c r="R35" i="44"/>
  <c r="S35" i="44"/>
  <c r="S36" i="44"/>
  <c r="R36" i="44"/>
  <c r="I14" i="44"/>
  <c r="I13" i="44"/>
  <c r="S21" i="44"/>
  <c r="R21" i="44"/>
  <c r="S20" i="44"/>
  <c r="R20" i="44"/>
  <c r="S16" i="44"/>
  <c r="R16" i="44"/>
  <c r="T33" i="44"/>
  <c r="T42" i="44"/>
  <c r="T34" i="44"/>
  <c r="T27" i="44"/>
  <c r="S22" i="44"/>
  <c r="R22" i="44"/>
  <c r="T29" i="44"/>
  <c r="R17" i="44"/>
  <c r="S17" i="44"/>
  <c r="S15" i="44"/>
  <c r="R15" i="44"/>
  <c r="S30" i="44"/>
  <c r="R30" i="44"/>
  <c r="T32" i="44"/>
  <c r="T28" i="44"/>
  <c r="T31" i="44"/>
  <c r="S19" i="44"/>
  <c r="R19" i="44"/>
  <c r="M60" i="11"/>
  <c r="BM52" i="32"/>
  <c r="DK26" i="32"/>
  <c r="DK67" i="32" s="1"/>
  <c r="G153" i="59" s="1"/>
  <c r="DG26" i="32"/>
  <c r="DK63" i="32" s="1"/>
  <c r="G149" i="59" s="1"/>
  <c r="DO26" i="32"/>
  <c r="DK71" i="32" s="1"/>
  <c r="G157" i="59" s="1"/>
  <c r="DP26" i="32"/>
  <c r="DK72" i="32" s="1"/>
  <c r="G158" i="59" s="1"/>
  <c r="DF26" i="32"/>
  <c r="DK62" i="32" s="1"/>
  <c r="G148" i="59" s="1"/>
  <c r="DE26" i="32"/>
  <c r="DK61" i="32" s="1"/>
  <c r="G147" i="59" s="1"/>
  <c r="DN26" i="32"/>
  <c r="DK70" i="32" s="1"/>
  <c r="G156" i="59" s="1"/>
  <c r="DH26" i="32"/>
  <c r="DK64" i="32" s="1"/>
  <c r="G150" i="59" s="1"/>
  <c r="DJ26" i="32"/>
  <c r="DK66" i="32" s="1"/>
  <c r="G152" i="59" s="1"/>
  <c r="DI26" i="32"/>
  <c r="DK65" i="32" s="1"/>
  <c r="G151" i="59" s="1"/>
  <c r="DL26" i="32"/>
  <c r="DK68" i="32" s="1"/>
  <c r="G154" i="59" s="1"/>
  <c r="DM26" i="32"/>
  <c r="DK69" i="32" s="1"/>
  <c r="G155" i="59" s="1"/>
  <c r="AS61" i="32"/>
  <c r="BC53" i="32"/>
  <c r="BG53" i="32"/>
  <c r="BD53" i="32"/>
  <c r="BL53" i="32"/>
  <c r="BH53" i="32"/>
  <c r="BJ53" i="32"/>
  <c r="BE53" i="32"/>
  <c r="BI53" i="32"/>
  <c r="BF53" i="32"/>
  <c r="BA53" i="32"/>
  <c r="BK53" i="32"/>
  <c r="BB53" i="32"/>
  <c r="AJ26" i="32"/>
  <c r="AE72" i="32" s="1"/>
  <c r="AH26" i="32"/>
  <c r="AE70" i="32" s="1"/>
  <c r="AB26" i="32"/>
  <c r="AE64" i="32" s="1"/>
  <c r="Y26" i="32"/>
  <c r="AE61" i="32" s="1"/>
  <c r="AE26" i="32"/>
  <c r="AE67" i="32" s="1"/>
  <c r="AG26" i="32"/>
  <c r="AE69" i="32" s="1"/>
  <c r="AA26" i="32"/>
  <c r="AE63" i="32" s="1"/>
  <c r="AI26" i="32"/>
  <c r="AE71" i="32" s="1"/>
  <c r="AC26" i="32"/>
  <c r="AE65" i="32" s="1"/>
  <c r="AE62" i="32"/>
  <c r="AD26" i="32"/>
  <c r="AE66" i="32" s="1"/>
  <c r="AF26" i="32"/>
  <c r="AE68" i="32" s="1"/>
  <c r="P3" i="45" l="1"/>
  <c r="P166" i="45"/>
  <c r="P9" i="45"/>
  <c r="Q9" i="45"/>
  <c r="L141" i="59"/>
  <c r="N36" i="11"/>
  <c r="R3" i="44"/>
  <c r="D18" i="49"/>
  <c r="E18" i="49" s="1"/>
  <c r="Z10" i="49" s="1"/>
  <c r="S7" i="44"/>
  <c r="T7" i="44" s="1"/>
  <c r="W71" i="17"/>
  <c r="L141" i="58"/>
  <c r="O141" i="58" s="1"/>
  <c r="O142" i="57"/>
  <c r="Q142" i="57" s="1"/>
  <c r="I142" i="57"/>
  <c r="I130" i="57" s="1"/>
  <c r="O136" i="57"/>
  <c r="Q136" i="57" s="1"/>
  <c r="I136" i="57"/>
  <c r="I124" i="57" s="1"/>
  <c r="O137" i="57"/>
  <c r="Q137" i="57" s="1"/>
  <c r="I137" i="57"/>
  <c r="I125" i="57" s="1"/>
  <c r="O138" i="57"/>
  <c r="Q138" i="57" s="1"/>
  <c r="I138" i="57"/>
  <c r="I126" i="57" s="1"/>
  <c r="O139" i="59"/>
  <c r="P139" i="59" s="1"/>
  <c r="I142" i="58"/>
  <c r="I130" i="58" s="1"/>
  <c r="O141" i="57"/>
  <c r="Q141" i="57" s="1"/>
  <c r="I141" i="57"/>
  <c r="I129" i="57" s="1"/>
  <c r="I146" i="57"/>
  <c r="I134" i="57" s="1"/>
  <c r="O146" i="57"/>
  <c r="Q146" i="57" s="1"/>
  <c r="O136" i="58"/>
  <c r="I136" i="58"/>
  <c r="I124" i="58" s="1"/>
  <c r="O140" i="59"/>
  <c r="P140" i="59" s="1"/>
  <c r="O137" i="58"/>
  <c r="I137" i="58"/>
  <c r="I125" i="58" s="1"/>
  <c r="O138" i="58"/>
  <c r="I138" i="58"/>
  <c r="I126" i="58" s="1"/>
  <c r="O143" i="57"/>
  <c r="Q143" i="57" s="1"/>
  <c r="I143" i="57"/>
  <c r="I131" i="57" s="1"/>
  <c r="I141" i="58"/>
  <c r="I129" i="58" s="1"/>
  <c r="I146" i="58"/>
  <c r="I134" i="58" s="1"/>
  <c r="O145" i="57"/>
  <c r="Q145" i="57" s="1"/>
  <c r="I145" i="57"/>
  <c r="I133" i="57" s="1"/>
  <c r="O140" i="57"/>
  <c r="Q140" i="57" s="1"/>
  <c r="I140" i="57"/>
  <c r="I128" i="57" s="1"/>
  <c r="O137" i="59"/>
  <c r="P137" i="59" s="1"/>
  <c r="I139" i="57"/>
  <c r="I127" i="57" s="1"/>
  <c r="O139" i="57"/>
  <c r="Q139" i="57" s="1"/>
  <c r="O144" i="57"/>
  <c r="Q144" i="57" s="1"/>
  <c r="I144" i="57"/>
  <c r="I132" i="57" s="1"/>
  <c r="I143" i="58"/>
  <c r="I131" i="58" s="1"/>
  <c r="O141" i="59"/>
  <c r="P141" i="59" s="1"/>
  <c r="O136" i="59"/>
  <c r="P136" i="59" s="1"/>
  <c r="I145" i="58"/>
  <c r="I133" i="58" s="1"/>
  <c r="O140" i="58"/>
  <c r="I140" i="58"/>
  <c r="I128" i="58" s="1"/>
  <c r="O138" i="59"/>
  <c r="P138" i="59" s="1"/>
  <c r="I139" i="58"/>
  <c r="I127" i="58" s="1"/>
  <c r="O139" i="58"/>
  <c r="I144" i="58"/>
  <c r="I132" i="58" s="1"/>
  <c r="O135" i="59"/>
  <c r="I123" i="57"/>
  <c r="O135" i="57"/>
  <c r="Q135" i="57" s="1"/>
  <c r="I123" i="58"/>
  <c r="O135" i="58"/>
  <c r="P132" i="59"/>
  <c r="Q132" i="59"/>
  <c r="R132" i="59" s="1"/>
  <c r="R120" i="59"/>
  <c r="R121" i="59"/>
  <c r="R114" i="59"/>
  <c r="R119" i="59"/>
  <c r="R112" i="59"/>
  <c r="R115" i="59"/>
  <c r="P125" i="59"/>
  <c r="Q125" i="59"/>
  <c r="Q134" i="59"/>
  <c r="R134" i="59" s="1"/>
  <c r="P134" i="59"/>
  <c r="Q131" i="59"/>
  <c r="R131" i="59" s="1"/>
  <c r="P131" i="59"/>
  <c r="P124" i="59"/>
  <c r="Q124" i="59"/>
  <c r="Q129" i="59"/>
  <c r="R129" i="59" s="1"/>
  <c r="P129" i="59"/>
  <c r="P128" i="59"/>
  <c r="Q128" i="59"/>
  <c r="R117" i="59"/>
  <c r="R111" i="59"/>
  <c r="R113" i="59"/>
  <c r="Q130" i="59"/>
  <c r="R130" i="59" s="1"/>
  <c r="P130" i="59"/>
  <c r="Q126" i="59"/>
  <c r="P126" i="59"/>
  <c r="R118" i="59"/>
  <c r="P127" i="59"/>
  <c r="Q127" i="59"/>
  <c r="Q133" i="59"/>
  <c r="R133" i="59" s="1"/>
  <c r="P133" i="59"/>
  <c r="P123" i="59"/>
  <c r="Q123" i="59"/>
  <c r="Q177" i="59"/>
  <c r="R116" i="59"/>
  <c r="S176" i="59"/>
  <c r="R122" i="59"/>
  <c r="R127" i="46"/>
  <c r="R124" i="46"/>
  <c r="R125" i="46"/>
  <c r="S177" i="46"/>
  <c r="R123" i="46"/>
  <c r="R128" i="46"/>
  <c r="R126" i="46"/>
  <c r="Q10" i="44"/>
  <c r="S10" i="44" s="1"/>
  <c r="Q8" i="44"/>
  <c r="S8" i="44" s="1"/>
  <c r="Q9" i="44"/>
  <c r="S9" i="44" s="1"/>
  <c r="Q5" i="44"/>
  <c r="S5" i="44" s="1"/>
  <c r="R6" i="45"/>
  <c r="R22" i="45"/>
  <c r="R25" i="45"/>
  <c r="R12" i="45"/>
  <c r="R26" i="45"/>
  <c r="R24" i="45"/>
  <c r="R5" i="45"/>
  <c r="R4" i="45"/>
  <c r="R167" i="45"/>
  <c r="R11" i="45"/>
  <c r="R3" i="45"/>
  <c r="R7" i="45"/>
  <c r="R13" i="45"/>
  <c r="R19" i="45"/>
  <c r="R15" i="45"/>
  <c r="R8" i="45"/>
  <c r="R21" i="45"/>
  <c r="R20" i="45"/>
  <c r="R16" i="45"/>
  <c r="R18" i="45"/>
  <c r="R17" i="45"/>
  <c r="R14" i="45"/>
  <c r="AH85" i="45"/>
  <c r="R23" i="45"/>
  <c r="R10" i="45"/>
  <c r="P126" i="45"/>
  <c r="Q126" i="45"/>
  <c r="R120" i="45"/>
  <c r="P127" i="45"/>
  <c r="Q127" i="45"/>
  <c r="R119" i="45"/>
  <c r="P124" i="45"/>
  <c r="Q124" i="45"/>
  <c r="P176" i="45"/>
  <c r="Q133" i="45"/>
  <c r="R133" i="45" s="1"/>
  <c r="P133" i="45"/>
  <c r="R175" i="45"/>
  <c r="R113" i="45"/>
  <c r="P132" i="45"/>
  <c r="Q132" i="45"/>
  <c r="R132" i="45" s="1"/>
  <c r="R112" i="45"/>
  <c r="AH91" i="45"/>
  <c r="P131" i="45"/>
  <c r="Q131" i="45"/>
  <c r="R131" i="45" s="1"/>
  <c r="R114" i="45"/>
  <c r="R115" i="45"/>
  <c r="P125" i="45"/>
  <c r="Q125" i="45"/>
  <c r="R121" i="45"/>
  <c r="G159" i="45"/>
  <c r="H23" i="9"/>
  <c r="E14" i="18"/>
  <c r="P140" i="46"/>
  <c r="N140" i="22"/>
  <c r="H67" i="17"/>
  <c r="L141" i="46"/>
  <c r="J141" i="22"/>
  <c r="M141" i="22" s="1"/>
  <c r="N141" i="22" s="1"/>
  <c r="O140" i="37"/>
  <c r="N140" i="37"/>
  <c r="Q140" i="45"/>
  <c r="P140" i="45"/>
  <c r="E67" i="17"/>
  <c r="L141" i="45"/>
  <c r="O141" i="45" s="1"/>
  <c r="J141" i="37"/>
  <c r="M141" i="37" s="1"/>
  <c r="S170" i="44"/>
  <c r="T62" i="44"/>
  <c r="R50" i="44"/>
  <c r="S50" i="44"/>
  <c r="S49" i="44"/>
  <c r="Q169" i="44"/>
  <c r="R49" i="44"/>
  <c r="T61" i="44"/>
  <c r="J26" i="44"/>
  <c r="Q26" i="44" s="1"/>
  <c r="J25" i="44"/>
  <c r="Q25" i="44" s="1"/>
  <c r="BH66" i="32"/>
  <c r="BH68" i="32"/>
  <c r="BH63" i="32"/>
  <c r="BH67" i="32"/>
  <c r="BH62" i="32"/>
  <c r="BH69" i="32"/>
  <c r="BH72" i="32"/>
  <c r="BH70" i="32"/>
  <c r="BH71" i="32"/>
  <c r="BH65" i="32"/>
  <c r="BH64" i="32"/>
  <c r="S4" i="44"/>
  <c r="T4" i="44" s="1"/>
  <c r="I6" i="44"/>
  <c r="T36" i="44"/>
  <c r="R11" i="44"/>
  <c r="S11" i="44"/>
  <c r="R23" i="44"/>
  <c r="S23" i="44"/>
  <c r="T35" i="44"/>
  <c r="R12" i="44"/>
  <c r="S12" i="44"/>
  <c r="S24" i="44"/>
  <c r="R24" i="44"/>
  <c r="T19" i="44"/>
  <c r="T3" i="44"/>
  <c r="T15" i="44"/>
  <c r="T20" i="44"/>
  <c r="T22" i="44"/>
  <c r="T16" i="44"/>
  <c r="T21" i="44"/>
  <c r="S18" i="44"/>
  <c r="R18" i="44"/>
  <c r="T30" i="44"/>
  <c r="T17" i="44"/>
  <c r="BH61" i="32"/>
  <c r="BM53" i="32"/>
  <c r="Z24" i="49" l="1"/>
  <c r="Z13" i="49"/>
  <c r="R9" i="45"/>
  <c r="L142" i="59"/>
  <c r="O142" i="59" s="1"/>
  <c r="P142" i="59" s="1"/>
  <c r="O141" i="46"/>
  <c r="P141" i="46" s="1"/>
  <c r="Z38" i="49"/>
  <c r="Z44" i="49"/>
  <c r="Z20" i="49"/>
  <c r="Z18" i="49"/>
  <c r="Z42" i="49"/>
  <c r="Z32" i="49"/>
  <c r="Z33" i="49"/>
  <c r="Z43" i="49"/>
  <c r="Z31" i="49"/>
  <c r="Z45" i="49"/>
  <c r="Z30" i="49"/>
  <c r="Z25" i="49"/>
  <c r="Z15" i="49"/>
  <c r="Z37" i="49"/>
  <c r="Z23" i="49"/>
  <c r="Z36" i="49"/>
  <c r="Z19" i="49"/>
  <c r="Z39" i="49"/>
  <c r="Z14" i="49"/>
  <c r="W72" i="17"/>
  <c r="W32" i="17"/>
  <c r="W40" i="17" s="1"/>
  <c r="L142" i="58"/>
  <c r="O142" i="58" s="1"/>
  <c r="P142" i="58" s="1"/>
  <c r="S169" i="44"/>
  <c r="R10" i="44"/>
  <c r="R9" i="44"/>
  <c r="S139" i="57"/>
  <c r="R139" i="57"/>
  <c r="S145" i="57"/>
  <c r="R145" i="57"/>
  <c r="S143" i="57"/>
  <c r="R143" i="57"/>
  <c r="P140" i="58"/>
  <c r="Q140" i="58"/>
  <c r="O131" i="58"/>
  <c r="I119" i="58"/>
  <c r="I116" i="57"/>
  <c r="Q128" i="57"/>
  <c r="I121" i="57"/>
  <c r="Q133" i="57"/>
  <c r="I150" i="58"/>
  <c r="I148" i="58"/>
  <c r="I122" i="57"/>
  <c r="Q134" i="57"/>
  <c r="O149" i="57"/>
  <c r="Q149" i="57" s="1"/>
  <c r="I149" i="57"/>
  <c r="S136" i="57"/>
  <c r="R136" i="57"/>
  <c r="R142" i="57"/>
  <c r="S142" i="57"/>
  <c r="Q139" i="58"/>
  <c r="P139" i="58"/>
  <c r="O133" i="58"/>
  <c r="I121" i="58"/>
  <c r="I156" i="57"/>
  <c r="O156" i="57"/>
  <c r="Q156" i="57" s="1"/>
  <c r="I151" i="57"/>
  <c r="O151" i="57"/>
  <c r="Q151" i="57" s="1"/>
  <c r="I117" i="58"/>
  <c r="O129" i="58"/>
  <c r="I119" i="57"/>
  <c r="Q131" i="57"/>
  <c r="I113" i="58"/>
  <c r="O125" i="58"/>
  <c r="R146" i="57"/>
  <c r="S146" i="57"/>
  <c r="R141" i="57"/>
  <c r="S141" i="57"/>
  <c r="O150" i="57"/>
  <c r="Q150" i="57" s="1"/>
  <c r="I150" i="57"/>
  <c r="I112" i="57"/>
  <c r="Q124" i="57"/>
  <c r="O154" i="57"/>
  <c r="Q154" i="57" s="1"/>
  <c r="I154" i="57"/>
  <c r="I156" i="58"/>
  <c r="I151" i="58"/>
  <c r="I152" i="58"/>
  <c r="I155" i="58"/>
  <c r="I120" i="57"/>
  <c r="Q132" i="57"/>
  <c r="S140" i="57"/>
  <c r="R140" i="57"/>
  <c r="I158" i="58"/>
  <c r="Q141" i="58"/>
  <c r="P141" i="58"/>
  <c r="I114" i="58"/>
  <c r="O126" i="58"/>
  <c r="Q137" i="58"/>
  <c r="P137" i="58"/>
  <c r="I112" i="58"/>
  <c r="O124" i="58"/>
  <c r="I117" i="57"/>
  <c r="Q129" i="57"/>
  <c r="I118" i="58"/>
  <c r="O130" i="58"/>
  <c r="R138" i="57"/>
  <c r="S138" i="57"/>
  <c r="R137" i="57"/>
  <c r="S137" i="57"/>
  <c r="I148" i="57"/>
  <c r="O148" i="57"/>
  <c r="Q148" i="57" s="1"/>
  <c r="I118" i="57"/>
  <c r="Q130" i="57"/>
  <c r="G160" i="59"/>
  <c r="O132" i="58"/>
  <c r="I120" i="58"/>
  <c r="I115" i="58"/>
  <c r="O127" i="58"/>
  <c r="O128" i="58"/>
  <c r="I116" i="58"/>
  <c r="I157" i="58"/>
  <c r="S144" i="57"/>
  <c r="R144" i="57"/>
  <c r="I115" i="57"/>
  <c r="Q127" i="57"/>
  <c r="I152" i="57"/>
  <c r="O152" i="57"/>
  <c r="Q152" i="57" s="1"/>
  <c r="O157" i="57"/>
  <c r="Q157" i="57" s="1"/>
  <c r="I157" i="57"/>
  <c r="I122" i="58"/>
  <c r="O134" i="58"/>
  <c r="I153" i="58"/>
  <c r="O155" i="57"/>
  <c r="Q155" i="57" s="1"/>
  <c r="I155" i="57"/>
  <c r="P138" i="58"/>
  <c r="Q138" i="58"/>
  <c r="I149" i="58"/>
  <c r="Q136" i="58"/>
  <c r="P136" i="58"/>
  <c r="O158" i="57"/>
  <c r="Q158" i="57" s="1"/>
  <c r="I158" i="57"/>
  <c r="O153" i="57"/>
  <c r="Q153" i="57" s="1"/>
  <c r="I153" i="57"/>
  <c r="I154" i="58"/>
  <c r="Q126" i="57"/>
  <c r="I114" i="57"/>
  <c r="I113" i="57"/>
  <c r="Q125" i="57"/>
  <c r="S135" i="57"/>
  <c r="R135" i="57"/>
  <c r="Q177" i="57"/>
  <c r="Q135" i="58"/>
  <c r="P135" i="58"/>
  <c r="I147" i="58"/>
  <c r="I111" i="58"/>
  <c r="O123" i="58"/>
  <c r="I111" i="57"/>
  <c r="Q123" i="57"/>
  <c r="P135" i="59"/>
  <c r="I147" i="57"/>
  <c r="O147" i="57"/>
  <c r="Q147" i="57" s="1"/>
  <c r="S177" i="59"/>
  <c r="R127" i="59"/>
  <c r="R126" i="59"/>
  <c r="R125" i="59"/>
  <c r="R8" i="44"/>
  <c r="R124" i="59"/>
  <c r="R123" i="59"/>
  <c r="R128" i="59"/>
  <c r="R159" i="46"/>
  <c r="R5" i="44"/>
  <c r="T9" i="44"/>
  <c r="T8" i="44"/>
  <c r="T10" i="44"/>
  <c r="Q6" i="44"/>
  <c r="S6" i="44" s="1"/>
  <c r="T5" i="44"/>
  <c r="AH84" i="45"/>
  <c r="AH83" i="45"/>
  <c r="AH92" i="45"/>
  <c r="Q138" i="45"/>
  <c r="P138" i="45"/>
  <c r="R127" i="45"/>
  <c r="R126" i="45"/>
  <c r="P137" i="45"/>
  <c r="Q137" i="45"/>
  <c r="R125" i="45"/>
  <c r="P136" i="45"/>
  <c r="Q136" i="45"/>
  <c r="R124" i="45"/>
  <c r="Q139" i="45"/>
  <c r="P139" i="45"/>
  <c r="R176" i="45"/>
  <c r="O35" i="11"/>
  <c r="E18" i="18"/>
  <c r="H68" i="17"/>
  <c r="L142" i="46"/>
  <c r="J142" i="22"/>
  <c r="M142" i="22" s="1"/>
  <c r="N142" i="22" s="1"/>
  <c r="O141" i="37"/>
  <c r="N141" i="37"/>
  <c r="P141" i="45"/>
  <c r="Q141" i="45"/>
  <c r="E68" i="17"/>
  <c r="L142" i="45"/>
  <c r="O142" i="45" s="1"/>
  <c r="J142" i="37"/>
  <c r="M142" i="37" s="1"/>
  <c r="J14" i="44"/>
  <c r="Q14" i="44" s="1"/>
  <c r="S37" i="44"/>
  <c r="Q168" i="44"/>
  <c r="R37" i="44"/>
  <c r="T49" i="44"/>
  <c r="J13" i="44"/>
  <c r="Q13" i="44" s="1"/>
  <c r="T50" i="44"/>
  <c r="R38" i="44"/>
  <c r="S38" i="44"/>
  <c r="S139" i="44"/>
  <c r="S143" i="44"/>
  <c r="S151" i="44"/>
  <c r="S155" i="44"/>
  <c r="S136" i="44"/>
  <c r="S140" i="44"/>
  <c r="S144" i="44"/>
  <c r="S148" i="44"/>
  <c r="S152" i="44"/>
  <c r="S156" i="44"/>
  <c r="S137" i="44"/>
  <c r="S141" i="44"/>
  <c r="S145" i="44"/>
  <c r="S149" i="44"/>
  <c r="S153" i="44"/>
  <c r="S157" i="44"/>
  <c r="S138" i="44"/>
  <c r="S142" i="44"/>
  <c r="S146" i="44"/>
  <c r="S150" i="44"/>
  <c r="S154" i="44"/>
  <c r="S158" i="44"/>
  <c r="T12" i="44"/>
  <c r="T23" i="44"/>
  <c r="T11" i="44"/>
  <c r="T24" i="44"/>
  <c r="T18" i="44"/>
  <c r="L143" i="59" l="1"/>
  <c r="O143" i="59" s="1"/>
  <c r="O36" i="11"/>
  <c r="O142" i="46"/>
  <c r="P142" i="46" s="1"/>
  <c r="E24" i="49"/>
  <c r="AG10" i="49" s="1"/>
  <c r="AG39" i="49" s="1"/>
  <c r="D23" i="49"/>
  <c r="E23" i="49" s="1"/>
  <c r="AF10" i="49" s="1"/>
  <c r="AF18" i="49" s="1"/>
  <c r="X40" i="17"/>
  <c r="N44" i="11"/>
  <c r="J17" i="9"/>
  <c r="J22" i="9" s="1"/>
  <c r="W36" i="17"/>
  <c r="W73" i="17"/>
  <c r="Q142" i="58"/>
  <c r="L143" i="58"/>
  <c r="O143" i="58" s="1"/>
  <c r="S177" i="57"/>
  <c r="U177" i="57" s="1"/>
  <c r="S158" i="57"/>
  <c r="R158" i="57"/>
  <c r="R155" i="57"/>
  <c r="S155" i="57"/>
  <c r="S150" i="57"/>
  <c r="R150" i="57"/>
  <c r="R153" i="57"/>
  <c r="S153" i="57"/>
  <c r="S157" i="57"/>
  <c r="R157" i="57"/>
  <c r="Q114" i="57"/>
  <c r="I102" i="57"/>
  <c r="P128" i="58"/>
  <c r="Q128" i="58"/>
  <c r="R128" i="58" s="1"/>
  <c r="P132" i="58"/>
  <c r="Q132" i="58"/>
  <c r="R132" i="58" s="1"/>
  <c r="S148" i="57"/>
  <c r="R148" i="57"/>
  <c r="S129" i="57"/>
  <c r="T129" i="57" s="1"/>
  <c r="R129" i="57"/>
  <c r="Q125" i="58"/>
  <c r="P125" i="58"/>
  <c r="Q129" i="58"/>
  <c r="R129" i="58" s="1"/>
  <c r="P129" i="58"/>
  <c r="S134" i="57"/>
  <c r="T134" i="57" s="1"/>
  <c r="R134" i="57"/>
  <c r="R133" i="57"/>
  <c r="S133" i="57"/>
  <c r="T133" i="57" s="1"/>
  <c r="I107" i="58"/>
  <c r="O119" i="58"/>
  <c r="R126" i="57"/>
  <c r="S126" i="57"/>
  <c r="P134" i="58"/>
  <c r="Q134" i="58"/>
  <c r="R134" i="58" s="1"/>
  <c r="R127" i="57"/>
  <c r="S127" i="57"/>
  <c r="Q127" i="58"/>
  <c r="P127" i="58"/>
  <c r="Q117" i="57"/>
  <c r="I105" i="57"/>
  <c r="S124" i="57"/>
  <c r="R124" i="57"/>
  <c r="O113" i="58"/>
  <c r="I101" i="58"/>
  <c r="I105" i="58"/>
  <c r="O117" i="58"/>
  <c r="S156" i="57"/>
  <c r="R156" i="57"/>
  <c r="O121" i="58"/>
  <c r="I109" i="58"/>
  <c r="S149" i="57"/>
  <c r="R149" i="57"/>
  <c r="Q122" i="57"/>
  <c r="I110" i="57"/>
  <c r="Q121" i="57"/>
  <c r="I109" i="57"/>
  <c r="P131" i="58"/>
  <c r="Q131" i="58"/>
  <c r="R131" i="58" s="1"/>
  <c r="S125" i="57"/>
  <c r="R125" i="57"/>
  <c r="I110" i="58"/>
  <c r="O122" i="58"/>
  <c r="S152" i="57"/>
  <c r="R152" i="57"/>
  <c r="I103" i="57"/>
  <c r="Q115" i="57"/>
  <c r="I103" i="58"/>
  <c r="O115" i="58"/>
  <c r="S130" i="57"/>
  <c r="T130" i="57" s="1"/>
  <c r="R130" i="57"/>
  <c r="P130" i="58"/>
  <c r="Q130" i="58"/>
  <c r="R130" i="58" s="1"/>
  <c r="P124" i="58"/>
  <c r="Q124" i="58"/>
  <c r="P126" i="58"/>
  <c r="Q126" i="58"/>
  <c r="R132" i="57"/>
  <c r="S132" i="57"/>
  <c r="T132" i="57" s="1"/>
  <c r="R154" i="57"/>
  <c r="S154" i="57"/>
  <c r="I100" i="57"/>
  <c r="Q112" i="57"/>
  <c r="S131" i="57"/>
  <c r="T131" i="57" s="1"/>
  <c r="R131" i="57"/>
  <c r="S151" i="57"/>
  <c r="R151" i="57"/>
  <c r="P133" i="58"/>
  <c r="Q133" i="58"/>
  <c r="R133" i="58" s="1"/>
  <c r="R128" i="57"/>
  <c r="S128" i="57"/>
  <c r="Q113" i="57"/>
  <c r="I101" i="57"/>
  <c r="O116" i="58"/>
  <c r="I104" i="58"/>
  <c r="O120" i="58"/>
  <c r="I108" i="58"/>
  <c r="I106" i="57"/>
  <c r="Q118" i="57"/>
  <c r="I106" i="58"/>
  <c r="O118" i="58"/>
  <c r="I100" i="58"/>
  <c r="O112" i="58"/>
  <c r="O114" i="58"/>
  <c r="I102" i="58"/>
  <c r="Q120" i="57"/>
  <c r="I108" i="57"/>
  <c r="I107" i="57"/>
  <c r="Q119" i="57"/>
  <c r="Q116" i="57"/>
  <c r="I104" i="57"/>
  <c r="Q123" i="58"/>
  <c r="P176" i="58"/>
  <c r="P123" i="58"/>
  <c r="S147" i="57"/>
  <c r="R147" i="57"/>
  <c r="Q178" i="57"/>
  <c r="I99" i="58"/>
  <c r="O111" i="58"/>
  <c r="I99" i="57"/>
  <c r="Q111" i="57"/>
  <c r="S123" i="57"/>
  <c r="R123" i="57"/>
  <c r="Q176" i="57"/>
  <c r="R159" i="45"/>
  <c r="T6" i="44"/>
  <c r="R6" i="44"/>
  <c r="AH93" i="45"/>
  <c r="H69" i="17"/>
  <c r="L143" i="46"/>
  <c r="O143" i="46" s="1"/>
  <c r="J143" i="22"/>
  <c r="M143" i="22" s="1"/>
  <c r="E69" i="17"/>
  <c r="L143" i="45"/>
  <c r="O143" i="45" s="1"/>
  <c r="J143" i="37"/>
  <c r="M143" i="37" s="1"/>
  <c r="O142" i="37"/>
  <c r="N142" i="37"/>
  <c r="P142" i="45"/>
  <c r="Q142" i="45"/>
  <c r="Q166" i="44"/>
  <c r="S13" i="44"/>
  <c r="R13" i="44"/>
  <c r="T37" i="44"/>
  <c r="R26" i="44"/>
  <c r="S26" i="44"/>
  <c r="T38" i="44"/>
  <c r="S25" i="44"/>
  <c r="R25" i="44"/>
  <c r="Q167" i="44"/>
  <c r="S168" i="44"/>
  <c r="R14" i="44"/>
  <c r="S14" i="44"/>
  <c r="S147" i="44"/>
  <c r="S135" i="44"/>
  <c r="Q177" i="44"/>
  <c r="Q176" i="44"/>
  <c r="L144" i="59" l="1"/>
  <c r="O144" i="59" s="1"/>
  <c r="P144" i="59" s="1"/>
  <c r="P143" i="59"/>
  <c r="AG15" i="49"/>
  <c r="AG33" i="49"/>
  <c r="AF32" i="49"/>
  <c r="AG13" i="49"/>
  <c r="AG31" i="49"/>
  <c r="AF37" i="49"/>
  <c r="AG38" i="49"/>
  <c r="AF42" i="49"/>
  <c r="AF14" i="49"/>
  <c r="AF23" i="49"/>
  <c r="AG43" i="49"/>
  <c r="AG30" i="49"/>
  <c r="AG18" i="49"/>
  <c r="AG42" i="49"/>
  <c r="AG23" i="49"/>
  <c r="AF38" i="49"/>
  <c r="AF15" i="49"/>
  <c r="AG20" i="49"/>
  <c r="AG44" i="49"/>
  <c r="AG25" i="49"/>
  <c r="AG45" i="49"/>
  <c r="AG24" i="49"/>
  <c r="AG37" i="49"/>
  <c r="AF24" i="49"/>
  <c r="AF30" i="49"/>
  <c r="AG19" i="49"/>
  <c r="AG32" i="49"/>
  <c r="AG36" i="49"/>
  <c r="AG14" i="49"/>
  <c r="AF43" i="49"/>
  <c r="AF13" i="49"/>
  <c r="AF36" i="49"/>
  <c r="AF39" i="49"/>
  <c r="AF45" i="49"/>
  <c r="AF20" i="49"/>
  <c r="AF44" i="49"/>
  <c r="AF33" i="49"/>
  <c r="AF19" i="49"/>
  <c r="AF31" i="49"/>
  <c r="AF25" i="49"/>
  <c r="W74" i="17"/>
  <c r="N45" i="11"/>
  <c r="L144" i="58"/>
  <c r="O144" i="58" s="1"/>
  <c r="Q143" i="58"/>
  <c r="P143" i="58"/>
  <c r="R176" i="58"/>
  <c r="S178" i="57"/>
  <c r="U178" i="57" s="1"/>
  <c r="S176" i="57"/>
  <c r="Q104" i="57"/>
  <c r="I92" i="57"/>
  <c r="R119" i="57"/>
  <c r="S119" i="57"/>
  <c r="O102" i="58"/>
  <c r="I90" i="58"/>
  <c r="Q118" i="58"/>
  <c r="P118" i="58"/>
  <c r="I96" i="58"/>
  <c r="O108" i="58"/>
  <c r="Q101" i="57"/>
  <c r="I89" i="57"/>
  <c r="R126" i="58"/>
  <c r="P115" i="58"/>
  <c r="Q115" i="58"/>
  <c r="S115" i="57"/>
  <c r="R115" i="57"/>
  <c r="Q122" i="58"/>
  <c r="P122" i="58"/>
  <c r="Q109" i="57"/>
  <c r="I97" i="57"/>
  <c r="Q110" i="57"/>
  <c r="I98" i="57"/>
  <c r="I97" i="58"/>
  <c r="O109" i="58"/>
  <c r="Q117" i="58"/>
  <c r="P117" i="58"/>
  <c r="T126" i="57"/>
  <c r="Q102" i="57"/>
  <c r="I90" i="57"/>
  <c r="R116" i="57"/>
  <c r="S116" i="57"/>
  <c r="Q107" i="57"/>
  <c r="I95" i="57"/>
  <c r="Q114" i="58"/>
  <c r="P114" i="58"/>
  <c r="I94" i="58"/>
  <c r="O106" i="58"/>
  <c r="P120" i="58"/>
  <c r="Q120" i="58"/>
  <c r="R113" i="57"/>
  <c r="S113" i="57"/>
  <c r="I91" i="58"/>
  <c r="O103" i="58"/>
  <c r="I91" i="57"/>
  <c r="Q103" i="57"/>
  <c r="I98" i="58"/>
  <c r="O110" i="58"/>
  <c r="T125" i="57"/>
  <c r="S121" i="57"/>
  <c r="R121" i="57"/>
  <c r="S122" i="57"/>
  <c r="R122" i="57"/>
  <c r="P121" i="58"/>
  <c r="Q121" i="58"/>
  <c r="I93" i="58"/>
  <c r="O105" i="58"/>
  <c r="T124" i="57"/>
  <c r="R127" i="58"/>
  <c r="S114" i="57"/>
  <c r="R114" i="57"/>
  <c r="Q108" i="57"/>
  <c r="I96" i="57"/>
  <c r="P112" i="58"/>
  <c r="Q112" i="58"/>
  <c r="S118" i="57"/>
  <c r="R118" i="57"/>
  <c r="I92" i="58"/>
  <c r="O104" i="58"/>
  <c r="T128" i="57"/>
  <c r="S112" i="57"/>
  <c r="R112" i="57"/>
  <c r="R124" i="58"/>
  <c r="I89" i="58"/>
  <c r="O101" i="58"/>
  <c r="I93" i="57"/>
  <c r="Q105" i="57"/>
  <c r="T127" i="57"/>
  <c r="P119" i="58"/>
  <c r="Q119" i="58"/>
  <c r="R120" i="57"/>
  <c r="S120" i="57"/>
  <c r="I88" i="58"/>
  <c r="O100" i="58"/>
  <c r="Q106" i="57"/>
  <c r="I94" i="57"/>
  <c r="Q116" i="58"/>
  <c r="P116" i="58"/>
  <c r="I88" i="57"/>
  <c r="Q100" i="57"/>
  <c r="Q113" i="58"/>
  <c r="P113" i="58"/>
  <c r="S117" i="57"/>
  <c r="R117" i="57"/>
  <c r="I95" i="58"/>
  <c r="O107" i="58"/>
  <c r="R125" i="58"/>
  <c r="I87" i="57"/>
  <c r="Q99" i="57"/>
  <c r="T123" i="57"/>
  <c r="P175" i="58"/>
  <c r="P111" i="58"/>
  <c r="Q111" i="58"/>
  <c r="S111" i="57"/>
  <c r="R111" i="57"/>
  <c r="Q175" i="57"/>
  <c r="I87" i="58"/>
  <c r="O99" i="58"/>
  <c r="R123" i="58"/>
  <c r="N143" i="22"/>
  <c r="P143" i="46"/>
  <c r="H70" i="17"/>
  <c r="J144" i="22"/>
  <c r="M144" i="22" s="1"/>
  <c r="N144" i="22" s="1"/>
  <c r="L144" i="46"/>
  <c r="N143" i="37"/>
  <c r="O143" i="37"/>
  <c r="P143" i="45"/>
  <c r="Q143" i="45"/>
  <c r="E70" i="17"/>
  <c r="L144" i="45"/>
  <c r="O144" i="45" s="1"/>
  <c r="J144" i="37"/>
  <c r="M144" i="37" s="1"/>
  <c r="S166" i="44"/>
  <c r="S167" i="44"/>
  <c r="T14" i="44"/>
  <c r="T26" i="44"/>
  <c r="T25" i="44"/>
  <c r="T13" i="44"/>
  <c r="L145" i="59" l="1"/>
  <c r="O145" i="59" s="1"/>
  <c r="O144" i="46"/>
  <c r="P144" i="46" s="1"/>
  <c r="W75" i="17"/>
  <c r="L145" i="58"/>
  <c r="O145" i="58" s="1"/>
  <c r="Q144" i="58"/>
  <c r="P144" i="58"/>
  <c r="S175" i="57"/>
  <c r="R175" i="58"/>
  <c r="P107" i="58"/>
  <c r="Q107" i="58"/>
  <c r="P100" i="58"/>
  <c r="Q100" i="58"/>
  <c r="R119" i="58"/>
  <c r="S105" i="57"/>
  <c r="R105" i="57"/>
  <c r="I84" i="57"/>
  <c r="Q96" i="57"/>
  <c r="P105" i="58"/>
  <c r="Q105" i="58"/>
  <c r="R103" i="57"/>
  <c r="S103" i="57"/>
  <c r="T113" i="57"/>
  <c r="Q106" i="58"/>
  <c r="P106" i="58"/>
  <c r="I83" i="57"/>
  <c r="Q95" i="57"/>
  <c r="I78" i="57"/>
  <c r="Q90" i="57"/>
  <c r="Q98" i="57"/>
  <c r="I86" i="57"/>
  <c r="R115" i="58"/>
  <c r="I77" i="57"/>
  <c r="Q89" i="57"/>
  <c r="T119" i="57"/>
  <c r="I83" i="58"/>
  <c r="O95" i="58"/>
  <c r="R113" i="58"/>
  <c r="R116" i="58"/>
  <c r="I76" i="58"/>
  <c r="O88" i="58"/>
  <c r="Q93" i="57"/>
  <c r="I81" i="57"/>
  <c r="T118" i="57"/>
  <c r="R108" i="57"/>
  <c r="S108" i="57"/>
  <c r="I81" i="58"/>
  <c r="O93" i="58"/>
  <c r="T122" i="57"/>
  <c r="I79" i="57"/>
  <c r="Q91" i="57"/>
  <c r="I82" i="58"/>
  <c r="O94" i="58"/>
  <c r="S107" i="57"/>
  <c r="R107" i="57"/>
  <c r="R102" i="57"/>
  <c r="S102" i="57"/>
  <c r="R117" i="58"/>
  <c r="R110" i="57"/>
  <c r="S110" i="57"/>
  <c r="R122" i="58"/>
  <c r="S101" i="57"/>
  <c r="R101" i="57"/>
  <c r="R118" i="58"/>
  <c r="R100" i="57"/>
  <c r="S100" i="57"/>
  <c r="Q94" i="57"/>
  <c r="I82" i="57"/>
  <c r="T120" i="57"/>
  <c r="Q101" i="58"/>
  <c r="P101" i="58"/>
  <c r="Q104" i="58"/>
  <c r="P104" i="58"/>
  <c r="R112" i="58"/>
  <c r="R121" i="58"/>
  <c r="Q110" i="58"/>
  <c r="P110" i="58"/>
  <c r="Q103" i="58"/>
  <c r="P103" i="58"/>
  <c r="R120" i="58"/>
  <c r="T116" i="57"/>
  <c r="Q109" i="58"/>
  <c r="P109" i="58"/>
  <c r="Q97" i="57"/>
  <c r="I85" i="57"/>
  <c r="Q108" i="58"/>
  <c r="P108" i="58"/>
  <c r="O90" i="58"/>
  <c r="I78" i="58"/>
  <c r="I80" i="57"/>
  <c r="Q92" i="57"/>
  <c r="T117" i="57"/>
  <c r="Q88" i="57"/>
  <c r="I76" i="57"/>
  <c r="R106" i="57"/>
  <c r="S106" i="57"/>
  <c r="I77" i="58"/>
  <c r="O89" i="58"/>
  <c r="T112" i="57"/>
  <c r="I80" i="58"/>
  <c r="O92" i="58"/>
  <c r="T114" i="57"/>
  <c r="T121" i="57"/>
  <c r="O98" i="58"/>
  <c r="I86" i="58"/>
  <c r="I79" i="58"/>
  <c r="O91" i="58"/>
  <c r="R114" i="58"/>
  <c r="O97" i="58"/>
  <c r="I85" i="58"/>
  <c r="S109" i="57"/>
  <c r="R109" i="57"/>
  <c r="T115" i="57"/>
  <c r="I84" i="58"/>
  <c r="O96" i="58"/>
  <c r="P102" i="58"/>
  <c r="Q102" i="58"/>
  <c r="R104" i="57"/>
  <c r="S104" i="57"/>
  <c r="I75" i="58"/>
  <c r="O87" i="58"/>
  <c r="R111" i="58"/>
  <c r="Q99" i="58"/>
  <c r="P174" i="58"/>
  <c r="P99" i="58"/>
  <c r="T111" i="57"/>
  <c r="R99" i="57"/>
  <c r="Q174" i="57"/>
  <c r="S99" i="57"/>
  <c r="Q87" i="57"/>
  <c r="I75" i="57"/>
  <c r="H71" i="17"/>
  <c r="L145" i="46"/>
  <c r="J145" i="22"/>
  <c r="M145" i="22" s="1"/>
  <c r="N145" i="22" s="1"/>
  <c r="Q144" i="45"/>
  <c r="P144" i="45"/>
  <c r="E71" i="17"/>
  <c r="L145" i="45"/>
  <c r="O145" i="45" s="1"/>
  <c r="J145" i="37"/>
  <c r="M145" i="37" s="1"/>
  <c r="N144" i="37"/>
  <c r="O144" i="37"/>
  <c r="P145" i="59" l="1"/>
  <c r="H32" i="17"/>
  <c r="H40" i="17" s="1"/>
  <c r="N19" i="11" s="1"/>
  <c r="L146" i="59"/>
  <c r="O146" i="59" s="1"/>
  <c r="P146" i="59" s="1"/>
  <c r="O145" i="46"/>
  <c r="P145" i="46" s="1"/>
  <c r="W76" i="17"/>
  <c r="L146" i="58"/>
  <c r="O146" i="58" s="1"/>
  <c r="P177" i="58" s="1"/>
  <c r="Q145" i="58"/>
  <c r="P145" i="58"/>
  <c r="R174" i="58"/>
  <c r="T104" i="57"/>
  <c r="P96" i="58"/>
  <c r="Q96" i="58"/>
  <c r="I74" i="58"/>
  <c r="O86" i="58"/>
  <c r="T109" i="57"/>
  <c r="Q90" i="58"/>
  <c r="P90" i="58"/>
  <c r="R104" i="58"/>
  <c r="T101" i="57"/>
  <c r="S98" i="57"/>
  <c r="R98" i="57"/>
  <c r="T105" i="57"/>
  <c r="S174" i="57"/>
  <c r="I73" i="58"/>
  <c r="O85" i="58"/>
  <c r="P91" i="58"/>
  <c r="Q91" i="58"/>
  <c r="I70" i="57"/>
  <c r="Q82" i="57"/>
  <c r="S91" i="57"/>
  <c r="R91" i="57"/>
  <c r="Q93" i="58"/>
  <c r="P93" i="58"/>
  <c r="P88" i="58"/>
  <c r="Q88" i="58"/>
  <c r="S90" i="57"/>
  <c r="R90" i="57"/>
  <c r="T103" i="57"/>
  <c r="R96" i="57"/>
  <c r="S96" i="57"/>
  <c r="R107" i="58"/>
  <c r="I72" i="58"/>
  <c r="O84" i="58"/>
  <c r="P98" i="58"/>
  <c r="Q98" i="58"/>
  <c r="R97" i="57"/>
  <c r="S97" i="57"/>
  <c r="R103" i="58"/>
  <c r="I70" i="58"/>
  <c r="O82" i="58"/>
  <c r="R93" i="57"/>
  <c r="S93" i="57"/>
  <c r="I71" i="58"/>
  <c r="O83" i="58"/>
  <c r="Q77" i="57"/>
  <c r="I65" i="57"/>
  <c r="I71" i="57"/>
  <c r="Q83" i="57"/>
  <c r="R102" i="58"/>
  <c r="Q92" i="58"/>
  <c r="P92" i="58"/>
  <c r="Q89" i="58"/>
  <c r="P89" i="58"/>
  <c r="Q76" i="57"/>
  <c r="I64" i="57"/>
  <c r="S92" i="57"/>
  <c r="R92" i="57"/>
  <c r="P97" i="58"/>
  <c r="Q97" i="58"/>
  <c r="I67" i="58"/>
  <c r="O79" i="58"/>
  <c r="I68" i="58"/>
  <c r="O80" i="58"/>
  <c r="I65" i="58"/>
  <c r="O77" i="58"/>
  <c r="R88" i="57"/>
  <c r="S88" i="57"/>
  <c r="Q80" i="57"/>
  <c r="I68" i="57"/>
  <c r="R108" i="58"/>
  <c r="R109" i="58"/>
  <c r="R110" i="58"/>
  <c r="R101" i="58"/>
  <c r="R94" i="57"/>
  <c r="S94" i="57"/>
  <c r="T107" i="57"/>
  <c r="I67" i="57"/>
  <c r="Q79" i="57"/>
  <c r="O81" i="58"/>
  <c r="I69" i="58"/>
  <c r="I64" i="58"/>
  <c r="O76" i="58"/>
  <c r="I66" i="57"/>
  <c r="Q78" i="57"/>
  <c r="R106" i="58"/>
  <c r="I72" i="57"/>
  <c r="Q84" i="57"/>
  <c r="T106" i="57"/>
  <c r="O78" i="58"/>
  <c r="I66" i="58"/>
  <c r="I73" i="57"/>
  <c r="Q85" i="57"/>
  <c r="T100" i="57"/>
  <c r="T110" i="57"/>
  <c r="T102" i="57"/>
  <c r="Q94" i="58"/>
  <c r="P94" i="58"/>
  <c r="T108" i="57"/>
  <c r="I69" i="57"/>
  <c r="Q81" i="57"/>
  <c r="P95" i="58"/>
  <c r="Q95" i="58"/>
  <c r="R89" i="57"/>
  <c r="S89" i="57"/>
  <c r="I74" i="57"/>
  <c r="Q86" i="57"/>
  <c r="S95" i="57"/>
  <c r="R95" i="57"/>
  <c r="R105" i="58"/>
  <c r="R100" i="58"/>
  <c r="P173" i="58"/>
  <c r="P87" i="58"/>
  <c r="Q87" i="58"/>
  <c r="T99" i="57"/>
  <c r="I63" i="57"/>
  <c r="Q75" i="57"/>
  <c r="S87" i="57"/>
  <c r="Q173" i="57"/>
  <c r="R87" i="57"/>
  <c r="R99" i="58"/>
  <c r="I63" i="58"/>
  <c r="O75" i="58"/>
  <c r="H72" i="17"/>
  <c r="L146" i="46"/>
  <c r="J146" i="22"/>
  <c r="M146" i="22" s="1"/>
  <c r="N146" i="22" s="1"/>
  <c r="P145" i="45"/>
  <c r="Q145" i="45"/>
  <c r="E72" i="17"/>
  <c r="L146" i="45"/>
  <c r="J146" i="37"/>
  <c r="M146" i="37" s="1"/>
  <c r="E32" i="17"/>
  <c r="E40" i="17" s="1"/>
  <c r="N145" i="37"/>
  <c r="O145" i="37"/>
  <c r="L147" i="59" l="1"/>
  <c r="O147" i="59" s="1"/>
  <c r="Q178" i="59"/>
  <c r="I40" i="17"/>
  <c r="H36" i="17"/>
  <c r="S178" i="59"/>
  <c r="O146" i="46"/>
  <c r="P146" i="46" s="1"/>
  <c r="W77" i="17"/>
  <c r="O146" i="45"/>
  <c r="P177" i="45" s="1"/>
  <c r="P146" i="58"/>
  <c r="R177" i="58" s="1"/>
  <c r="T177" i="58" s="1"/>
  <c r="Q146" i="58"/>
  <c r="L147" i="58"/>
  <c r="O147" i="58" s="1"/>
  <c r="Q74" i="57"/>
  <c r="I62" i="57"/>
  <c r="I53" i="57"/>
  <c r="Q65" i="57"/>
  <c r="T93" i="57"/>
  <c r="R98" i="58"/>
  <c r="R88" i="58"/>
  <c r="R91" i="58"/>
  <c r="T98" i="57"/>
  <c r="Q78" i="58"/>
  <c r="P78" i="58"/>
  <c r="I60" i="57"/>
  <c r="Q72" i="57"/>
  <c r="I54" i="57"/>
  <c r="Q66" i="57"/>
  <c r="Q81" i="58"/>
  <c r="P81" i="58"/>
  <c r="R85" i="57"/>
  <c r="S85" i="57"/>
  <c r="P76" i="58"/>
  <c r="Q76" i="58"/>
  <c r="R79" i="57"/>
  <c r="S79" i="57"/>
  <c r="T94" i="57"/>
  <c r="Q80" i="58"/>
  <c r="P80" i="58"/>
  <c r="T92" i="57"/>
  <c r="S77" i="57"/>
  <c r="R77" i="57"/>
  <c r="T91" i="57"/>
  <c r="Q86" i="58"/>
  <c r="P86" i="58"/>
  <c r="R80" i="57"/>
  <c r="S80" i="57"/>
  <c r="I53" i="58"/>
  <c r="O65" i="58"/>
  <c r="I55" i="58"/>
  <c r="O67" i="58"/>
  <c r="T89" i="57"/>
  <c r="S81" i="57"/>
  <c r="R81" i="57"/>
  <c r="T88" i="57"/>
  <c r="R97" i="58"/>
  <c r="R89" i="58"/>
  <c r="T95" i="57"/>
  <c r="I57" i="57"/>
  <c r="Q69" i="57"/>
  <c r="R94" i="58"/>
  <c r="Q73" i="57"/>
  <c r="I61" i="57"/>
  <c r="O64" i="58"/>
  <c r="I52" i="58"/>
  <c r="Q67" i="57"/>
  <c r="I55" i="57"/>
  <c r="I56" i="58"/>
  <c r="O68" i="58"/>
  <c r="Q64" i="57"/>
  <c r="I52" i="57"/>
  <c r="S83" i="57"/>
  <c r="R83" i="57"/>
  <c r="Q83" i="58"/>
  <c r="P83" i="58"/>
  <c r="P82" i="58"/>
  <c r="Q82" i="58"/>
  <c r="T97" i="57"/>
  <c r="Q84" i="58"/>
  <c r="P84" i="58"/>
  <c r="T96" i="57"/>
  <c r="S82" i="57"/>
  <c r="R82" i="57"/>
  <c r="Q85" i="58"/>
  <c r="P85" i="58"/>
  <c r="R90" i="58"/>
  <c r="I62" i="58"/>
  <c r="O74" i="58"/>
  <c r="S173" i="57"/>
  <c r="R173" i="58"/>
  <c r="R86" i="57"/>
  <c r="S86" i="57"/>
  <c r="R95" i="58"/>
  <c r="O66" i="58"/>
  <c r="I54" i="58"/>
  <c r="R84" i="57"/>
  <c r="S84" i="57"/>
  <c r="R78" i="57"/>
  <c r="S78" i="57"/>
  <c r="I57" i="58"/>
  <c r="O69" i="58"/>
  <c r="Q68" i="57"/>
  <c r="I56" i="57"/>
  <c r="P77" i="58"/>
  <c r="Q77" i="58"/>
  <c r="Q79" i="58"/>
  <c r="P79" i="58"/>
  <c r="S76" i="57"/>
  <c r="R76" i="57"/>
  <c r="R92" i="58"/>
  <c r="Q71" i="57"/>
  <c r="I59" i="57"/>
  <c r="I59" i="58"/>
  <c r="O71" i="58"/>
  <c r="I58" i="58"/>
  <c r="O70" i="58"/>
  <c r="I60" i="58"/>
  <c r="O72" i="58"/>
  <c r="T90" i="57"/>
  <c r="R93" i="58"/>
  <c r="Q70" i="57"/>
  <c r="I58" i="57"/>
  <c r="I61" i="58"/>
  <c r="O73" i="58"/>
  <c r="R96" i="58"/>
  <c r="T87" i="57"/>
  <c r="S75" i="57"/>
  <c r="R75" i="57"/>
  <c r="Q172" i="57"/>
  <c r="R87" i="58"/>
  <c r="P75" i="58"/>
  <c r="P172" i="58"/>
  <c r="Q75" i="58"/>
  <c r="I51" i="57"/>
  <c r="Q63" i="57"/>
  <c r="I51" i="58"/>
  <c r="O63" i="58"/>
  <c r="L147" i="46"/>
  <c r="O147" i="46" s="1"/>
  <c r="J147" i="22"/>
  <c r="M147" i="22" s="1"/>
  <c r="H73" i="17"/>
  <c r="E36" i="17"/>
  <c r="Z40" i="17"/>
  <c r="N15" i="11"/>
  <c r="F40" i="17"/>
  <c r="O146" i="37"/>
  <c r="N146" i="37"/>
  <c r="E73" i="17"/>
  <c r="L147" i="45"/>
  <c r="O147" i="45" s="1"/>
  <c r="J147" i="37"/>
  <c r="M147" i="37" s="1"/>
  <c r="N53" i="11" l="1"/>
  <c r="P147" i="59"/>
  <c r="L148" i="59"/>
  <c r="O148" i="59" s="1"/>
  <c r="Q146" i="45"/>
  <c r="W78" i="17"/>
  <c r="P146" i="45"/>
  <c r="L148" i="58"/>
  <c r="O148" i="58" s="1"/>
  <c r="Q147" i="58"/>
  <c r="P147" i="58"/>
  <c r="R172" i="58"/>
  <c r="S172" i="57"/>
  <c r="T82" i="57"/>
  <c r="R84" i="58"/>
  <c r="T83" i="57"/>
  <c r="O56" i="58"/>
  <c r="I44" i="58"/>
  <c r="P64" i="58"/>
  <c r="Q64" i="58"/>
  <c r="I49" i="58"/>
  <c r="O61" i="58"/>
  <c r="O60" i="58"/>
  <c r="I48" i="58"/>
  <c r="I47" i="58"/>
  <c r="O59" i="58"/>
  <c r="R79" i="58"/>
  <c r="S68" i="57"/>
  <c r="R68" i="57"/>
  <c r="Q66" i="58"/>
  <c r="P66" i="58"/>
  <c r="O62" i="58"/>
  <c r="I50" i="58"/>
  <c r="R85" i="58"/>
  <c r="R83" i="58"/>
  <c r="R64" i="57"/>
  <c r="S64" i="57"/>
  <c r="R67" i="57"/>
  <c r="S67" i="57"/>
  <c r="R73" i="57"/>
  <c r="S73" i="57"/>
  <c r="I45" i="57"/>
  <c r="Q57" i="57"/>
  <c r="I41" i="58"/>
  <c r="O53" i="58"/>
  <c r="R86" i="58"/>
  <c r="T77" i="57"/>
  <c r="R80" i="58"/>
  <c r="R66" i="57"/>
  <c r="S66" i="57"/>
  <c r="S65" i="57"/>
  <c r="R65" i="57"/>
  <c r="I46" i="57"/>
  <c r="Q58" i="57"/>
  <c r="P70" i="58"/>
  <c r="Q70" i="58"/>
  <c r="I47" i="57"/>
  <c r="Q59" i="57"/>
  <c r="R77" i="58"/>
  <c r="Q69" i="58"/>
  <c r="P69" i="58"/>
  <c r="T84" i="57"/>
  <c r="R82" i="58"/>
  <c r="P68" i="58"/>
  <c r="Q68" i="58"/>
  <c r="O52" i="58"/>
  <c r="I40" i="58"/>
  <c r="Q67" i="58"/>
  <c r="P67" i="58"/>
  <c r="T80" i="57"/>
  <c r="R76" i="58"/>
  <c r="Q54" i="57"/>
  <c r="I42" i="57"/>
  <c r="R78" i="58"/>
  <c r="Q53" i="57"/>
  <c r="I41" i="57"/>
  <c r="T81" i="57"/>
  <c r="I43" i="58"/>
  <c r="O55" i="58"/>
  <c r="S72" i="57"/>
  <c r="R72" i="57"/>
  <c r="Q62" i="57"/>
  <c r="I50" i="57"/>
  <c r="R70" i="57"/>
  <c r="S70" i="57"/>
  <c r="O58" i="58"/>
  <c r="I46" i="58"/>
  <c r="S71" i="57"/>
  <c r="R71" i="57"/>
  <c r="T76" i="57"/>
  <c r="I45" i="58"/>
  <c r="O57" i="58"/>
  <c r="P73" i="58"/>
  <c r="Q73" i="58"/>
  <c r="P72" i="58"/>
  <c r="Q72" i="58"/>
  <c r="Q71" i="58"/>
  <c r="P71" i="58"/>
  <c r="Q56" i="57"/>
  <c r="I44" i="57"/>
  <c r="T78" i="57"/>
  <c r="I42" i="58"/>
  <c r="O54" i="58"/>
  <c r="T86" i="57"/>
  <c r="P74" i="58"/>
  <c r="Q74" i="58"/>
  <c r="I40" i="57"/>
  <c r="Q52" i="57"/>
  <c r="I43" i="57"/>
  <c r="Q55" i="57"/>
  <c r="Q61" i="57"/>
  <c r="I49" i="57"/>
  <c r="R69" i="57"/>
  <c r="S69" i="57"/>
  <c r="Q65" i="58"/>
  <c r="P65" i="58"/>
  <c r="T79" i="57"/>
  <c r="T85" i="57"/>
  <c r="R81" i="58"/>
  <c r="I48" i="57"/>
  <c r="Q60" i="57"/>
  <c r="S74" i="57"/>
  <c r="R74" i="57"/>
  <c r="I39" i="57"/>
  <c r="Q51" i="57"/>
  <c r="T75" i="57"/>
  <c r="Q63" i="58"/>
  <c r="P63" i="58"/>
  <c r="P171" i="58"/>
  <c r="R75" i="58"/>
  <c r="S63" i="57"/>
  <c r="R63" i="57"/>
  <c r="Q171" i="57"/>
  <c r="O51" i="58"/>
  <c r="I39" i="58"/>
  <c r="P147" i="46"/>
  <c r="H74" i="17"/>
  <c r="J148" i="22"/>
  <c r="M148" i="22" s="1"/>
  <c r="N148" i="22" s="1"/>
  <c r="L148" i="46"/>
  <c r="N147" i="22"/>
  <c r="N147" i="37"/>
  <c r="O147" i="37"/>
  <c r="Q147" i="45"/>
  <c r="P147" i="45"/>
  <c r="N63" i="11"/>
  <c r="N64" i="11" s="1"/>
  <c r="N48" i="11"/>
  <c r="E74" i="17"/>
  <c r="L148" i="45"/>
  <c r="O148" i="45" s="1"/>
  <c r="J148" i="37"/>
  <c r="M148" i="37" s="1"/>
  <c r="L149" i="59" l="1"/>
  <c r="O149" i="59" s="1"/>
  <c r="P148" i="59"/>
  <c r="O148" i="46"/>
  <c r="P148" i="46" s="1"/>
  <c r="W79" i="17"/>
  <c r="L149" i="58"/>
  <c r="O149" i="58" s="1"/>
  <c r="P148" i="58"/>
  <c r="Q148" i="58"/>
  <c r="R171" i="58"/>
  <c r="T69" i="57"/>
  <c r="R55" i="57"/>
  <c r="S55" i="57"/>
  <c r="R74" i="58"/>
  <c r="Q54" i="58"/>
  <c r="P54" i="58"/>
  <c r="I32" i="57"/>
  <c r="Q44" i="57"/>
  <c r="R72" i="58"/>
  <c r="Q57" i="58"/>
  <c r="P57" i="58"/>
  <c r="T70" i="57"/>
  <c r="R70" i="58"/>
  <c r="R57" i="57"/>
  <c r="S57" i="57"/>
  <c r="T67" i="57"/>
  <c r="O50" i="58"/>
  <c r="I38" i="58"/>
  <c r="Q59" i="58"/>
  <c r="P59" i="58"/>
  <c r="Q61" i="58"/>
  <c r="P61" i="58"/>
  <c r="I32" i="58"/>
  <c r="O44" i="58"/>
  <c r="R68" i="58"/>
  <c r="S171" i="57"/>
  <c r="T74" i="57"/>
  <c r="I31" i="57"/>
  <c r="Q43" i="57"/>
  <c r="O42" i="58"/>
  <c r="I30" i="58"/>
  <c r="S56" i="57"/>
  <c r="R56" i="57"/>
  <c r="I33" i="58"/>
  <c r="O45" i="58"/>
  <c r="T71" i="57"/>
  <c r="T72" i="57"/>
  <c r="R67" i="58"/>
  <c r="T65" i="57"/>
  <c r="Q45" i="57"/>
  <c r="I33" i="57"/>
  <c r="Q62" i="58"/>
  <c r="P62" i="58"/>
  <c r="T68" i="57"/>
  <c r="O47" i="58"/>
  <c r="I35" i="58"/>
  <c r="I37" i="58"/>
  <c r="O49" i="58"/>
  <c r="P56" i="58"/>
  <c r="Q56" i="58"/>
  <c r="I37" i="57"/>
  <c r="Q49" i="57"/>
  <c r="R52" i="57"/>
  <c r="S52" i="57"/>
  <c r="I34" i="58"/>
  <c r="O46" i="58"/>
  <c r="I38" i="57"/>
  <c r="Q50" i="57"/>
  <c r="Q55" i="58"/>
  <c r="P55" i="58"/>
  <c r="I29" i="57"/>
  <c r="Q41" i="57"/>
  <c r="I30" i="57"/>
  <c r="Q42" i="57"/>
  <c r="I28" i="58"/>
  <c r="O40" i="58"/>
  <c r="S59" i="57"/>
  <c r="R59" i="57"/>
  <c r="R58" i="57"/>
  <c r="S58" i="57"/>
  <c r="T66" i="57"/>
  <c r="Q53" i="58"/>
  <c r="P53" i="58"/>
  <c r="T73" i="57"/>
  <c r="T64" i="57"/>
  <c r="I36" i="58"/>
  <c r="O48" i="58"/>
  <c r="R64" i="58"/>
  <c r="R60" i="57"/>
  <c r="S60" i="57"/>
  <c r="R73" i="58"/>
  <c r="I36" i="57"/>
  <c r="Q48" i="57"/>
  <c r="R65" i="58"/>
  <c r="R61" i="57"/>
  <c r="S61" i="57"/>
  <c r="I28" i="57"/>
  <c r="Q40" i="57"/>
  <c r="R71" i="58"/>
  <c r="P58" i="58"/>
  <c r="Q58" i="58"/>
  <c r="R62" i="57"/>
  <c r="S62" i="57"/>
  <c r="I31" i="58"/>
  <c r="O43" i="58"/>
  <c r="R53" i="57"/>
  <c r="S53" i="57"/>
  <c r="R54" i="57"/>
  <c r="S54" i="57"/>
  <c r="P52" i="58"/>
  <c r="Q52" i="58"/>
  <c r="R69" i="58"/>
  <c r="I35" i="57"/>
  <c r="Q47" i="57"/>
  <c r="I34" i="57"/>
  <c r="Q46" i="57"/>
  <c r="I29" i="58"/>
  <c r="O41" i="58"/>
  <c r="R66" i="58"/>
  <c r="P60" i="58"/>
  <c r="Q60" i="58"/>
  <c r="R51" i="57"/>
  <c r="S51" i="57"/>
  <c r="Q170" i="57"/>
  <c r="O39" i="58"/>
  <c r="I27" i="58"/>
  <c r="T63" i="57"/>
  <c r="P51" i="58"/>
  <c r="P170" i="58"/>
  <c r="Q51" i="58"/>
  <c r="R63" i="58"/>
  <c r="I27" i="57"/>
  <c r="Q39" i="57"/>
  <c r="H75" i="17"/>
  <c r="L149" i="46"/>
  <c r="O149" i="46" s="1"/>
  <c r="J149" i="22"/>
  <c r="M149" i="22" s="1"/>
  <c r="O148" i="37"/>
  <c r="N148" i="37"/>
  <c r="N59" i="11"/>
  <c r="P148" i="45"/>
  <c r="Q148" i="45"/>
  <c r="E75" i="17"/>
  <c r="L149" i="45"/>
  <c r="O149" i="45" s="1"/>
  <c r="J149" i="37"/>
  <c r="M149" i="37" s="1"/>
  <c r="L150" i="59" l="1"/>
  <c r="O150" i="59" s="1"/>
  <c r="P149" i="59"/>
  <c r="W80" i="17"/>
  <c r="Q149" i="58"/>
  <c r="P149" i="58"/>
  <c r="L150" i="58"/>
  <c r="O150" i="58" s="1"/>
  <c r="S170" i="57"/>
  <c r="R170" i="58"/>
  <c r="T54" i="57"/>
  <c r="Q43" i="58"/>
  <c r="P43" i="58"/>
  <c r="R58" i="58"/>
  <c r="S40" i="57"/>
  <c r="R40" i="57"/>
  <c r="R60" i="58"/>
  <c r="Q41" i="58"/>
  <c r="P41" i="58"/>
  <c r="R47" i="57"/>
  <c r="S47" i="57"/>
  <c r="R52" i="58"/>
  <c r="T53" i="57"/>
  <c r="T62" i="57"/>
  <c r="I17" i="58"/>
  <c r="O29" i="58"/>
  <c r="Q35" i="57"/>
  <c r="I23" i="57"/>
  <c r="I24" i="57"/>
  <c r="Q36" i="57"/>
  <c r="I24" i="58"/>
  <c r="O36" i="58"/>
  <c r="T59" i="57"/>
  <c r="I18" i="57"/>
  <c r="Q30" i="57"/>
  <c r="R55" i="58"/>
  <c r="O34" i="58"/>
  <c r="I22" i="58"/>
  <c r="I25" i="57"/>
  <c r="Q37" i="57"/>
  <c r="I25" i="58"/>
  <c r="O37" i="58"/>
  <c r="R45" i="57"/>
  <c r="S45" i="57"/>
  <c r="T56" i="57"/>
  <c r="Q31" i="57"/>
  <c r="I19" i="57"/>
  <c r="I26" i="58"/>
  <c r="O38" i="58"/>
  <c r="T57" i="57"/>
  <c r="T55" i="57"/>
  <c r="R46" i="57"/>
  <c r="S46" i="57"/>
  <c r="T58" i="57"/>
  <c r="Q40" i="58"/>
  <c r="P40" i="58"/>
  <c r="R41" i="57"/>
  <c r="S41" i="57"/>
  <c r="R50" i="57"/>
  <c r="S50" i="57"/>
  <c r="T52" i="57"/>
  <c r="R56" i="58"/>
  <c r="I23" i="58"/>
  <c r="O35" i="58"/>
  <c r="Q45" i="58"/>
  <c r="P45" i="58"/>
  <c r="I18" i="58"/>
  <c r="O30" i="58"/>
  <c r="R61" i="58"/>
  <c r="Q50" i="58"/>
  <c r="P50" i="58"/>
  <c r="R54" i="58"/>
  <c r="I22" i="57"/>
  <c r="Q34" i="57"/>
  <c r="I19" i="58"/>
  <c r="O31" i="58"/>
  <c r="I16" i="57"/>
  <c r="Q28" i="57"/>
  <c r="R53" i="58"/>
  <c r="I16" i="58"/>
  <c r="O28" i="58"/>
  <c r="Q29" i="57"/>
  <c r="I17" i="57"/>
  <c r="I26" i="57"/>
  <c r="Q38" i="57"/>
  <c r="Q47" i="58"/>
  <c r="P47" i="58"/>
  <c r="R62" i="58"/>
  <c r="I21" i="58"/>
  <c r="O33" i="58"/>
  <c r="Q42" i="58"/>
  <c r="P42" i="58"/>
  <c r="Q44" i="58"/>
  <c r="P44" i="58"/>
  <c r="S44" i="57"/>
  <c r="R44" i="57"/>
  <c r="T61" i="57"/>
  <c r="S48" i="57"/>
  <c r="R48" i="57"/>
  <c r="T60" i="57"/>
  <c r="P48" i="58"/>
  <c r="Q48" i="58"/>
  <c r="S42" i="57"/>
  <c r="R42" i="57"/>
  <c r="Q46" i="58"/>
  <c r="P46" i="58"/>
  <c r="R49" i="57"/>
  <c r="S49" i="57"/>
  <c r="Q49" i="58"/>
  <c r="P49" i="58"/>
  <c r="I21" i="57"/>
  <c r="Q33" i="57"/>
  <c r="R43" i="57"/>
  <c r="S43" i="57"/>
  <c r="I20" i="58"/>
  <c r="O32" i="58"/>
  <c r="R59" i="58"/>
  <c r="R57" i="58"/>
  <c r="I20" i="57"/>
  <c r="Q32" i="57"/>
  <c r="P169" i="58"/>
  <c r="Q39" i="58"/>
  <c r="P39" i="58"/>
  <c r="Q169" i="57"/>
  <c r="R39" i="57"/>
  <c r="S39" i="57"/>
  <c r="R51" i="58"/>
  <c r="T51" i="57"/>
  <c r="I15" i="57"/>
  <c r="Q27" i="57"/>
  <c r="I15" i="58"/>
  <c r="O27" i="58"/>
  <c r="N149" i="22"/>
  <c r="P149" i="46"/>
  <c r="H76" i="17"/>
  <c r="L150" i="46"/>
  <c r="J150" i="22"/>
  <c r="M150" i="22" s="1"/>
  <c r="N150" i="22" s="1"/>
  <c r="N149" i="37"/>
  <c r="O149" i="37"/>
  <c r="E76" i="17"/>
  <c r="L150" i="45"/>
  <c r="O150" i="45" s="1"/>
  <c r="J150" i="37"/>
  <c r="M150" i="37" s="1"/>
  <c r="P149" i="45"/>
  <c r="Q149" i="45"/>
  <c r="L151" i="59" l="1"/>
  <c r="O151" i="59" s="1"/>
  <c r="P150" i="59"/>
  <c r="O150" i="46"/>
  <c r="P150" i="46" s="1"/>
  <c r="W81" i="17"/>
  <c r="L151" i="58"/>
  <c r="O151" i="58" s="1"/>
  <c r="P150" i="58"/>
  <c r="Q150" i="58"/>
  <c r="S169" i="57"/>
  <c r="T50" i="57"/>
  <c r="T46" i="57"/>
  <c r="R169" i="58"/>
  <c r="I8" i="57"/>
  <c r="Q8" i="57" s="1"/>
  <c r="Q20" i="57"/>
  <c r="R49" i="58"/>
  <c r="R46" i="58"/>
  <c r="T48" i="57"/>
  <c r="T41" i="57"/>
  <c r="P38" i="58"/>
  <c r="Q38" i="58"/>
  <c r="P37" i="58"/>
  <c r="Q37" i="58"/>
  <c r="I10" i="58"/>
  <c r="O10" i="58" s="1"/>
  <c r="O22" i="58"/>
  <c r="R30" i="57"/>
  <c r="S30" i="57"/>
  <c r="Q36" i="58"/>
  <c r="P36" i="58"/>
  <c r="Q23" i="57"/>
  <c r="I11" i="57"/>
  <c r="Q11" i="57" s="1"/>
  <c r="Q31" i="58"/>
  <c r="P31" i="58"/>
  <c r="R38" i="57"/>
  <c r="S38" i="57"/>
  <c r="P28" i="58"/>
  <c r="Q28" i="58"/>
  <c r="S28" i="57"/>
  <c r="R28" i="57"/>
  <c r="S34" i="57"/>
  <c r="R34" i="57"/>
  <c r="Q30" i="58"/>
  <c r="P30" i="58"/>
  <c r="P35" i="58"/>
  <c r="Q35" i="58"/>
  <c r="Q32" i="58"/>
  <c r="P32" i="58"/>
  <c r="S33" i="57"/>
  <c r="R33" i="57"/>
  <c r="T49" i="57"/>
  <c r="T44" i="57"/>
  <c r="R42" i="58"/>
  <c r="I14" i="57"/>
  <c r="Q14" i="57" s="1"/>
  <c r="Q26" i="57"/>
  <c r="I4" i="58"/>
  <c r="O4" i="58" s="1"/>
  <c r="O16" i="58"/>
  <c r="I4" i="57"/>
  <c r="Q4" i="57" s="1"/>
  <c r="Q16" i="57"/>
  <c r="Q22" i="57"/>
  <c r="I10" i="57"/>
  <c r="Q10" i="57" s="1"/>
  <c r="R50" i="58"/>
  <c r="I6" i="58"/>
  <c r="O6" i="58" s="1"/>
  <c r="O18" i="58"/>
  <c r="O23" i="58"/>
  <c r="I11" i="58"/>
  <c r="O11" i="58" s="1"/>
  <c r="I14" i="58"/>
  <c r="O14" i="58" s="1"/>
  <c r="O26" i="58"/>
  <c r="O25" i="58"/>
  <c r="I13" i="58"/>
  <c r="O13" i="58" s="1"/>
  <c r="Q34" i="58"/>
  <c r="P34" i="58"/>
  <c r="Q18" i="57"/>
  <c r="I6" i="57"/>
  <c r="Q6" i="57" s="1"/>
  <c r="I12" i="58"/>
  <c r="O12" i="58" s="1"/>
  <c r="O24" i="58"/>
  <c r="S35" i="57"/>
  <c r="R35" i="57"/>
  <c r="R41" i="58"/>
  <c r="T40" i="57"/>
  <c r="R43" i="58"/>
  <c r="I9" i="57"/>
  <c r="Q9" i="57" s="1"/>
  <c r="Q21" i="57"/>
  <c r="T42" i="57"/>
  <c r="Q33" i="58"/>
  <c r="P33" i="58"/>
  <c r="I5" i="57"/>
  <c r="Q5" i="57" s="1"/>
  <c r="Q17" i="57"/>
  <c r="Q19" i="57"/>
  <c r="I7" i="57"/>
  <c r="Q7" i="57" s="1"/>
  <c r="T45" i="57"/>
  <c r="S37" i="57"/>
  <c r="R37" i="57"/>
  <c r="S36" i="57"/>
  <c r="R36" i="57"/>
  <c r="P29" i="58"/>
  <c r="Q29" i="58"/>
  <c r="T47" i="57"/>
  <c r="O20" i="58"/>
  <c r="I8" i="58"/>
  <c r="O8" i="58" s="1"/>
  <c r="S32" i="57"/>
  <c r="R32" i="57"/>
  <c r="T43" i="57"/>
  <c r="R48" i="58"/>
  <c r="R44" i="58"/>
  <c r="O21" i="58"/>
  <c r="I9" i="58"/>
  <c r="O9" i="58" s="1"/>
  <c r="R47" i="58"/>
  <c r="S29" i="57"/>
  <c r="R29" i="57"/>
  <c r="I7" i="58"/>
  <c r="O7" i="58" s="1"/>
  <c r="O19" i="58"/>
  <c r="R45" i="58"/>
  <c r="R40" i="58"/>
  <c r="R31" i="57"/>
  <c r="S31" i="57"/>
  <c r="I13" i="57"/>
  <c r="Q13" i="57" s="1"/>
  <c r="Q25" i="57"/>
  <c r="I12" i="57"/>
  <c r="Q12" i="57" s="1"/>
  <c r="Q24" i="57"/>
  <c r="I5" i="58"/>
  <c r="O5" i="58" s="1"/>
  <c r="O17" i="58"/>
  <c r="I3" i="57"/>
  <c r="Q3" i="57" s="1"/>
  <c r="Q15" i="57"/>
  <c r="P27" i="58"/>
  <c r="P168" i="58"/>
  <c r="Q27" i="58"/>
  <c r="T39" i="57"/>
  <c r="R39" i="58"/>
  <c r="R27" i="57"/>
  <c r="S27" i="57"/>
  <c r="Q168" i="57"/>
  <c r="I3" i="58"/>
  <c r="O3" i="58" s="1"/>
  <c r="O15" i="58"/>
  <c r="H77" i="17"/>
  <c r="L151" i="46"/>
  <c r="J151" i="22"/>
  <c r="M151" i="22" s="1"/>
  <c r="N151" i="22" s="1"/>
  <c r="Q150" i="45"/>
  <c r="P150" i="45"/>
  <c r="E77" i="17"/>
  <c r="L151" i="45"/>
  <c r="O151" i="45" s="1"/>
  <c r="J151" i="37"/>
  <c r="M151" i="37" s="1"/>
  <c r="N150" i="37"/>
  <c r="O150" i="37"/>
  <c r="L152" i="59" l="1"/>
  <c r="O152" i="59" s="1"/>
  <c r="P152" i="59" s="1"/>
  <c r="P151" i="59"/>
  <c r="O151" i="46"/>
  <c r="P151" i="46" s="1"/>
  <c r="W82" i="17"/>
  <c r="L152" i="58"/>
  <c r="O152" i="58" s="1"/>
  <c r="P151" i="58"/>
  <c r="Q151" i="58"/>
  <c r="R168" i="58"/>
  <c r="R17" i="57"/>
  <c r="S17" i="57"/>
  <c r="Q24" i="58"/>
  <c r="P24" i="58"/>
  <c r="P26" i="58"/>
  <c r="Q26" i="58"/>
  <c r="Q18" i="58"/>
  <c r="P18" i="58"/>
  <c r="S10" i="57"/>
  <c r="R10" i="57"/>
  <c r="P16" i="58"/>
  <c r="Q16" i="58"/>
  <c r="T34" i="57"/>
  <c r="R31" i="58"/>
  <c r="R36" i="58"/>
  <c r="Q10" i="58"/>
  <c r="P10" i="58"/>
  <c r="P17" i="58"/>
  <c r="Q17" i="58"/>
  <c r="S25" i="57"/>
  <c r="R25" i="57"/>
  <c r="Q19" i="58"/>
  <c r="P19" i="58"/>
  <c r="T36" i="57"/>
  <c r="S5" i="57"/>
  <c r="R5" i="57"/>
  <c r="P12" i="58"/>
  <c r="Q12" i="58"/>
  <c r="R34" i="58"/>
  <c r="Q14" i="58"/>
  <c r="P14" i="58"/>
  <c r="Q6" i="58"/>
  <c r="P6" i="58"/>
  <c r="S22" i="57"/>
  <c r="R22" i="57"/>
  <c r="P4" i="58"/>
  <c r="Q4" i="58"/>
  <c r="R32" i="58"/>
  <c r="T38" i="57"/>
  <c r="R11" i="57"/>
  <c r="S11" i="57"/>
  <c r="T30" i="57"/>
  <c r="R37" i="58"/>
  <c r="R20" i="57"/>
  <c r="S20" i="57"/>
  <c r="R12" i="57"/>
  <c r="S12" i="57"/>
  <c r="P21" i="58"/>
  <c r="Q21" i="58"/>
  <c r="Q5" i="58"/>
  <c r="P5" i="58"/>
  <c r="S13" i="57"/>
  <c r="R13" i="57"/>
  <c r="Q7" i="58"/>
  <c r="P7" i="58"/>
  <c r="Q8" i="58"/>
  <c r="P8" i="58"/>
  <c r="R29" i="58"/>
  <c r="S7" i="57"/>
  <c r="R7" i="57"/>
  <c r="S21" i="57"/>
  <c r="R21" i="57"/>
  <c r="R6" i="57"/>
  <c r="S6" i="57"/>
  <c r="Q13" i="58"/>
  <c r="P13" i="58"/>
  <c r="Q11" i="58"/>
  <c r="P11" i="58"/>
  <c r="S16" i="57"/>
  <c r="R16" i="57"/>
  <c r="R26" i="57"/>
  <c r="S26" i="57"/>
  <c r="R30" i="58"/>
  <c r="T28" i="57"/>
  <c r="S23" i="57"/>
  <c r="R23" i="57"/>
  <c r="S8" i="57"/>
  <c r="R8" i="57"/>
  <c r="T29" i="57"/>
  <c r="T32" i="57"/>
  <c r="S168" i="57"/>
  <c r="S24" i="57"/>
  <c r="R24" i="57"/>
  <c r="T31" i="57"/>
  <c r="Q9" i="58"/>
  <c r="P9" i="58"/>
  <c r="P20" i="58"/>
  <c r="Q20" i="58"/>
  <c r="T37" i="57"/>
  <c r="R19" i="57"/>
  <c r="S19" i="57"/>
  <c r="R33" i="58"/>
  <c r="S9" i="57"/>
  <c r="R9" i="57"/>
  <c r="T35" i="57"/>
  <c r="S18" i="57"/>
  <c r="R18" i="57"/>
  <c r="Q25" i="58"/>
  <c r="P25" i="58"/>
  <c r="P23" i="58"/>
  <c r="Q23" i="58"/>
  <c r="R4" i="57"/>
  <c r="S4" i="57"/>
  <c r="R14" i="57"/>
  <c r="S14" i="57"/>
  <c r="T33" i="57"/>
  <c r="R35" i="58"/>
  <c r="R28" i="58"/>
  <c r="Q22" i="58"/>
  <c r="P22" i="58"/>
  <c r="R38" i="58"/>
  <c r="T27" i="57"/>
  <c r="P167" i="58"/>
  <c r="Q15" i="58"/>
  <c r="P15" i="58"/>
  <c r="S15" i="57"/>
  <c r="Q167" i="57"/>
  <c r="R15" i="57"/>
  <c r="Q3" i="58"/>
  <c r="P3" i="58"/>
  <c r="P166" i="58"/>
  <c r="R27" i="58"/>
  <c r="R3" i="57"/>
  <c r="S3" i="57"/>
  <c r="Q166" i="57"/>
  <c r="H78" i="17"/>
  <c r="J152" i="22"/>
  <c r="M152" i="22" s="1"/>
  <c r="N152" i="22" s="1"/>
  <c r="L152" i="46"/>
  <c r="P151" i="45"/>
  <c r="Q151" i="45"/>
  <c r="N151" i="37"/>
  <c r="O151" i="37"/>
  <c r="E78" i="17"/>
  <c r="L152" i="45"/>
  <c r="O152" i="45" s="1"/>
  <c r="J152" i="37"/>
  <c r="M152" i="37" s="1"/>
  <c r="L153" i="59" l="1"/>
  <c r="O153" i="59" s="1"/>
  <c r="O152" i="46"/>
  <c r="P152" i="46" s="1"/>
  <c r="W83" i="17"/>
  <c r="L153" i="58"/>
  <c r="O153" i="58" s="1"/>
  <c r="Q152" i="58"/>
  <c r="P152" i="58"/>
  <c r="S167" i="57"/>
  <c r="S166" i="57"/>
  <c r="R166" i="58"/>
  <c r="T12" i="57"/>
  <c r="T11" i="57"/>
  <c r="R12" i="58"/>
  <c r="R16" i="58"/>
  <c r="T14" i="57"/>
  <c r="R23" i="58"/>
  <c r="T19" i="57"/>
  <c r="R20" i="58"/>
  <c r="R167" i="58"/>
  <c r="R22" i="58"/>
  <c r="T18" i="57"/>
  <c r="T9" i="57"/>
  <c r="T23" i="57"/>
  <c r="T16" i="57"/>
  <c r="R13" i="58"/>
  <c r="T21" i="57"/>
  <c r="R7" i="58"/>
  <c r="R5" i="58"/>
  <c r="T22" i="57"/>
  <c r="R14" i="58"/>
  <c r="T25" i="57"/>
  <c r="R10" i="58"/>
  <c r="R18" i="58"/>
  <c r="R24" i="58"/>
  <c r="T26" i="57"/>
  <c r="T6" i="57"/>
  <c r="R21" i="58"/>
  <c r="T20" i="57"/>
  <c r="R4" i="58"/>
  <c r="R17" i="58"/>
  <c r="R26" i="58"/>
  <c r="T17" i="57"/>
  <c r="T4" i="57"/>
  <c r="R25" i="58"/>
  <c r="R9" i="58"/>
  <c r="T24" i="57"/>
  <c r="T8" i="57"/>
  <c r="R11" i="58"/>
  <c r="T7" i="57"/>
  <c r="R8" i="58"/>
  <c r="T13" i="57"/>
  <c r="R6" i="58"/>
  <c r="T5" i="57"/>
  <c r="R19" i="58"/>
  <c r="T10" i="57"/>
  <c r="R15" i="58"/>
  <c r="T3" i="57"/>
  <c r="T15" i="57"/>
  <c r="R3" i="58"/>
  <c r="H79" i="17"/>
  <c r="L153" i="46"/>
  <c r="O153" i="46" s="1"/>
  <c r="J153" i="22"/>
  <c r="M153" i="22" s="1"/>
  <c r="N152" i="37"/>
  <c r="O152" i="37"/>
  <c r="P152" i="45"/>
  <c r="Q152" i="45"/>
  <c r="E79" i="17"/>
  <c r="L153" i="45"/>
  <c r="O153" i="45" s="1"/>
  <c r="J153" i="37"/>
  <c r="M153" i="37" s="1"/>
  <c r="L154" i="59" l="1"/>
  <c r="O154" i="59" s="1"/>
  <c r="P154" i="59" s="1"/>
  <c r="P153" i="59"/>
  <c r="W33" i="17"/>
  <c r="W41" i="17" s="1"/>
  <c r="P153" i="58"/>
  <c r="Q153" i="58"/>
  <c r="L154" i="58"/>
  <c r="O154" i="58" s="1"/>
  <c r="N153" i="22"/>
  <c r="P153" i="46"/>
  <c r="H80" i="17"/>
  <c r="L154" i="46"/>
  <c r="J154" i="22"/>
  <c r="M154" i="22" s="1"/>
  <c r="N154" i="22" s="1"/>
  <c r="E80" i="17"/>
  <c r="L154" i="45"/>
  <c r="O154" i="45" s="1"/>
  <c r="J154" i="37"/>
  <c r="M154" i="37" s="1"/>
  <c r="Q153" i="45"/>
  <c r="P153" i="45"/>
  <c r="N153" i="37"/>
  <c r="O153" i="37"/>
  <c r="L155" i="59" l="1"/>
  <c r="O155" i="59" s="1"/>
  <c r="O154" i="46"/>
  <c r="P154" i="46" s="1"/>
  <c r="X41" i="17"/>
  <c r="O44" i="11"/>
  <c r="J18" i="9"/>
  <c r="W37" i="17"/>
  <c r="P154" i="58"/>
  <c r="Q154" i="58"/>
  <c r="L155" i="58"/>
  <c r="O155" i="58" s="1"/>
  <c r="H81" i="17"/>
  <c r="L155" i="46"/>
  <c r="J155" i="22"/>
  <c r="M155" i="22" s="1"/>
  <c r="N155" i="22" s="1"/>
  <c r="N154" i="37"/>
  <c r="O154" i="37"/>
  <c r="Q154" i="45"/>
  <c r="P154" i="45"/>
  <c r="E81" i="17"/>
  <c r="L155" i="45"/>
  <c r="O155" i="45" s="1"/>
  <c r="J155" i="37"/>
  <c r="M155" i="37" s="1"/>
  <c r="L156" i="59" l="1"/>
  <c r="O156" i="59" s="1"/>
  <c r="P156" i="59" s="1"/>
  <c r="P155" i="59"/>
  <c r="O155" i="46"/>
  <c r="P155" i="46" s="1"/>
  <c r="J23" i="9"/>
  <c r="P155" i="58"/>
  <c r="Q155" i="58"/>
  <c r="L156" i="58"/>
  <c r="O156" i="58" s="1"/>
  <c r="H82" i="17"/>
  <c r="J156" i="22"/>
  <c r="M156" i="22" s="1"/>
  <c r="N156" i="22" s="1"/>
  <c r="L156" i="46"/>
  <c r="N155" i="37"/>
  <c r="O155" i="37"/>
  <c r="Q155" i="45"/>
  <c r="P155" i="45"/>
  <c r="E82" i="17"/>
  <c r="L156" i="45"/>
  <c r="O156" i="45" s="1"/>
  <c r="J156" i="37"/>
  <c r="M156" i="37" s="1"/>
  <c r="L157" i="59" l="1"/>
  <c r="O157" i="59" s="1"/>
  <c r="P157" i="59" s="1"/>
  <c r="O156" i="46"/>
  <c r="P156" i="46" s="1"/>
  <c r="O45" i="11"/>
  <c r="L157" i="58"/>
  <c r="O157" i="58" s="1"/>
  <c r="P156" i="58"/>
  <c r="Q156" i="58"/>
  <c r="H83" i="17"/>
  <c r="L157" i="46"/>
  <c r="J157" i="22"/>
  <c r="M157" i="22" s="1"/>
  <c r="N157" i="22" s="1"/>
  <c r="O156" i="37"/>
  <c r="N156" i="37"/>
  <c r="E83" i="17"/>
  <c r="L157" i="45"/>
  <c r="O157" i="45" s="1"/>
  <c r="J157" i="37"/>
  <c r="M157" i="37" s="1"/>
  <c r="Q156" i="45"/>
  <c r="P156" i="45"/>
  <c r="L158" i="59" l="1"/>
  <c r="O158" i="59" s="1"/>
  <c r="O157" i="46"/>
  <c r="P157" i="46" s="1"/>
  <c r="D25" i="49"/>
  <c r="E25" i="49" s="1"/>
  <c r="AH10" i="49" s="1"/>
  <c r="AH31" i="49" s="1"/>
  <c r="Q157" i="58"/>
  <c r="P157" i="58"/>
  <c r="L158" i="58"/>
  <c r="O158" i="58" s="1"/>
  <c r="L158" i="46"/>
  <c r="O158" i="46" s="1"/>
  <c r="J158" i="22"/>
  <c r="M158" i="22" s="1"/>
  <c r="H33" i="17"/>
  <c r="H41" i="17" s="1"/>
  <c r="P157" i="45"/>
  <c r="Q157" i="45"/>
  <c r="L158" i="45"/>
  <c r="O158" i="45" s="1"/>
  <c r="J158" i="37"/>
  <c r="M158" i="37" s="1"/>
  <c r="E33" i="17"/>
  <c r="E41" i="17" s="1"/>
  <c r="N157" i="37"/>
  <c r="O157" i="37"/>
  <c r="P158" i="59" l="1"/>
  <c r="S179" i="59" s="1"/>
  <c r="O164" i="59"/>
  <c r="Q179" i="59" s="1"/>
  <c r="AH44" i="49"/>
  <c r="AH24" i="49"/>
  <c r="AH32" i="49"/>
  <c r="AH18" i="49"/>
  <c r="AH13" i="49"/>
  <c r="AH15" i="49"/>
  <c r="AH37" i="49"/>
  <c r="AH45" i="49"/>
  <c r="AH33" i="49"/>
  <c r="AH14" i="49"/>
  <c r="AH20" i="49"/>
  <c r="AH42" i="49"/>
  <c r="AH23" i="49"/>
  <c r="AH43" i="49"/>
  <c r="AH38" i="49"/>
  <c r="AH25" i="49"/>
  <c r="AH39" i="49"/>
  <c r="AH36" i="49"/>
  <c r="AH19" i="49"/>
  <c r="AH30" i="49"/>
  <c r="Q158" i="58"/>
  <c r="P158" i="58"/>
  <c r="P178" i="58"/>
  <c r="H37" i="17"/>
  <c r="O19" i="11"/>
  <c r="I41" i="17"/>
  <c r="N158" i="22"/>
  <c r="P158" i="46"/>
  <c r="O164" i="46"/>
  <c r="N158" i="37"/>
  <c r="O158" i="37"/>
  <c r="Q158" i="45"/>
  <c r="P158" i="45"/>
  <c r="P178" i="45"/>
  <c r="E37" i="17"/>
  <c r="Z41" i="17"/>
  <c r="O15" i="11"/>
  <c r="F41" i="17"/>
  <c r="R178" i="58" l="1"/>
  <c r="O53" i="11"/>
  <c r="Q178" i="22"/>
  <c r="Q179" i="22"/>
  <c r="Q178" i="46"/>
  <c r="Q179" i="46"/>
  <c r="S178" i="46"/>
  <c r="S179" i="46"/>
  <c r="O178" i="22"/>
  <c r="O179" i="22"/>
  <c r="O48" i="11"/>
  <c r="O63" i="11"/>
  <c r="O64" i="11" s="1"/>
  <c r="R166" i="45"/>
  <c r="R177" i="45"/>
  <c r="R178" i="45"/>
  <c r="E18" i="9" l="1"/>
  <c r="E39" i="9" s="1"/>
  <c r="E17" i="9"/>
  <c r="O59" i="11"/>
  <c r="B13" i="18" l="1"/>
  <c r="G13" i="18" s="1"/>
  <c r="E23" i="9"/>
  <c r="E38" i="9"/>
  <c r="E22" i="9"/>
  <c r="B14" i="18"/>
  <c r="G14" i="18" s="1"/>
  <c r="U179" i="59" l="1"/>
  <c r="U178" i="59"/>
  <c r="O20" i="11"/>
  <c r="B18" i="18"/>
  <c r="N20" i="11"/>
  <c r="B17" i="18"/>
  <c r="G17" i="18" l="1"/>
  <c r="D20" i="49"/>
  <c r="E20" i="49" s="1"/>
  <c r="AB10" i="49" s="1"/>
  <c r="AB30" i="49" s="1"/>
  <c r="O21" i="11"/>
  <c r="G18" i="18"/>
  <c r="N21" i="11"/>
  <c r="O55" i="11" l="1"/>
  <c r="N55" i="11"/>
  <c r="AB18" i="49"/>
  <c r="AB23" i="49"/>
  <c r="AB31" i="49"/>
  <c r="AB37" i="49"/>
  <c r="AB43" i="49"/>
  <c r="AB39" i="49"/>
  <c r="AB14" i="49"/>
  <c r="AB42" i="49"/>
  <c r="AB38" i="49"/>
  <c r="AB45" i="49"/>
  <c r="AB25" i="49"/>
  <c r="AB44" i="49"/>
  <c r="O50" i="11"/>
  <c r="AB33" i="49"/>
  <c r="AB36" i="49"/>
  <c r="AB13" i="49"/>
  <c r="AB19" i="49"/>
  <c r="AB32" i="49"/>
  <c r="AB24" i="49"/>
  <c r="AB20" i="49"/>
  <c r="AB15" i="49"/>
  <c r="N50" i="11"/>
  <c r="O20" i="37"/>
  <c r="P20" i="37" s="1"/>
  <c r="O13" i="37"/>
  <c r="P13" i="37" s="1"/>
  <c r="O12" i="37"/>
  <c r="O17" i="37"/>
  <c r="O6" i="37"/>
  <c r="O15" i="37"/>
  <c r="O9" i="37"/>
  <c r="O16" i="37"/>
  <c r="P16" i="37" s="1"/>
  <c r="O18" i="37"/>
  <c r="P18" i="37" s="1"/>
  <c r="O14" i="37"/>
  <c r="O10" i="37"/>
  <c r="O7" i="37"/>
  <c r="P7" i="37" s="1"/>
  <c r="O5" i="37"/>
  <c r="P5" i="37" s="1"/>
  <c r="O4" i="37"/>
  <c r="P4" i="37" s="1"/>
  <c r="O11" i="37"/>
  <c r="O19" i="37"/>
  <c r="P19" i="37" s="1"/>
  <c r="O8" i="37"/>
  <c r="O61" i="11" l="1"/>
  <c r="N61" i="11"/>
  <c r="P11" i="37"/>
  <c r="P10" i="37"/>
  <c r="P9" i="37"/>
  <c r="P12" i="37"/>
  <c r="P14" i="37"/>
  <c r="P15" i="37"/>
  <c r="P8" i="37"/>
  <c r="P6" i="37"/>
  <c r="P17" i="37"/>
  <c r="M163" i="37"/>
  <c r="O24" i="37"/>
  <c r="O23" i="37"/>
  <c r="P23" i="37" s="1"/>
  <c r="O22" i="37"/>
  <c r="O25" i="37"/>
  <c r="P25" i="37" s="1"/>
  <c r="O21" i="37"/>
  <c r="P21" i="37" s="1"/>
  <c r="N177" i="37" l="1"/>
  <c r="N178" i="37"/>
  <c r="P22" i="37"/>
  <c r="P24" i="37"/>
  <c r="P159" i="37" l="1"/>
  <c r="P177" i="37"/>
  <c r="P178" i="37"/>
  <c r="D18" i="9" l="1"/>
  <c r="B18" i="9" s="1"/>
  <c r="D17" i="9"/>
  <c r="D22" i="9" s="1"/>
  <c r="T178" i="58" l="1"/>
  <c r="D23" i="9"/>
  <c r="D39" i="9"/>
  <c r="B17" i="9"/>
  <c r="D38" i="9"/>
  <c r="B22" i="9"/>
  <c r="N16" i="11"/>
  <c r="B23" i="9" l="1"/>
  <c r="O16" i="11"/>
  <c r="N54" i="11"/>
  <c r="N7" i="11"/>
  <c r="N49" i="11"/>
  <c r="D19" i="49" l="1"/>
  <c r="E19" i="49" s="1"/>
  <c r="AA10" i="49" s="1"/>
  <c r="O7" i="11"/>
  <c r="O54" i="11"/>
  <c r="O49" i="11"/>
  <c r="N60" i="11"/>
  <c r="D26" i="49" l="1"/>
  <c r="E26" i="49" s="1"/>
  <c r="AA38" i="49"/>
  <c r="AA42" i="49"/>
  <c r="AA33" i="49"/>
  <c r="AA24" i="49"/>
  <c r="AA36" i="49"/>
  <c r="AA30" i="49"/>
  <c r="AA44" i="49"/>
  <c r="AA25" i="49"/>
  <c r="AA15" i="49"/>
  <c r="AA20" i="49"/>
  <c r="AA18" i="49"/>
  <c r="AA31" i="49"/>
  <c r="AA43" i="49"/>
  <c r="AA45" i="49"/>
  <c r="AA32" i="49"/>
  <c r="AA37" i="49"/>
  <c r="AA23" i="49"/>
  <c r="AA13" i="49"/>
  <c r="AA39" i="49"/>
  <c r="AA19" i="49"/>
  <c r="AA14" i="49"/>
  <c r="O60" i="11"/>
  <c r="Y13" i="49" l="1"/>
  <c r="Y45" i="49"/>
  <c r="Y20" i="49"/>
  <c r="Y30" i="49"/>
  <c r="Y42" i="49"/>
  <c r="Y14" i="49"/>
  <c r="Y23" i="49"/>
  <c r="Y43" i="49"/>
  <c r="Y15" i="49"/>
  <c r="Y36" i="49"/>
  <c r="Y38" i="49"/>
  <c r="Y39" i="49"/>
  <c r="Y32" i="49"/>
  <c r="Y18" i="49"/>
  <c r="Y44" i="49"/>
  <c r="Y33" i="49"/>
  <c r="Y19" i="49"/>
  <c r="Y37" i="49"/>
  <c r="Y31" i="49"/>
  <c r="Y25" i="49"/>
  <c r="Y24" i="49"/>
</calcChain>
</file>

<file path=xl/sharedStrings.xml><?xml version="1.0" encoding="utf-8"?>
<sst xmlns="http://schemas.openxmlformats.org/spreadsheetml/2006/main" count="1790" uniqueCount="357">
  <si>
    <t>Date</t>
  </si>
  <si>
    <t>Year</t>
  </si>
  <si>
    <t>Month</t>
  </si>
  <si>
    <t>Residential_kWh</t>
  </si>
  <si>
    <t>Res_CDM</t>
  </si>
  <si>
    <t>Res_NoCDM</t>
  </si>
  <si>
    <t>GSlt50_kWh</t>
  </si>
  <si>
    <t>GSlt50_CDM</t>
  </si>
  <si>
    <t>GSlt50_NoCDM</t>
  </si>
  <si>
    <t>GS50to999_kWh</t>
  </si>
  <si>
    <t>GS50to999_CDM</t>
  </si>
  <si>
    <t>GS50to999_NoCDM</t>
  </si>
  <si>
    <t>GS1,000to4,999_kWh</t>
  </si>
  <si>
    <t>GS1,000to4,999_CDM</t>
  </si>
  <si>
    <t>GS1,000to4,999_NoCDM</t>
  </si>
  <si>
    <t>LargeUser_kWh</t>
  </si>
  <si>
    <t>LargeUser_CDM</t>
  </si>
  <si>
    <t>LargeUser_NoCDM</t>
  </si>
  <si>
    <t>USL_kWh</t>
  </si>
  <si>
    <t>Sentinel_kWh</t>
  </si>
  <si>
    <t>Streetlighting_kWh</t>
  </si>
  <si>
    <t>GS50to999_kW</t>
  </si>
  <si>
    <t>GS1,000to4,999_kW</t>
  </si>
  <si>
    <t>LargeUser_kW</t>
  </si>
  <si>
    <t>Streetlighting_kW</t>
  </si>
  <si>
    <t>Sentinel_kW</t>
  </si>
  <si>
    <t>Residential_count</t>
  </si>
  <si>
    <t>GSlt50_count</t>
  </si>
  <si>
    <t>GS50to999_count</t>
  </si>
  <si>
    <t>GS1,000to4,999_count</t>
  </si>
  <si>
    <t>LargeUser_count</t>
  </si>
  <si>
    <t>Streetlighting_count</t>
  </si>
  <si>
    <t>Sentinel_count</t>
  </si>
  <si>
    <t>USL_count</t>
  </si>
  <si>
    <t>MonthDays</t>
  </si>
  <si>
    <t>PeakDays</t>
  </si>
  <si>
    <t>Trend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</si>
  <si>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</si>
  <si>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</si>
  <si>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</si>
  <si>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</si>
  <si>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</si>
  <si>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</si>
  <si>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</si>
  <si>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</si>
  <si>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</si>
  <si>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</si>
  <si>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</si>
  <si>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</si>
  <si>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Spring</t>
  </si>
  <si>
    <t>Fall</t>
  </si>
  <si>
    <t>Shoulder</t>
  </si>
  <si>
    <t>COVID</t>
  </si>
  <si>
    <t>COVID_AM</t>
  </si>
  <si>
    <t>ResPerCustomer</t>
  </si>
  <si>
    <t>GSltPerCustomer</t>
  </si>
  <si>
    <t>GSgtPerCustomer</t>
  </si>
  <si>
    <t>Residential</t>
  </si>
  <si>
    <t>GS&lt;50 kW</t>
  </si>
  <si>
    <t>GS 50 to 999 kW</t>
  </si>
  <si>
    <t>GS 1,000 to 4,999 kW</t>
  </si>
  <si>
    <t>Large Use</t>
  </si>
  <si>
    <t>Streetlights</t>
  </si>
  <si>
    <t>Total</t>
  </si>
  <si>
    <t>2021-2024 framework</t>
  </si>
  <si>
    <t>In year energy savings (GWh)</t>
  </si>
  <si>
    <t>Cumulative savings (annualized)</t>
  </si>
  <si>
    <t>Average 2023-2027</t>
  </si>
  <si>
    <t>Retrofit</t>
  </si>
  <si>
    <t>Small Business</t>
  </si>
  <si>
    <t>Energy Performance Program</t>
  </si>
  <si>
    <t>Energy Management</t>
  </si>
  <si>
    <t>Customer Solutions</t>
  </si>
  <si>
    <t>Local Initiatives</t>
  </si>
  <si>
    <t>Energy Affordability Program</t>
  </si>
  <si>
    <t>First Nations Program</t>
  </si>
  <si>
    <t xml:space="preserve">Source: </t>
  </si>
  <si>
    <t>2021-2024 Conservation and Demand Management Framework Program Plan, 2021-01-04</t>
  </si>
  <si>
    <t>Reports says these values will persist until 2026</t>
  </si>
  <si>
    <t>2025-2027 framework</t>
  </si>
  <si>
    <t>Growth relative to 2024</t>
  </si>
  <si>
    <t>Growth rates based on Achievable Potential</t>
  </si>
  <si>
    <t>Province (GWh)</t>
  </si>
  <si>
    <t>Milton Hydro Allocation</t>
  </si>
  <si>
    <t>Milton Hydro (kWh)</t>
  </si>
  <si>
    <t>GS&lt;50</t>
  </si>
  <si>
    <t>GS 50-999</t>
  </si>
  <si>
    <t>GS&gt;=1000</t>
  </si>
  <si>
    <t>Large</t>
  </si>
  <si>
    <t>Demographics</t>
  </si>
  <si>
    <t>OntarioGDP</t>
  </si>
  <si>
    <t>OntarioFTEAdj</t>
  </si>
  <si>
    <t>OntarioFTE</t>
  </si>
  <si>
    <t>TorontoFTEAdj</t>
  </si>
  <si>
    <t>TorontoFTE</t>
  </si>
  <si>
    <t>HamiltonFTEAdj</t>
  </si>
  <si>
    <t>HamiltonFTE</t>
  </si>
  <si>
    <t>TD</t>
  </si>
  <si>
    <t>BMO</t>
  </si>
  <si>
    <t>Scotia</t>
  </si>
  <si>
    <t>RBC</t>
  </si>
  <si>
    <t>CIBC</t>
  </si>
  <si>
    <t>Average Used</t>
  </si>
  <si>
    <t>Average</t>
  </si>
  <si>
    <t>GDP</t>
  </si>
  <si>
    <t>FTE</t>
  </si>
  <si>
    <t>Avg. Temp</t>
  </si>
  <si>
    <t>HDD22</t>
  </si>
  <si>
    <t>CDD22</t>
  </si>
  <si>
    <t>HDD20</t>
  </si>
  <si>
    <t>CDD20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</si>
  <si>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</si>
  <si>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</si>
  <si>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</si>
  <si>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</si>
  <si>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</si>
  <si>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</si>
  <si>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</si>
  <si>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</si>
  <si>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HDD10</t>
  </si>
  <si>
    <t>CDD10</t>
  </si>
  <si>
    <t>HDD8</t>
  </si>
  <si>
    <t>CDD8</t>
  </si>
  <si>
    <t>Res</t>
  </si>
  <si>
    <t>GS&gt;50</t>
  </si>
  <si>
    <t>Predicted Res</t>
  </si>
  <si>
    <t>Predicted GS&lt;50</t>
  </si>
  <si>
    <t>Predicted GS&gt;50</t>
  </si>
  <si>
    <t>June</t>
  </si>
  <si>
    <t>July</t>
  </si>
  <si>
    <t>August</t>
  </si>
  <si>
    <t>Sept</t>
  </si>
  <si>
    <t>Model 11: Prais-Winsten, using observations 2011:01-2021:05 (T = 125)</t>
  </si>
  <si>
    <t>Dependent variable: Residential_kWh</t>
  </si>
  <si>
    <t>rho = 0.55064</t>
  </si>
  <si>
    <t>coefficient</t>
  </si>
  <si>
    <t>std. error</t>
  </si>
  <si>
    <t>t-ratio</t>
  </si>
  <si>
    <t>p-value</t>
  </si>
  <si>
    <t>const</t>
  </si>
  <si>
    <t>Statistics based on the rho-differenced data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</si>
  <si>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</si>
  <si>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</si>
  <si>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</si>
  <si>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</si>
  <si>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</si>
  <si>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</si>
  <si>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F(2, 122)</t>
  </si>
  <si>
    <t>P-value(F)</t>
  </si>
  <si>
    <t>rho</t>
  </si>
  <si>
    <t>Durbin-Watson</t>
  </si>
  <si>
    <t>Model 2: Prais-Winsten, using observations 2011:01-2021:05 (T = 125)</t>
  </si>
  <si>
    <t>Dependent variable: GSlt50_kWh</t>
  </si>
  <si>
    <t>10-year</t>
  </si>
  <si>
    <t>rho = 0.0561848</t>
  </si>
  <si>
    <t>Model 3: Prais-Winsten, using observations 2011:01-2021:05 (T = 125)</t>
  </si>
  <si>
    <t>Dependent variable: GS50to999_kWh</t>
  </si>
  <si>
    <t>rho = 0.665006</t>
  </si>
  <si>
    <t>10 Year Average</t>
  </si>
  <si>
    <t>20 Year Trend (2023)</t>
  </si>
  <si>
    <t>Toronto Pearson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</si>
  <si>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</si>
  <si>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</si>
  <si>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</si>
  <si>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</si>
  <si>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</si>
  <si>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</si>
  <si>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</si>
  <si>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</si>
  <si>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20 Year Trend (2022)</t>
  </si>
  <si>
    <t>Milton Hydro Weather Normal Customer Class Load Forecast for 2023 Rate Application</t>
  </si>
  <si>
    <t>Description</t>
  </si>
  <si>
    <t xml:space="preserve">2011 Actual </t>
  </si>
  <si>
    <t xml:space="preserve">2012 Actual </t>
  </si>
  <si>
    <t xml:space="preserve">2013 Actual </t>
  </si>
  <si>
    <t xml:space="preserve">2014 Actual </t>
  </si>
  <si>
    <t xml:space="preserve">2015 Actual </t>
  </si>
  <si>
    <t xml:space="preserve">2016 Actual </t>
  </si>
  <si>
    <t xml:space="preserve">2017 Actual </t>
  </si>
  <si>
    <t xml:space="preserve">2018 Actual </t>
  </si>
  <si>
    <t xml:space="preserve">2019 Actual </t>
  </si>
  <si>
    <t xml:space="preserve">2020 Actual </t>
  </si>
  <si>
    <t xml:space="preserve">2021 Actual </t>
  </si>
  <si>
    <t>2022 Bridge Year</t>
  </si>
  <si>
    <t>2023 Test Year</t>
  </si>
  <si>
    <t>Actual kWh Purchases</t>
  </si>
  <si>
    <t>Predicted kWh Purchases</t>
  </si>
  <si>
    <t>% Difference</t>
  </si>
  <si>
    <t>Total kWh</t>
  </si>
  <si>
    <t>By Class</t>
  </si>
  <si>
    <t xml:space="preserve">  Customers</t>
  </si>
  <si>
    <t xml:space="preserve">  kWh</t>
  </si>
  <si>
    <t xml:space="preserve">  kW</t>
  </si>
  <si>
    <t>General Service 1000 to 4999 kW</t>
  </si>
  <si>
    <t xml:space="preserve">  Connections</t>
  </si>
  <si>
    <t>Total of Above</t>
  </si>
  <si>
    <t xml:space="preserve">  Customer/Connections</t>
  </si>
  <si>
    <t xml:space="preserve">  kW from applicable classes</t>
  </si>
  <si>
    <t>Total from Model</t>
  </si>
  <si>
    <t>Check should all be zero</t>
  </si>
  <si>
    <t>Metered Customers</t>
  </si>
  <si>
    <t>Large User</t>
  </si>
  <si>
    <t>Sentinel Lights</t>
  </si>
  <si>
    <t>Customers</t>
  </si>
  <si>
    <t>Connections</t>
  </si>
  <si>
    <t>Class</t>
  </si>
  <si>
    <t>2004 Weather Normal Values used in Information Filing (kWh)</t>
  </si>
  <si>
    <t>2016 Weather Normal Values (kWh)</t>
  </si>
  <si>
    <t>Scaling Factor</t>
  </si>
  <si>
    <t>Customer Classes</t>
  </si>
  <si>
    <t>GS &lt;50</t>
  </si>
  <si>
    <t>GS&gt; 50-TOU</t>
  </si>
  <si>
    <t>Large Use &gt;5MW</t>
  </si>
  <si>
    <t>Street Light</t>
  </si>
  <si>
    <t>Sentinel</t>
  </si>
  <si>
    <t>Unmetered Scattered Load</t>
  </si>
  <si>
    <t>171.4%</t>
  </si>
  <si>
    <t>General Service &lt; 50 kW</t>
  </si>
  <si>
    <t>146.1%</t>
  </si>
  <si>
    <t>General Service 50 to 999 kW</t>
  </si>
  <si>
    <t>124.6%</t>
  </si>
  <si>
    <t>General Service 1000 to  4999 kW</t>
  </si>
  <si>
    <t>92.2%</t>
  </si>
  <si>
    <t>CO-INCIDENT PEAK</t>
  </si>
  <si>
    <t>157.3%</t>
  </si>
  <si>
    <t>Street Lighting</t>
  </si>
  <si>
    <t>149.0%</t>
  </si>
  <si>
    <t>1 CP</t>
  </si>
  <si>
    <t>Sentinel Lighting</t>
  </si>
  <si>
    <t>73.7%</t>
  </si>
  <si>
    <t>Transformation CP</t>
  </si>
  <si>
    <t>TCP1</t>
  </si>
  <si>
    <t>Unmetered/Scattered Load</t>
  </si>
  <si>
    <t>116.3%</t>
  </si>
  <si>
    <t>Bulk Delivery CP</t>
  </si>
  <si>
    <t>BCP1</t>
  </si>
  <si>
    <t>138.8%</t>
  </si>
  <si>
    <t xml:space="preserve">Total Sytem CP </t>
  </si>
  <si>
    <t>DCP1</t>
  </si>
  <si>
    <t>2023 Weather Normal Values (kWh)</t>
  </si>
  <si>
    <t>4 CP</t>
  </si>
  <si>
    <t>TCP4</t>
  </si>
  <si>
    <t>BCP4</t>
  </si>
  <si>
    <t>DCP4</t>
  </si>
  <si>
    <t>12 CP</t>
  </si>
  <si>
    <t>TCP12</t>
  </si>
  <si>
    <t>BCP12</t>
  </si>
  <si>
    <t>DCP12</t>
  </si>
  <si>
    <t>NON CO_INCIDENT PEAK</t>
  </si>
  <si>
    <t>1 NCP</t>
  </si>
  <si>
    <t>Classification NCP from 
 Load Data Provider</t>
  </si>
  <si>
    <t>DNCP1</t>
  </si>
  <si>
    <t>Primary NCP</t>
  </si>
  <si>
    <t>PNCP1</t>
  </si>
  <si>
    <t xml:space="preserve"> Line Transformer NCP</t>
  </si>
  <si>
    <t>LTNCP1</t>
  </si>
  <si>
    <t>Secondary NCP</t>
  </si>
  <si>
    <t>SNCP1</t>
  </si>
  <si>
    <t>4 NCP</t>
  </si>
  <si>
    <t>DNCP4</t>
  </si>
  <si>
    <t>PNCP4</t>
  </si>
  <si>
    <t>LTNCP4</t>
  </si>
  <si>
    <t>SNCP4</t>
  </si>
  <si>
    <t>12 NCP</t>
  </si>
  <si>
    <t>DNCP12</t>
  </si>
  <si>
    <t>PNCP12</t>
  </si>
  <si>
    <t>LTNCP12</t>
  </si>
  <si>
    <t>SNCP12</t>
  </si>
  <si>
    <t>Residential forecast</t>
  </si>
  <si>
    <t>Used</t>
  </si>
  <si>
    <t>CDM</t>
  </si>
  <si>
    <t>Used + CDM</t>
  </si>
  <si>
    <t>Number of Days in Month</t>
  </si>
  <si>
    <t>Spring Fall Flag</t>
  </si>
  <si>
    <t>Number of Customers</t>
  </si>
  <si>
    <t>Predicted Consumption + CDM</t>
  </si>
  <si>
    <t>Predicted Consumption</t>
  </si>
  <si>
    <t>Variances (kWh)</t>
  </si>
  <si>
    <t>% Variance</t>
  </si>
  <si>
    <t>SUMMARY OUTPUT</t>
  </si>
  <si>
    <t>Model 47: Prais-Winsten, using observations 2011:01-2021:12 (T = 132)</t>
  </si>
  <si>
    <t>Dependent variable: Res_NoCDM</t>
  </si>
  <si>
    <t>rho = -0.082067</t>
  </si>
  <si>
    <t>COVIDHDD16</t>
  </si>
  <si>
    <t>COVIDCDD16</t>
  </si>
  <si>
    <t>F(8, 123)</t>
  </si>
  <si>
    <t>10 Yr Avge</t>
  </si>
  <si>
    <t>Weather Normal</t>
  </si>
  <si>
    <t>Purchases</t>
  </si>
  <si>
    <t>Predicted + CDM</t>
  </si>
  <si>
    <t>Predicted</t>
  </si>
  <si>
    <t>Fall Flag</t>
  </si>
  <si>
    <t>Model 26: Prais-Winsten, using observations 2011:01-2021:12 (T = 132)</t>
  </si>
  <si>
    <t>Dependent variable: GSlt50_NoCDM</t>
  </si>
  <si>
    <t>rho = -0.0967591</t>
  </si>
  <si>
    <t>F(6, 125)</t>
  </si>
  <si>
    <t>General Service &gt; 50 - 999 kW</t>
  </si>
  <si>
    <t>Model 34: Prais-Winsten, using observations 2011:01-2021:12 (T = 132)</t>
  </si>
  <si>
    <t>Dependent variable: GS50to999_NoCDM</t>
  </si>
  <si>
    <t>rho = 0.294698</t>
  </si>
  <si>
    <t>Total to 2016</t>
  </si>
  <si>
    <t>Actual and Modeled Used</t>
  </si>
  <si>
    <t xml:space="preserve">Residential </t>
  </si>
  <si>
    <r>
      <t xml:space="preserve">General Service </t>
    </r>
    <r>
      <rPr>
        <b/>
        <u/>
        <sz val="10"/>
        <rFont val="Arial"/>
        <family val="2"/>
      </rPr>
      <t>&lt; 50 kW</t>
    </r>
  </si>
  <si>
    <r>
      <t xml:space="preserve">General Service </t>
    </r>
    <r>
      <rPr>
        <b/>
        <u/>
        <sz val="10"/>
        <rFont val="Arial"/>
        <family val="2"/>
      </rPr>
      <t xml:space="preserve"> 50 to 999 kW</t>
    </r>
  </si>
  <si>
    <r>
      <t xml:space="preserve">General Service </t>
    </r>
    <r>
      <rPr>
        <b/>
        <u/>
        <sz val="10"/>
        <rFont val="Arial"/>
        <family val="2"/>
      </rPr>
      <t>1000 to 4999 kW</t>
    </r>
  </si>
  <si>
    <t xml:space="preserve">Streetlights </t>
  </si>
  <si>
    <t xml:space="preserve">Unmetered Loads </t>
  </si>
  <si>
    <t>CDM Adjustment</t>
  </si>
  <si>
    <t>CDM-Adjusted Forecast</t>
  </si>
  <si>
    <t>Average Usage Per Customer</t>
  </si>
  <si>
    <t>Total Metered</t>
  </si>
  <si>
    <t>% Growth</t>
  </si>
  <si>
    <t>Growth Study</t>
  </si>
  <si>
    <t>2012-2020 Geomean
From Dec 2021</t>
  </si>
  <si>
    <t>Constant from Dec 21</t>
  </si>
  <si>
    <t>Constant from 2014-2021</t>
  </si>
  <si>
    <t>2012-2021 Geomean</t>
  </si>
  <si>
    <t>2012-2021 Geomean 
from Dec 2021</t>
  </si>
  <si>
    <t>Reclassifications in Aug/Sept 2021 - Growth from post-reclassification</t>
  </si>
  <si>
    <t>Monthly Summary</t>
  </si>
  <si>
    <t>Difference</t>
  </si>
  <si>
    <t>Forecast Used</t>
  </si>
  <si>
    <t>Change in Count</t>
  </si>
  <si>
    <t>General Service &gt; 50 to 999 kW</t>
  </si>
  <si>
    <t>General Service &gt; 1000 to 4999 kW</t>
  </si>
  <si>
    <t xml:space="preserve">Large User </t>
  </si>
  <si>
    <t>CDM Adjusted</t>
  </si>
  <si>
    <t>kW/kWh</t>
  </si>
  <si>
    <t>10-Year Avg.</t>
  </si>
  <si>
    <t>Avg. Excl 20/1</t>
  </si>
  <si>
    <t>5-Year Avg.</t>
  </si>
  <si>
    <t>Normal HDD</t>
  </si>
  <si>
    <t>Normal CDD</t>
  </si>
  <si>
    <t>WN Consumption + CDM</t>
  </si>
  <si>
    <t>WN Consumption</t>
  </si>
  <si>
    <t>Toronto FTE Adj</t>
  </si>
  <si>
    <t>Forecast CDM</t>
  </si>
  <si>
    <t>Predicted After CDM</t>
  </si>
  <si>
    <t>Residential Weather Normalized</t>
  </si>
  <si>
    <t>General Service &lt; 50 kW Weather Normalized</t>
  </si>
  <si>
    <t>General Service &gt; 50 - 999 kW Weather Normalized</t>
  </si>
  <si>
    <t>Residential Weather Normalized (20-year Trend)</t>
  </si>
  <si>
    <t>General Service &lt; 50 kW Weather Normalized (20-year Trend)</t>
  </si>
  <si>
    <t>General Service &gt; 50 - 999 kW Weather Normalized (20-year Trend)</t>
  </si>
  <si>
    <t>2016 Cost Allocation</t>
  </si>
  <si>
    <t>2023 Cost Allocation</t>
  </si>
  <si>
    <t>*Not used out of date</t>
  </si>
  <si>
    <t>2021 Only</t>
  </si>
  <si>
    <t>As Filed</t>
  </si>
  <si>
    <t>Model 1: Prais-Winsten, using observations 2011:01-2021:12 (T = 132)</t>
  </si>
  <si>
    <t>rho = -0.0821485</t>
  </si>
  <si>
    <t>Model 2: Prais-Winsten, using observations 2011:01-2021:12 (T = 132)</t>
  </si>
  <si>
    <t>rho = -0.096819</t>
  </si>
  <si>
    <t>Model 3: Prais-Winsten, using observations 2011:01-2021:12 (T = 132)</t>
  </si>
  <si>
    <t>rho = 0.294195</t>
  </si>
  <si>
    <t>Update (3-VECC-29)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</si>
</sst>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(* #,##0.00_);_(* \(#,##0.00\);_(* &quot;-&quot;??_);_(@_)"/>
    <numFmt numFmtId="164" formatCode="_-* #,##0_-;\-* #,##0_-;_-* &quot;-&quot;_-;_-@_-"/>
    <numFmt numFmtId="165" formatCode="_-&quot;$&quot;* #,##0.00_-;\-&quot;$&quot;* #,##0.00_-;_-&quot;$&quot;* &quot;-&quot;??_-;_-@_-"/>
    <numFmt numFmtId="166" formatCode="0.0%"/>
    <numFmt numFmtId="167" formatCode="#,##0;\(#,##0\)"/>
    <numFmt numFmtId="168" formatCode="0.0000"/>
    <numFmt numFmtId="169" formatCode="#,##0.0000"/>
    <numFmt numFmtId="170" formatCode="0.0000%"/>
    <numFmt numFmtId="171" formatCode="_(* #,##0_);_(* \(#,##0\);_(* &quot;-&quot;??_);_(@_)"/>
    <numFmt numFmtId="172" formatCode="0.0"/>
    <numFmt numFmtId="173" formatCode="#,##0.0"/>
    <numFmt numFmtId="174" formatCode="#,##0.000"/>
    <numFmt numFmtId="175" formatCode="_-* #,##0_-;\-* #,##0_-;_-* &quot;-&quot;??_-;_-@_-"/>
    <numFmt numFmtId="176" formatCode="_(* #,##0.0_);_(* \(#,##0.0\);_(* &quot;-&quot;??_);_(@_)"/>
    <numFmt numFmtId="177" formatCode="_(* #,##0.000_);_(* \(#,##0.000\);_(* &quot;-&quot;??_);_(@_)"/>
    <numFmt numFmtId="178" formatCode="#,##0;#,##0"/>
    <numFmt numFmtId="179" formatCode="_-* #,##0.000_-;\-* #,##0.000_-;_-* &quot;-&quot;_-;_-@_-"/>
    <numFmt numFmtId="180" formatCode="0.000%"/>
    <numFmt numFmtId="181" formatCode="#,##0.0_);\(#,##0.0\)"/>
  </numFmts>
  <fonts count="31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name val="Times New Roman"/>
      <family val="1"/>
    </font>
    <font>
      <i/>
      <sz val="10"/>
      <name val="Times New Roman"/>
      <family val="1"/>
    </font>
    <font>
      <i/>
      <sz val="10"/>
      <color rgb="FFC00000"/>
      <name val="Arial"/>
      <family val="2"/>
    </font>
    <font>
      <sz val="10"/>
      <color rgb="FFFF0000"/>
      <name val="Arial"/>
      <family val="2"/>
    </font>
    <font>
      <sz val="10"/>
      <color theme="5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1"/>
      <charset val="204"/>
    </font>
    <font>
      <sz val="9"/>
      <color indexed="8"/>
      <name val="Arial"/>
      <family val="1"/>
      <charset val="204"/>
    </font>
    <font>
      <b/>
      <u/>
      <sz val="12"/>
      <name val="Arial"/>
      <family val="2"/>
    </font>
    <font>
      <sz val="8"/>
      <color indexed="12"/>
      <name val="Arial"/>
      <family val="2"/>
    </font>
    <font>
      <sz val="10"/>
      <color indexed="12"/>
      <name val="Arial"/>
      <family val="2"/>
    </font>
    <font>
      <b/>
      <sz val="13"/>
      <color theme="3"/>
      <name val="Calibri"/>
      <family val="2"/>
      <scheme val="minor"/>
    </font>
    <font>
      <i/>
      <sz val="10"/>
      <color rgb="FFFF0000"/>
      <name val="Arial"/>
      <family val="2"/>
    </font>
    <font>
      <b/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24" fillId="0" borderId="32" applyNumberFormat="0" applyFill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339">
    <xf numFmtId="0" fontId="0" fillId="0" borderId="0" xfId="0"/>
    <xf numFmtId="0" fontId="0" fillId="0" borderId="0" xfId="0" applyAlignment="1">
      <alignment horizontal="center"/>
    </xf>
    <xf numFmtId="17" fontId="0" fillId="0" borderId="0" xfId="0" applyNumberFormat="1"/>
    <xf numFmtId="0" fontId="0" fillId="0" borderId="0" xfId="0" applyAlignment="1">
      <alignment horizontal="right"/>
    </xf>
    <xf numFmtId="166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3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" fillId="0" borderId="0" xfId="0" applyFont="1"/>
    <xf numFmtId="10" fontId="0" fillId="0" borderId="0" xfId="0" applyNumberFormat="1" applyAlignment="1">
      <alignment horizontal="center"/>
    </xf>
    <xf numFmtId="1" fontId="0" fillId="0" borderId="0" xfId="0" applyNumberFormat="1"/>
    <xf numFmtId="0" fontId="4" fillId="0" borderId="0" xfId="0" applyFont="1"/>
    <xf numFmtId="17" fontId="4" fillId="0" borderId="0" xfId="0" applyNumberFormat="1" applyFont="1"/>
    <xf numFmtId="168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170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wrapText="1"/>
    </xf>
    <xf numFmtId="0" fontId="0" fillId="0" borderId="1" xfId="0" applyBorder="1" applyAlignment="1">
      <alignment horizontal="right"/>
    </xf>
    <xf numFmtId="167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3" fontId="4" fillId="0" borderId="0" xfId="0" applyNumberFormat="1" applyFont="1"/>
    <xf numFmtId="0" fontId="5" fillId="0" borderId="0" xfId="0" applyFont="1"/>
    <xf numFmtId="166" fontId="0" fillId="0" borderId="0" xfId="0" applyNumberFormat="1" applyAlignment="1">
      <alignment horizontal="center" wrapText="1"/>
    </xf>
    <xf numFmtId="0" fontId="4" fillId="0" borderId="0" xfId="0" applyFont="1" applyAlignment="1">
      <alignment horizontal="center" wrapText="1"/>
    </xf>
    <xf numFmtId="37" fontId="0" fillId="0" borderId="0" xfId="0" applyNumberFormat="1" applyAlignment="1">
      <alignment horizontal="center"/>
    </xf>
    <xf numFmtId="3" fontId="7" fillId="0" borderId="0" xfId="0" applyNumberFormat="1" applyFont="1" applyAlignment="1">
      <alignment horizontal="center"/>
    </xf>
    <xf numFmtId="0" fontId="1" fillId="0" borderId="0" xfId="0" applyFont="1"/>
    <xf numFmtId="3" fontId="0" fillId="0" borderId="0" xfId="0" applyNumberFormat="1"/>
    <xf numFmtId="0" fontId="0" fillId="0" borderId="2" xfId="0" applyBorder="1"/>
    <xf numFmtId="10" fontId="0" fillId="0" borderId="0" xfId="2" applyNumberFormat="1" applyFont="1" applyFill="1" applyAlignment="1">
      <alignment horizontal="center" wrapText="1"/>
    </xf>
    <xf numFmtId="37" fontId="1" fillId="0" borderId="0" xfId="0" applyNumberFormat="1" applyFont="1" applyAlignment="1">
      <alignment horizontal="center"/>
    </xf>
    <xf numFmtId="37" fontId="1" fillId="0" borderId="0" xfId="0" applyNumberFormat="1" applyFont="1" applyAlignment="1">
      <alignment horizontal="center" wrapText="1"/>
    </xf>
    <xf numFmtId="10" fontId="0" fillId="0" borderId="0" xfId="2" applyNumberFormat="1" applyFont="1" applyAlignment="1">
      <alignment horizontal="center"/>
    </xf>
    <xf numFmtId="3" fontId="1" fillId="0" borderId="0" xfId="0" quotePrefix="1" applyNumberFormat="1" applyFont="1" applyAlignment="1">
      <alignment horizontal="center"/>
    </xf>
    <xf numFmtId="0" fontId="1" fillId="2" borderId="0" xfId="0" applyFont="1" applyFill="1" applyAlignment="1">
      <alignment horizontal="center"/>
    </xf>
    <xf numFmtId="174" fontId="0" fillId="0" borderId="0" xfId="0" applyNumberFormat="1" applyAlignment="1">
      <alignment horizontal="center"/>
    </xf>
    <xf numFmtId="173" fontId="0" fillId="0" borderId="0" xfId="0" applyNumberFormat="1" applyAlignment="1">
      <alignment horizontal="center"/>
    </xf>
    <xf numFmtId="3" fontId="1" fillId="0" borderId="0" xfId="0" applyNumberFormat="1" applyFont="1" applyAlignment="1">
      <alignment horizontal="center"/>
    </xf>
    <xf numFmtId="3" fontId="4" fillId="3" borderId="0" xfId="0" applyNumberFormat="1" applyFont="1" applyFill="1" applyAlignment="1">
      <alignment horizontal="center"/>
    </xf>
    <xf numFmtId="171" fontId="0" fillId="0" borderId="0" xfId="1" applyNumberFormat="1" applyFont="1"/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center"/>
    </xf>
    <xf numFmtId="3" fontId="8" fillId="0" borderId="0" xfId="0" applyNumberFormat="1" applyFont="1" applyAlignment="1">
      <alignment horizontal="center" wrapText="1"/>
    </xf>
    <xf numFmtId="3" fontId="8" fillId="3" borderId="0" xfId="0" applyNumberFormat="1" applyFont="1" applyFill="1" applyAlignment="1">
      <alignment horizontal="center"/>
    </xf>
    <xf numFmtId="3" fontId="4" fillId="3" borderId="0" xfId="0" applyNumberFormat="1" applyFont="1" applyFill="1" applyAlignment="1">
      <alignment horizontal="center" wrapText="1"/>
    </xf>
    <xf numFmtId="3" fontId="8" fillId="3" borderId="0" xfId="0" applyNumberFormat="1" applyFont="1" applyFill="1" applyAlignment="1">
      <alignment horizontal="center" wrapText="1"/>
    </xf>
    <xf numFmtId="3" fontId="0" fillId="4" borderId="0" xfId="0" applyNumberFormat="1" applyFill="1" applyAlignment="1">
      <alignment horizontal="center"/>
    </xf>
    <xf numFmtId="171" fontId="1" fillId="4" borderId="1" xfId="1" applyNumberFormat="1" applyFont="1" applyFill="1" applyBorder="1" applyAlignment="1">
      <alignment horizontal="center"/>
    </xf>
    <xf numFmtId="10" fontId="1" fillId="0" borderId="0" xfId="2" applyNumberFormat="1" applyFont="1" applyAlignment="1">
      <alignment horizontal="center" wrapText="1"/>
    </xf>
    <xf numFmtId="3" fontId="1" fillId="0" borderId="0" xfId="0" applyNumberFormat="1" applyFont="1" applyAlignment="1">
      <alignment horizontal="center" wrapText="1"/>
    </xf>
    <xf numFmtId="172" fontId="1" fillId="0" borderId="0" xfId="0" quotePrefix="1" applyNumberFormat="1" applyFont="1" applyAlignment="1">
      <alignment horizontal="right"/>
    </xf>
    <xf numFmtId="0" fontId="4" fillId="0" borderId="0" xfId="0" applyFont="1" applyAlignment="1">
      <alignment horizontal="left"/>
    </xf>
    <xf numFmtId="171" fontId="4" fillId="0" borderId="0" xfId="1" applyNumberFormat="1" applyFont="1" applyFill="1" applyAlignment="1">
      <alignment horizontal="center"/>
    </xf>
    <xf numFmtId="172" fontId="11" fillId="0" borderId="0" xfId="0" applyNumberFormat="1" applyFont="1"/>
    <xf numFmtId="3" fontId="1" fillId="0" borderId="0" xfId="1" applyNumberFormat="1" applyFont="1" applyFill="1" applyAlignment="1">
      <alignment horizontal="center"/>
    </xf>
    <xf numFmtId="171" fontId="0" fillId="0" borderId="0" xfId="1" applyNumberFormat="1" applyFont="1" applyAlignment="1">
      <alignment horizontal="center"/>
    </xf>
    <xf numFmtId="171" fontId="3" fillId="0" borderId="0" xfId="1" applyNumberFormat="1" applyFont="1" applyAlignment="1">
      <alignment horizontal="center" wrapText="1"/>
    </xf>
    <xf numFmtId="171" fontId="1" fillId="0" borderId="0" xfId="1" applyNumberFormat="1" applyFont="1" applyFill="1" applyAlignment="1">
      <alignment horizontal="right"/>
    </xf>
    <xf numFmtId="3" fontId="1" fillId="0" borderId="0" xfId="0" applyNumberFormat="1" applyFont="1" applyAlignment="1">
      <alignment horizontal="right"/>
    </xf>
    <xf numFmtId="172" fontId="0" fillId="0" borderId="0" xfId="0" applyNumberFormat="1" applyAlignment="1">
      <alignment horizontal="center"/>
    </xf>
    <xf numFmtId="171" fontId="0" fillId="0" borderId="0" xfId="0" applyNumberFormat="1"/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171" fontId="1" fillId="5" borderId="1" xfId="1" applyNumberFormat="1" applyFont="1" applyFill="1" applyBorder="1" applyAlignment="1">
      <alignment horizontal="right"/>
    </xf>
    <xf numFmtId="3" fontId="4" fillId="0" borderId="0" xfId="0" applyNumberFormat="1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0" xfId="1" applyNumberFormat="1" applyFont="1" applyBorder="1" applyAlignment="1">
      <alignment horizontal="center" wrapText="1"/>
    </xf>
    <xf numFmtId="3" fontId="4" fillId="0" borderId="0" xfId="0" applyNumberFormat="1" applyFont="1" applyAlignment="1">
      <alignment horizontal="center" wrapText="1"/>
    </xf>
    <xf numFmtId="3" fontId="1" fillId="0" borderId="0" xfId="0" applyNumberFormat="1" applyFont="1" applyAlignment="1">
      <alignment horizontal="left"/>
    </xf>
    <xf numFmtId="0" fontId="1" fillId="0" borderId="0" xfId="0" applyFont="1" applyAlignment="1">
      <alignment vertical="center"/>
    </xf>
    <xf numFmtId="1" fontId="1" fillId="0" borderId="0" xfId="1" applyNumberFormat="1" applyFont="1" applyBorder="1" applyAlignment="1">
      <alignment horizontal="center" wrapText="1"/>
    </xf>
    <xf numFmtId="3" fontId="1" fillId="0" borderId="0" xfId="0" applyNumberFormat="1" applyFont="1" applyAlignment="1">
      <alignment vertical="center" wrapText="1"/>
    </xf>
    <xf numFmtId="0" fontId="0" fillId="0" borderId="0" xfId="1" applyNumberFormat="1" applyFont="1" applyAlignment="1">
      <alignment horizontal="center"/>
    </xf>
    <xf numFmtId="3" fontId="0" fillId="0" borderId="0" xfId="0" applyNumberFormat="1" applyAlignment="1">
      <alignment horizontal="right"/>
    </xf>
    <xf numFmtId="3" fontId="1" fillId="0" borderId="0" xfId="0" applyNumberFormat="1" applyFont="1"/>
    <xf numFmtId="0" fontId="1" fillId="0" borderId="0" xfId="0" applyFont="1" applyAlignment="1">
      <alignment horizontal="center" wrapText="1"/>
    </xf>
    <xf numFmtId="0" fontId="4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3" fillId="0" borderId="0" xfId="3"/>
    <xf numFmtId="171" fontId="13" fillId="0" borderId="0" xfId="3" applyNumberFormat="1"/>
    <xf numFmtId="2" fontId="13" fillId="0" borderId="0" xfId="3" applyNumberFormat="1"/>
    <xf numFmtId="3" fontId="13" fillId="0" borderId="0" xfId="3" applyNumberFormat="1"/>
    <xf numFmtId="43" fontId="13" fillId="0" borderId="0" xfId="3" applyNumberFormat="1"/>
    <xf numFmtId="171" fontId="13" fillId="0" borderId="0" xfId="1" applyNumberFormat="1" applyFont="1"/>
    <xf numFmtId="172" fontId="13" fillId="0" borderId="0" xfId="3" applyNumberFormat="1"/>
    <xf numFmtId="1" fontId="13" fillId="0" borderId="0" xfId="3" applyNumberFormat="1"/>
    <xf numFmtId="171" fontId="0" fillId="0" borderId="0" xfId="4" applyNumberFormat="1" applyFont="1"/>
    <xf numFmtId="0" fontId="13" fillId="0" borderId="0" xfId="3" applyAlignment="1">
      <alignment horizontal="center"/>
    </xf>
    <xf numFmtId="0" fontId="9" fillId="0" borderId="0" xfId="3" applyFont="1"/>
    <xf numFmtId="0" fontId="1" fillId="0" borderId="0" xfId="3" applyFont="1"/>
    <xf numFmtId="1" fontId="14" fillId="0" borderId="0" xfId="3" applyNumberFormat="1" applyFont="1"/>
    <xf numFmtId="0" fontId="12" fillId="0" borderId="0" xfId="3" applyFont="1"/>
    <xf numFmtId="2" fontId="12" fillId="0" borderId="0" xfId="3" applyNumberFormat="1" applyFont="1"/>
    <xf numFmtId="0" fontId="1" fillId="0" borderId="0" xfId="3" applyFont="1" applyAlignment="1">
      <alignment horizontal="right"/>
    </xf>
    <xf numFmtId="0" fontId="13" fillId="0" borderId="0" xfId="3" applyAlignment="1">
      <alignment horizontal="right"/>
    </xf>
    <xf numFmtId="0" fontId="4" fillId="0" borderId="0" xfId="3" applyFont="1" applyAlignment="1">
      <alignment horizontal="right"/>
    </xf>
    <xf numFmtId="172" fontId="12" fillId="0" borderId="0" xfId="3" applyNumberFormat="1" applyFont="1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171" fontId="0" fillId="0" borderId="0" xfId="1" applyNumberFormat="1" applyFont="1" applyAlignment="1">
      <alignment wrapText="1"/>
    </xf>
    <xf numFmtId="0" fontId="0" fillId="6" borderId="0" xfId="0" applyFill="1"/>
    <xf numFmtId="1" fontId="0" fillId="6" borderId="0" xfId="0" applyNumberFormat="1" applyFill="1"/>
    <xf numFmtId="0" fontId="1" fillId="0" borderId="0" xfId="5"/>
    <xf numFmtId="0" fontId="1" fillId="0" borderId="0" xfId="5" applyAlignment="1">
      <alignment wrapText="1"/>
    </xf>
    <xf numFmtId="176" fontId="0" fillId="0" borderId="0" xfId="1" applyNumberFormat="1" applyFont="1"/>
    <xf numFmtId="4" fontId="1" fillId="0" borderId="0" xfId="5" applyNumberFormat="1"/>
    <xf numFmtId="17" fontId="15" fillId="0" borderId="0" xfId="5" applyNumberFormat="1" applyFont="1"/>
    <xf numFmtId="0" fontId="15" fillId="0" borderId="0" xfId="5" applyFont="1"/>
    <xf numFmtId="176" fontId="15" fillId="0" borderId="0" xfId="1" applyNumberFormat="1" applyFont="1"/>
    <xf numFmtId="177" fontId="15" fillId="0" borderId="0" xfId="1" applyNumberFormat="1" applyFont="1"/>
    <xf numFmtId="176" fontId="1" fillId="0" borderId="0" xfId="5" applyNumberFormat="1"/>
    <xf numFmtId="15" fontId="0" fillId="0" borderId="0" xfId="0" applyNumberFormat="1"/>
    <xf numFmtId="15" fontId="1" fillId="0" borderId="0" xfId="0" applyNumberFormat="1" applyFont="1"/>
    <xf numFmtId="10" fontId="0" fillId="0" borderId="0" xfId="0" applyNumberFormat="1"/>
    <xf numFmtId="176" fontId="16" fillId="0" borderId="0" xfId="5" applyNumberFormat="1" applyFont="1"/>
    <xf numFmtId="0" fontId="0" fillId="7" borderId="0" xfId="0" applyFill="1"/>
    <xf numFmtId="171" fontId="0" fillId="7" borderId="0" xfId="1" applyNumberFormat="1" applyFont="1" applyFill="1"/>
    <xf numFmtId="176" fontId="0" fillId="7" borderId="0" xfId="1" applyNumberFormat="1" applyFont="1" applyFill="1"/>
    <xf numFmtId="0" fontId="4" fillId="0" borderId="1" xfId="0" applyFont="1" applyBorder="1" applyAlignment="1">
      <alignment horizontal="center" wrapText="1"/>
    </xf>
    <xf numFmtId="4" fontId="4" fillId="0" borderId="1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37" fontId="0" fillId="0" borderId="0" xfId="0" applyNumberFormat="1"/>
    <xf numFmtId="171" fontId="1" fillId="0" borderId="0" xfId="1" applyNumberFormat="1" applyFont="1"/>
    <xf numFmtId="0" fontId="4" fillId="0" borderId="17" xfId="0" applyFont="1" applyBorder="1" applyAlignment="1">
      <alignment horizontal="center" wrapText="1"/>
    </xf>
    <xf numFmtId="172" fontId="0" fillId="0" borderId="1" xfId="0" applyNumberFormat="1" applyBorder="1" applyAlignment="1">
      <alignment horizontal="center"/>
    </xf>
    <xf numFmtId="1" fontId="0" fillId="0" borderId="0" xfId="0" applyNumberFormat="1" applyAlignment="1">
      <alignment horizontal="right"/>
    </xf>
    <xf numFmtId="11" fontId="0" fillId="0" borderId="0" xfId="0" applyNumberFormat="1"/>
    <xf numFmtId="171" fontId="1" fillId="0" borderId="0" xfId="1" applyNumberFormat="1" applyFont="1" applyAlignment="1">
      <alignment wrapText="1"/>
    </xf>
    <xf numFmtId="0" fontId="13" fillId="8" borderId="0" xfId="3" applyFill="1"/>
    <xf numFmtId="172" fontId="13" fillId="8" borderId="0" xfId="3" applyNumberFormat="1" applyFill="1"/>
    <xf numFmtId="2" fontId="13" fillId="8" borderId="0" xfId="3" applyNumberFormat="1" applyFill="1"/>
    <xf numFmtId="166" fontId="13" fillId="0" borderId="0" xfId="2" applyNumberFormat="1" applyFont="1"/>
    <xf numFmtId="10" fontId="13" fillId="0" borderId="0" xfId="2" applyNumberFormat="1" applyFont="1"/>
    <xf numFmtId="166" fontId="13" fillId="0" borderId="0" xfId="3" applyNumberFormat="1"/>
    <xf numFmtId="171" fontId="0" fillId="0" borderId="1" xfId="1" applyNumberFormat="1" applyFont="1" applyFill="1" applyBorder="1" applyAlignment="1">
      <alignment horizontal="center"/>
    </xf>
    <xf numFmtId="4" fontId="3" fillId="0" borderId="0" xfId="0" applyNumberFormat="1" applyFont="1" applyAlignment="1">
      <alignment horizontal="center" wrapText="1"/>
    </xf>
    <xf numFmtId="4" fontId="1" fillId="0" borderId="0" xfId="0" applyNumberFormat="1" applyFont="1" applyAlignment="1">
      <alignment horizontal="center" wrapText="1"/>
    </xf>
    <xf numFmtId="171" fontId="1" fillId="4" borderId="0" xfId="1" applyNumberFormat="1" applyFont="1" applyFill="1" applyAlignment="1">
      <alignment horizontal="center"/>
    </xf>
    <xf numFmtId="171" fontId="0" fillId="4" borderId="0" xfId="1" applyNumberFormat="1" applyFont="1" applyFill="1" applyAlignment="1">
      <alignment horizontal="center"/>
    </xf>
    <xf numFmtId="0" fontId="17" fillId="0" borderId="0" xfId="0" applyFont="1"/>
    <xf numFmtId="171" fontId="17" fillId="0" borderId="0" xfId="1" applyNumberFormat="1" applyFont="1"/>
    <xf numFmtId="171" fontId="1" fillId="0" borderId="0" xfId="1" applyNumberFormat="1" applyFont="1" applyAlignment="1">
      <alignment horizontal="center" wrapText="1"/>
    </xf>
    <xf numFmtId="1" fontId="16" fillId="0" borderId="0" xfId="0" applyNumberFormat="1" applyFont="1" applyAlignment="1">
      <alignment horizontal="right"/>
    </xf>
    <xf numFmtId="171" fontId="16" fillId="0" borderId="0" xfId="1" applyNumberFormat="1" applyFont="1" applyFill="1" applyAlignment="1">
      <alignment horizontal="right"/>
    </xf>
    <xf numFmtId="17" fontId="1" fillId="0" borderId="0" xfId="0" applyNumberFormat="1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Continuous"/>
    </xf>
    <xf numFmtId="171" fontId="1" fillId="0" borderId="0" xfId="1" applyNumberFormat="1" applyFont="1" applyFill="1"/>
    <xf numFmtId="3" fontId="16" fillId="0" borderId="0" xfId="0" applyNumberFormat="1" applyFont="1" applyAlignment="1">
      <alignment horizontal="center"/>
    </xf>
    <xf numFmtId="3" fontId="16" fillId="4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wrapText="1"/>
    </xf>
    <xf numFmtId="170" fontId="0" fillId="0" borderId="0" xfId="2" applyNumberFormat="1" applyFont="1" applyAlignment="1">
      <alignment horizontal="center"/>
    </xf>
    <xf numFmtId="37" fontId="16" fillId="0" borderId="0" xfId="0" applyNumberFormat="1" applyFont="1" applyAlignment="1">
      <alignment horizontal="center"/>
    </xf>
    <xf numFmtId="0" fontId="19" fillId="10" borderId="23" xfId="0" applyFont="1" applyFill="1" applyBorder="1" applyAlignment="1">
      <alignment horizontal="center" vertical="top" wrapText="1"/>
    </xf>
    <xf numFmtId="0" fontId="19" fillId="10" borderId="23" xfId="0" applyFont="1" applyFill="1" applyBorder="1" applyAlignment="1">
      <alignment horizontal="left" vertical="top" wrapText="1"/>
    </xf>
    <xf numFmtId="0" fontId="20" fillId="0" borderId="23" xfId="0" applyFont="1" applyBorder="1" applyAlignment="1">
      <alignment horizontal="left" vertical="top" wrapText="1"/>
    </xf>
    <xf numFmtId="178" fontId="18" fillId="0" borderId="23" xfId="0" applyNumberFormat="1" applyFont="1" applyBorder="1" applyAlignment="1">
      <alignment horizontal="right" vertical="top" wrapText="1"/>
    </xf>
    <xf numFmtId="0" fontId="20" fillId="0" borderId="23" xfId="0" applyFont="1" applyBorder="1" applyAlignment="1">
      <alignment horizontal="right" vertical="top" wrapText="1"/>
    </xf>
    <xf numFmtId="178" fontId="0" fillId="0" borderId="0" xfId="0" applyNumberFormat="1"/>
    <xf numFmtId="10" fontId="20" fillId="0" borderId="23" xfId="2" applyNumberFormat="1" applyFont="1" applyBorder="1" applyAlignment="1">
      <alignment horizontal="right" vertical="top" wrapText="1"/>
    </xf>
    <xf numFmtId="0" fontId="4" fillId="9" borderId="24" xfId="0" applyFont="1" applyFill="1" applyBorder="1" applyAlignment="1">
      <alignment horizontal="center"/>
    </xf>
    <xf numFmtId="0" fontId="4" fillId="9" borderId="25" xfId="0" applyFont="1" applyFill="1" applyBorder="1" applyAlignment="1">
      <alignment horizontal="center"/>
    </xf>
    <xf numFmtId="164" fontId="4" fillId="9" borderId="21" xfId="0" applyNumberFormat="1" applyFont="1" applyFill="1" applyBorder="1" applyAlignment="1">
      <alignment horizontal="center" vertical="center"/>
    </xf>
    <xf numFmtId="164" fontId="4" fillId="9" borderId="14" xfId="0" applyNumberFormat="1" applyFont="1" applyFill="1" applyBorder="1" applyAlignment="1">
      <alignment horizontal="center" vertical="center" wrapText="1"/>
    </xf>
    <xf numFmtId="164" fontId="4" fillId="9" borderId="26" xfId="0" applyNumberFormat="1" applyFont="1" applyFill="1" applyBorder="1" applyAlignment="1">
      <alignment horizontal="center" vertical="center" wrapText="1"/>
    </xf>
    <xf numFmtId="164" fontId="22" fillId="9" borderId="27" xfId="0" applyNumberFormat="1" applyFont="1" applyFill="1" applyBorder="1" applyAlignment="1">
      <alignment horizontal="center"/>
    </xf>
    <xf numFmtId="164" fontId="22" fillId="9" borderId="27" xfId="0" applyNumberFormat="1" applyFont="1" applyFill="1" applyBorder="1" applyAlignment="1">
      <alignment horizontal="center" wrapText="1"/>
    </xf>
    <xf numFmtId="164" fontId="23" fillId="9" borderId="27" xfId="0" applyNumberFormat="1" applyFont="1" applyFill="1" applyBorder="1" applyAlignment="1">
      <alignment horizontal="center" wrapText="1"/>
    </xf>
    <xf numFmtId="164" fontId="1" fillId="9" borderId="10" xfId="0" applyNumberFormat="1" applyFont="1" applyFill="1" applyBorder="1" applyAlignment="1">
      <alignment horizontal="left"/>
    </xf>
    <xf numFmtId="164" fontId="1" fillId="9" borderId="11" xfId="0" applyNumberFormat="1" applyFont="1" applyFill="1" applyBorder="1" applyAlignment="1">
      <alignment horizontal="left" wrapText="1"/>
    </xf>
    <xf numFmtId="164" fontId="4" fillId="9" borderId="10" xfId="0" applyNumberFormat="1" applyFont="1" applyFill="1" applyBorder="1" applyAlignment="1">
      <alignment horizontal="left"/>
    </xf>
    <xf numFmtId="164" fontId="1" fillId="9" borderId="30" xfId="0" applyNumberFormat="1" applyFont="1" applyFill="1" applyBorder="1" applyAlignment="1">
      <alignment horizontal="left"/>
    </xf>
    <xf numFmtId="164" fontId="1" fillId="9" borderId="31" xfId="0" applyNumberFormat="1" applyFont="1" applyFill="1" applyBorder="1" applyAlignment="1">
      <alignment horizontal="left" wrapText="1"/>
    </xf>
    <xf numFmtId="164" fontId="23" fillId="9" borderId="30" xfId="0" applyNumberFormat="1" applyFont="1" applyFill="1" applyBorder="1" applyAlignment="1">
      <alignment horizontal="center" wrapText="1"/>
    </xf>
    <xf numFmtId="164" fontId="1" fillId="7" borderId="18" xfId="0" applyNumberFormat="1" applyFont="1" applyFill="1" applyBorder="1" applyAlignment="1" applyProtection="1">
      <alignment horizontal="center" wrapText="1"/>
      <protection locked="0"/>
    </xf>
    <xf numFmtId="164" fontId="1" fillId="7" borderId="1" xfId="0" applyNumberFormat="1" applyFont="1" applyFill="1" applyBorder="1" applyAlignment="1" applyProtection="1">
      <alignment horizontal="center"/>
      <protection locked="0"/>
    </xf>
    <xf numFmtId="164" fontId="1" fillId="7" borderId="1" xfId="0" applyNumberFormat="1" applyFont="1" applyFill="1" applyBorder="1" applyAlignment="1" applyProtection="1">
      <alignment horizontal="center" wrapText="1"/>
      <protection locked="0"/>
    </xf>
    <xf numFmtId="164" fontId="1" fillId="9" borderId="19" xfId="0" applyNumberFormat="1" applyFont="1" applyFill="1" applyBorder="1" applyAlignment="1">
      <alignment horizontal="left"/>
    </xf>
    <xf numFmtId="164" fontId="1" fillId="9" borderId="22" xfId="0" applyNumberFormat="1" applyFont="1" applyFill="1" applyBorder="1" applyAlignment="1">
      <alignment horizontal="left" wrapText="1"/>
    </xf>
    <xf numFmtId="164" fontId="23" fillId="9" borderId="19" xfId="0" applyNumberFormat="1" applyFont="1" applyFill="1" applyBorder="1" applyAlignment="1">
      <alignment horizontal="center" wrapText="1"/>
    </xf>
    <xf numFmtId="164" fontId="23" fillId="9" borderId="10" xfId="0" applyNumberFormat="1" applyFont="1" applyFill="1" applyBorder="1" applyAlignment="1">
      <alignment horizontal="center" wrapText="1"/>
    </xf>
    <xf numFmtId="164" fontId="1" fillId="9" borderId="10" xfId="0" applyNumberFormat="1" applyFont="1" applyFill="1" applyBorder="1" applyAlignment="1" applyProtection="1">
      <alignment horizontal="center" wrapText="1"/>
      <protection locked="0"/>
    </xf>
    <xf numFmtId="164" fontId="1" fillId="9" borderId="11" xfId="0" applyNumberFormat="1" applyFont="1" applyFill="1" applyBorder="1" applyAlignment="1">
      <alignment horizontal="left"/>
    </xf>
    <xf numFmtId="164" fontId="23" fillId="9" borderId="10" xfId="0" applyNumberFormat="1" applyFont="1" applyFill="1" applyBorder="1" applyAlignment="1">
      <alignment horizontal="center"/>
    </xf>
    <xf numFmtId="164" fontId="1" fillId="9" borderId="10" xfId="0" applyNumberFormat="1" applyFont="1" applyFill="1" applyBorder="1" applyAlignment="1" applyProtection="1">
      <alignment horizontal="center"/>
      <protection locked="0"/>
    </xf>
    <xf numFmtId="164" fontId="1" fillId="9" borderId="30" xfId="0" applyNumberFormat="1" applyFont="1" applyFill="1" applyBorder="1" applyAlignment="1">
      <alignment horizontal="left" wrapText="1"/>
    </xf>
    <xf numFmtId="164" fontId="1" fillId="9" borderId="12" xfId="0" applyNumberFormat="1" applyFont="1" applyFill="1" applyBorder="1" applyAlignment="1">
      <alignment horizontal="left"/>
    </xf>
    <xf numFmtId="164" fontId="1" fillId="9" borderId="13" xfId="0" applyNumberFormat="1" applyFont="1" applyFill="1" applyBorder="1" applyAlignment="1">
      <alignment horizontal="left" wrapText="1"/>
    </xf>
    <xf numFmtId="164" fontId="23" fillId="9" borderId="20" xfId="0" applyNumberFormat="1" applyFont="1" applyFill="1" applyBorder="1" applyAlignment="1">
      <alignment horizontal="center" wrapText="1"/>
    </xf>
    <xf numFmtId="9" fontId="0" fillId="0" borderId="0" xfId="0" applyNumberFormat="1"/>
    <xf numFmtId="169" fontId="4" fillId="0" borderId="0" xfId="0" applyNumberFormat="1" applyFont="1" applyAlignment="1">
      <alignment horizontal="center" wrapText="1"/>
    </xf>
    <xf numFmtId="170" fontId="4" fillId="0" borderId="0" xfId="0" applyNumberFormat="1" applyFont="1" applyAlignment="1">
      <alignment horizontal="center"/>
    </xf>
    <xf numFmtId="170" fontId="4" fillId="0" borderId="0" xfId="2" applyNumberFormat="1" applyFont="1" applyAlignment="1">
      <alignment horizontal="center"/>
    </xf>
    <xf numFmtId="0" fontId="0" fillId="0" borderId="0" xfId="0" applyAlignment="1">
      <alignment vertical="center" wrapText="1"/>
    </xf>
    <xf numFmtId="39" fontId="1" fillId="0" borderId="0" xfId="0" applyNumberFormat="1" applyFont="1" applyAlignment="1">
      <alignment horizontal="center"/>
    </xf>
    <xf numFmtId="39" fontId="16" fillId="0" borderId="0" xfId="0" applyNumberFormat="1" applyFont="1" applyAlignment="1">
      <alignment horizontal="center"/>
    </xf>
    <xf numFmtId="43" fontId="0" fillId="0" borderId="0" xfId="1" applyFont="1" applyAlignment="1">
      <alignment horizontal="center"/>
    </xf>
    <xf numFmtId="172" fontId="16" fillId="0" borderId="0" xfId="0" applyNumberFormat="1" applyFont="1" applyAlignment="1">
      <alignment horizontal="center"/>
    </xf>
    <xf numFmtId="176" fontId="0" fillId="0" borderId="0" xfId="1" applyNumberFormat="1" applyFont="1" applyAlignment="1">
      <alignment horizontal="center"/>
    </xf>
    <xf numFmtId="170" fontId="1" fillId="0" borderId="0" xfId="2" applyNumberFormat="1" applyFont="1" applyAlignment="1">
      <alignment horizontal="center"/>
    </xf>
    <xf numFmtId="0" fontId="1" fillId="0" borderId="0" xfId="0" applyFont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171" fontId="1" fillId="4" borderId="0" xfId="1" applyNumberFormat="1" applyFont="1" applyFill="1" applyAlignment="1">
      <alignment vertical="center"/>
    </xf>
    <xf numFmtId="171" fontId="0" fillId="4" borderId="0" xfId="1" applyNumberFormat="1" applyFont="1" applyFill="1" applyAlignment="1">
      <alignment vertical="center"/>
    </xf>
    <xf numFmtId="3" fontId="0" fillId="0" borderId="0" xfId="0" applyNumberFormat="1" applyAlignment="1">
      <alignment vertical="center" wrapText="1"/>
    </xf>
    <xf numFmtId="171" fontId="0" fillId="0" borderId="0" xfId="1" applyNumberFormat="1" applyFont="1" applyBorder="1" applyAlignment="1">
      <alignment horizontal="center"/>
    </xf>
    <xf numFmtId="171" fontId="0" fillId="0" borderId="0" xfId="1" applyNumberFormat="1" applyFont="1" applyBorder="1"/>
    <xf numFmtId="175" fontId="0" fillId="0" borderId="0" xfId="1" applyNumberFormat="1" applyFont="1" applyBorder="1" applyAlignment="1">
      <alignment horizontal="center"/>
    </xf>
    <xf numFmtId="0" fontId="1" fillId="0" borderId="0" xfId="1" applyNumberFormat="1" applyFont="1" applyBorder="1" applyAlignment="1">
      <alignment wrapText="1"/>
    </xf>
    <xf numFmtId="0" fontId="0" fillId="0" borderId="0" xfId="1" applyNumberFormat="1" applyFont="1" applyBorder="1" applyAlignment="1">
      <alignment horizontal="center"/>
    </xf>
    <xf numFmtId="171" fontId="0" fillId="5" borderId="0" xfId="1" applyNumberFormat="1" applyFont="1" applyFill="1" applyAlignment="1">
      <alignment horizontal="center"/>
    </xf>
    <xf numFmtId="166" fontId="0" fillId="4" borderId="0" xfId="2" applyNumberFormat="1" applyFont="1" applyFill="1" applyAlignment="1">
      <alignment horizontal="center"/>
    </xf>
    <xf numFmtId="166" fontId="25" fillId="5" borderId="0" xfId="2" applyNumberFormat="1" applyFont="1" applyFill="1" applyAlignment="1">
      <alignment horizontal="center"/>
    </xf>
    <xf numFmtId="17" fontId="0" fillId="0" borderId="0" xfId="0" applyNumberFormat="1" applyAlignment="1">
      <alignment horizontal="right"/>
    </xf>
    <xf numFmtId="176" fontId="16" fillId="5" borderId="0" xfId="1" applyNumberFormat="1" applyFont="1" applyFill="1" applyAlignment="1">
      <alignment horizontal="center"/>
    </xf>
    <xf numFmtId="166" fontId="25" fillId="0" borderId="0" xfId="2" applyNumberFormat="1" applyFont="1" applyAlignment="1">
      <alignment horizontal="center"/>
    </xf>
    <xf numFmtId="0" fontId="4" fillId="0" borderId="0" xfId="0" applyFont="1" applyAlignment="1">
      <alignment vertical="center" wrapText="1"/>
    </xf>
    <xf numFmtId="17" fontId="1" fillId="0" borderId="0" xfId="0" applyNumberFormat="1" applyFont="1" applyAlignment="1">
      <alignment horizontal="left"/>
    </xf>
    <xf numFmtId="17" fontId="4" fillId="0" borderId="0" xfId="0" applyNumberFormat="1" applyFont="1" applyAlignment="1">
      <alignment horizontal="right"/>
    </xf>
    <xf numFmtId="3" fontId="26" fillId="0" borderId="0" xfId="0" applyNumberFormat="1" applyFont="1" applyAlignment="1">
      <alignment horizontal="center"/>
    </xf>
    <xf numFmtId="3" fontId="26" fillId="4" borderId="0" xfId="0" applyNumberFormat="1" applyFont="1" applyFill="1" applyAlignment="1">
      <alignment horizontal="center"/>
    </xf>
    <xf numFmtId="0" fontId="24" fillId="0" borderId="32" xfId="7"/>
    <xf numFmtId="0" fontId="27" fillId="0" borderId="0" xfId="8"/>
    <xf numFmtId="0" fontId="28" fillId="0" borderId="0" xfId="8" applyFont="1"/>
    <xf numFmtId="0" fontId="27" fillId="8" borderId="0" xfId="8" applyFill="1"/>
    <xf numFmtId="166" fontId="29" fillId="4" borderId="0" xfId="8" applyNumberFormat="1" applyFont="1" applyFill="1"/>
    <xf numFmtId="43" fontId="0" fillId="0" borderId="0" xfId="9" applyFont="1"/>
    <xf numFmtId="43" fontId="0" fillId="8" borderId="0" xfId="9" applyFont="1" applyFill="1"/>
    <xf numFmtId="0" fontId="29" fillId="0" borderId="0" xfId="8" applyFont="1"/>
    <xf numFmtId="180" fontId="0" fillId="0" borderId="0" xfId="10" applyNumberFormat="1" applyFont="1"/>
    <xf numFmtId="0" fontId="28" fillId="0" borderId="0" xfId="8" applyFont="1" applyAlignment="1">
      <alignment wrapText="1"/>
    </xf>
    <xf numFmtId="166" fontId="0" fillId="4" borderId="33" xfId="10" applyNumberFormat="1" applyFont="1" applyFill="1" applyBorder="1"/>
    <xf numFmtId="166" fontId="29" fillId="4" borderId="33" xfId="10" applyNumberFormat="1" applyFont="1" applyFill="1" applyBorder="1"/>
    <xf numFmtId="171" fontId="0" fillId="0" borderId="0" xfId="9" applyNumberFormat="1" applyFont="1"/>
    <xf numFmtId="10" fontId="0" fillId="0" borderId="0" xfId="10" applyNumberFormat="1" applyFont="1"/>
    <xf numFmtId="166" fontId="0" fillId="4" borderId="34" xfId="10" applyNumberFormat="1" applyFont="1" applyFill="1" applyBorder="1"/>
    <xf numFmtId="166" fontId="29" fillId="4" borderId="34" xfId="10" applyNumberFormat="1" applyFont="1" applyFill="1" applyBorder="1"/>
    <xf numFmtId="171" fontId="0" fillId="8" borderId="0" xfId="9" applyNumberFormat="1" applyFont="1" applyFill="1"/>
    <xf numFmtId="166" fontId="0" fillId="4" borderId="35" xfId="10" applyNumberFormat="1" applyFont="1" applyFill="1" applyBorder="1"/>
    <xf numFmtId="166" fontId="0" fillId="0" borderId="0" xfId="10" applyNumberFormat="1" applyFont="1"/>
    <xf numFmtId="171" fontId="28" fillId="0" borderId="0" xfId="8" applyNumberFormat="1" applyFont="1"/>
    <xf numFmtId="171" fontId="28" fillId="0" borderId="0" xfId="9" applyNumberFormat="1" applyFont="1"/>
    <xf numFmtId="43" fontId="27" fillId="0" borderId="0" xfId="8" applyNumberFormat="1"/>
    <xf numFmtId="10" fontId="29" fillId="4" borderId="0" xfId="10" applyNumberFormat="1" applyFont="1" applyFill="1"/>
    <xf numFmtId="10" fontId="0" fillId="4" borderId="0" xfId="10" applyNumberFormat="1" applyFont="1" applyFill="1"/>
    <xf numFmtId="171" fontId="27" fillId="0" borderId="0" xfId="8" applyNumberFormat="1"/>
    <xf numFmtId="0" fontId="30" fillId="0" borderId="0" xfId="8" applyFont="1"/>
    <xf numFmtId="1" fontId="6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right"/>
    </xf>
    <xf numFmtId="1" fontId="1" fillId="0" borderId="0" xfId="0" applyNumberFormat="1" applyFont="1" applyAlignment="1">
      <alignment horizontal="right"/>
    </xf>
    <xf numFmtId="181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 wrapText="1"/>
    </xf>
    <xf numFmtId="3" fontId="0" fillId="0" borderId="0" xfId="0" applyNumberFormat="1" applyAlignment="1">
      <alignment horizontal="center"/>
    </xf>
    <xf numFmtId="166" fontId="0" fillId="0" borderId="0" xfId="2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9" fontId="13" fillId="0" borderId="0" xfId="2" applyNumberFormat="1" applyFont="1"/>
    <xf numFmtId="0" fontId="1" fillId="0" borderId="0" xfId="0" applyFont="1" applyAlignment="1">
      <alignment horizontal="center"/>
    </xf>
    <xf numFmtId="0" fontId="0" fillId="0" borderId="3" xfId="0" applyBorder="1"/>
    <xf numFmtId="0" fontId="0" fillId="0" borderId="39" xfId="0" applyBorder="1"/>
    <xf numFmtId="0" fontId="13" fillId="0" borderId="39" xfId="3" applyBorder="1"/>
    <xf numFmtId="0" fontId="13" fillId="0" borderId="4" xfId="3" applyBorder="1"/>
    <xf numFmtId="0" fontId="0" fillId="0" borderId="5" xfId="0" applyBorder="1"/>
    <xf numFmtId="0" fontId="0" fillId="0" borderId="0" xfId="0" applyBorder="1"/>
    <xf numFmtId="0" fontId="13" fillId="0" borderId="0" xfId="3" applyBorder="1"/>
    <xf numFmtId="0" fontId="13" fillId="0" borderId="6" xfId="3" applyBorder="1"/>
    <xf numFmtId="11" fontId="13" fillId="0" borderId="0" xfId="3" applyNumberFormat="1" applyBorder="1"/>
    <xf numFmtId="11" fontId="0" fillId="0" borderId="0" xfId="0" applyNumberFormat="1" applyBorder="1"/>
    <xf numFmtId="0" fontId="0" fillId="0" borderId="7" xfId="0" applyBorder="1"/>
    <xf numFmtId="0" fontId="0" fillId="0" borderId="40" xfId="0" applyBorder="1"/>
    <xf numFmtId="0" fontId="13" fillId="0" borderId="40" xfId="3" applyBorder="1"/>
    <xf numFmtId="0" fontId="13" fillId="0" borderId="8" xfId="3" applyBorder="1"/>
    <xf numFmtId="0" fontId="0" fillId="0" borderId="36" xfId="0" applyBorder="1"/>
    <xf numFmtId="0" fontId="0" fillId="0" borderId="38" xfId="0" applyBorder="1"/>
    <xf numFmtId="0" fontId="0" fillId="0" borderId="37" xfId="0" applyBorder="1"/>
    <xf numFmtId="0" fontId="0" fillId="0" borderId="10" xfId="0" applyBorder="1"/>
    <xf numFmtId="0" fontId="0" fillId="0" borderId="11" xfId="0" applyBorder="1"/>
    <xf numFmtId="164" fontId="10" fillId="9" borderId="0" xfId="0" applyNumberFormat="1" applyFont="1" applyFill="1" applyBorder="1" applyAlignment="1">
      <alignment horizontal="left"/>
    </xf>
    <xf numFmtId="164" fontId="10" fillId="9" borderId="0" xfId="0" applyNumberFormat="1" applyFont="1" applyFill="1" applyBorder="1" applyAlignment="1">
      <alignment horizontal="center"/>
    </xf>
    <xf numFmtId="164" fontId="10" fillId="9" borderId="0" xfId="0" applyNumberFormat="1" applyFont="1" applyFill="1" applyBorder="1" applyAlignment="1" applyProtection="1">
      <alignment horizontal="center"/>
      <protection locked="0"/>
    </xf>
    <xf numFmtId="164" fontId="10" fillId="9" borderId="0" xfId="0" applyNumberFormat="1" applyFont="1" applyFill="1" applyBorder="1" applyAlignment="1">
      <alignment horizontal="left" wrapText="1"/>
    </xf>
    <xf numFmtId="164" fontId="10" fillId="9" borderId="0" xfId="0" applyNumberFormat="1" applyFont="1" applyFill="1" applyBorder="1" applyAlignment="1" applyProtection="1">
      <alignment horizontal="center" wrapText="1"/>
      <protection locked="0"/>
    </xf>
    <xf numFmtId="179" fontId="1" fillId="9" borderId="0" xfId="0" applyNumberFormat="1" applyFont="1" applyFill="1" applyBorder="1" applyAlignment="1" applyProtection="1">
      <alignment horizontal="center" wrapText="1"/>
      <protection locked="0"/>
    </xf>
    <xf numFmtId="164" fontId="1" fillId="9" borderId="0" xfId="0" applyNumberFormat="1" applyFont="1" applyFill="1" applyBorder="1" applyAlignment="1" applyProtection="1">
      <alignment horizontal="center" wrapText="1"/>
      <protection locked="0"/>
    </xf>
    <xf numFmtId="164" fontId="1" fillId="9" borderId="0" xfId="0" applyNumberFormat="1" applyFont="1" applyFill="1" applyBorder="1" applyAlignment="1" applyProtection="1">
      <alignment horizontal="center"/>
      <protection locked="0"/>
    </xf>
    <xf numFmtId="0" fontId="0" fillId="0" borderId="12" xfId="0" applyBorder="1"/>
    <xf numFmtId="0" fontId="0" fillId="0" borderId="13" xfId="0" applyBorder="1"/>
    <xf numFmtId="0" fontId="1" fillId="0" borderId="39" xfId="0" applyFont="1" applyBorder="1" applyAlignment="1">
      <alignment horizontal="center"/>
    </xf>
    <xf numFmtId="0" fontId="1" fillId="0" borderId="39" xfId="5" applyBorder="1"/>
    <xf numFmtId="0" fontId="0" fillId="0" borderId="4" xfId="0" applyBorder="1"/>
    <xf numFmtId="15" fontId="0" fillId="0" borderId="0" xfId="0" applyNumberFormat="1" applyBorder="1"/>
    <xf numFmtId="15" fontId="1" fillId="0" borderId="0" xfId="0" applyNumberFormat="1" applyFont="1" applyBorder="1"/>
    <xf numFmtId="0" fontId="1" fillId="0" borderId="0" xfId="5" applyBorder="1"/>
    <xf numFmtId="0" fontId="0" fillId="0" borderId="6" xfId="0" applyBorder="1"/>
    <xf numFmtId="10" fontId="0" fillId="0" borderId="0" xfId="0" applyNumberFormat="1" applyBorder="1"/>
    <xf numFmtId="10" fontId="0" fillId="0" borderId="6" xfId="0" applyNumberFormat="1" applyBorder="1"/>
    <xf numFmtId="0" fontId="1" fillId="0" borderId="5" xfId="0" applyFont="1" applyBorder="1"/>
    <xf numFmtId="0" fontId="1" fillId="0" borderId="7" xfId="5" applyBorder="1"/>
    <xf numFmtId="0" fontId="1" fillId="0" borderId="40" xfId="5" applyBorder="1"/>
    <xf numFmtId="10" fontId="0" fillId="0" borderId="40" xfId="0" applyNumberFormat="1" applyBorder="1"/>
    <xf numFmtId="10" fontId="0" fillId="0" borderId="8" xfId="0" applyNumberFormat="1" applyBorder="1"/>
    <xf numFmtId="15" fontId="0" fillId="0" borderId="39" xfId="0" applyNumberFormat="1" applyBorder="1"/>
    <xf numFmtId="15" fontId="1" fillId="0" borderId="39" xfId="0" applyNumberFormat="1" applyFont="1" applyBorder="1"/>
    <xf numFmtId="0" fontId="0" fillId="0" borderId="8" xfId="0" applyBorder="1"/>
    <xf numFmtId="16" fontId="6" fillId="0" borderId="39" xfId="0" applyNumberFormat="1" applyFont="1" applyBorder="1"/>
    <xf numFmtId="10" fontId="6" fillId="0" borderId="0" xfId="0" applyNumberFormat="1" applyFont="1" applyBorder="1"/>
    <xf numFmtId="0" fontId="6" fillId="0" borderId="0" xfId="0" applyFont="1" applyBorder="1"/>
    <xf numFmtId="0" fontId="6" fillId="0" borderId="40" xfId="0" applyFont="1" applyBorder="1"/>
    <xf numFmtId="0" fontId="6" fillId="0" borderId="40" xfId="5" applyFont="1" applyBorder="1"/>
    <xf numFmtId="0" fontId="0" fillId="0" borderId="39" xfId="0" applyBorder="1" applyAlignment="1">
      <alignment horizontal="center"/>
    </xf>
    <xf numFmtId="0" fontId="6" fillId="0" borderId="39" xfId="0" applyFont="1" applyBorder="1" applyAlignment="1">
      <alignment horizontal="center"/>
    </xf>
    <xf numFmtId="0" fontId="27" fillId="11" borderId="0" xfId="8" applyFill="1"/>
    <xf numFmtId="0" fontId="6" fillId="0" borderId="0" xfId="0" applyFont="1"/>
    <xf numFmtId="11" fontId="6" fillId="0" borderId="0" xfId="0" applyNumberFormat="1" applyFont="1"/>
    <xf numFmtId="3" fontId="6" fillId="0" borderId="0" xfId="0" applyNumberFormat="1" applyFont="1" applyAlignment="1">
      <alignment horizontal="center"/>
    </xf>
    <xf numFmtId="17" fontId="6" fillId="0" borderId="0" xfId="0" applyNumberFormat="1" applyFont="1"/>
    <xf numFmtId="3" fontId="6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3" fontId="8" fillId="3" borderId="0" xfId="0" applyNumberFormat="1" applyFont="1" applyFill="1" applyAlignment="1">
      <alignment horizontal="center"/>
    </xf>
    <xf numFmtId="3" fontId="9" fillId="3" borderId="15" xfId="0" applyNumberFormat="1" applyFont="1" applyFill="1" applyBorder="1" applyAlignment="1">
      <alignment horizontal="center"/>
    </xf>
    <xf numFmtId="3" fontId="9" fillId="3" borderId="9" xfId="0" applyNumberFormat="1" applyFont="1" applyFill="1" applyBorder="1" applyAlignment="1">
      <alignment horizontal="center"/>
    </xf>
    <xf numFmtId="3" fontId="9" fillId="3" borderId="16" xfId="0" applyNumberFormat="1" applyFont="1" applyFill="1" applyBorder="1" applyAlignment="1">
      <alignment horizontal="center"/>
    </xf>
    <xf numFmtId="0" fontId="28" fillId="0" borderId="0" xfId="8" applyFont="1" applyAlignment="1">
      <alignment horizontal="right" wrapText="1"/>
    </xf>
    <xf numFmtId="3" fontId="4" fillId="3" borderId="0" xfId="0" applyNumberFormat="1" applyFont="1" applyFill="1" applyAlignment="1">
      <alignment horizontal="center" wrapText="1"/>
    </xf>
    <xf numFmtId="3" fontId="1" fillId="0" borderId="0" xfId="0" applyNumberFormat="1" applyFont="1" applyAlignment="1">
      <alignment horizontal="center" vertical="center" wrapText="1"/>
    </xf>
    <xf numFmtId="3" fontId="1" fillId="4" borderId="0" xfId="0" applyNumberFormat="1" applyFont="1" applyFill="1" applyAlignment="1">
      <alignment horizontal="center"/>
    </xf>
    <xf numFmtId="3" fontId="4" fillId="3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horizontal="left" wrapText="1"/>
    </xf>
    <xf numFmtId="3" fontId="1" fillId="0" borderId="0" xfId="0" applyNumberFormat="1" applyFont="1" applyAlignment="1">
      <alignment horizontal="center" wrapText="1"/>
    </xf>
    <xf numFmtId="0" fontId="9" fillId="0" borderId="0" xfId="0" applyFont="1" applyBorder="1" applyAlignment="1">
      <alignment horizontal="center"/>
    </xf>
    <xf numFmtId="0" fontId="21" fillId="9" borderId="0" xfId="0" applyFont="1" applyFill="1" applyBorder="1" applyAlignment="1">
      <alignment horizontal="left"/>
    </xf>
    <xf numFmtId="164" fontId="4" fillId="9" borderId="28" xfId="0" applyNumberFormat="1" applyFont="1" applyFill="1" applyBorder="1" applyAlignment="1">
      <alignment horizontal="center"/>
    </xf>
    <xf numFmtId="164" fontId="4" fillId="9" borderId="29" xfId="0" applyNumberFormat="1" applyFont="1" applyFill="1" applyBorder="1" applyAlignment="1">
      <alignment horizontal="center"/>
    </xf>
  </cellXfs>
  <cellStyles count="11">
    <cellStyle name="Comma" xfId="1" builtinId="3"/>
    <cellStyle name="Comma 2" xfId="9" xr:uid="{EF5882B1-335E-45C7-97D6-22ECD53FDCE7}"/>
    <cellStyle name="Comma 7" xfId="4" xr:uid="{F2171BE8-FE0D-4151-AC06-417E0E9A208E}"/>
    <cellStyle name="Currency 2" xfId="6" xr:uid="{47EB6405-1F8F-4A9A-B530-6E416911071F}"/>
    <cellStyle name="Heading 2" xfId="7" builtinId="17"/>
    <cellStyle name="Normal" xfId="0" builtinId="0"/>
    <cellStyle name="Normal 2" xfId="5" xr:uid="{62805224-4972-45E8-9C46-00119CB5B2E7}"/>
    <cellStyle name="Normal 3" xfId="8" xr:uid="{F077D5C5-407F-4AEC-BD40-1A77A1538494}"/>
    <cellStyle name="Normal 8" xfId="3" xr:uid="{833F5876-D4BD-4158-A3B1-BE7C6C398F86}"/>
    <cellStyle name="Percent" xfId="2" builtinId="5"/>
    <cellStyle name="Percent 2" xfId="10" xr:uid="{A2DC4FC9-AFB9-4DCD-9B28-B18BDD9A4B53}"/>
  </cellStyles>
  <dxfs count="0"/>
  <tableStyles count="0" defaultTableStyle="TableStyleMedium9" defaultPivotStyle="PivotStyleLight16"/>
  <colors>
    <mruColors>
      <color rgb="FFEFF2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styles" Target="styles.xml"/><Relationship Id="rId35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vs Temperatures (2011-2020)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Weather!$C$110:$C$234</c:f>
              <c:numCache>
                <c:formatCode>0</c:formatCode>
                <c:ptCount val="125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</c:numCache>
            </c:numRef>
          </c:xVal>
          <c:yVal>
            <c:numRef>
              <c:f>Weather!$EG$110:$EG$234</c:f>
              <c:numCache>
                <c:formatCode>_(* #,##0_);_(* \(#,##0\);_(* "-"??_);_(@_)</c:formatCode>
                <c:ptCount val="125"/>
                <c:pt idx="0">
                  <c:v>23733365.085325282</c:v>
                </c:pt>
                <c:pt idx="1">
                  <c:v>22310529.535325348</c:v>
                </c:pt>
                <c:pt idx="2">
                  <c:v>20561511.105325352</c:v>
                </c:pt>
                <c:pt idx="3">
                  <c:v>18196504.345325314</c:v>
                </c:pt>
                <c:pt idx="4">
                  <c:v>19242436.605325352</c:v>
                </c:pt>
                <c:pt idx="5">
                  <c:v>23455207.885325335</c:v>
                </c:pt>
                <c:pt idx="6">
                  <c:v>29881256.025325283</c:v>
                </c:pt>
                <c:pt idx="7">
                  <c:v>28120502.455325332</c:v>
                </c:pt>
                <c:pt idx="8">
                  <c:v>19919582.535325326</c:v>
                </c:pt>
                <c:pt idx="9">
                  <c:v>18267774.095325306</c:v>
                </c:pt>
                <c:pt idx="10">
                  <c:v>20206933.495325342</c:v>
                </c:pt>
                <c:pt idx="11">
                  <c:v>25108396.295325305</c:v>
                </c:pt>
                <c:pt idx="12">
                  <c:v>22665511.009777255</c:v>
                </c:pt>
                <c:pt idx="13">
                  <c:v>21731631.059777245</c:v>
                </c:pt>
                <c:pt idx="14">
                  <c:v>20010014.379777245</c:v>
                </c:pt>
                <c:pt idx="15">
                  <c:v>18912007.339777257</c:v>
                </c:pt>
                <c:pt idx="16">
                  <c:v>19051304.719777234</c:v>
                </c:pt>
                <c:pt idx="17">
                  <c:v>27958863.159777239</c:v>
                </c:pt>
                <c:pt idx="18">
                  <c:v>33576079.829777248</c:v>
                </c:pt>
                <c:pt idx="19">
                  <c:v>30029439.459777251</c:v>
                </c:pt>
                <c:pt idx="20">
                  <c:v>21238214.669777248</c:v>
                </c:pt>
                <c:pt idx="21">
                  <c:v>19640038.639777251</c:v>
                </c:pt>
                <c:pt idx="22">
                  <c:v>21482109.149777245</c:v>
                </c:pt>
                <c:pt idx="23">
                  <c:v>25647572.909777213</c:v>
                </c:pt>
                <c:pt idx="24">
                  <c:v>24743261.071531244</c:v>
                </c:pt>
                <c:pt idx="25">
                  <c:v>23224532.891531281</c:v>
                </c:pt>
                <c:pt idx="26">
                  <c:v>23052750.88153125</c:v>
                </c:pt>
                <c:pt idx="27">
                  <c:v>19679187.661531229</c:v>
                </c:pt>
                <c:pt idx="28">
                  <c:v>20796344.531531259</c:v>
                </c:pt>
                <c:pt idx="29">
                  <c:v>24720133.67153126</c:v>
                </c:pt>
                <c:pt idx="30">
                  <c:v>31067397.23153127</c:v>
                </c:pt>
                <c:pt idx="31">
                  <c:v>28442759.621531248</c:v>
                </c:pt>
                <c:pt idx="32">
                  <c:v>20912722.881531265</c:v>
                </c:pt>
                <c:pt idx="33">
                  <c:v>20981353.041531246</c:v>
                </c:pt>
                <c:pt idx="34">
                  <c:v>21829613.801531244</c:v>
                </c:pt>
                <c:pt idx="35">
                  <c:v>28911020.861531246</c:v>
                </c:pt>
                <c:pt idx="36">
                  <c:v>26360023.557272851</c:v>
                </c:pt>
                <c:pt idx="37">
                  <c:v>26374215.547272835</c:v>
                </c:pt>
                <c:pt idx="38">
                  <c:v>24141795.047272857</c:v>
                </c:pt>
                <c:pt idx="39">
                  <c:v>22071105.877272848</c:v>
                </c:pt>
                <c:pt idx="40">
                  <c:v>20648893.407272812</c:v>
                </c:pt>
                <c:pt idx="41">
                  <c:v>24572425.267272837</c:v>
                </c:pt>
                <c:pt idx="42">
                  <c:v>28609332.357272841</c:v>
                </c:pt>
                <c:pt idx="43">
                  <c:v>26478984.537272859</c:v>
                </c:pt>
                <c:pt idx="44">
                  <c:v>21763182.987272844</c:v>
                </c:pt>
                <c:pt idx="45">
                  <c:v>21382264.647272848</c:v>
                </c:pt>
                <c:pt idx="46">
                  <c:v>22562429.487272851</c:v>
                </c:pt>
                <c:pt idx="47">
                  <c:v>27673778.197272848</c:v>
                </c:pt>
                <c:pt idx="48">
                  <c:v>28069177.441256527</c:v>
                </c:pt>
                <c:pt idx="49">
                  <c:v>26707165.383425221</c:v>
                </c:pt>
                <c:pt idx="50">
                  <c:v>24478082.20270231</c:v>
                </c:pt>
                <c:pt idx="51">
                  <c:v>20676669.084630042</c:v>
                </c:pt>
                <c:pt idx="52">
                  <c:v>21746093.258124005</c:v>
                </c:pt>
                <c:pt idx="53">
                  <c:v>25107302.887039673</c:v>
                </c:pt>
                <c:pt idx="54">
                  <c:v>31952965.229208339</c:v>
                </c:pt>
                <c:pt idx="55">
                  <c:v>29580077.267762542</c:v>
                </c:pt>
                <c:pt idx="56">
                  <c:v>26608771.542461362</c:v>
                </c:pt>
                <c:pt idx="57">
                  <c:v>21483913.277401097</c:v>
                </c:pt>
                <c:pt idx="58">
                  <c:v>19734087.166557718</c:v>
                </c:pt>
                <c:pt idx="59">
                  <c:v>23600600.062943287</c:v>
                </c:pt>
                <c:pt idx="60">
                  <c:v>26488550.719732195</c:v>
                </c:pt>
                <c:pt idx="61">
                  <c:v>25023617.148647863</c:v>
                </c:pt>
                <c:pt idx="62">
                  <c:v>23461776.319732215</c:v>
                </c:pt>
                <c:pt idx="63">
                  <c:v>22136159.26912979</c:v>
                </c:pt>
                <c:pt idx="64">
                  <c:v>21068139.211298458</c:v>
                </c:pt>
                <c:pt idx="65">
                  <c:v>30493925.726961114</c:v>
                </c:pt>
                <c:pt idx="66">
                  <c:v>36232069.967924938</c:v>
                </c:pt>
                <c:pt idx="67">
                  <c:v>36666591.857081592</c:v>
                </c:pt>
                <c:pt idx="68">
                  <c:v>27451832.531780414</c:v>
                </c:pt>
                <c:pt idx="69">
                  <c:v>19916253.264310535</c:v>
                </c:pt>
                <c:pt idx="70">
                  <c:v>19873181.534190029</c:v>
                </c:pt>
                <c:pt idx="71">
                  <c:v>27978193.948647868</c:v>
                </c:pt>
                <c:pt idx="72">
                  <c:v>27093622.098643739</c:v>
                </c:pt>
                <c:pt idx="73">
                  <c:v>23068759.370932903</c:v>
                </c:pt>
                <c:pt idx="74">
                  <c:v>25389455.235993147</c:v>
                </c:pt>
                <c:pt idx="75">
                  <c:v>20358576.739607595</c:v>
                </c:pt>
                <c:pt idx="76">
                  <c:v>21397367.515511237</c:v>
                </c:pt>
                <c:pt idx="77">
                  <c:v>28536633.10587268</c:v>
                </c:pt>
                <c:pt idx="78">
                  <c:v>29930546.214306407</c:v>
                </c:pt>
                <c:pt idx="79">
                  <c:v>30545492.91310158</c:v>
                </c:pt>
                <c:pt idx="80">
                  <c:v>26816098.763703998</c:v>
                </c:pt>
                <c:pt idx="81">
                  <c:v>21561059.833583519</c:v>
                </c:pt>
                <c:pt idx="82">
                  <c:v>23579172.681776274</c:v>
                </c:pt>
                <c:pt idx="83">
                  <c:v>27478381.028764222</c:v>
                </c:pt>
                <c:pt idx="84">
                  <c:v>29607203.423201349</c:v>
                </c:pt>
                <c:pt idx="85">
                  <c:v>24179288.772598948</c:v>
                </c:pt>
                <c:pt idx="86">
                  <c:v>26124027.606333889</c:v>
                </c:pt>
                <c:pt idx="87">
                  <c:v>22298688.406333879</c:v>
                </c:pt>
                <c:pt idx="88">
                  <c:v>24908740.34850258</c:v>
                </c:pt>
                <c:pt idx="89">
                  <c:v>34041039.172598973</c:v>
                </c:pt>
                <c:pt idx="90">
                  <c:v>35267527.105129071</c:v>
                </c:pt>
                <c:pt idx="91">
                  <c:v>37882496.762960359</c:v>
                </c:pt>
                <c:pt idx="92">
                  <c:v>28623515.240068838</c:v>
                </c:pt>
                <c:pt idx="93">
                  <c:v>23069429.620791711</c:v>
                </c:pt>
                <c:pt idx="94">
                  <c:v>22177389.890671223</c:v>
                </c:pt>
                <c:pt idx="95">
                  <c:v>30826041.620791715</c:v>
                </c:pt>
                <c:pt idx="96">
                  <c:v>30296678.502611879</c:v>
                </c:pt>
                <c:pt idx="97">
                  <c:v>27263823.630322684</c:v>
                </c:pt>
                <c:pt idx="98">
                  <c:v>25289889.885744374</c:v>
                </c:pt>
                <c:pt idx="99">
                  <c:v>24085428.083334759</c:v>
                </c:pt>
                <c:pt idx="100">
                  <c:v>23509154.888154022</c:v>
                </c:pt>
                <c:pt idx="101">
                  <c:v>26580302.01104556</c:v>
                </c:pt>
                <c:pt idx="102">
                  <c:v>38634397.654419079</c:v>
                </c:pt>
                <c:pt idx="103">
                  <c:v>35462351.398997389</c:v>
                </c:pt>
                <c:pt idx="104">
                  <c:v>26458002.714660037</c:v>
                </c:pt>
                <c:pt idx="105">
                  <c:v>23458321.991768487</c:v>
                </c:pt>
                <c:pt idx="106">
                  <c:v>22723875.611045595</c:v>
                </c:pt>
                <c:pt idx="107">
                  <c:v>29555236.748394977</c:v>
                </c:pt>
                <c:pt idx="108">
                  <c:v>31096332.909579843</c:v>
                </c:pt>
                <c:pt idx="109">
                  <c:v>26929021.208375014</c:v>
                </c:pt>
                <c:pt idx="110">
                  <c:v>26338553.699941278</c:v>
                </c:pt>
                <c:pt idx="111">
                  <c:v>27039073.834881049</c:v>
                </c:pt>
                <c:pt idx="112">
                  <c:v>27307988.668615971</c:v>
                </c:pt>
                <c:pt idx="113">
                  <c:v>39033998.461387023</c:v>
                </c:pt>
                <c:pt idx="114">
                  <c:v>45880496.822832875</c:v>
                </c:pt>
                <c:pt idx="115">
                  <c:v>40192363.868616</c:v>
                </c:pt>
                <c:pt idx="116">
                  <c:v>28598946.287893068</c:v>
                </c:pt>
                <c:pt idx="117">
                  <c:v>25393750.721628018</c:v>
                </c:pt>
                <c:pt idx="118">
                  <c:v>23298897.661387056</c:v>
                </c:pt>
                <c:pt idx="119">
                  <c:v>29408230.692712367</c:v>
                </c:pt>
                <c:pt idx="120">
                  <c:v>33477332.406683832</c:v>
                </c:pt>
                <c:pt idx="121">
                  <c:v>31909165.380177792</c:v>
                </c:pt>
                <c:pt idx="122">
                  <c:v>27920614.768129587</c:v>
                </c:pt>
                <c:pt idx="123">
                  <c:v>25767139.02837057</c:v>
                </c:pt>
                <c:pt idx="124">
                  <c:v>27806855.086201914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CF-4C33-8AF6-631872F2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Model'!$B$4:$B$25</c:f>
              <c:numCache>
                <c:formatCode>_(* #,##0_);_(* \(#,##0\);_(* "-"??_);_(@_)</c:formatCode>
                <c:ptCount val="22"/>
                <c:pt idx="0">
                  <c:v>9354</c:v>
                </c:pt>
                <c:pt idx="1">
                  <c:v>9551</c:v>
                </c:pt>
                <c:pt idx="2">
                  <c:v>11003.5</c:v>
                </c:pt>
                <c:pt idx="3">
                  <c:v>13067.5</c:v>
                </c:pt>
                <c:pt idx="4">
                  <c:v>14790.5</c:v>
                </c:pt>
                <c:pt idx="5">
                  <c:v>16685.5</c:v>
                </c:pt>
                <c:pt idx="6">
                  <c:v>18165.5</c:v>
                </c:pt>
                <c:pt idx="7">
                  <c:v>19512.5</c:v>
                </c:pt>
                <c:pt idx="8">
                  <c:v>21530</c:v>
                </c:pt>
                <c:pt idx="9">
                  <c:v>23793.5</c:v>
                </c:pt>
                <c:pt idx="10">
                  <c:v>25709.5</c:v>
                </c:pt>
                <c:pt idx="11">
                  <c:v>27124.416666666668</c:v>
                </c:pt>
                <c:pt idx="12">
                  <c:v>28837.75</c:v>
                </c:pt>
                <c:pt idx="13">
                  <c:v>30730.666666666668</c:v>
                </c:pt>
                <c:pt idx="14">
                  <c:v>31706.916666666668</c:v>
                </c:pt>
                <c:pt idx="15">
                  <c:v>32717.583333333332</c:v>
                </c:pt>
                <c:pt idx="16">
                  <c:v>33532.916666666664</c:v>
                </c:pt>
                <c:pt idx="17">
                  <c:v>34343.25</c:v>
                </c:pt>
                <c:pt idx="18">
                  <c:v>35796.166666666664</c:v>
                </c:pt>
                <c:pt idx="19">
                  <c:v>37001.166666666664</c:v>
                </c:pt>
                <c:pt idx="20">
                  <c:v>37705.916666666664</c:v>
                </c:pt>
                <c:pt idx="21">
                  <c:v>38491.25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18-47F0-A6C7-9740DC69AC15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Model'!$B$40:$B$41)</c:f>
              <c:numCache>
                <c:formatCode>_(* #,##0_);_(* \(#,##0\);_(* "-"??_);_(@_)</c:formatCode>
                <c:ptCount val="24"/>
                <c:pt idx="22" formatCode="#,##0">
                  <c:v>39229.25</c:v>
                </c:pt>
                <c:pt idx="23" formatCode="#,##0">
                  <c:v>40087.583333333314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0A-492D-8BB9-38230449E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Model'!$E$4:$E$25</c:f>
              <c:numCache>
                <c:formatCode>_(* #,##0_);_(* \(#,##0\);_(* "-"??_);_(@_)</c:formatCode>
                <c:ptCount val="22"/>
                <c:pt idx="0">
                  <c:v>1715</c:v>
                </c:pt>
                <c:pt idx="1">
                  <c:v>1705</c:v>
                </c:pt>
                <c:pt idx="2">
                  <c:v>1706.5</c:v>
                </c:pt>
                <c:pt idx="3">
                  <c:v>1736.5</c:v>
                </c:pt>
                <c:pt idx="4">
                  <c:v>1781.5</c:v>
                </c:pt>
                <c:pt idx="5">
                  <c:v>1896.5</c:v>
                </c:pt>
                <c:pt idx="6">
                  <c:v>1994</c:v>
                </c:pt>
                <c:pt idx="7">
                  <c:v>2023.2162883845126</c:v>
                </c:pt>
                <c:pt idx="8">
                  <c:v>2091.9998004488557</c:v>
                </c:pt>
                <c:pt idx="9">
                  <c:v>2169.2835120643431</c:v>
                </c:pt>
                <c:pt idx="10">
                  <c:v>2243</c:v>
                </c:pt>
                <c:pt idx="11">
                  <c:v>2331.25</c:v>
                </c:pt>
                <c:pt idx="12">
                  <c:v>2401.6666666666665</c:v>
                </c:pt>
                <c:pt idx="13">
                  <c:v>2458.1666666666665</c:v>
                </c:pt>
                <c:pt idx="14">
                  <c:v>2510.0833333333335</c:v>
                </c:pt>
                <c:pt idx="15">
                  <c:v>2551.8333333333335</c:v>
                </c:pt>
                <c:pt idx="16">
                  <c:v>2602.9166666666665</c:v>
                </c:pt>
                <c:pt idx="17">
                  <c:v>2646.3333333333335</c:v>
                </c:pt>
                <c:pt idx="18">
                  <c:v>2685.9166666666665</c:v>
                </c:pt>
                <c:pt idx="19">
                  <c:v>2691.6666666666665</c:v>
                </c:pt>
                <c:pt idx="20">
                  <c:v>2724.9166666666665</c:v>
                </c:pt>
                <c:pt idx="21">
                  <c:v>2875.75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8-4CA2-AF38-EEF1A797B7B4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Model'!$E$40:$E$41)</c:f>
              <c:numCache>
                <c:formatCode>_(* #,##0_);_(* \(#,##0\);_(* "-"??_);_(@_)</c:formatCode>
                <c:ptCount val="24"/>
                <c:pt idx="22" formatCode="#,##0">
                  <c:v>2943.0857992373026</c:v>
                </c:pt>
                <c:pt idx="23" formatCode="#,##0">
                  <c:v>2989.9091003503345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68-4CA2-AF38-EEF1A797B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Model'!$H$4:$H$25</c:f>
              <c:numCache>
                <c:formatCode>_(* #,##0_);_(* \(#,##0\);_(* "-"??_);_(@_)</c:formatCode>
                <c:ptCount val="22"/>
                <c:pt idx="0">
                  <c:v>183</c:v>
                </c:pt>
                <c:pt idx="1">
                  <c:v>188.5</c:v>
                </c:pt>
                <c:pt idx="2">
                  <c:v>205</c:v>
                </c:pt>
                <c:pt idx="3">
                  <c:v>215</c:v>
                </c:pt>
                <c:pt idx="4">
                  <c:v>220.5</c:v>
                </c:pt>
                <c:pt idx="5">
                  <c:v>236.5</c:v>
                </c:pt>
                <c:pt idx="6">
                  <c:v>244.5</c:v>
                </c:pt>
                <c:pt idx="7">
                  <c:v>259</c:v>
                </c:pt>
                <c:pt idx="8">
                  <c:v>273.5</c:v>
                </c:pt>
                <c:pt idx="9">
                  <c:v>274.5</c:v>
                </c:pt>
                <c:pt idx="10">
                  <c:v>266</c:v>
                </c:pt>
                <c:pt idx="11">
                  <c:v>263.58333333333331</c:v>
                </c:pt>
                <c:pt idx="12">
                  <c:v>271.33333333333331</c:v>
                </c:pt>
                <c:pt idx="13">
                  <c:v>272.16666666666669</c:v>
                </c:pt>
                <c:pt idx="14">
                  <c:v>279.5</c:v>
                </c:pt>
                <c:pt idx="15">
                  <c:v>290.58333333333331</c:v>
                </c:pt>
                <c:pt idx="16">
                  <c:v>297.66666666666669</c:v>
                </c:pt>
                <c:pt idx="17">
                  <c:v>319.25</c:v>
                </c:pt>
                <c:pt idx="18">
                  <c:v>329.66666666666669</c:v>
                </c:pt>
                <c:pt idx="19">
                  <c:v>342.33333333333331</c:v>
                </c:pt>
                <c:pt idx="20">
                  <c:v>352.75</c:v>
                </c:pt>
                <c:pt idx="21">
                  <c:v>344.58333333333331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2B-4AF1-AA85-6BC842FC97A5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Model'!$H$40:$H$41)</c:f>
              <c:numCache>
                <c:formatCode>_(* #,##0_);_(* \(#,##0\);_(* "-"??_);_(@_)</c:formatCode>
                <c:ptCount val="24"/>
                <c:pt idx="22" formatCode="#,##0">
                  <c:v>332.7072304649999</c:v>
                </c:pt>
                <c:pt idx="23" formatCode="#,##0">
                  <c:v>343.80146517608017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2B-4AF1-AA85-6BC842FC9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1,000-4,999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Model'!$K$4:$K$25</c:f>
              <c:numCache>
                <c:formatCode>_(* #,##0_);_(* \(#,##0\);_(* "-"??_);_(@_)</c:formatCode>
                <c:ptCount val="2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10.5</c:v>
                </c:pt>
                <c:pt idx="6">
                  <c:v>12</c:v>
                </c:pt>
                <c:pt idx="7">
                  <c:v>13.5</c:v>
                </c:pt>
                <c:pt idx="8">
                  <c:v>14</c:v>
                </c:pt>
                <c:pt idx="9">
                  <c:v>13.167</c:v>
                </c:pt>
                <c:pt idx="10">
                  <c:v>12.667</c:v>
                </c:pt>
                <c:pt idx="11">
                  <c:v>12.5</c:v>
                </c:pt>
                <c:pt idx="12">
                  <c:v>12</c:v>
                </c:pt>
                <c:pt idx="13">
                  <c:v>11.5</c:v>
                </c:pt>
                <c:pt idx="14">
                  <c:v>11.5</c:v>
                </c:pt>
                <c:pt idx="15">
                  <c:v>12.583333333333334</c:v>
                </c:pt>
                <c:pt idx="16">
                  <c:v>13.5</c:v>
                </c:pt>
                <c:pt idx="17">
                  <c:v>15</c:v>
                </c:pt>
                <c:pt idx="18">
                  <c:v>14.166666666666666</c:v>
                </c:pt>
                <c:pt idx="19">
                  <c:v>14</c:v>
                </c:pt>
                <c:pt idx="20">
                  <c:v>14.583333333333334</c:v>
                </c:pt>
                <c:pt idx="21">
                  <c:v>13.916666666666666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E7-4F87-95F2-4B5673B8B613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Model'!$K$40:$K$41)</c:f>
              <c:numCache>
                <c:formatCode>_(* #,##0_);_(* \(#,##0\);_(* "-"??_);_(@_)</c:formatCode>
                <c:ptCount val="24"/>
                <c:pt idx="22" formatCode="#,##0">
                  <c:v>12</c:v>
                </c:pt>
                <c:pt idx="23" formatCode="#,##0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E7-4F87-95F2-4B5673B8B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Model'!$N$4:$N$25</c:f>
              <c:numCache>
                <c:formatCode>_(* #,##0_);_(* \(#,##0\);_(* "-"??_);_(@_)</c:formatCode>
                <c:ptCount val="22"/>
                <c:pt idx="0">
                  <c:v>1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2.5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D-42D2-87CD-ACD6CAD1BEA0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Model'!$N$40:$N$41)</c:f>
              <c:numCache>
                <c:formatCode>_(* #,##0_);_(* \(#,##0\);_(* "-"??_);_(@_)</c:formatCode>
                <c:ptCount val="24"/>
                <c:pt idx="22" formatCode="#,##0">
                  <c:v>3</c:v>
                </c:pt>
                <c:pt idx="23" formatCode="#,##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D-42D2-87CD-ACD6CAD1B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Streetlights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Model'!$Q$4:$Q$25</c:f>
              <c:numCache>
                <c:formatCode>_(* #,##0_);_(* \(#,##0\);_(* "-"??_);_(@_)</c:formatCode>
                <c:ptCount val="22"/>
                <c:pt idx="0">
                  <c:v>2242</c:v>
                </c:pt>
                <c:pt idx="1">
                  <c:v>2263.5</c:v>
                </c:pt>
                <c:pt idx="2">
                  <c:v>2315.5</c:v>
                </c:pt>
                <c:pt idx="3">
                  <c:v>2378</c:v>
                </c:pt>
                <c:pt idx="4">
                  <c:v>2437</c:v>
                </c:pt>
                <c:pt idx="5">
                  <c:v>2497.5</c:v>
                </c:pt>
                <c:pt idx="6">
                  <c:v>2554</c:v>
                </c:pt>
                <c:pt idx="7">
                  <c:v>2606.5</c:v>
                </c:pt>
                <c:pt idx="8">
                  <c:v>2671.5</c:v>
                </c:pt>
                <c:pt idx="9">
                  <c:v>2741.5</c:v>
                </c:pt>
                <c:pt idx="10">
                  <c:v>2784.5</c:v>
                </c:pt>
                <c:pt idx="11">
                  <c:v>2847.5</c:v>
                </c:pt>
                <c:pt idx="12">
                  <c:v>2945.5</c:v>
                </c:pt>
                <c:pt idx="13">
                  <c:v>3018.5</c:v>
                </c:pt>
                <c:pt idx="14">
                  <c:v>3071.5</c:v>
                </c:pt>
                <c:pt idx="15">
                  <c:v>3127.6666666666665</c:v>
                </c:pt>
                <c:pt idx="16">
                  <c:v>3165</c:v>
                </c:pt>
                <c:pt idx="17">
                  <c:v>3230.8333333333335</c:v>
                </c:pt>
                <c:pt idx="18">
                  <c:v>3261.8852459016393</c:v>
                </c:pt>
                <c:pt idx="19">
                  <c:v>3279.25</c:v>
                </c:pt>
                <c:pt idx="20">
                  <c:v>3217.6372549019611</c:v>
                </c:pt>
                <c:pt idx="21">
                  <c:v>2891.9519230769233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18-49E6-84FA-37030FA4EB89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Model'!$Q$40:$Q$41)</c:f>
              <c:numCache>
                <c:formatCode>_(* #,##0_);_(* \(#,##0\);_(* "-"??_);_(@_)</c:formatCode>
                <c:ptCount val="24"/>
                <c:pt idx="22" formatCode="#,##0">
                  <c:v>2904.6832348918383</c:v>
                </c:pt>
                <c:pt idx="23" formatCode="#,##0">
                  <c:v>2919.41159236661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18-49E6-84FA-37030FA4E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Model'!$T$4:$T$25</c:f>
              <c:numCache>
                <c:formatCode>_(* #,##0_);_(* \(#,##0\);_(* "-"??_);_(@_)</c:formatCode>
                <c:ptCount val="22"/>
                <c:pt idx="0">
                  <c:v>328</c:v>
                </c:pt>
                <c:pt idx="1">
                  <c:v>328.5</c:v>
                </c:pt>
                <c:pt idx="2">
                  <c:v>315</c:v>
                </c:pt>
                <c:pt idx="3">
                  <c:v>306</c:v>
                </c:pt>
                <c:pt idx="4">
                  <c:v>310</c:v>
                </c:pt>
                <c:pt idx="5">
                  <c:v>303.5</c:v>
                </c:pt>
                <c:pt idx="6">
                  <c:v>296.5</c:v>
                </c:pt>
                <c:pt idx="7">
                  <c:v>292.5</c:v>
                </c:pt>
                <c:pt idx="8">
                  <c:v>289</c:v>
                </c:pt>
                <c:pt idx="9">
                  <c:v>283.5</c:v>
                </c:pt>
                <c:pt idx="10">
                  <c:v>272.5</c:v>
                </c:pt>
                <c:pt idx="11">
                  <c:v>265.5</c:v>
                </c:pt>
                <c:pt idx="12">
                  <c:v>265</c:v>
                </c:pt>
                <c:pt idx="13">
                  <c:v>260.5</c:v>
                </c:pt>
                <c:pt idx="14">
                  <c:v>253.5</c:v>
                </c:pt>
                <c:pt idx="15">
                  <c:v>249.47058823529406</c:v>
                </c:pt>
                <c:pt idx="16">
                  <c:v>246.64705882352919</c:v>
                </c:pt>
                <c:pt idx="17">
                  <c:v>243.82352941176433</c:v>
                </c:pt>
                <c:pt idx="18">
                  <c:v>240.99999999999946</c:v>
                </c:pt>
                <c:pt idx="19">
                  <c:v>238.17647058823459</c:v>
                </c:pt>
                <c:pt idx="20">
                  <c:v>235.88235294117598</c:v>
                </c:pt>
                <c:pt idx="21">
                  <c:v>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B-4096-950E-5EA7E144E803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Model'!$T$40:$T$41)</c:f>
              <c:numCache>
                <c:formatCode>_(* #,##0_);_(* \(#,##0\);_(* "-"??_);_(@_)</c:formatCode>
                <c:ptCount val="24"/>
                <c:pt idx="22" formatCode="#,##0">
                  <c:v>234.07753306777536</c:v>
                </c:pt>
                <c:pt idx="23" formatCode="#,##0">
                  <c:v>231.19110332107795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B-4096-950E-5EA7E144E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Unmetered Loads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Model'!$W$4:$W$25</c:f>
              <c:numCache>
                <c:formatCode>_(* #,##0_);_(* \(#,##0\);_(* "-"??_);_(@_)</c:formatCode>
                <c:ptCount val="22"/>
                <c:pt idx="0">
                  <c:v>0</c:v>
                </c:pt>
                <c:pt idx="1">
                  <c:v>55</c:v>
                </c:pt>
                <c:pt idx="2">
                  <c:v>112</c:v>
                </c:pt>
                <c:pt idx="3">
                  <c:v>118</c:v>
                </c:pt>
                <c:pt idx="4">
                  <c:v>129.5</c:v>
                </c:pt>
                <c:pt idx="5">
                  <c:v>138</c:v>
                </c:pt>
                <c:pt idx="6">
                  <c:v>140.5</c:v>
                </c:pt>
                <c:pt idx="7">
                  <c:v>155.28371161548731</c:v>
                </c:pt>
                <c:pt idx="8">
                  <c:v>172.50019955114414</c:v>
                </c:pt>
                <c:pt idx="9">
                  <c:v>179.7164879356568</c:v>
                </c:pt>
                <c:pt idx="10">
                  <c:v>183.5</c:v>
                </c:pt>
                <c:pt idx="11">
                  <c:v>185.5</c:v>
                </c:pt>
                <c:pt idx="12">
                  <c:v>189.5</c:v>
                </c:pt>
                <c:pt idx="13">
                  <c:v>192</c:v>
                </c:pt>
                <c:pt idx="14">
                  <c:v>190.5</c:v>
                </c:pt>
                <c:pt idx="15">
                  <c:v>207.16666666666666</c:v>
                </c:pt>
                <c:pt idx="16">
                  <c:v>222.41666666666666</c:v>
                </c:pt>
                <c:pt idx="17">
                  <c:v>215.58333333333334</c:v>
                </c:pt>
                <c:pt idx="18">
                  <c:v>219.08333333333334</c:v>
                </c:pt>
                <c:pt idx="19">
                  <c:v>216.66666666666666</c:v>
                </c:pt>
                <c:pt idx="20">
                  <c:v>215.75</c:v>
                </c:pt>
                <c:pt idx="21">
                  <c:v>216.41666666666666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D8-4843-8612-32CB33CB0B6D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Model'!$W$40:$W$41)</c:f>
              <c:numCache>
                <c:formatCode>_(* #,##0_);_(* \(#,##0\);_(* "-"??_);_(@_)</c:formatCode>
                <c:ptCount val="24"/>
                <c:pt idx="22" formatCode="#,##0">
                  <c:v>219.59999999999994</c:v>
                </c:pt>
                <c:pt idx="23" formatCode="#,##0">
                  <c:v>222.86475388975543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D8-4843-8612-32CB33CB0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1,000-4,999 (monthly)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'Rate Class Customer Model'!$K$48:$K$59</c:f>
              <c:numCache>
                <c:formatCode>#,##0</c:formatCode>
                <c:ptCount val="12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14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9B-42C0-966F-E5DBE67DE589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('Rate Class Customer Model'!$D$48:$D$59,'Rate Class Customer Model'!$K$60:$K$83)</c:f>
              <c:numCache>
                <c:formatCode>#,##0</c:formatCode>
                <c:ptCount val="36"/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9B-42C0-966F-E5DBE67DE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dateAx>
        <c:axId val="525987719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Offset val="100"/>
        <c:baseTimeUnit val="months"/>
      </c:date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  <a:r>
              <a:rPr lang="en-US" baseline="0"/>
              <a:t> (m</a:t>
            </a:r>
            <a:r>
              <a:rPr lang="en-US"/>
              <a:t>onthly)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'Rate Class Customer Model'!$E$48:$E$59</c:f>
              <c:numCache>
                <c:formatCode>#,##0</c:formatCode>
                <c:ptCount val="12"/>
                <c:pt idx="0">
                  <c:v>2807</c:v>
                </c:pt>
                <c:pt idx="1">
                  <c:v>2848</c:v>
                </c:pt>
                <c:pt idx="2">
                  <c:v>2849</c:v>
                </c:pt>
                <c:pt idx="3">
                  <c:v>2861</c:v>
                </c:pt>
                <c:pt idx="4">
                  <c:v>2864</c:v>
                </c:pt>
                <c:pt idx="5">
                  <c:v>2867</c:v>
                </c:pt>
                <c:pt idx="6">
                  <c:v>2870</c:v>
                </c:pt>
                <c:pt idx="7">
                  <c:v>2898</c:v>
                </c:pt>
                <c:pt idx="8">
                  <c:v>2914</c:v>
                </c:pt>
                <c:pt idx="9">
                  <c:v>2906</c:v>
                </c:pt>
                <c:pt idx="10">
                  <c:v>2907</c:v>
                </c:pt>
                <c:pt idx="11">
                  <c:v>2918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3-4EDD-AE3E-2C58543C2769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('Rate Class Customer Model'!$D$48:$D$59,'Rate Class Customer Model'!$E$60:$E$83)</c:f>
              <c:numCache>
                <c:formatCode>#,##0</c:formatCode>
                <c:ptCount val="36"/>
                <c:pt idx="12">
                  <c:v>2921.8407564334648</c:v>
                </c:pt>
                <c:pt idx="13">
                  <c:v>2925.6865681822078</c:v>
                </c:pt>
                <c:pt idx="14">
                  <c:v>2929.5374419001814</c:v>
                </c:pt>
                <c:pt idx="15">
                  <c:v>2933.3933842500974</c:v>
                </c:pt>
                <c:pt idx="16">
                  <c:v>2937.2544019034358</c:v>
                </c:pt>
                <c:pt idx="17">
                  <c:v>2941.1205015404589</c:v>
                </c:pt>
                <c:pt idx="18">
                  <c:v>2944.9916898502215</c:v>
                </c:pt>
                <c:pt idx="19">
                  <c:v>2948.8679735305823</c:v>
                </c:pt>
                <c:pt idx="20">
                  <c:v>2952.7493592882161</c:v>
                </c:pt>
                <c:pt idx="21">
                  <c:v>2956.6358538386257</c:v>
                </c:pt>
                <c:pt idx="22">
                  <c:v>2960.5274639061527</c:v>
                </c:pt>
                <c:pt idx="23">
                  <c:v>2964.4241962239889</c:v>
                </c:pt>
                <c:pt idx="24">
                  <c:v>2968.3260575341897</c:v>
                </c:pt>
                <c:pt idx="25">
                  <c:v>2972.2330545876839</c:v>
                </c:pt>
                <c:pt idx="26">
                  <c:v>2976.1451941442856</c:v>
                </c:pt>
                <c:pt idx="27">
                  <c:v>2980.0624829727076</c:v>
                </c:pt>
                <c:pt idx="28">
                  <c:v>2983.9849278505708</c:v>
                </c:pt>
                <c:pt idx="29">
                  <c:v>2987.9125355644173</c:v>
                </c:pt>
                <c:pt idx="30">
                  <c:v>2991.845312909722</c:v>
                </c:pt>
                <c:pt idx="31">
                  <c:v>2995.7832666909039</c:v>
                </c:pt>
                <c:pt idx="32">
                  <c:v>2999.726403721339</c:v>
                </c:pt>
                <c:pt idx="33">
                  <c:v>3003.6747308233703</c:v>
                </c:pt>
                <c:pt idx="34">
                  <c:v>3007.6282548283207</c:v>
                </c:pt>
                <c:pt idx="35">
                  <c:v>3011.5869825765053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3-4EDD-AE3E-2C58543C2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dateAx>
        <c:axId val="525987719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Offset val="100"/>
        <c:baseTimeUnit val="months"/>
      </c:date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Actaul Vs. Predicted (2011-2020)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Purchases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Weather!$C$2:$C$234</c:f>
              <c:numCache>
                <c:formatCode>0</c:formatCode>
                <c:ptCount val="233"/>
                <c:pt idx="0">
                  <c:v>-0.45806451612903204</c:v>
                </c:pt>
                <c:pt idx="1">
                  <c:v>-1.2928571428571425</c:v>
                </c:pt>
                <c:pt idx="2">
                  <c:v>0.39999999999999997</c:v>
                </c:pt>
                <c:pt idx="3">
                  <c:v>7.293333333333333</c:v>
                </c:pt>
                <c:pt idx="4">
                  <c:v>10.912903225806451</c:v>
                </c:pt>
                <c:pt idx="5">
                  <c:v>19.126666666666665</c:v>
                </c:pt>
                <c:pt idx="6">
                  <c:v>24.20645161290323</c:v>
                </c:pt>
                <c:pt idx="7">
                  <c:v>22.596774193548384</c:v>
                </c:pt>
                <c:pt idx="8">
                  <c:v>20.193333333333335</c:v>
                </c:pt>
                <c:pt idx="9">
                  <c:v>8.8967741935483851</c:v>
                </c:pt>
                <c:pt idx="10">
                  <c:v>3.166666666666667</c:v>
                </c:pt>
                <c:pt idx="11">
                  <c:v>-1.9806451612903229</c:v>
                </c:pt>
                <c:pt idx="12">
                  <c:v>-8.2741935483870961</c:v>
                </c:pt>
                <c:pt idx="13">
                  <c:v>-6.9642857142857144</c:v>
                </c:pt>
                <c:pt idx="14">
                  <c:v>-0.7451612903225816</c:v>
                </c:pt>
                <c:pt idx="15">
                  <c:v>5.6633333333333331</c:v>
                </c:pt>
                <c:pt idx="16">
                  <c:v>12.261290322580646</c:v>
                </c:pt>
                <c:pt idx="17">
                  <c:v>18.316666666666663</c:v>
                </c:pt>
                <c:pt idx="18">
                  <c:v>21.809677419354834</c:v>
                </c:pt>
                <c:pt idx="19">
                  <c:v>22.06451612903226</c:v>
                </c:pt>
                <c:pt idx="20">
                  <c:v>16.970000000000002</c:v>
                </c:pt>
                <c:pt idx="21">
                  <c:v>9.0967741935483897</c:v>
                </c:pt>
                <c:pt idx="22">
                  <c:v>4.7166666666666659</c:v>
                </c:pt>
                <c:pt idx="23">
                  <c:v>-0.11290322580645111</c:v>
                </c:pt>
                <c:pt idx="24">
                  <c:v>-9.3903225806451598</c:v>
                </c:pt>
                <c:pt idx="25">
                  <c:v>-3.7827586206896551</c:v>
                </c:pt>
                <c:pt idx="26">
                  <c:v>2.2806451612903227</c:v>
                </c:pt>
                <c:pt idx="27">
                  <c:v>6.95</c:v>
                </c:pt>
                <c:pt idx="28">
                  <c:v>13.151612903225805</c:v>
                </c:pt>
                <c:pt idx="29">
                  <c:v>17.579999999999998</c:v>
                </c:pt>
                <c:pt idx="30">
                  <c:v>20.670967741935488</c:v>
                </c:pt>
                <c:pt idx="31">
                  <c:v>19.509677419354841</c:v>
                </c:pt>
                <c:pt idx="32">
                  <c:v>18.373333333333338</c:v>
                </c:pt>
                <c:pt idx="33">
                  <c:v>10.748387096774191</c:v>
                </c:pt>
                <c:pt idx="34">
                  <c:v>5.3633333333333333</c:v>
                </c:pt>
                <c:pt idx="35">
                  <c:v>-2.7548387096774194</c:v>
                </c:pt>
                <c:pt idx="36">
                  <c:v>-6.838709677419355</c:v>
                </c:pt>
                <c:pt idx="37">
                  <c:v>-4.0142857142857142</c:v>
                </c:pt>
                <c:pt idx="38">
                  <c:v>-1.6322580645161293</c:v>
                </c:pt>
                <c:pt idx="39">
                  <c:v>7.7733333333333343</c:v>
                </c:pt>
                <c:pt idx="40">
                  <c:v>11.916129032258063</c:v>
                </c:pt>
                <c:pt idx="41">
                  <c:v>22.58</c:v>
                </c:pt>
                <c:pt idx="42">
                  <c:v>24.087096774193551</c:v>
                </c:pt>
                <c:pt idx="43">
                  <c:v>22.532258064516128</c:v>
                </c:pt>
                <c:pt idx="44">
                  <c:v>18.983333333333338</c:v>
                </c:pt>
                <c:pt idx="45">
                  <c:v>11.141935483870968</c:v>
                </c:pt>
                <c:pt idx="46">
                  <c:v>5.0533333333333328</c:v>
                </c:pt>
                <c:pt idx="47">
                  <c:v>-3.4612903225806457</c:v>
                </c:pt>
                <c:pt idx="48">
                  <c:v>0.2</c:v>
                </c:pt>
                <c:pt idx="49">
                  <c:v>-3.5821428571428564</c:v>
                </c:pt>
                <c:pt idx="50">
                  <c:v>1.3354838709677419</c:v>
                </c:pt>
                <c:pt idx="51">
                  <c:v>8.2233333333333345</c:v>
                </c:pt>
                <c:pt idx="52">
                  <c:v>14.42258064516129</c:v>
                </c:pt>
                <c:pt idx="53">
                  <c:v>19.803333333333335</c:v>
                </c:pt>
                <c:pt idx="54">
                  <c:v>23.396774193548385</c:v>
                </c:pt>
                <c:pt idx="55">
                  <c:v>21.141935483870963</c:v>
                </c:pt>
                <c:pt idx="56">
                  <c:v>15.733333333333331</c:v>
                </c:pt>
                <c:pt idx="57">
                  <c:v>8.7354838709677427</c:v>
                </c:pt>
                <c:pt idx="58">
                  <c:v>5.2600000000000007</c:v>
                </c:pt>
                <c:pt idx="59">
                  <c:v>1.854838709677419</c:v>
                </c:pt>
                <c:pt idx="60">
                  <c:v>-2.8741935483870971</c:v>
                </c:pt>
                <c:pt idx="61">
                  <c:v>-8.4321428571428587</c:v>
                </c:pt>
                <c:pt idx="62">
                  <c:v>0.36451612903225866</c:v>
                </c:pt>
                <c:pt idx="63">
                  <c:v>6.1199999999999992</c:v>
                </c:pt>
                <c:pt idx="64">
                  <c:v>14.322580645161292</c:v>
                </c:pt>
                <c:pt idx="65">
                  <c:v>20.756666666666671</c:v>
                </c:pt>
                <c:pt idx="66">
                  <c:v>21.319354838709678</c:v>
                </c:pt>
                <c:pt idx="67">
                  <c:v>22.380645161290325</c:v>
                </c:pt>
                <c:pt idx="68">
                  <c:v>18.353333333333332</c:v>
                </c:pt>
                <c:pt idx="69">
                  <c:v>14.196774193548386</c:v>
                </c:pt>
                <c:pt idx="70">
                  <c:v>2.583333333333333</c:v>
                </c:pt>
                <c:pt idx="71">
                  <c:v>-2.3451612903225807</c:v>
                </c:pt>
                <c:pt idx="72">
                  <c:v>-2.1129032258064515</c:v>
                </c:pt>
                <c:pt idx="73">
                  <c:v>-5.2655172413793103</c:v>
                </c:pt>
                <c:pt idx="74">
                  <c:v>-1.6838709677419355</c:v>
                </c:pt>
                <c:pt idx="75">
                  <c:v>9.5366666666666635</c:v>
                </c:pt>
                <c:pt idx="76">
                  <c:v>11.838709677419354</c:v>
                </c:pt>
                <c:pt idx="77">
                  <c:v>19.626666666666665</c:v>
                </c:pt>
                <c:pt idx="78">
                  <c:v>21.548387096774185</c:v>
                </c:pt>
                <c:pt idx="79">
                  <c:v>19.654838709677417</c:v>
                </c:pt>
                <c:pt idx="80">
                  <c:v>16.923333333333332</c:v>
                </c:pt>
                <c:pt idx="81">
                  <c:v>9.0129032258064505</c:v>
                </c:pt>
                <c:pt idx="82">
                  <c:v>2.9466666666666677</c:v>
                </c:pt>
                <c:pt idx="83">
                  <c:v>-3.1161290322580641</c:v>
                </c:pt>
                <c:pt idx="84">
                  <c:v>-8.7806451612903214</c:v>
                </c:pt>
                <c:pt idx="85">
                  <c:v>-3.657142857142857</c:v>
                </c:pt>
                <c:pt idx="86">
                  <c:v>0.78064516129032258</c:v>
                </c:pt>
                <c:pt idx="87">
                  <c:v>7.8466666666666667</c:v>
                </c:pt>
                <c:pt idx="88">
                  <c:v>13.099999999999998</c:v>
                </c:pt>
                <c:pt idx="89">
                  <c:v>17.49666666666667</c:v>
                </c:pt>
                <c:pt idx="90">
                  <c:v>19.209677419354836</c:v>
                </c:pt>
                <c:pt idx="91">
                  <c:v>20.619354838709679</c:v>
                </c:pt>
                <c:pt idx="92">
                  <c:v>16.856666666666666</c:v>
                </c:pt>
                <c:pt idx="93">
                  <c:v>8.7161290322580633</c:v>
                </c:pt>
                <c:pt idx="94">
                  <c:v>5.96</c:v>
                </c:pt>
                <c:pt idx="95">
                  <c:v>-2.3645161290322583</c:v>
                </c:pt>
                <c:pt idx="96">
                  <c:v>-5.2258064516129039</c:v>
                </c:pt>
                <c:pt idx="97">
                  <c:v>-3.3678571428571429</c:v>
                </c:pt>
                <c:pt idx="98">
                  <c:v>4.3612903225806452</c:v>
                </c:pt>
                <c:pt idx="99">
                  <c:v>10.496666666666666</c:v>
                </c:pt>
                <c:pt idx="100">
                  <c:v>15.993548387096771</c:v>
                </c:pt>
                <c:pt idx="101">
                  <c:v>19.233333333333334</c:v>
                </c:pt>
                <c:pt idx="102">
                  <c:v>23.261290322580646</c:v>
                </c:pt>
                <c:pt idx="103">
                  <c:v>22.409677419354832</c:v>
                </c:pt>
                <c:pt idx="104">
                  <c:v>16.446666666666665</c:v>
                </c:pt>
                <c:pt idx="105">
                  <c:v>10.206451612903221</c:v>
                </c:pt>
                <c:pt idx="106">
                  <c:v>4.4900000000000011</c:v>
                </c:pt>
                <c:pt idx="107">
                  <c:v>-3.8129032258064517</c:v>
                </c:pt>
                <c:pt idx="108">
                  <c:v>-7.0096774193548388</c:v>
                </c:pt>
                <c:pt idx="109">
                  <c:v>-5.364285714285713</c:v>
                </c:pt>
                <c:pt idx="110">
                  <c:v>-0.4774193548387099</c:v>
                </c:pt>
                <c:pt idx="111">
                  <c:v>6.9233333333333329</c:v>
                </c:pt>
                <c:pt idx="112">
                  <c:v>14.093548387096776</c:v>
                </c:pt>
                <c:pt idx="113">
                  <c:v>19.106666666666666</c:v>
                </c:pt>
                <c:pt idx="114">
                  <c:v>24.396774193548385</c:v>
                </c:pt>
                <c:pt idx="115">
                  <c:v>21.941935483870971</c:v>
                </c:pt>
                <c:pt idx="116">
                  <c:v>17.709999999999997</c:v>
                </c:pt>
                <c:pt idx="117">
                  <c:v>10.483870967741938</c:v>
                </c:pt>
                <c:pt idx="118">
                  <c:v>6.6033333333333335</c:v>
                </c:pt>
                <c:pt idx="119">
                  <c:v>0.77419354838709664</c:v>
                </c:pt>
                <c:pt idx="120">
                  <c:v>-1.7129032258064516</c:v>
                </c:pt>
                <c:pt idx="121">
                  <c:v>-0.33448275862068977</c:v>
                </c:pt>
                <c:pt idx="122">
                  <c:v>6.7354838709677418</c:v>
                </c:pt>
                <c:pt idx="123">
                  <c:v>7.2766666666666673</c:v>
                </c:pt>
                <c:pt idx="124">
                  <c:v>16.58064516129032</c:v>
                </c:pt>
                <c:pt idx="125">
                  <c:v>20.613333333333333</c:v>
                </c:pt>
                <c:pt idx="126">
                  <c:v>24.303225806451614</c:v>
                </c:pt>
                <c:pt idx="127">
                  <c:v>21.551612903225806</c:v>
                </c:pt>
                <c:pt idx="128">
                  <c:v>16.353333333333335</c:v>
                </c:pt>
                <c:pt idx="129">
                  <c:v>10.212903225806452</c:v>
                </c:pt>
                <c:pt idx="130">
                  <c:v>3.5333333333333332</c:v>
                </c:pt>
                <c:pt idx="131">
                  <c:v>0.79032258064516181</c:v>
                </c:pt>
                <c:pt idx="132">
                  <c:v>-2.1451612903225801</c:v>
                </c:pt>
                <c:pt idx="133">
                  <c:v>-4.5535714285714288</c:v>
                </c:pt>
                <c:pt idx="134">
                  <c:v>0.10322580645161282</c:v>
                </c:pt>
                <c:pt idx="135">
                  <c:v>6.0466666666666669</c:v>
                </c:pt>
                <c:pt idx="136">
                  <c:v>15.225806451612904</c:v>
                </c:pt>
                <c:pt idx="137">
                  <c:v>18.886666666666667</c:v>
                </c:pt>
                <c:pt idx="138">
                  <c:v>22.299999999999994</c:v>
                </c:pt>
                <c:pt idx="139">
                  <c:v>20.883870967741935</c:v>
                </c:pt>
                <c:pt idx="140">
                  <c:v>15.936666666666666</c:v>
                </c:pt>
                <c:pt idx="141">
                  <c:v>10.796774193548389</c:v>
                </c:pt>
                <c:pt idx="142">
                  <c:v>2.06</c:v>
                </c:pt>
                <c:pt idx="143">
                  <c:v>-4.1903225806451623</c:v>
                </c:pt>
                <c:pt idx="144">
                  <c:v>-8.6419354838709683</c:v>
                </c:pt>
                <c:pt idx="145">
                  <c:v>-8.3250000000000011</c:v>
                </c:pt>
                <c:pt idx="146">
                  <c:v>-4.2774193548387096</c:v>
                </c:pt>
                <c:pt idx="147">
                  <c:v>6.1033333333333335</c:v>
                </c:pt>
                <c:pt idx="148">
                  <c:v>14.122580645161293</c:v>
                </c:pt>
                <c:pt idx="149">
                  <c:v>19.8</c:v>
                </c:pt>
                <c:pt idx="150">
                  <c:v>20.161290322580641</c:v>
                </c:pt>
                <c:pt idx="151">
                  <c:v>20.35483870967742</c:v>
                </c:pt>
                <c:pt idx="152">
                  <c:v>16.68</c:v>
                </c:pt>
                <c:pt idx="153">
                  <c:v>10.806451612903228</c:v>
                </c:pt>
                <c:pt idx="154">
                  <c:v>1.9300000000000002</c:v>
                </c:pt>
                <c:pt idx="155">
                  <c:v>2.2580645161290443E-2</c:v>
                </c:pt>
                <c:pt idx="156">
                  <c:v>-7.5612903225806471</c:v>
                </c:pt>
                <c:pt idx="157">
                  <c:v>-12.6</c:v>
                </c:pt>
                <c:pt idx="158">
                  <c:v>-1.8548387096774195</c:v>
                </c:pt>
                <c:pt idx="159">
                  <c:v>7.543333333333333</c:v>
                </c:pt>
                <c:pt idx="160">
                  <c:v>16.21935483870968</c:v>
                </c:pt>
                <c:pt idx="161">
                  <c:v>17.95</c:v>
                </c:pt>
                <c:pt idx="162">
                  <c:v>21.558064516129033</c:v>
                </c:pt>
                <c:pt idx="163">
                  <c:v>20.716129032258063</c:v>
                </c:pt>
                <c:pt idx="164">
                  <c:v>19.693333333333332</c:v>
                </c:pt>
                <c:pt idx="165">
                  <c:v>9.9419354838709673</c:v>
                </c:pt>
                <c:pt idx="166">
                  <c:v>6.5000000000000009</c:v>
                </c:pt>
                <c:pt idx="167">
                  <c:v>4.1387096774193548</c:v>
                </c:pt>
                <c:pt idx="168">
                  <c:v>-3.6258064516129025</c:v>
                </c:pt>
                <c:pt idx="169">
                  <c:v>-2.2896551724137932</c:v>
                </c:pt>
                <c:pt idx="170">
                  <c:v>2.6419354838709674</c:v>
                </c:pt>
                <c:pt idx="171">
                  <c:v>4.8400000000000007</c:v>
                </c:pt>
                <c:pt idx="172">
                  <c:v>14.593548387096776</c:v>
                </c:pt>
                <c:pt idx="173">
                  <c:v>19.983333333333334</c:v>
                </c:pt>
                <c:pt idx="174">
                  <c:v>23.70645161290323</c:v>
                </c:pt>
                <c:pt idx="175">
                  <c:v>24.303225806451611</c:v>
                </c:pt>
                <c:pt idx="176">
                  <c:v>19.45</c:v>
                </c:pt>
                <c:pt idx="177">
                  <c:v>11.867741935483874</c:v>
                </c:pt>
                <c:pt idx="178">
                  <c:v>6.7400000000000029</c:v>
                </c:pt>
                <c:pt idx="179">
                  <c:v>-1.6129032258064513</c:v>
                </c:pt>
                <c:pt idx="180">
                  <c:v>-1.6419354838709674</c:v>
                </c:pt>
                <c:pt idx="181">
                  <c:v>-0.22857142857142865</c:v>
                </c:pt>
                <c:pt idx="182">
                  <c:v>-0.5161290322580645</c:v>
                </c:pt>
                <c:pt idx="183">
                  <c:v>9.4166666666666643</c:v>
                </c:pt>
                <c:pt idx="184">
                  <c:v>12.580645161290324</c:v>
                </c:pt>
                <c:pt idx="185">
                  <c:v>19.383333333333329</c:v>
                </c:pt>
                <c:pt idx="186">
                  <c:v>21.758064516129032</c:v>
                </c:pt>
                <c:pt idx="187">
                  <c:v>20.051612903225806</c:v>
                </c:pt>
                <c:pt idx="188">
                  <c:v>18.746666666666666</c:v>
                </c:pt>
                <c:pt idx="189">
                  <c:v>13.293548387096774</c:v>
                </c:pt>
                <c:pt idx="190">
                  <c:v>3.6866666666666674</c:v>
                </c:pt>
                <c:pt idx="191">
                  <c:v>-5.1774193548387109</c:v>
                </c:pt>
                <c:pt idx="192">
                  <c:v>-5.6225806451612907</c:v>
                </c:pt>
                <c:pt idx="193">
                  <c:v>-1.8214285714285698</c:v>
                </c:pt>
                <c:pt idx="194">
                  <c:v>0.1290322580645161</c:v>
                </c:pt>
                <c:pt idx="195">
                  <c:v>3.4266666666666667</c:v>
                </c:pt>
                <c:pt idx="196">
                  <c:v>16.970967741935482</c:v>
                </c:pt>
                <c:pt idx="197">
                  <c:v>19.523333333333333</c:v>
                </c:pt>
                <c:pt idx="198">
                  <c:v>23.412903225806449</c:v>
                </c:pt>
                <c:pt idx="199">
                  <c:v>23.199999999999996</c:v>
                </c:pt>
                <c:pt idx="200">
                  <c:v>18.993333333333339</c:v>
                </c:pt>
                <c:pt idx="201">
                  <c:v>8.9290322580645149</c:v>
                </c:pt>
                <c:pt idx="202">
                  <c:v>1.5300000000000002</c:v>
                </c:pt>
                <c:pt idx="203">
                  <c:v>-0.18064516129032263</c:v>
                </c:pt>
                <c:pt idx="204">
                  <c:v>-6.661290322580645</c:v>
                </c:pt>
                <c:pt idx="205">
                  <c:v>-4.2035714285714283</c:v>
                </c:pt>
                <c:pt idx="206">
                  <c:v>-1.1580645161290322</c:v>
                </c:pt>
                <c:pt idx="207">
                  <c:v>6.44</c:v>
                </c:pt>
                <c:pt idx="208">
                  <c:v>11.7741935483871</c:v>
                </c:pt>
                <c:pt idx="209">
                  <c:v>18.193333333333335</c:v>
                </c:pt>
                <c:pt idx="210">
                  <c:v>23.383870967741931</c:v>
                </c:pt>
                <c:pt idx="211">
                  <c:v>21.303225806451607</c:v>
                </c:pt>
                <c:pt idx="212">
                  <c:v>17.566666666666666</c:v>
                </c:pt>
                <c:pt idx="213">
                  <c:v>10.53548387096774</c:v>
                </c:pt>
                <c:pt idx="214">
                  <c:v>0.89000000000000024</c:v>
                </c:pt>
                <c:pt idx="215">
                  <c:v>-0.78709677419354829</c:v>
                </c:pt>
                <c:pt idx="216">
                  <c:v>-1.5161290322580645</c:v>
                </c:pt>
                <c:pt idx="217">
                  <c:v>-3.0965517241379308</c:v>
                </c:pt>
                <c:pt idx="218">
                  <c:v>3.2032258064516133</c:v>
                </c:pt>
                <c:pt idx="219">
                  <c:v>5.9233333333333338</c:v>
                </c:pt>
                <c:pt idx="220">
                  <c:v>12.06774193548387</c:v>
                </c:pt>
                <c:pt idx="221">
                  <c:v>20.463333333333331</c:v>
                </c:pt>
                <c:pt idx="222">
                  <c:v>24.958064516129035</c:v>
                </c:pt>
                <c:pt idx="223">
                  <c:v>22.06129032258065</c:v>
                </c:pt>
                <c:pt idx="224">
                  <c:v>16.806666666666665</c:v>
                </c:pt>
                <c:pt idx="225">
                  <c:v>9.2806451612903249</c:v>
                </c:pt>
                <c:pt idx="226">
                  <c:v>6.8400000000000016</c:v>
                </c:pt>
                <c:pt idx="227">
                  <c:v>-0.30000000000000004</c:v>
                </c:pt>
                <c:pt idx="228">
                  <c:v>-2.6451612903225805</c:v>
                </c:pt>
                <c:pt idx="229">
                  <c:v>-5.3464285714285724</c:v>
                </c:pt>
                <c:pt idx="230">
                  <c:v>3.1387096774193552</c:v>
                </c:pt>
                <c:pt idx="231">
                  <c:v>7.9200000000000017</c:v>
                </c:pt>
                <c:pt idx="232">
                  <c:v>13.60322580645161</c:v>
                </c:pt>
              </c:numCache>
            </c:numRef>
          </c:xVal>
          <c:yVal>
            <c:numRef>
              <c:f>Weather!$EG$2:$EG$234</c:f>
              <c:numCache>
                <c:formatCode>_(* #,##0_);_(* \(#,##0\);_(* "-"??_);_(@_)</c:formatCode>
                <c:ptCount val="233"/>
                <c:pt idx="108">
                  <c:v>23733365.085325282</c:v>
                </c:pt>
                <c:pt idx="109">
                  <c:v>22310529.535325348</c:v>
                </c:pt>
                <c:pt idx="110">
                  <c:v>20561511.105325352</c:v>
                </c:pt>
                <c:pt idx="111">
                  <c:v>18196504.345325314</c:v>
                </c:pt>
                <c:pt idx="112">
                  <c:v>19242436.605325352</c:v>
                </c:pt>
                <c:pt idx="113">
                  <c:v>23455207.885325335</c:v>
                </c:pt>
                <c:pt idx="114">
                  <c:v>29881256.025325283</c:v>
                </c:pt>
                <c:pt idx="115">
                  <c:v>28120502.455325332</c:v>
                </c:pt>
                <c:pt idx="116">
                  <c:v>19919582.535325326</c:v>
                </c:pt>
                <c:pt idx="117">
                  <c:v>18267774.095325306</c:v>
                </c:pt>
                <c:pt idx="118">
                  <c:v>20206933.495325342</c:v>
                </c:pt>
                <c:pt idx="119">
                  <c:v>25108396.295325305</c:v>
                </c:pt>
                <c:pt idx="120">
                  <c:v>22665511.009777255</c:v>
                </c:pt>
                <c:pt idx="121">
                  <c:v>21731631.059777245</c:v>
                </c:pt>
                <c:pt idx="122">
                  <c:v>20010014.379777245</c:v>
                </c:pt>
                <c:pt idx="123">
                  <c:v>18912007.339777257</c:v>
                </c:pt>
                <c:pt idx="124">
                  <c:v>19051304.719777234</c:v>
                </c:pt>
                <c:pt idx="125">
                  <c:v>27958863.159777239</c:v>
                </c:pt>
                <c:pt idx="126">
                  <c:v>33576079.829777248</c:v>
                </c:pt>
                <c:pt idx="127">
                  <c:v>30029439.459777251</c:v>
                </c:pt>
                <c:pt idx="128">
                  <c:v>21238214.669777248</c:v>
                </c:pt>
                <c:pt idx="129">
                  <c:v>19640038.639777251</c:v>
                </c:pt>
                <c:pt idx="130">
                  <c:v>21482109.149777245</c:v>
                </c:pt>
                <c:pt idx="131">
                  <c:v>25647572.909777213</c:v>
                </c:pt>
                <c:pt idx="132">
                  <c:v>24743261.071531244</c:v>
                </c:pt>
                <c:pt idx="133">
                  <c:v>23224532.891531281</c:v>
                </c:pt>
                <c:pt idx="134">
                  <c:v>23052750.88153125</c:v>
                </c:pt>
                <c:pt idx="135">
                  <c:v>19679187.661531229</c:v>
                </c:pt>
                <c:pt idx="136">
                  <c:v>20796344.531531259</c:v>
                </c:pt>
                <c:pt idx="137">
                  <c:v>24720133.67153126</c:v>
                </c:pt>
                <c:pt idx="138">
                  <c:v>31067397.23153127</c:v>
                </c:pt>
                <c:pt idx="139">
                  <c:v>28442759.621531248</c:v>
                </c:pt>
                <c:pt idx="140">
                  <c:v>20912722.881531265</c:v>
                </c:pt>
                <c:pt idx="141">
                  <c:v>20981353.041531246</c:v>
                </c:pt>
                <c:pt idx="142">
                  <c:v>21829613.801531244</c:v>
                </c:pt>
                <c:pt idx="143">
                  <c:v>28911020.861531246</c:v>
                </c:pt>
                <c:pt idx="144">
                  <c:v>26360023.557272851</c:v>
                </c:pt>
                <c:pt idx="145">
                  <c:v>26374215.547272835</c:v>
                </c:pt>
                <c:pt idx="146">
                  <c:v>24141795.047272857</c:v>
                </c:pt>
                <c:pt idx="147">
                  <c:v>22071105.877272848</c:v>
                </c:pt>
                <c:pt idx="148">
                  <c:v>20648893.407272812</c:v>
                </c:pt>
                <c:pt idx="149">
                  <c:v>24572425.267272837</c:v>
                </c:pt>
                <c:pt idx="150">
                  <c:v>28609332.357272841</c:v>
                </c:pt>
                <c:pt idx="151">
                  <c:v>26478984.537272859</c:v>
                </c:pt>
                <c:pt idx="152">
                  <c:v>21763182.987272844</c:v>
                </c:pt>
                <c:pt idx="153">
                  <c:v>21382264.647272848</c:v>
                </c:pt>
                <c:pt idx="154">
                  <c:v>22562429.487272851</c:v>
                </c:pt>
                <c:pt idx="155">
                  <c:v>27673778.197272848</c:v>
                </c:pt>
                <c:pt idx="156">
                  <c:v>28069177.441256527</c:v>
                </c:pt>
                <c:pt idx="157">
                  <c:v>26707165.383425221</c:v>
                </c:pt>
                <c:pt idx="158">
                  <c:v>24478082.20270231</c:v>
                </c:pt>
                <c:pt idx="159">
                  <c:v>20676669.084630042</c:v>
                </c:pt>
                <c:pt idx="160">
                  <c:v>21746093.258124005</c:v>
                </c:pt>
                <c:pt idx="161">
                  <c:v>25107302.887039673</c:v>
                </c:pt>
                <c:pt idx="162">
                  <c:v>31952965.229208339</c:v>
                </c:pt>
                <c:pt idx="163">
                  <c:v>29580077.267762542</c:v>
                </c:pt>
                <c:pt idx="164">
                  <c:v>26608771.542461362</c:v>
                </c:pt>
                <c:pt idx="165">
                  <c:v>21483913.277401097</c:v>
                </c:pt>
                <c:pt idx="166">
                  <c:v>19734087.166557718</c:v>
                </c:pt>
                <c:pt idx="167">
                  <c:v>23600600.062943287</c:v>
                </c:pt>
                <c:pt idx="168">
                  <c:v>26488550.719732195</c:v>
                </c:pt>
                <c:pt idx="169">
                  <c:v>25023617.148647863</c:v>
                </c:pt>
                <c:pt idx="170">
                  <c:v>23461776.319732215</c:v>
                </c:pt>
                <c:pt idx="171">
                  <c:v>22136159.26912979</c:v>
                </c:pt>
                <c:pt idx="172">
                  <c:v>21068139.211298458</c:v>
                </c:pt>
                <c:pt idx="173">
                  <c:v>30493925.726961114</c:v>
                </c:pt>
                <c:pt idx="174">
                  <c:v>36232069.967924938</c:v>
                </c:pt>
                <c:pt idx="175">
                  <c:v>36666591.857081592</c:v>
                </c:pt>
                <c:pt idx="176">
                  <c:v>27451832.531780414</c:v>
                </c:pt>
                <c:pt idx="177">
                  <c:v>19916253.264310535</c:v>
                </c:pt>
                <c:pt idx="178">
                  <c:v>19873181.534190029</c:v>
                </c:pt>
                <c:pt idx="179">
                  <c:v>27978193.948647868</c:v>
                </c:pt>
                <c:pt idx="180">
                  <c:v>27093622.098643739</c:v>
                </c:pt>
                <c:pt idx="181">
                  <c:v>23068759.370932903</c:v>
                </c:pt>
                <c:pt idx="182">
                  <c:v>25389455.235993147</c:v>
                </c:pt>
                <c:pt idx="183">
                  <c:v>20358576.739607595</c:v>
                </c:pt>
                <c:pt idx="184">
                  <c:v>21397367.515511237</c:v>
                </c:pt>
                <c:pt idx="185">
                  <c:v>28536633.10587268</c:v>
                </c:pt>
                <c:pt idx="186">
                  <c:v>29930546.214306407</c:v>
                </c:pt>
                <c:pt idx="187">
                  <c:v>30545492.91310158</c:v>
                </c:pt>
                <c:pt idx="188">
                  <c:v>26816098.763703998</c:v>
                </c:pt>
                <c:pt idx="189">
                  <c:v>21561059.833583519</c:v>
                </c:pt>
                <c:pt idx="190">
                  <c:v>23579172.681776274</c:v>
                </c:pt>
                <c:pt idx="191">
                  <c:v>27478381.028764222</c:v>
                </c:pt>
                <c:pt idx="192">
                  <c:v>29607203.423201349</c:v>
                </c:pt>
                <c:pt idx="193">
                  <c:v>24179288.772598948</c:v>
                </c:pt>
                <c:pt idx="194">
                  <c:v>26124027.606333889</c:v>
                </c:pt>
                <c:pt idx="195">
                  <c:v>22298688.406333879</c:v>
                </c:pt>
                <c:pt idx="196">
                  <c:v>24908740.34850258</c:v>
                </c:pt>
                <c:pt idx="197">
                  <c:v>34041039.172598973</c:v>
                </c:pt>
                <c:pt idx="198">
                  <c:v>35267527.105129071</c:v>
                </c:pt>
                <c:pt idx="199">
                  <c:v>37882496.762960359</c:v>
                </c:pt>
                <c:pt idx="200">
                  <c:v>28623515.240068838</c:v>
                </c:pt>
                <c:pt idx="201">
                  <c:v>23069429.620791711</c:v>
                </c:pt>
                <c:pt idx="202">
                  <c:v>22177389.890671223</c:v>
                </c:pt>
                <c:pt idx="203">
                  <c:v>30826041.620791715</c:v>
                </c:pt>
                <c:pt idx="204">
                  <c:v>30296678.502611879</c:v>
                </c:pt>
                <c:pt idx="205">
                  <c:v>27263823.630322684</c:v>
                </c:pt>
                <c:pt idx="206">
                  <c:v>25289889.885744374</c:v>
                </c:pt>
                <c:pt idx="207">
                  <c:v>24085428.083334759</c:v>
                </c:pt>
                <c:pt idx="208">
                  <c:v>23509154.888154022</c:v>
                </c:pt>
                <c:pt idx="209">
                  <c:v>26580302.01104556</c:v>
                </c:pt>
                <c:pt idx="210">
                  <c:v>38634397.654419079</c:v>
                </c:pt>
                <c:pt idx="211">
                  <c:v>35462351.398997389</c:v>
                </c:pt>
                <c:pt idx="212">
                  <c:v>26458002.714660037</c:v>
                </c:pt>
                <c:pt idx="213">
                  <c:v>23458321.991768487</c:v>
                </c:pt>
                <c:pt idx="214">
                  <c:v>22723875.611045595</c:v>
                </c:pt>
                <c:pt idx="215">
                  <c:v>29555236.748394977</c:v>
                </c:pt>
                <c:pt idx="216">
                  <c:v>31096332.909579843</c:v>
                </c:pt>
                <c:pt idx="217">
                  <c:v>26929021.208375014</c:v>
                </c:pt>
                <c:pt idx="218">
                  <c:v>26338553.699941278</c:v>
                </c:pt>
                <c:pt idx="219">
                  <c:v>27039073.834881049</c:v>
                </c:pt>
                <c:pt idx="220">
                  <c:v>27307988.668615971</c:v>
                </c:pt>
                <c:pt idx="221">
                  <c:v>39033998.461387023</c:v>
                </c:pt>
                <c:pt idx="222">
                  <c:v>45880496.822832875</c:v>
                </c:pt>
                <c:pt idx="223">
                  <c:v>40192363.868616</c:v>
                </c:pt>
                <c:pt idx="224">
                  <c:v>28598946.287893068</c:v>
                </c:pt>
                <c:pt idx="225">
                  <c:v>25393750.721628018</c:v>
                </c:pt>
                <c:pt idx="226">
                  <c:v>23298897.661387056</c:v>
                </c:pt>
                <c:pt idx="227">
                  <c:v>29408230.692712367</c:v>
                </c:pt>
                <c:pt idx="228">
                  <c:v>33477332.406683832</c:v>
                </c:pt>
                <c:pt idx="229">
                  <c:v>31909165.380177792</c:v>
                </c:pt>
                <c:pt idx="230">
                  <c:v>27920614.768129587</c:v>
                </c:pt>
                <c:pt idx="231">
                  <c:v>25767139.02837057</c:v>
                </c:pt>
                <c:pt idx="232">
                  <c:v>27806855.086201914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B9-48BE-91B4-E50CB8A30213}"/>
            </c:ext>
          </c:extLst>
        </c:ser>
        <c:ser>
          <c:idx val="1"/>
          <c:order val="1"/>
          <c:tx>
            <c:strRef>
              <c:f>Weather!$EK$1</c:f>
              <c:strCache>
                <c:ptCount val="1"/>
                <c:pt idx="0">
                  <c:v>Predicted Res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Weather!$C$110:$C$234</c:f>
              <c:numCache>
                <c:formatCode>0</c:formatCode>
                <c:ptCount val="125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</c:numCache>
            </c:numRef>
          </c:xVal>
          <c:yVal>
            <c:numRef>
              <c:f>Weather!$EK$110:$EK$234</c:f>
              <c:numCache>
                <c:formatCode>_(* #,##0_);_(* \(#,##0\);_(* "-"??_);_(@_)</c:formatCode>
                <c:ptCount val="125"/>
                <c:pt idx="0">
                  <c:v>27024122.156708658</c:v>
                </c:pt>
                <c:pt idx="1">
                  <c:v>25677637.885279592</c:v>
                </c:pt>
                <c:pt idx="2">
                  <c:v>24524918.994798616</c:v>
                </c:pt>
                <c:pt idx="3">
                  <c:v>21622140.803780138</c:v>
                </c:pt>
                <c:pt idx="4">
                  <c:v>21544202.132835444</c:v>
                </c:pt>
                <c:pt idx="5">
                  <c:v>25673828.766457506</c:v>
                </c:pt>
                <c:pt idx="6">
                  <c:v>36749784.395088628</c:v>
                </c:pt>
                <c:pt idx="7">
                  <c:v>31556437.362809956</c:v>
                </c:pt>
                <c:pt idx="8">
                  <c:v>24126582.085612416</c:v>
                </c:pt>
                <c:pt idx="9">
                  <c:v>21272081.871394377</c:v>
                </c:pt>
                <c:pt idx="10">
                  <c:v>21724577.279058427</c:v>
                </c:pt>
                <c:pt idx="11">
                  <c:v>24046059.32723264</c:v>
                </c:pt>
                <c:pt idx="12">
                  <c:v>24997607.79035987</c:v>
                </c:pt>
                <c:pt idx="13">
                  <c:v>24116407.268086407</c:v>
                </c:pt>
                <c:pt idx="14">
                  <c:v>22107029.550439928</c:v>
                </c:pt>
                <c:pt idx="15">
                  <c:v>21634992.325818256</c:v>
                </c:pt>
                <c:pt idx="16">
                  <c:v>23632538.553185675</c:v>
                </c:pt>
                <c:pt idx="17">
                  <c:v>29099590.645629164</c:v>
                </c:pt>
                <c:pt idx="18">
                  <c:v>36551877.609364465</c:v>
                </c:pt>
                <c:pt idx="19">
                  <c:v>30730688.360305727</c:v>
                </c:pt>
                <c:pt idx="20">
                  <c:v>23270846.841344979</c:v>
                </c:pt>
                <c:pt idx="21">
                  <c:v>20903638.613064829</c:v>
                </c:pt>
                <c:pt idx="22">
                  <c:v>22861251.902327139</c:v>
                </c:pt>
                <c:pt idx="23">
                  <c:v>24039888.455227926</c:v>
                </c:pt>
                <c:pt idx="24">
                  <c:v>25162987.160086267</c:v>
                </c:pt>
                <c:pt idx="25">
                  <c:v>25397480.296265475</c:v>
                </c:pt>
                <c:pt idx="26">
                  <c:v>24302767.602628835</c:v>
                </c:pt>
                <c:pt idx="27">
                  <c:v>21947962.845629148</c:v>
                </c:pt>
                <c:pt idx="28">
                  <c:v>22688592.394012697</c:v>
                </c:pt>
                <c:pt idx="29">
                  <c:v>25794634.135861825</c:v>
                </c:pt>
                <c:pt idx="30">
                  <c:v>32313942.64609896</c:v>
                </c:pt>
                <c:pt idx="31">
                  <c:v>29318043.372550555</c:v>
                </c:pt>
                <c:pt idx="32">
                  <c:v>22486624.744854026</c:v>
                </c:pt>
                <c:pt idx="33">
                  <c:v>20730927.022365447</c:v>
                </c:pt>
                <c:pt idx="34">
                  <c:v>23406756.987544049</c:v>
                </c:pt>
                <c:pt idx="35">
                  <c:v>25945453.730284274</c:v>
                </c:pt>
                <c:pt idx="36">
                  <c:v>27648614.403585933</c:v>
                </c:pt>
                <c:pt idx="37">
                  <c:v>26700768.463661529</c:v>
                </c:pt>
                <c:pt idx="38">
                  <c:v>25978776.439109739</c:v>
                </c:pt>
                <c:pt idx="39">
                  <c:v>21909703.43919991</c:v>
                </c:pt>
                <c:pt idx="40">
                  <c:v>21164796.955762748</c:v>
                </c:pt>
                <c:pt idx="41">
                  <c:v>26956810.687703751</c:v>
                </c:pt>
                <c:pt idx="42">
                  <c:v>27789384.062129501</c:v>
                </c:pt>
                <c:pt idx="43">
                  <c:v>28267090.096636079</c:v>
                </c:pt>
                <c:pt idx="44">
                  <c:v>23313100.072707728</c:v>
                </c:pt>
                <c:pt idx="45">
                  <c:v>20869737.158732444</c:v>
                </c:pt>
                <c:pt idx="46">
                  <c:v>23454889.789180834</c:v>
                </c:pt>
                <c:pt idx="47">
                  <c:v>24333621.962652415</c:v>
                </c:pt>
                <c:pt idx="48">
                  <c:v>27235165.979269944</c:v>
                </c:pt>
                <c:pt idx="49">
                  <c:v>28178075.221590571</c:v>
                </c:pt>
                <c:pt idx="50">
                  <c:v>25051911.464001372</c:v>
                </c:pt>
                <c:pt idx="51">
                  <c:v>21403691.934813187</c:v>
                </c:pt>
                <c:pt idx="52">
                  <c:v>23716897.436068617</c:v>
                </c:pt>
                <c:pt idx="53">
                  <c:v>23991112.274262123</c:v>
                </c:pt>
                <c:pt idx="54">
                  <c:v>30744337.104148775</c:v>
                </c:pt>
                <c:pt idx="55">
                  <c:v>28963176.032631382</c:v>
                </c:pt>
                <c:pt idx="56">
                  <c:v>27468420.105519932</c:v>
                </c:pt>
                <c:pt idx="57">
                  <c:v>20846864.66164422</c:v>
                </c:pt>
                <c:pt idx="58">
                  <c:v>21789988.522308417</c:v>
                </c:pt>
                <c:pt idx="59">
                  <c:v>22758815.427048851</c:v>
                </c:pt>
                <c:pt idx="60">
                  <c:v>25729473.210119206</c:v>
                </c:pt>
                <c:pt idx="61">
                  <c:v>24816184.153421216</c:v>
                </c:pt>
                <c:pt idx="62">
                  <c:v>23331472.349086508</c:v>
                </c:pt>
                <c:pt idx="63">
                  <c:v>22426314.664143659</c:v>
                </c:pt>
                <c:pt idx="64">
                  <c:v>23806986.38040581</c:v>
                </c:pt>
                <c:pt idx="65">
                  <c:v>27807170.352794174</c:v>
                </c:pt>
                <c:pt idx="66">
                  <c:v>35289368.803882793</c:v>
                </c:pt>
                <c:pt idx="67">
                  <c:v>36551877.609364472</c:v>
                </c:pt>
                <c:pt idx="68">
                  <c:v>26638460.730761401</c:v>
                </c:pt>
                <c:pt idx="69">
                  <c:v>21425780.712937023</c:v>
                </c:pt>
                <c:pt idx="70">
                  <c:v>21687552.047030129</c:v>
                </c:pt>
                <c:pt idx="71">
                  <c:v>24959348.383930631</c:v>
                </c:pt>
                <c:pt idx="72">
                  <c:v>24970455.953539118</c:v>
                </c:pt>
                <c:pt idx="73">
                  <c:v>23902895.096723229</c:v>
                </c:pt>
                <c:pt idx="74">
                  <c:v>24539729.087609932</c:v>
                </c:pt>
                <c:pt idx="75">
                  <c:v>20936740.916615065</c:v>
                </c:pt>
                <c:pt idx="76">
                  <c:v>21363422.350927494</c:v>
                </c:pt>
                <c:pt idx="77">
                  <c:v>26521865.733611386</c:v>
                </c:pt>
                <c:pt idx="78">
                  <c:v>31167448.163283169</c:v>
                </c:pt>
                <c:pt idx="79">
                  <c:v>27687018.483306661</c:v>
                </c:pt>
                <c:pt idx="80">
                  <c:v>26423999.899796303</c:v>
                </c:pt>
                <c:pt idx="81">
                  <c:v>21173794.516801037</c:v>
                </c:pt>
                <c:pt idx="82">
                  <c:v>22804479.879883751</c:v>
                </c:pt>
                <c:pt idx="83">
                  <c:v>26323111.096972898</c:v>
                </c:pt>
                <c:pt idx="84">
                  <c:v>26493427.164303064</c:v>
                </c:pt>
                <c:pt idx="85">
                  <c:v>24453336.879543908</c:v>
                </c:pt>
                <c:pt idx="86">
                  <c:v>24292894.207421288</c:v>
                </c:pt>
                <c:pt idx="87">
                  <c:v>22900745.483157322</c:v>
                </c:pt>
                <c:pt idx="88">
                  <c:v>23907184.557043537</c:v>
                </c:pt>
                <c:pt idx="89">
                  <c:v>26609275.568757564</c:v>
                </c:pt>
                <c:pt idx="90">
                  <c:v>34668350.959024243</c:v>
                </c:pt>
                <c:pt idx="91">
                  <c:v>34217942.412203759</c:v>
                </c:pt>
                <c:pt idx="92">
                  <c:v>26934520.794076882</c:v>
                </c:pt>
                <c:pt idx="93">
                  <c:v>21982025.382644635</c:v>
                </c:pt>
                <c:pt idx="94">
                  <c:v>23602990.717294022</c:v>
                </c:pt>
                <c:pt idx="95">
                  <c:v>24411374.949911837</c:v>
                </c:pt>
                <c:pt idx="96">
                  <c:v>26890831.321406785</c:v>
                </c:pt>
                <c:pt idx="97">
                  <c:v>25276531.204973042</c:v>
                </c:pt>
                <c:pt idx="98">
                  <c:v>24785329.793397635</c:v>
                </c:pt>
                <c:pt idx="99">
                  <c:v>21785051.824704643</c:v>
                </c:pt>
                <c:pt idx="100">
                  <c:v>20382236.341382649</c:v>
                </c:pt>
                <c:pt idx="101">
                  <c:v>24469979.657736972</c:v>
                </c:pt>
                <c:pt idx="102">
                  <c:v>34606931.611730538</c:v>
                </c:pt>
                <c:pt idx="103">
                  <c:v>30205211.722348493</c:v>
                </c:pt>
                <c:pt idx="104">
                  <c:v>23023939.135723665</c:v>
                </c:pt>
                <c:pt idx="105">
                  <c:v>20985025.156048853</c:v>
                </c:pt>
                <c:pt idx="106">
                  <c:v>23839952.202275123</c:v>
                </c:pt>
                <c:pt idx="107">
                  <c:v>24643399.737289164</c:v>
                </c:pt>
                <c:pt idx="108">
                  <c:v>24922323.151902333</c:v>
                </c:pt>
                <c:pt idx="109">
                  <c:v>25104980.963241935</c:v>
                </c:pt>
                <c:pt idx="110">
                  <c:v>23116726.003322389</c:v>
                </c:pt>
                <c:pt idx="111">
                  <c:v>21976348.856850844</c:v>
                </c:pt>
                <c:pt idx="112">
                  <c:v>23081559.986655232</c:v>
                </c:pt>
                <c:pt idx="113">
                  <c:v>28784362.537405513</c:v>
                </c:pt>
                <c:pt idx="114">
                  <c:v>37937225.109433547</c:v>
                </c:pt>
                <c:pt idx="115">
                  <c:v>31808939.123906288</c:v>
                </c:pt>
                <c:pt idx="116">
                  <c:v>23263152.422185864</c:v>
                </c:pt>
                <c:pt idx="117">
                  <c:v>20870093.569986917</c:v>
                </c:pt>
                <c:pt idx="118">
                  <c:v>21712889.034965802</c:v>
                </c:pt>
                <c:pt idx="119">
                  <c:v>24457039.402746737</c:v>
                </c:pt>
                <c:pt idx="120">
                  <c:v>25354284.192232467</c:v>
                </c:pt>
                <c:pt idx="121">
                  <c:v>25671467.013274875</c:v>
                </c:pt>
                <c:pt idx="122">
                  <c:v>23147580.363345969</c:v>
                </c:pt>
                <c:pt idx="123">
                  <c:v>21281508.669119805</c:v>
                </c:pt>
                <c:pt idx="124">
                  <c:v>23013831.832400348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B9-48BE-91B4-E50CB8A30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Monthly Tempurature (</a:t>
                </a:r>
                <a:r>
                  <a:rPr lang="en-US" sz="1000" b="0" i="0" u="none" strike="noStrike" baseline="0">
                    <a:effectLst/>
                  </a:rPr>
                  <a:t>°</a:t>
                </a:r>
                <a:r>
                  <a:rPr lang="en-US" baseline="0"/>
                  <a:t>C)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Purchases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</a:t>
            </a:r>
            <a:r>
              <a:rPr lang="en-US" baseline="0"/>
              <a:t>-999(m</a:t>
            </a:r>
            <a:r>
              <a:rPr lang="en-US"/>
              <a:t>onthly)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'Rate Class Customer Model'!$H$48:$H$59</c:f>
              <c:numCache>
                <c:formatCode>#,##0</c:formatCode>
                <c:ptCount val="12"/>
                <c:pt idx="0">
                  <c:v>359</c:v>
                </c:pt>
                <c:pt idx="1">
                  <c:v>359</c:v>
                </c:pt>
                <c:pt idx="2">
                  <c:v>359</c:v>
                </c:pt>
                <c:pt idx="3">
                  <c:v>359</c:v>
                </c:pt>
                <c:pt idx="4">
                  <c:v>359</c:v>
                </c:pt>
                <c:pt idx="5">
                  <c:v>360</c:v>
                </c:pt>
                <c:pt idx="6">
                  <c:v>360</c:v>
                </c:pt>
                <c:pt idx="7">
                  <c:v>331</c:v>
                </c:pt>
                <c:pt idx="8">
                  <c:v>320</c:v>
                </c:pt>
                <c:pt idx="9">
                  <c:v>320</c:v>
                </c:pt>
                <c:pt idx="10">
                  <c:v>322</c:v>
                </c:pt>
                <c:pt idx="11">
                  <c:v>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4-4359-8E6D-0D165F71A880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('Rate Class Customer Model'!$D$48:$D$59,'Rate Class Customer Model'!$H$60:$H$83)</c:f>
              <c:numCache>
                <c:formatCode>#,##0</c:formatCode>
                <c:ptCount val="36"/>
                <c:pt idx="12">
                  <c:v>327.72813357770286</c:v>
                </c:pt>
                <c:pt idx="13">
                  <c:v>328.62518858474152</c:v>
                </c:pt>
                <c:pt idx="14">
                  <c:v>329.52469900406618</c:v>
                </c:pt>
                <c:pt idx="15">
                  <c:v>330.42667155661303</c:v>
                </c:pt>
                <c:pt idx="16">
                  <c:v>331.33111298171485</c:v>
                </c:pt>
                <c:pt idx="17">
                  <c:v>332.23803003715119</c:v>
                </c:pt>
                <c:pt idx="18">
                  <c:v>333.14742949919895</c:v>
                </c:pt>
                <c:pt idx="19">
                  <c:v>334.05931816268304</c:v>
                </c:pt>
                <c:pt idx="20">
                  <c:v>334.97370284102715</c:v>
                </c:pt>
                <c:pt idx="21">
                  <c:v>335.89059036630448</c:v>
                </c:pt>
                <c:pt idx="22">
                  <c:v>336.80998758928905</c:v>
                </c:pt>
                <c:pt idx="23">
                  <c:v>337.73190137950678</c:v>
                </c:pt>
                <c:pt idx="24">
                  <c:v>338.65633862528671</c:v>
                </c:pt>
                <c:pt idx="25">
                  <c:v>339.58330623381266</c:v>
                </c:pt>
                <c:pt idx="26">
                  <c:v>340.51281113117466</c:v>
                </c:pt>
                <c:pt idx="27">
                  <c:v>341.44486026242083</c:v>
                </c:pt>
                <c:pt idx="28">
                  <c:v>342.37946059160925</c:v>
                </c:pt>
                <c:pt idx="29">
                  <c:v>343.31661910185989</c:v>
                </c:pt>
                <c:pt idx="30">
                  <c:v>344.25634279540691</c:v>
                </c:pt>
                <c:pt idx="31">
                  <c:v>345.19863869365093</c:v>
                </c:pt>
                <c:pt idx="32">
                  <c:v>346.14351383721151</c:v>
                </c:pt>
                <c:pt idx="33">
                  <c:v>347.09097528597971</c:v>
                </c:pt>
                <c:pt idx="34">
                  <c:v>348.0410301191709</c:v>
                </c:pt>
                <c:pt idx="35">
                  <c:v>348.99368543537759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34-4359-8E6D-0D165F71A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dateAx>
        <c:axId val="525987719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Offset val="100"/>
        <c:baseTimeUnit val="months"/>
      </c:date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kW/kWh Ratios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Model'!$A$21:$A$31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'Rate Class Load Model'!$B$21:$B$31</c:f>
              <c:numCache>
                <c:formatCode>0.0000%</c:formatCode>
                <c:ptCount val="11"/>
                <c:pt idx="0">
                  <c:v>2.6103525778080933E-3</c:v>
                </c:pt>
                <c:pt idx="1">
                  <c:v>2.6817439904757239E-3</c:v>
                </c:pt>
                <c:pt idx="2">
                  <c:v>2.6664564308733901E-3</c:v>
                </c:pt>
                <c:pt idx="3">
                  <c:v>2.6205524728064667E-3</c:v>
                </c:pt>
                <c:pt idx="4">
                  <c:v>2.6925708295444813E-3</c:v>
                </c:pt>
                <c:pt idx="5">
                  <c:v>2.7316135088635619E-3</c:v>
                </c:pt>
                <c:pt idx="6">
                  <c:v>2.7052696281793008E-3</c:v>
                </c:pt>
                <c:pt idx="7">
                  <c:v>2.6971774951791367E-3</c:v>
                </c:pt>
                <c:pt idx="8">
                  <c:v>2.6895910779380951E-3</c:v>
                </c:pt>
                <c:pt idx="9">
                  <c:v>2.7039514246426925E-3</c:v>
                </c:pt>
                <c:pt idx="10">
                  <c:v>2.7087565224391762E-3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3-488F-BFF6-EE70A48A2413}"/>
            </c:ext>
          </c:extLst>
        </c:ser>
        <c:ser>
          <c:idx val="2"/>
          <c:order val="1"/>
          <c:tx>
            <c:strRef>
              <c:f>'Rate Class Load Model'!$C$1</c:f>
              <c:strCache>
                <c:ptCount val="1"/>
                <c:pt idx="0">
                  <c:v>General Service &gt; 1000 to 4999 kW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Model'!$A$21:$A$31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'Rate Class Load Model'!$C$21:$C$31</c:f>
              <c:numCache>
                <c:formatCode>0.0000%</c:formatCode>
                <c:ptCount val="11"/>
                <c:pt idx="0">
                  <c:v>2.1495544175129827E-3</c:v>
                </c:pt>
                <c:pt idx="1">
                  <c:v>2.2265725830308176E-3</c:v>
                </c:pt>
                <c:pt idx="2">
                  <c:v>2.3122517819095557E-3</c:v>
                </c:pt>
                <c:pt idx="3">
                  <c:v>2.196367346208991E-3</c:v>
                </c:pt>
                <c:pt idx="4">
                  <c:v>2.2565373900444064E-3</c:v>
                </c:pt>
                <c:pt idx="5">
                  <c:v>2.2600063825422728E-3</c:v>
                </c:pt>
                <c:pt idx="6">
                  <c:v>2.2908876044535633E-3</c:v>
                </c:pt>
                <c:pt idx="7">
                  <c:v>2.2221998338221656E-3</c:v>
                </c:pt>
                <c:pt idx="8">
                  <c:v>2.2013224093965994E-3</c:v>
                </c:pt>
                <c:pt idx="9">
                  <c:v>2.160819272550029E-3</c:v>
                </c:pt>
                <c:pt idx="10">
                  <c:v>2.0106773080965893E-3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3-488F-BFF6-EE70A48A2413}"/>
            </c:ext>
          </c:extLst>
        </c:ser>
        <c:ser>
          <c:idx val="3"/>
          <c:order val="2"/>
          <c:tx>
            <c:strRef>
              <c:f>'Rate Class Load Model'!$D$1</c:f>
              <c:strCache>
                <c:ptCount val="1"/>
                <c:pt idx="0">
                  <c:v>Large User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Model'!$A$21:$A$31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'Rate Class Load Model'!$D$21:$D$31</c:f>
              <c:numCache>
                <c:formatCode>0.0000%</c:formatCode>
                <c:ptCount val="11"/>
                <c:pt idx="0">
                  <c:v>2.1831287867111618E-3</c:v>
                </c:pt>
                <c:pt idx="1">
                  <c:v>2.0790800944596537E-3</c:v>
                </c:pt>
                <c:pt idx="2">
                  <c:v>1.9282392068658341E-3</c:v>
                </c:pt>
                <c:pt idx="3">
                  <c:v>1.9006623753635842E-3</c:v>
                </c:pt>
                <c:pt idx="4">
                  <c:v>1.8548617900017409E-3</c:v>
                </c:pt>
                <c:pt idx="5">
                  <c:v>1.8527121232061396E-3</c:v>
                </c:pt>
                <c:pt idx="6">
                  <c:v>1.9169148956665089E-3</c:v>
                </c:pt>
                <c:pt idx="7">
                  <c:v>1.941705700281352E-3</c:v>
                </c:pt>
                <c:pt idx="8">
                  <c:v>1.9525925032579277E-3</c:v>
                </c:pt>
                <c:pt idx="9">
                  <c:v>2.0765768643328931E-3</c:v>
                </c:pt>
                <c:pt idx="10">
                  <c:v>2.0272389459372406E-3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73-488F-BFF6-EE70A48A2413}"/>
            </c:ext>
          </c:extLst>
        </c:ser>
        <c:ser>
          <c:idx val="4"/>
          <c:order val="3"/>
          <c:tx>
            <c:strRef>
              <c:f>'Rate Class Load Model'!$E$1</c:f>
              <c:strCache>
                <c:ptCount val="1"/>
                <c:pt idx="0">
                  <c:v>Streetlights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Model'!$A$21:$A$31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'Rate Class Load Model'!$E$21:$E$31</c:f>
              <c:numCache>
                <c:formatCode>0.0000%</c:formatCode>
                <c:ptCount val="11"/>
                <c:pt idx="0">
                  <c:v>2.7878718382878536E-3</c:v>
                </c:pt>
                <c:pt idx="1">
                  <c:v>2.7798337981264211E-3</c:v>
                </c:pt>
                <c:pt idx="2">
                  <c:v>2.7900647957117366E-3</c:v>
                </c:pt>
                <c:pt idx="3">
                  <c:v>2.7863001425492218E-3</c:v>
                </c:pt>
                <c:pt idx="4">
                  <c:v>2.8091793584711518E-3</c:v>
                </c:pt>
                <c:pt idx="5">
                  <c:v>2.7839501708478141E-3</c:v>
                </c:pt>
                <c:pt idx="6">
                  <c:v>2.8227305510365522E-3</c:v>
                </c:pt>
                <c:pt idx="7">
                  <c:v>2.7901743764745844E-3</c:v>
                </c:pt>
                <c:pt idx="8">
                  <c:v>2.7913619565384179E-3</c:v>
                </c:pt>
                <c:pt idx="9">
                  <c:v>2.7844449374749259E-3</c:v>
                </c:pt>
                <c:pt idx="10">
                  <c:v>2.7871252307481256E-3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73-488F-BFF6-EE70A48A2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  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Model'!$B$21:$B$31</c:f>
              <c:numCache>
                <c:formatCode>0.0000%</c:formatCode>
                <c:ptCount val="11"/>
                <c:pt idx="0">
                  <c:v>2.6103525778080933E-3</c:v>
                </c:pt>
                <c:pt idx="1">
                  <c:v>2.6817439904757239E-3</c:v>
                </c:pt>
                <c:pt idx="2">
                  <c:v>2.6664564308733901E-3</c:v>
                </c:pt>
                <c:pt idx="3">
                  <c:v>2.6205524728064667E-3</c:v>
                </c:pt>
                <c:pt idx="4">
                  <c:v>2.6925708295444813E-3</c:v>
                </c:pt>
                <c:pt idx="5">
                  <c:v>2.7316135088635619E-3</c:v>
                </c:pt>
                <c:pt idx="6">
                  <c:v>2.7052696281793008E-3</c:v>
                </c:pt>
                <c:pt idx="7">
                  <c:v>2.6971774951791367E-3</c:v>
                </c:pt>
                <c:pt idx="8">
                  <c:v>2.6895910779380951E-3</c:v>
                </c:pt>
                <c:pt idx="9">
                  <c:v>2.7039514246426925E-3</c:v>
                </c:pt>
                <c:pt idx="10">
                  <c:v>2.7087565224391762E-3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4-4398-9AF3-D502C63BD821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Model'!$B$32:$B$33)</c:f>
              <c:numCache>
                <c:formatCode>#,##0</c:formatCode>
                <c:ptCount val="13"/>
                <c:pt idx="11" formatCode="0.0000%">
                  <c:v>2.6897683380942023E-3</c:v>
                </c:pt>
                <c:pt idx="12" formatCode="0.0000%">
                  <c:v>2.6897683380942023E-3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44-4398-9AF3-D502C63B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1,000-4,999 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Model'!$C$21:$C$31</c:f>
              <c:numCache>
                <c:formatCode>0.0000%</c:formatCode>
                <c:ptCount val="11"/>
                <c:pt idx="0">
                  <c:v>2.1495544175129827E-3</c:v>
                </c:pt>
                <c:pt idx="1">
                  <c:v>2.2265725830308176E-3</c:v>
                </c:pt>
                <c:pt idx="2">
                  <c:v>2.3122517819095557E-3</c:v>
                </c:pt>
                <c:pt idx="3">
                  <c:v>2.196367346208991E-3</c:v>
                </c:pt>
                <c:pt idx="4">
                  <c:v>2.2565373900444064E-3</c:v>
                </c:pt>
                <c:pt idx="5">
                  <c:v>2.2600063825422728E-3</c:v>
                </c:pt>
                <c:pt idx="6">
                  <c:v>2.2908876044535633E-3</c:v>
                </c:pt>
                <c:pt idx="7">
                  <c:v>2.2221998338221656E-3</c:v>
                </c:pt>
                <c:pt idx="8">
                  <c:v>2.2013224093965994E-3</c:v>
                </c:pt>
                <c:pt idx="9">
                  <c:v>2.160819272550029E-3</c:v>
                </c:pt>
                <c:pt idx="10">
                  <c:v>2.0106773080965893E-3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68-47C3-A6CB-C254E71D9B19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Model'!$C$32:$C$33)</c:f>
              <c:numCache>
                <c:formatCode>#,##0</c:formatCode>
                <c:ptCount val="13"/>
                <c:pt idx="11" formatCode="0.0000%">
                  <c:v>2.1771812856637893E-3</c:v>
                </c:pt>
                <c:pt idx="12" formatCode="0.0000%">
                  <c:v>2.1771812856637893E-3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68-47C3-A6CB-C254E71D9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User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Model'!$D$21:$D$31</c:f>
              <c:numCache>
                <c:formatCode>0.0000%</c:formatCode>
                <c:ptCount val="11"/>
                <c:pt idx="0">
                  <c:v>2.1831287867111618E-3</c:v>
                </c:pt>
                <c:pt idx="1">
                  <c:v>2.0790800944596537E-3</c:v>
                </c:pt>
                <c:pt idx="2">
                  <c:v>1.9282392068658341E-3</c:v>
                </c:pt>
                <c:pt idx="3">
                  <c:v>1.9006623753635842E-3</c:v>
                </c:pt>
                <c:pt idx="4">
                  <c:v>1.8548617900017409E-3</c:v>
                </c:pt>
                <c:pt idx="5">
                  <c:v>1.8527121232061396E-3</c:v>
                </c:pt>
                <c:pt idx="6">
                  <c:v>1.9169148956665089E-3</c:v>
                </c:pt>
                <c:pt idx="7">
                  <c:v>1.941705700281352E-3</c:v>
                </c:pt>
                <c:pt idx="8">
                  <c:v>1.9525925032579277E-3</c:v>
                </c:pt>
                <c:pt idx="9">
                  <c:v>2.0765768643328931E-3</c:v>
                </c:pt>
                <c:pt idx="10">
                  <c:v>2.0272389459372406E-3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2-4A84-8E3D-4C1EE5CD1D56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Model'!$D$32:$D$33)</c:f>
              <c:numCache>
                <c:formatCode>#,##0</c:formatCode>
                <c:ptCount val="13"/>
                <c:pt idx="11" formatCode="0.0000%">
                  <c:v>1.9830057818951844E-3</c:v>
                </c:pt>
                <c:pt idx="12" formatCode="0.0000%">
                  <c:v>1.9830057818951844E-3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12-4A84-8E3D-4C1EE5CD1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Model'!$E$21:$E$31</c:f>
              <c:numCache>
                <c:formatCode>0.0000%</c:formatCode>
                <c:ptCount val="11"/>
                <c:pt idx="0">
                  <c:v>2.7878718382878536E-3</c:v>
                </c:pt>
                <c:pt idx="1">
                  <c:v>2.7798337981264211E-3</c:v>
                </c:pt>
                <c:pt idx="2">
                  <c:v>2.7900647957117366E-3</c:v>
                </c:pt>
                <c:pt idx="3">
                  <c:v>2.7863001425492218E-3</c:v>
                </c:pt>
                <c:pt idx="4">
                  <c:v>2.8091793584711518E-3</c:v>
                </c:pt>
                <c:pt idx="5">
                  <c:v>2.7839501708478141E-3</c:v>
                </c:pt>
                <c:pt idx="6">
                  <c:v>2.8227305510365522E-3</c:v>
                </c:pt>
                <c:pt idx="7">
                  <c:v>2.7901743764745844E-3</c:v>
                </c:pt>
                <c:pt idx="8">
                  <c:v>2.7913619565384179E-3</c:v>
                </c:pt>
                <c:pt idx="9">
                  <c:v>2.7844449374749259E-3</c:v>
                </c:pt>
                <c:pt idx="10">
                  <c:v>2.7871252307481256E-3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F-4309-AEF2-B2D4044565F5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Model'!$E$32:$E$33)</c:f>
              <c:numCache>
                <c:formatCode>#,##0</c:formatCode>
                <c:ptCount val="13"/>
                <c:pt idx="11" formatCode="0.0000%">
                  <c:v>2.7925165317978949E-3</c:v>
                </c:pt>
                <c:pt idx="12" formatCode="0.0000%">
                  <c:v>2.7925165317978949E-3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6F-4309-AEF2-B2D404456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Model'!$F$21:$F$31</c:f>
              <c:numCache>
                <c:formatCode>0.0000%</c:formatCode>
                <c:ptCount val="11"/>
                <c:pt idx="0">
                  <c:v>2.7777777777777779E-3</c:v>
                </c:pt>
                <c:pt idx="1">
                  <c:v>2.6488515485267811E-3</c:v>
                </c:pt>
                <c:pt idx="2">
                  <c:v>2.7777777777777779E-3</c:v>
                </c:pt>
                <c:pt idx="3">
                  <c:v>2.777783848310616E-3</c:v>
                </c:pt>
                <c:pt idx="4">
                  <c:v>2.861313185553856E-3</c:v>
                </c:pt>
                <c:pt idx="5">
                  <c:v>2.8535535600534346E-3</c:v>
                </c:pt>
                <c:pt idx="6">
                  <c:v>2.845614218256741E-3</c:v>
                </c:pt>
                <c:pt idx="7">
                  <c:v>2.8374888435548783E-3</c:v>
                </c:pt>
                <c:pt idx="8">
                  <c:v>2.8291708198109351E-3</c:v>
                </c:pt>
                <c:pt idx="9">
                  <c:v>2.8143225702704742E-3</c:v>
                </c:pt>
                <c:pt idx="10">
                  <c:v>2.778211873382994E-3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8-4C83-9E68-D851E041D527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Model'!$F$32:$F$33)</c:f>
              <c:numCache>
                <c:formatCode>#,##0</c:formatCode>
                <c:ptCount val="13"/>
                <c:pt idx="11" formatCode="0.0000%">
                  <c:v>2.802365414989327E-3</c:v>
                </c:pt>
                <c:pt idx="12" formatCode="0.0000%">
                  <c:v>2.802365414989327E-3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8-4C83-9E68-D851E041D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Summary!$A$10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Summary!$C$12:$O$12</c:f>
              <c:numCache>
                <c:formatCode>#,##0</c:formatCode>
                <c:ptCount val="13"/>
                <c:pt idx="0">
                  <c:v>268725506.51999998</c:v>
                </c:pt>
                <c:pt idx="1">
                  <c:v>281220954.64999998</c:v>
                </c:pt>
                <c:pt idx="2">
                  <c:v>287291133.52999997</c:v>
                </c:pt>
                <c:pt idx="3">
                  <c:v>290591982.63</c:v>
                </c:pt>
                <c:pt idx="4">
                  <c:v>295940879.87469882</c:v>
                </c:pt>
                <c:pt idx="5">
                  <c:v>310749015.99036139</c:v>
                </c:pt>
                <c:pt idx="6">
                  <c:v>294253405.64819276</c:v>
                </c:pt>
                <c:pt idx="7">
                  <c:v>323623192.28915668</c:v>
                </c:pt>
                <c:pt idx="8">
                  <c:v>316413176.16385555</c:v>
                </c:pt>
                <c:pt idx="9">
                  <c:v>353805930.95903623</c:v>
                </c:pt>
                <c:pt idx="10">
                  <c:v>360408160.45301205</c:v>
                </c:pt>
                <c:pt idx="11">
                  <c:v>354027693.06569093</c:v>
                </c:pt>
                <c:pt idx="12">
                  <c:v>353425358.50033087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B5-4223-82AF-17E491D8758E}"/>
            </c:ext>
          </c:extLst>
        </c:ser>
        <c:ser>
          <c:idx val="1"/>
          <c:order val="1"/>
          <c:tx>
            <c:strRef>
              <c:f>Summary!$A$14</c:f>
              <c:strCache>
                <c:ptCount val="1"/>
                <c:pt idx="0">
                  <c:v>General Service &lt; 50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Summary!$C$16:$O$16</c:f>
              <c:numCache>
                <c:formatCode>#,##0</c:formatCode>
                <c:ptCount val="13"/>
                <c:pt idx="0">
                  <c:v>83338833.540000021</c:v>
                </c:pt>
                <c:pt idx="1">
                  <c:v>84168273.069999993</c:v>
                </c:pt>
                <c:pt idx="2">
                  <c:v>87021883.129999995</c:v>
                </c:pt>
                <c:pt idx="3">
                  <c:v>88384426.730000004</c:v>
                </c:pt>
                <c:pt idx="4">
                  <c:v>88333188.626506001</c:v>
                </c:pt>
                <c:pt idx="5">
                  <c:v>88749928.414457858</c:v>
                </c:pt>
                <c:pt idx="6">
                  <c:v>82899471.903614432</c:v>
                </c:pt>
                <c:pt idx="7">
                  <c:v>86093744.838554204</c:v>
                </c:pt>
                <c:pt idx="8">
                  <c:v>83808650.746987954</c:v>
                </c:pt>
                <c:pt idx="9">
                  <c:v>79694764.992771059</c:v>
                </c:pt>
                <c:pt idx="10">
                  <c:v>85479169.763855413</c:v>
                </c:pt>
                <c:pt idx="11">
                  <c:v>85511247.730513051</c:v>
                </c:pt>
                <c:pt idx="12">
                  <c:v>87736980.996692628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B5-4223-82AF-17E491D8758E}"/>
            </c:ext>
          </c:extLst>
        </c:ser>
        <c:ser>
          <c:idx val="2"/>
          <c:order val="2"/>
          <c:tx>
            <c:strRef>
              <c:f>Summary!$A$18</c:f>
              <c:strCache>
                <c:ptCount val="1"/>
                <c:pt idx="0">
                  <c:v>General Service  50 to 999 kW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Summary!$C$20:$O$20</c:f>
              <c:numCache>
                <c:formatCode>#,##0</c:formatCode>
                <c:ptCount val="13"/>
                <c:pt idx="0">
                  <c:v>192782769.75999996</c:v>
                </c:pt>
                <c:pt idx="1">
                  <c:v>194206572.97999996</c:v>
                </c:pt>
                <c:pt idx="2">
                  <c:v>203179610.86000001</c:v>
                </c:pt>
                <c:pt idx="3">
                  <c:v>204924669.72999999</c:v>
                </c:pt>
                <c:pt idx="4">
                  <c:v>205449544.32771084</c:v>
                </c:pt>
                <c:pt idx="5">
                  <c:v>204715589.59036142</c:v>
                </c:pt>
                <c:pt idx="6">
                  <c:v>213633991.96144572</c:v>
                </c:pt>
                <c:pt idx="7">
                  <c:v>221806792.86746988</c:v>
                </c:pt>
                <c:pt idx="8">
                  <c:v>220154820.13493976</c:v>
                </c:pt>
                <c:pt idx="9">
                  <c:v>209733279.5373494</c:v>
                </c:pt>
                <c:pt idx="10">
                  <c:v>214209551.57590359</c:v>
                </c:pt>
                <c:pt idx="11">
                  <c:v>211460207.36614057</c:v>
                </c:pt>
                <c:pt idx="12">
                  <c:v>220860822.79125082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B5-4223-82AF-17E491D8758E}"/>
            </c:ext>
          </c:extLst>
        </c:ser>
        <c:ser>
          <c:idx val="3"/>
          <c:order val="3"/>
          <c:tx>
            <c:strRef>
              <c:f>Summary!$A$23</c:f>
              <c:strCache>
                <c:ptCount val="1"/>
                <c:pt idx="0">
                  <c:v>General Service 1000 to 4999 kW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Summary!$C$25:$O$25</c:f>
              <c:numCache>
                <c:formatCode>#,##0</c:formatCode>
                <c:ptCount val="13"/>
                <c:pt idx="0">
                  <c:v>121407487</c:v>
                </c:pt>
                <c:pt idx="1">
                  <c:v>128979851</c:v>
                </c:pt>
                <c:pt idx="2">
                  <c:v>100652663.27</c:v>
                </c:pt>
                <c:pt idx="3">
                  <c:v>110411188.92</c:v>
                </c:pt>
                <c:pt idx="4">
                  <c:v>112974658.04233061</c:v>
                </c:pt>
                <c:pt idx="5">
                  <c:v>119969236.41206953</c:v>
                </c:pt>
                <c:pt idx="6">
                  <c:v>121918931.97074634</c:v>
                </c:pt>
                <c:pt idx="7">
                  <c:v>130413203.88434154</c:v>
                </c:pt>
                <c:pt idx="8">
                  <c:v>134423430.54196733</c:v>
                </c:pt>
                <c:pt idx="9">
                  <c:v>128841062.06228508</c:v>
                </c:pt>
                <c:pt idx="10">
                  <c:v>132400892.43957959</c:v>
                </c:pt>
                <c:pt idx="11">
                  <c:v>103617411.17512476</c:v>
                </c:pt>
                <c:pt idx="12">
                  <c:v>103617411.17512476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B5-4223-82AF-17E491D8758E}"/>
            </c:ext>
          </c:extLst>
        </c:ser>
        <c:ser>
          <c:idx val="4"/>
          <c:order val="4"/>
          <c:tx>
            <c:strRef>
              <c:f>Summary!$A$28</c:f>
              <c:strCache>
                <c:ptCount val="1"/>
                <c:pt idx="0">
                  <c:v>Large User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Summary!$C$30:$O$30</c:f>
              <c:numCache>
                <c:formatCode>#,##0</c:formatCode>
                <c:ptCount val="13"/>
                <c:pt idx="0">
                  <c:v>80336534</c:v>
                </c:pt>
                <c:pt idx="1">
                  <c:v>86554626</c:v>
                </c:pt>
                <c:pt idx="2">
                  <c:v>127931414.90000002</c:v>
                </c:pt>
                <c:pt idx="3">
                  <c:v>133427900.34</c:v>
                </c:pt>
                <c:pt idx="4">
                  <c:v>136606296.6878854</c:v>
                </c:pt>
                <c:pt idx="5">
                  <c:v>140016226.34772229</c:v>
                </c:pt>
                <c:pt idx="6">
                  <c:v>137562121.61328822</c:v>
                </c:pt>
                <c:pt idx="7">
                  <c:v>138505562.38313109</c:v>
                </c:pt>
                <c:pt idx="8">
                  <c:v>144434637.29858762</c:v>
                </c:pt>
                <c:pt idx="9">
                  <c:v>129179340.58086331</c:v>
                </c:pt>
                <c:pt idx="10">
                  <c:v>137730887.895365</c:v>
                </c:pt>
                <c:pt idx="11">
                  <c:v>131131300.15596515</c:v>
                </c:pt>
                <c:pt idx="12">
                  <c:v>131131300.15596515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B5-4223-82AF-17E491D87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3912656"/>
        <c:axId val="943911016"/>
      </c:lineChart>
      <c:catAx>
        <c:axId val="94391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911016"/>
        <c:crosses val="autoZero"/>
        <c:auto val="1"/>
        <c:lblAlgn val="ctr"/>
        <c:lblOffset val="100"/>
        <c:noMultiLvlLbl val="0"/>
      </c:catAx>
      <c:valAx>
        <c:axId val="943911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9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Residential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 kWh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'Residential (WN)'!$A$3:$A$127</c:f>
              <c:numCache>
                <c:formatCode>mmm\-yy</c:formatCode>
                <c:ptCount val="12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</c:numCache>
            </c:numRef>
          </c:cat>
          <c:val>
            <c:numRef>
              <c:f>'Residential (WN)'!$F$3:$F$128</c:f>
              <c:numCache>
                <c:formatCode>_(* #,##0_);_(* \(#,##0\);_(* "-"??_);_(@_)</c:formatCode>
                <c:ptCount val="126"/>
                <c:pt idx="0">
                  <c:v>23733365.085325282</c:v>
                </c:pt>
                <c:pt idx="1">
                  <c:v>22310529.535325348</c:v>
                </c:pt>
                <c:pt idx="2">
                  <c:v>20561511.105325352</c:v>
                </c:pt>
                <c:pt idx="3">
                  <c:v>18196504.345325314</c:v>
                </c:pt>
                <c:pt idx="4">
                  <c:v>19242436.605325352</c:v>
                </c:pt>
                <c:pt idx="5">
                  <c:v>23455207.885325335</c:v>
                </c:pt>
                <c:pt idx="6">
                  <c:v>29881256.025325283</c:v>
                </c:pt>
                <c:pt idx="7">
                  <c:v>28120502.455325332</c:v>
                </c:pt>
                <c:pt idx="8">
                  <c:v>19919582.535325326</c:v>
                </c:pt>
                <c:pt idx="9">
                  <c:v>18267774.095325306</c:v>
                </c:pt>
                <c:pt idx="10">
                  <c:v>20206933.495325342</c:v>
                </c:pt>
                <c:pt idx="11">
                  <c:v>25108396.295325305</c:v>
                </c:pt>
                <c:pt idx="12">
                  <c:v>22665511.009777255</c:v>
                </c:pt>
                <c:pt idx="13">
                  <c:v>21731631.059777245</c:v>
                </c:pt>
                <c:pt idx="14">
                  <c:v>20010014.379777245</c:v>
                </c:pt>
                <c:pt idx="15">
                  <c:v>18912007.339777257</c:v>
                </c:pt>
                <c:pt idx="16">
                  <c:v>19051304.719777234</c:v>
                </c:pt>
                <c:pt idx="17">
                  <c:v>27958863.159777239</c:v>
                </c:pt>
                <c:pt idx="18">
                  <c:v>33576079.829777248</c:v>
                </c:pt>
                <c:pt idx="19">
                  <c:v>30029439.459777251</c:v>
                </c:pt>
                <c:pt idx="20">
                  <c:v>21238214.669777248</c:v>
                </c:pt>
                <c:pt idx="21">
                  <c:v>19640038.639777251</c:v>
                </c:pt>
                <c:pt idx="22">
                  <c:v>21482109.149777245</c:v>
                </c:pt>
                <c:pt idx="23">
                  <c:v>25647572.909777213</c:v>
                </c:pt>
                <c:pt idx="24">
                  <c:v>24743261.071531244</c:v>
                </c:pt>
                <c:pt idx="25">
                  <c:v>23224532.891531281</c:v>
                </c:pt>
                <c:pt idx="26">
                  <c:v>23052750.88153125</c:v>
                </c:pt>
                <c:pt idx="27">
                  <c:v>19679187.661531229</c:v>
                </c:pt>
                <c:pt idx="28">
                  <c:v>20796344.531531259</c:v>
                </c:pt>
                <c:pt idx="29">
                  <c:v>24720133.67153126</c:v>
                </c:pt>
                <c:pt idx="30">
                  <c:v>31067397.23153127</c:v>
                </c:pt>
                <c:pt idx="31">
                  <c:v>28442759.621531248</c:v>
                </c:pt>
                <c:pt idx="32">
                  <c:v>20912722.881531265</c:v>
                </c:pt>
                <c:pt idx="33">
                  <c:v>20981353.041531246</c:v>
                </c:pt>
                <c:pt idx="34">
                  <c:v>21829613.801531244</c:v>
                </c:pt>
                <c:pt idx="35">
                  <c:v>28911020.861531246</c:v>
                </c:pt>
                <c:pt idx="36">
                  <c:v>26360023.557272851</c:v>
                </c:pt>
                <c:pt idx="37">
                  <c:v>26374215.547272835</c:v>
                </c:pt>
                <c:pt idx="38">
                  <c:v>24141795.047272857</c:v>
                </c:pt>
                <c:pt idx="39">
                  <c:v>22071105.877272848</c:v>
                </c:pt>
                <c:pt idx="40">
                  <c:v>20648893.407272812</c:v>
                </c:pt>
                <c:pt idx="41">
                  <c:v>24572425.267272837</c:v>
                </c:pt>
                <c:pt idx="42">
                  <c:v>28609332.357272841</c:v>
                </c:pt>
                <c:pt idx="43">
                  <c:v>26478984.537272859</c:v>
                </c:pt>
                <c:pt idx="44">
                  <c:v>21763182.987272844</c:v>
                </c:pt>
                <c:pt idx="45">
                  <c:v>21382264.647272848</c:v>
                </c:pt>
                <c:pt idx="46">
                  <c:v>22562429.487272851</c:v>
                </c:pt>
                <c:pt idx="47">
                  <c:v>27673778.197272848</c:v>
                </c:pt>
                <c:pt idx="48">
                  <c:v>28069177.441256527</c:v>
                </c:pt>
                <c:pt idx="49">
                  <c:v>26707165.383425221</c:v>
                </c:pt>
                <c:pt idx="50">
                  <c:v>24478082.20270231</c:v>
                </c:pt>
                <c:pt idx="51">
                  <c:v>20676669.084630042</c:v>
                </c:pt>
                <c:pt idx="52">
                  <c:v>21746093.258124005</c:v>
                </c:pt>
                <c:pt idx="53">
                  <c:v>25107302.887039673</c:v>
                </c:pt>
                <c:pt idx="54">
                  <c:v>31952965.229208339</c:v>
                </c:pt>
                <c:pt idx="55">
                  <c:v>29580077.267762542</c:v>
                </c:pt>
                <c:pt idx="56">
                  <c:v>26608771.542461362</c:v>
                </c:pt>
                <c:pt idx="57">
                  <c:v>21483913.277401097</c:v>
                </c:pt>
                <c:pt idx="58">
                  <c:v>19734087.166557718</c:v>
                </c:pt>
                <c:pt idx="59">
                  <c:v>23600600.062943287</c:v>
                </c:pt>
                <c:pt idx="60">
                  <c:v>26488550.719732195</c:v>
                </c:pt>
                <c:pt idx="61">
                  <c:v>25023617.148647863</c:v>
                </c:pt>
                <c:pt idx="62">
                  <c:v>23461776.319732215</c:v>
                </c:pt>
                <c:pt idx="63">
                  <c:v>22136159.26912979</c:v>
                </c:pt>
                <c:pt idx="64">
                  <c:v>21068139.211298458</c:v>
                </c:pt>
                <c:pt idx="65">
                  <c:v>30493925.726961114</c:v>
                </c:pt>
                <c:pt idx="66">
                  <c:v>36232069.967924938</c:v>
                </c:pt>
                <c:pt idx="67">
                  <c:v>36666591.857081592</c:v>
                </c:pt>
                <c:pt idx="68">
                  <c:v>27451832.531780414</c:v>
                </c:pt>
                <c:pt idx="69">
                  <c:v>19916253.264310535</c:v>
                </c:pt>
                <c:pt idx="70">
                  <c:v>19873181.534190029</c:v>
                </c:pt>
                <c:pt idx="71">
                  <c:v>27978193.948647868</c:v>
                </c:pt>
                <c:pt idx="72">
                  <c:v>27093622.098643739</c:v>
                </c:pt>
                <c:pt idx="73">
                  <c:v>23068759.370932903</c:v>
                </c:pt>
                <c:pt idx="74">
                  <c:v>25389455.235993147</c:v>
                </c:pt>
                <c:pt idx="75">
                  <c:v>20358576.739607595</c:v>
                </c:pt>
                <c:pt idx="76">
                  <c:v>21397367.515511237</c:v>
                </c:pt>
                <c:pt idx="77">
                  <c:v>28536633.10587268</c:v>
                </c:pt>
                <c:pt idx="78">
                  <c:v>29930546.214306407</c:v>
                </c:pt>
                <c:pt idx="79">
                  <c:v>30545492.91310158</c:v>
                </c:pt>
                <c:pt idx="80">
                  <c:v>26816098.763703998</c:v>
                </c:pt>
                <c:pt idx="81">
                  <c:v>21561059.833583519</c:v>
                </c:pt>
                <c:pt idx="82">
                  <c:v>23579172.681776274</c:v>
                </c:pt>
                <c:pt idx="83">
                  <c:v>27478381.028764222</c:v>
                </c:pt>
                <c:pt idx="84">
                  <c:v>29607203.423201349</c:v>
                </c:pt>
                <c:pt idx="85">
                  <c:v>24179288.772598948</c:v>
                </c:pt>
                <c:pt idx="86">
                  <c:v>26124027.606333889</c:v>
                </c:pt>
                <c:pt idx="87">
                  <c:v>22298688.406333879</c:v>
                </c:pt>
                <c:pt idx="88">
                  <c:v>24908740.34850258</c:v>
                </c:pt>
                <c:pt idx="89">
                  <c:v>34041039.172598973</c:v>
                </c:pt>
                <c:pt idx="90">
                  <c:v>35267527.105129071</c:v>
                </c:pt>
                <c:pt idx="91">
                  <c:v>37882496.762960359</c:v>
                </c:pt>
                <c:pt idx="92">
                  <c:v>28623515.240068838</c:v>
                </c:pt>
                <c:pt idx="93">
                  <c:v>23069429.620791711</c:v>
                </c:pt>
                <c:pt idx="94">
                  <c:v>22177389.890671223</c:v>
                </c:pt>
                <c:pt idx="95">
                  <c:v>30826041.620791715</c:v>
                </c:pt>
                <c:pt idx="96">
                  <c:v>30296678.502611879</c:v>
                </c:pt>
                <c:pt idx="97">
                  <c:v>27263823.630322684</c:v>
                </c:pt>
                <c:pt idx="98">
                  <c:v>25289889.885744374</c:v>
                </c:pt>
                <c:pt idx="99">
                  <c:v>24085428.083334759</c:v>
                </c:pt>
                <c:pt idx="100">
                  <c:v>23509154.888154022</c:v>
                </c:pt>
                <c:pt idx="101">
                  <c:v>26580302.01104556</c:v>
                </c:pt>
                <c:pt idx="102">
                  <c:v>38634397.654419079</c:v>
                </c:pt>
                <c:pt idx="103">
                  <c:v>35462351.398997389</c:v>
                </c:pt>
                <c:pt idx="104">
                  <c:v>26458002.714660037</c:v>
                </c:pt>
                <c:pt idx="105">
                  <c:v>23458321.991768487</c:v>
                </c:pt>
                <c:pt idx="106">
                  <c:v>22723875.611045595</c:v>
                </c:pt>
                <c:pt idx="107">
                  <c:v>29555236.748394977</c:v>
                </c:pt>
                <c:pt idx="108">
                  <c:v>31096332.909579843</c:v>
                </c:pt>
                <c:pt idx="109">
                  <c:v>26929021.208375014</c:v>
                </c:pt>
                <c:pt idx="110">
                  <c:v>26338553.699941278</c:v>
                </c:pt>
                <c:pt idx="111">
                  <c:v>27039073.834881049</c:v>
                </c:pt>
                <c:pt idx="112">
                  <c:v>27307988.668615971</c:v>
                </c:pt>
                <c:pt idx="113">
                  <c:v>39033998.461387023</c:v>
                </c:pt>
                <c:pt idx="114">
                  <c:v>45880496.822832875</c:v>
                </c:pt>
                <c:pt idx="115">
                  <c:v>40192363.868616</c:v>
                </c:pt>
                <c:pt idx="116">
                  <c:v>28598946.287893068</c:v>
                </c:pt>
                <c:pt idx="117">
                  <c:v>25393750.721628018</c:v>
                </c:pt>
                <c:pt idx="118">
                  <c:v>23298897.661387056</c:v>
                </c:pt>
                <c:pt idx="119">
                  <c:v>29408230.692712367</c:v>
                </c:pt>
                <c:pt idx="120">
                  <c:v>33477332.406683832</c:v>
                </c:pt>
                <c:pt idx="121">
                  <c:v>31909165.380177792</c:v>
                </c:pt>
                <c:pt idx="122">
                  <c:v>27920614.768129587</c:v>
                </c:pt>
                <c:pt idx="123">
                  <c:v>25767139.02837057</c:v>
                </c:pt>
                <c:pt idx="124">
                  <c:v>27806855.086201914</c:v>
                </c:pt>
                <c:pt idx="125">
                  <c:v>36815818.816322342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5-4D96-94FA-94A443FF82B3}"/>
            </c:ext>
          </c:extLst>
        </c:ser>
        <c:ser>
          <c:idx val="1"/>
          <c:order val="1"/>
          <c:tx>
            <c:v>Predicted kWh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'Residential (WN)'!$A$3:$A$127</c:f>
              <c:numCache>
                <c:formatCode>mmm\-yy</c:formatCode>
                <c:ptCount val="12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</c:numCache>
            </c:numRef>
          </c:cat>
          <c:val>
            <c:numRef>
              <c:f>'Residential (WN)'!$Q$3:$Q$127</c:f>
              <c:numCache>
                <c:formatCode>#,##0_);\(#,##0\)</c:formatCode>
                <c:ptCount val="125"/>
                <c:pt idx="0">
                  <c:v>19085892.312724587</c:v>
                </c:pt>
                <c:pt idx="1">
                  <c:v>20987746.56736074</c:v>
                </c:pt>
                <c:pt idx="2">
                  <c:v>20230166.838611055</c:v>
                </c:pt>
                <c:pt idx="3">
                  <c:v>18333151.41103036</c:v>
                </c:pt>
                <c:pt idx="4">
                  <c:v>20094626.447916787</c:v>
                </c:pt>
                <c:pt idx="5">
                  <c:v>24581621.858997814</c:v>
                </c:pt>
                <c:pt idx="6">
                  <c:v>27081656.538504656</c:v>
                </c:pt>
                <c:pt idx="7">
                  <c:v>27940418.565552343</c:v>
                </c:pt>
                <c:pt idx="8">
                  <c:v>20325527.951579798</c:v>
                </c:pt>
                <c:pt idx="9">
                  <c:v>18167372.753451318</c:v>
                </c:pt>
                <c:pt idx="10">
                  <c:v>20944276.546033837</c:v>
                </c:pt>
                <c:pt idx="11">
                  <c:v>25469683.974029869</c:v>
                </c:pt>
                <c:pt idx="12">
                  <c:v>23332879.932722822</c:v>
                </c:pt>
                <c:pt idx="13">
                  <c:v>22600870.34671852</c:v>
                </c:pt>
                <c:pt idx="14">
                  <c:v>21446856.726945829</c:v>
                </c:pt>
                <c:pt idx="15">
                  <c:v>19054912.714084838</c:v>
                </c:pt>
                <c:pt idx="16">
                  <c:v>18363108.157242797</c:v>
                </c:pt>
                <c:pt idx="17">
                  <c:v>26396723.610118963</c:v>
                </c:pt>
                <c:pt idx="18">
                  <c:v>30929984.568930909</c:v>
                </c:pt>
                <c:pt idx="19">
                  <c:v>30489838.719759028</c:v>
                </c:pt>
                <c:pt idx="20">
                  <c:v>22201319.404461037</c:v>
                </c:pt>
                <c:pt idx="21">
                  <c:v>19786933.629777826</c:v>
                </c:pt>
                <c:pt idx="22">
                  <c:v>21414940.710913926</c:v>
                </c:pt>
                <c:pt idx="23">
                  <c:v>26013228.18614503</c:v>
                </c:pt>
                <c:pt idx="24">
                  <c:v>25293578.377101541</c:v>
                </c:pt>
                <c:pt idx="25">
                  <c:v>23204529.294233568</c:v>
                </c:pt>
                <c:pt idx="26">
                  <c:v>22878640.130694181</c:v>
                </c:pt>
                <c:pt idx="27">
                  <c:v>19586099.090148989</c:v>
                </c:pt>
                <c:pt idx="28">
                  <c:v>20857454.900739558</c:v>
                </c:pt>
                <c:pt idx="29">
                  <c:v>25708727.362894438</c:v>
                </c:pt>
                <c:pt idx="30">
                  <c:v>31708409.706203189</c:v>
                </c:pt>
                <c:pt idx="31">
                  <c:v>29998861.460019112</c:v>
                </c:pt>
                <c:pt idx="32">
                  <c:v>22481982.844318323</c:v>
                </c:pt>
                <c:pt idx="33">
                  <c:v>21274021.529533345</c:v>
                </c:pt>
                <c:pt idx="34">
                  <c:v>21376349.729236063</c:v>
                </c:pt>
                <c:pt idx="35">
                  <c:v>27927961.979485512</c:v>
                </c:pt>
                <c:pt idx="36">
                  <c:v>25151072.524083499</c:v>
                </c:pt>
                <c:pt idx="37">
                  <c:v>25431775.323495384</c:v>
                </c:pt>
                <c:pt idx="38">
                  <c:v>22781444.771095369</c:v>
                </c:pt>
                <c:pt idx="39">
                  <c:v>21992867.137945682</c:v>
                </c:pt>
                <c:pt idx="40">
                  <c:v>21804949.82345866</c:v>
                </c:pt>
                <c:pt idx="41">
                  <c:v>24721178.787351269</c:v>
                </c:pt>
                <c:pt idx="42">
                  <c:v>32759769.032667156</c:v>
                </c:pt>
                <c:pt idx="43">
                  <c:v>28841511.552849367</c:v>
                </c:pt>
                <c:pt idx="44">
                  <c:v>22762558.486523032</c:v>
                </c:pt>
                <c:pt idx="45">
                  <c:v>21578885.394606046</c:v>
                </c:pt>
                <c:pt idx="46">
                  <c:v>22075098.15320427</c:v>
                </c:pt>
                <c:pt idx="47">
                  <c:v>27831535.824869666</c:v>
                </c:pt>
                <c:pt idx="48">
                  <c:v>27152855.451505352</c:v>
                </c:pt>
                <c:pt idx="49">
                  <c:v>24719122.279064205</c:v>
                </c:pt>
                <c:pt idx="50">
                  <c:v>23773745.095545921</c:v>
                </c:pt>
                <c:pt idx="51">
                  <c:v>20975790.783408221</c:v>
                </c:pt>
                <c:pt idx="52">
                  <c:v>20990896.351453517</c:v>
                </c:pt>
                <c:pt idx="53">
                  <c:v>27484631.296335079</c:v>
                </c:pt>
                <c:pt idx="54">
                  <c:v>33811425.013331465</c:v>
                </c:pt>
                <c:pt idx="55">
                  <c:v>31411428.063169807</c:v>
                </c:pt>
                <c:pt idx="56">
                  <c:v>24451076.728554212</c:v>
                </c:pt>
                <c:pt idx="57">
                  <c:v>21662267.694629997</c:v>
                </c:pt>
                <c:pt idx="58">
                  <c:v>20444351.111754023</c:v>
                </c:pt>
                <c:pt idx="59">
                  <c:v>24872968.614203122</c:v>
                </c:pt>
                <c:pt idx="60">
                  <c:v>26637922.559815563</c:v>
                </c:pt>
                <c:pt idx="61">
                  <c:v>25397570.86057587</c:v>
                </c:pt>
                <c:pt idx="62">
                  <c:v>23975125.441091694</c:v>
                </c:pt>
                <c:pt idx="63">
                  <c:v>21708356.320815258</c:v>
                </c:pt>
                <c:pt idx="64">
                  <c:v>20187193.664084826</c:v>
                </c:pt>
                <c:pt idx="65">
                  <c:v>29956877.345538151</c:v>
                </c:pt>
                <c:pt idx="66">
                  <c:v>34565225.803811088</c:v>
                </c:pt>
                <c:pt idx="67">
                  <c:v>32611849.573750846</c:v>
                </c:pt>
                <c:pt idx="68">
                  <c:v>25958049.499082755</c:v>
                </c:pt>
                <c:pt idx="69">
                  <c:v>19765084.761355642</c:v>
                </c:pt>
                <c:pt idx="70">
                  <c:v>20646338.885737225</c:v>
                </c:pt>
                <c:pt idx="71">
                  <c:v>27693077.173190493</c:v>
                </c:pt>
                <c:pt idx="72">
                  <c:v>27780208.451307636</c:v>
                </c:pt>
                <c:pt idx="73">
                  <c:v>24106587.927675873</c:v>
                </c:pt>
                <c:pt idx="74">
                  <c:v>25047628.734887034</c:v>
                </c:pt>
                <c:pt idx="75">
                  <c:v>21012947.504243866</c:v>
                </c:pt>
                <c:pt idx="76">
                  <c:v>22357885.268440198</c:v>
                </c:pt>
                <c:pt idx="77">
                  <c:v>28977036.650141288</c:v>
                </c:pt>
                <c:pt idx="78">
                  <c:v>31460824.54979486</c:v>
                </c:pt>
                <c:pt idx="79">
                  <c:v>33350084.432464018</c:v>
                </c:pt>
                <c:pt idx="80">
                  <c:v>25403174.163896587</c:v>
                </c:pt>
                <c:pt idx="81">
                  <c:v>21623317.440343492</c:v>
                </c:pt>
                <c:pt idx="82">
                  <c:v>23552186.141414911</c:v>
                </c:pt>
                <c:pt idx="83">
                  <c:v>26228025.169727199</c:v>
                </c:pt>
                <c:pt idx="84">
                  <c:v>29215866.672573581</c:v>
                </c:pt>
                <c:pt idx="85">
                  <c:v>24827527.617779452</c:v>
                </c:pt>
                <c:pt idx="86">
                  <c:v>25956905.011758029</c:v>
                </c:pt>
                <c:pt idx="87">
                  <c:v>21519013.482287746</c:v>
                </c:pt>
                <c:pt idx="88">
                  <c:v>24005567.676801682</c:v>
                </c:pt>
                <c:pt idx="89">
                  <c:v>34450296.081492975</c:v>
                </c:pt>
                <c:pt idx="90">
                  <c:v>34082368.615624182</c:v>
                </c:pt>
                <c:pt idx="91">
                  <c:v>35638045.696291849</c:v>
                </c:pt>
                <c:pt idx="92">
                  <c:v>26825056.970272608</c:v>
                </c:pt>
                <c:pt idx="93">
                  <c:v>22393822.646575358</c:v>
                </c:pt>
                <c:pt idx="94">
                  <c:v>21585236.21268449</c:v>
                </c:pt>
                <c:pt idx="95">
                  <c:v>30928767.517831501</c:v>
                </c:pt>
                <c:pt idx="96">
                  <c:v>29624068.462470405</c:v>
                </c:pt>
                <c:pt idx="97">
                  <c:v>27329424.947224792</c:v>
                </c:pt>
                <c:pt idx="98">
                  <c:v>24774232.997640658</c:v>
                </c:pt>
                <c:pt idx="99">
                  <c:v>24095414.81680537</c:v>
                </c:pt>
                <c:pt idx="100">
                  <c:v>25194808.369659442</c:v>
                </c:pt>
                <c:pt idx="101">
                  <c:v>28602057.074340392</c:v>
                </c:pt>
                <c:pt idx="102">
                  <c:v>37496878.407457933</c:v>
                </c:pt>
                <c:pt idx="103">
                  <c:v>36330330.84518674</c:v>
                </c:pt>
                <c:pt idx="104">
                  <c:v>27751402.096637245</c:v>
                </c:pt>
                <c:pt idx="105">
                  <c:v>23495232.336500484</c:v>
                </c:pt>
                <c:pt idx="106">
                  <c:v>21964006.182789821</c:v>
                </c:pt>
                <c:pt idx="107">
                  <c:v>29493740.973296326</c:v>
                </c:pt>
                <c:pt idx="108">
                  <c:v>31816986.524017137</c:v>
                </c:pt>
                <c:pt idx="109">
                  <c:v>27098571.349662624</c:v>
                </c:pt>
                <c:pt idx="110">
                  <c:v>27003895.219982073</c:v>
                </c:pt>
                <c:pt idx="111">
                  <c:v>26913665.040790714</c:v>
                </c:pt>
                <c:pt idx="112">
                  <c:v>26951763.993355334</c:v>
                </c:pt>
                <c:pt idx="113">
                  <c:v>37728555.430559993</c:v>
                </c:pt>
                <c:pt idx="114">
                  <c:v>42159871.980166554</c:v>
                </c:pt>
                <c:pt idx="115">
                  <c:v>39816429.759496517</c:v>
                </c:pt>
                <c:pt idx="116">
                  <c:v>29625348.760679826</c:v>
                </c:pt>
                <c:pt idx="117">
                  <c:v>25534869.314859506</c:v>
                </c:pt>
                <c:pt idx="118">
                  <c:v>24092093.830209617</c:v>
                </c:pt>
                <c:pt idx="119">
                  <c:v>29478636.367044058</c:v>
                </c:pt>
                <c:pt idx="120">
                  <c:v>33892254.184693187</c:v>
                </c:pt>
                <c:pt idx="121">
                  <c:v>31695240.446631495</c:v>
                </c:pt>
                <c:pt idx="122">
                  <c:v>28568485.897517357</c:v>
                </c:pt>
                <c:pt idx="123">
                  <c:v>26164968.434338342</c:v>
                </c:pt>
                <c:pt idx="124">
                  <c:v>27527253.429753479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5-4D96-94FA-94A443FF8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GS &lt; 50Weather Normal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&lt; 50 kW (WN)'!$F$2</c:f>
              <c:strCache>
                <c:ptCount val="1"/>
                <c:pt idx="0">
                  <c:v> GSlt50_NoCDM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&lt; 50 kW (WN)'!$A$3:$A$158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 (WN)'!$F$3:$F$127</c:f>
              <c:numCache>
                <c:formatCode>_(* #,##0_);_(* \(#,##0\);_(* "-"??_);_(@_)</c:formatCode>
                <c:ptCount val="125"/>
                <c:pt idx="0">
                  <c:v>6864837.5606799051</c:v>
                </c:pt>
                <c:pt idx="1">
                  <c:v>7486989.0006799055</c:v>
                </c:pt>
                <c:pt idx="2">
                  <c:v>7162036.2106799055</c:v>
                </c:pt>
                <c:pt idx="3">
                  <c:v>6476547.8606799087</c:v>
                </c:pt>
                <c:pt idx="4">
                  <c:v>6403514.4906799076</c:v>
                </c:pt>
                <c:pt idx="5">
                  <c:v>6877896.1406799043</c:v>
                </c:pt>
                <c:pt idx="6">
                  <c:v>7234914.1806799052</c:v>
                </c:pt>
                <c:pt idx="7">
                  <c:v>7344852.5306799076</c:v>
                </c:pt>
                <c:pt idx="8">
                  <c:v>6374849.0306799021</c:v>
                </c:pt>
                <c:pt idx="9">
                  <c:v>6197006.2306798976</c:v>
                </c:pt>
                <c:pt idx="10">
                  <c:v>6512655.0606799014</c:v>
                </c:pt>
                <c:pt idx="11">
                  <c:v>8516346.6906799022</c:v>
                </c:pt>
                <c:pt idx="12">
                  <c:v>6574209.2444903748</c:v>
                </c:pt>
                <c:pt idx="13">
                  <c:v>7340119.5544903772</c:v>
                </c:pt>
                <c:pt idx="14">
                  <c:v>6958502.994490372</c:v>
                </c:pt>
                <c:pt idx="15">
                  <c:v>6528936.0744903851</c:v>
                </c:pt>
                <c:pt idx="16">
                  <c:v>6426033.404490374</c:v>
                </c:pt>
                <c:pt idx="17">
                  <c:v>6971087.1044903705</c:v>
                </c:pt>
                <c:pt idx="18">
                  <c:v>7716520.8544903751</c:v>
                </c:pt>
                <c:pt idx="19">
                  <c:v>7843878.4144903794</c:v>
                </c:pt>
                <c:pt idx="20">
                  <c:v>6441465.9444903778</c:v>
                </c:pt>
                <c:pt idx="21">
                  <c:v>6350300.914490371</c:v>
                </c:pt>
                <c:pt idx="22">
                  <c:v>7024430.374490384</c:v>
                </c:pt>
                <c:pt idx="23">
                  <c:v>8378458.2844903842</c:v>
                </c:pt>
                <c:pt idx="24">
                  <c:v>7057432.2289354121</c:v>
                </c:pt>
                <c:pt idx="25">
                  <c:v>7593243.098935415</c:v>
                </c:pt>
                <c:pt idx="26">
                  <c:v>7735467.3789354125</c:v>
                </c:pt>
                <c:pt idx="27">
                  <c:v>6936016.7489354145</c:v>
                </c:pt>
                <c:pt idx="28">
                  <c:v>6937866.048935418</c:v>
                </c:pt>
                <c:pt idx="29">
                  <c:v>6780363.4189354125</c:v>
                </c:pt>
                <c:pt idx="30">
                  <c:v>7593943.1689354144</c:v>
                </c:pt>
                <c:pt idx="31">
                  <c:v>7611748.6689354172</c:v>
                </c:pt>
                <c:pt idx="32">
                  <c:v>6250680.5689354129</c:v>
                </c:pt>
                <c:pt idx="33">
                  <c:v>6826886.2589354143</c:v>
                </c:pt>
                <c:pt idx="34">
                  <c:v>6939097.1989354165</c:v>
                </c:pt>
                <c:pt idx="35">
                  <c:v>9532516.128935419</c:v>
                </c:pt>
                <c:pt idx="36">
                  <c:v>7487898.8517205259</c:v>
                </c:pt>
                <c:pt idx="37">
                  <c:v>8502995.9417205229</c:v>
                </c:pt>
                <c:pt idx="38">
                  <c:v>8235800.4217205308</c:v>
                </c:pt>
                <c:pt idx="39">
                  <c:v>7581461.2417205265</c:v>
                </c:pt>
                <c:pt idx="40">
                  <c:v>6902215.0417205226</c:v>
                </c:pt>
                <c:pt idx="41">
                  <c:v>6554303.0217205258</c:v>
                </c:pt>
                <c:pt idx="42">
                  <c:v>7496044.9317205288</c:v>
                </c:pt>
                <c:pt idx="43">
                  <c:v>7049683.7417205274</c:v>
                </c:pt>
                <c:pt idx="44">
                  <c:v>6616002.9717205288</c:v>
                </c:pt>
                <c:pt idx="45">
                  <c:v>6897925.29172053</c:v>
                </c:pt>
                <c:pt idx="46">
                  <c:v>7293217.2817205237</c:v>
                </c:pt>
                <c:pt idx="47">
                  <c:v>9033496.731720522</c:v>
                </c:pt>
                <c:pt idx="48">
                  <c:v>9162367.7804134693</c:v>
                </c:pt>
                <c:pt idx="49">
                  <c:v>8827828.0406544302</c:v>
                </c:pt>
                <c:pt idx="50">
                  <c:v>8435812.8310158737</c:v>
                </c:pt>
                <c:pt idx="51">
                  <c:v>7370231.4141484043</c:v>
                </c:pt>
                <c:pt idx="52">
                  <c:v>7077182.7683652705</c:v>
                </c:pt>
                <c:pt idx="53">
                  <c:v>6914019.9057146711</c:v>
                </c:pt>
                <c:pt idx="54">
                  <c:v>7837310.6719797337</c:v>
                </c:pt>
                <c:pt idx="55">
                  <c:v>7385438.6527026212</c:v>
                </c:pt>
                <c:pt idx="56">
                  <c:v>7261609.6984857554</c:v>
                </c:pt>
                <c:pt idx="57">
                  <c:v>6991164.0021002153</c:v>
                </c:pt>
                <c:pt idx="58">
                  <c:v>6518609.4286062401</c:v>
                </c:pt>
                <c:pt idx="59">
                  <c:v>6890863.0382447885</c:v>
                </c:pt>
                <c:pt idx="60">
                  <c:v>8689256.1018550042</c:v>
                </c:pt>
                <c:pt idx="61">
                  <c:v>8524672.8247465622</c:v>
                </c:pt>
                <c:pt idx="62">
                  <c:v>8034077.1524574133</c:v>
                </c:pt>
                <c:pt idx="63">
                  <c:v>7906470.30908392</c:v>
                </c:pt>
                <c:pt idx="64">
                  <c:v>6742797.6054694587</c:v>
                </c:pt>
                <c:pt idx="65">
                  <c:v>7675214.5211321106</c:v>
                </c:pt>
                <c:pt idx="66">
                  <c:v>8203345.3452284951</c:v>
                </c:pt>
                <c:pt idx="67">
                  <c:v>8087094.0199272949</c:v>
                </c:pt>
                <c:pt idx="68">
                  <c:v>7364858.7428188557</c:v>
                </c:pt>
                <c:pt idx="69">
                  <c:v>6481920.940409217</c:v>
                </c:pt>
                <c:pt idx="70">
                  <c:v>6598590.6946260817</c:v>
                </c:pt>
                <c:pt idx="71">
                  <c:v>8424033.8464333117</c:v>
                </c:pt>
                <c:pt idx="72">
                  <c:v>8961782.937473489</c:v>
                </c:pt>
                <c:pt idx="73">
                  <c:v>7475683.5639795121</c:v>
                </c:pt>
                <c:pt idx="74">
                  <c:v>8386104.0073530022</c:v>
                </c:pt>
                <c:pt idx="75">
                  <c:v>6961618.7254252993</c:v>
                </c:pt>
                <c:pt idx="76">
                  <c:v>6487938.850726502</c:v>
                </c:pt>
                <c:pt idx="77">
                  <c:v>7096252.9422927629</c:v>
                </c:pt>
                <c:pt idx="78">
                  <c:v>6969986.9760277011</c:v>
                </c:pt>
                <c:pt idx="79">
                  <c:v>7469547.1206060164</c:v>
                </c:pt>
                <c:pt idx="80">
                  <c:v>6971224.8651843295</c:v>
                </c:pt>
                <c:pt idx="81">
                  <c:v>6295611.4001240861</c:v>
                </c:pt>
                <c:pt idx="82">
                  <c:v>7055249.0097626392</c:v>
                </c:pt>
                <c:pt idx="83">
                  <c:v>7872393.2507264968</c:v>
                </c:pt>
                <c:pt idx="84">
                  <c:v>8973675.8913750686</c:v>
                </c:pt>
                <c:pt idx="85">
                  <c:v>7560592.093784716</c:v>
                </c:pt>
                <c:pt idx="86">
                  <c:v>8232567.2745076045</c:v>
                </c:pt>
                <c:pt idx="87">
                  <c:v>7175356.5853509782</c:v>
                </c:pt>
                <c:pt idx="88">
                  <c:v>7104279.4576401319</c:v>
                </c:pt>
                <c:pt idx="89">
                  <c:v>7590209.0961943539</c:v>
                </c:pt>
                <c:pt idx="90">
                  <c:v>7685013.5202907361</c:v>
                </c:pt>
                <c:pt idx="91">
                  <c:v>8305832.5949895326</c:v>
                </c:pt>
                <c:pt idx="92">
                  <c:v>7235600.4407726647</c:v>
                </c:pt>
                <c:pt idx="93">
                  <c:v>6858390.011857003</c:v>
                </c:pt>
                <c:pt idx="94">
                  <c:v>6844367.4480015812</c:v>
                </c:pt>
                <c:pt idx="95">
                  <c:v>8731785.7901702579</c:v>
                </c:pt>
                <c:pt idx="96">
                  <c:v>9100450.7979688402</c:v>
                </c:pt>
                <c:pt idx="97">
                  <c:v>8257335.0678483583</c:v>
                </c:pt>
                <c:pt idx="98">
                  <c:v>8209950.1811013678</c:v>
                </c:pt>
                <c:pt idx="99">
                  <c:v>7384598.2196555957</c:v>
                </c:pt>
                <c:pt idx="100">
                  <c:v>7011908.0220652344</c:v>
                </c:pt>
                <c:pt idx="101">
                  <c:v>6642423.5594146261</c:v>
                </c:pt>
                <c:pt idx="102">
                  <c:v>7953798.4027881147</c:v>
                </c:pt>
                <c:pt idx="103">
                  <c:v>7820229.9304989632</c:v>
                </c:pt>
                <c:pt idx="104">
                  <c:v>7019323.2991736615</c:v>
                </c:pt>
                <c:pt idx="105">
                  <c:v>6782854.7690531816</c:v>
                </c:pt>
                <c:pt idx="106">
                  <c:v>6765629.6027881224</c:v>
                </c:pt>
                <c:pt idx="107">
                  <c:v>8143431.5883302838</c:v>
                </c:pt>
                <c:pt idx="108">
                  <c:v>9133853.9773062132</c:v>
                </c:pt>
                <c:pt idx="109">
                  <c:v>8086938.7194748772</c:v>
                </c:pt>
                <c:pt idx="110">
                  <c:v>7679145.8712821063</c:v>
                </c:pt>
                <c:pt idx="111">
                  <c:v>6710329.7941736775</c:v>
                </c:pt>
                <c:pt idx="112">
                  <c:v>6149818.835137534</c:v>
                </c:pt>
                <c:pt idx="113">
                  <c:v>6828756.04959537</c:v>
                </c:pt>
                <c:pt idx="114">
                  <c:v>7775470.7291134307</c:v>
                </c:pt>
                <c:pt idx="115">
                  <c:v>7602092.4544146396</c:v>
                </c:pt>
                <c:pt idx="116">
                  <c:v>6802526.1989929536</c:v>
                </c:pt>
                <c:pt idx="117">
                  <c:v>6713600.6953784954</c:v>
                </c:pt>
                <c:pt idx="118">
                  <c:v>6639791.5001977691</c:v>
                </c:pt>
                <c:pt idx="119">
                  <c:v>7370193.7845351249</c:v>
                </c:pt>
                <c:pt idx="120">
                  <c:v>9067196.1680459175</c:v>
                </c:pt>
                <c:pt idx="121">
                  <c:v>8649316.948768802</c:v>
                </c:pt>
                <c:pt idx="122">
                  <c:v>7947048.8331061499</c:v>
                </c:pt>
                <c:pt idx="123">
                  <c:v>7297564.2644314589</c:v>
                </c:pt>
                <c:pt idx="124">
                  <c:v>6666532.7270820532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5F-4C4E-89A8-799D0CDE01FB}"/>
            </c:ext>
          </c:extLst>
        </c:ser>
        <c:ser>
          <c:idx val="1"/>
          <c:order val="1"/>
          <c:tx>
            <c:strRef>
              <c:f>'GS &lt; 50 kW (WN)'!$O$2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&lt; 50 kW (WN)'!$A$3:$A$158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 (WN)'!$O$3:$O$158</c:f>
              <c:numCache>
                <c:formatCode>#,##0_);\(#,##0\)</c:formatCode>
                <c:ptCount val="156"/>
                <c:pt idx="0">
                  <c:v>6562776.8358606109</c:v>
                </c:pt>
                <c:pt idx="1">
                  <c:v>7398951.0286055794</c:v>
                </c:pt>
                <c:pt idx="2">
                  <c:v>7034002.3526900047</c:v>
                </c:pt>
                <c:pt idx="3">
                  <c:v>6529383.985810128</c:v>
                </c:pt>
                <c:pt idx="4">
                  <c:v>6517869.2214023843</c:v>
                </c:pt>
                <c:pt idx="5">
                  <c:v>6976328.8729755701</c:v>
                </c:pt>
                <c:pt idx="6">
                  <c:v>6972266.7567604901</c:v>
                </c:pt>
                <c:pt idx="7">
                  <c:v>7326279.995882052</c:v>
                </c:pt>
                <c:pt idx="8">
                  <c:v>6400274.669797481</c:v>
                </c:pt>
                <c:pt idx="9">
                  <c:v>6156033.6564995861</c:v>
                </c:pt>
                <c:pt idx="10">
                  <c:v>6810293.8120646635</c:v>
                </c:pt>
                <c:pt idx="11">
                  <c:v>8658638.6220981944</c:v>
                </c:pt>
                <c:pt idx="12">
                  <c:v>6837050.2396634277</c:v>
                </c:pt>
                <c:pt idx="13">
                  <c:v>7687282.9684028476</c:v>
                </c:pt>
                <c:pt idx="14">
                  <c:v>7506416.9642288992</c:v>
                </c:pt>
                <c:pt idx="15">
                  <c:v>6585455.3098645946</c:v>
                </c:pt>
                <c:pt idx="16">
                  <c:v>6403818.8217699053</c:v>
                </c:pt>
                <c:pt idx="17">
                  <c:v>6835813.4552125055</c:v>
                </c:pt>
                <c:pt idx="18">
                  <c:v>7468274.5939168911</c:v>
                </c:pt>
                <c:pt idx="19">
                  <c:v>7885393.4922738234</c:v>
                </c:pt>
                <c:pt idx="20">
                  <c:v>6563926.392826763</c:v>
                </c:pt>
                <c:pt idx="21">
                  <c:v>6360288.9249421181</c:v>
                </c:pt>
                <c:pt idx="22">
                  <c:v>7005214.9942594627</c:v>
                </c:pt>
                <c:pt idx="23">
                  <c:v>8522470.3794896509</c:v>
                </c:pt>
                <c:pt idx="24">
                  <c:v>7274172.8401383227</c:v>
                </c:pt>
                <c:pt idx="25">
                  <c:v>7583300.5534373764</c:v>
                </c:pt>
                <c:pt idx="26">
                  <c:v>7669359.4098606296</c:v>
                </c:pt>
                <c:pt idx="27">
                  <c:v>6897531.645150613</c:v>
                </c:pt>
                <c:pt idx="28">
                  <c:v>6925832.6436636429</c:v>
                </c:pt>
                <c:pt idx="29">
                  <c:v>6889714.9741906021</c:v>
                </c:pt>
                <c:pt idx="30">
                  <c:v>7654080.4407006651</c:v>
                </c:pt>
                <c:pt idx="31">
                  <c:v>7756058.2574984385</c:v>
                </c:pt>
                <c:pt idx="32">
                  <c:v>6430171.2498768969</c:v>
                </c:pt>
                <c:pt idx="33">
                  <c:v>6873925.4543471746</c:v>
                </c:pt>
                <c:pt idx="34">
                  <c:v>6767819.3581462624</c:v>
                </c:pt>
                <c:pt idx="35">
                  <c:v>9145341.7101294585</c:v>
                </c:pt>
                <c:pt idx="36">
                  <c:v>7011757.5725065125</c:v>
                </c:pt>
                <c:pt idx="37">
                  <c:v>8129754.8479204634</c:v>
                </c:pt>
                <c:pt idx="38">
                  <c:v>7702496.0240528071</c:v>
                </c:pt>
                <c:pt idx="39">
                  <c:v>7560593.4378909804</c:v>
                </c:pt>
                <c:pt idx="40">
                  <c:v>7047406.6772271842</c:v>
                </c:pt>
                <c:pt idx="41">
                  <c:v>6549444.6513970988</c:v>
                </c:pt>
                <c:pt idx="42">
                  <c:v>7885422.5930841397</c:v>
                </c:pt>
                <c:pt idx="43">
                  <c:v>7275434.3919639876</c:v>
                </c:pt>
                <c:pt idx="44">
                  <c:v>6698203.665341557</c:v>
                </c:pt>
                <c:pt idx="45">
                  <c:v>6923299.7222767062</c:v>
                </c:pt>
                <c:pt idx="46">
                  <c:v>7108522.1649997607</c:v>
                </c:pt>
                <c:pt idx="47">
                  <c:v>9095629.0402653553</c:v>
                </c:pt>
                <c:pt idx="48">
                  <c:v>8801477.4611248132</c:v>
                </c:pt>
                <c:pt idx="49">
                  <c:v>8042779.7855688408</c:v>
                </c:pt>
                <c:pt idx="50">
                  <c:v>8160877.0032106675</c:v>
                </c:pt>
                <c:pt idx="51">
                  <c:v>7479492.0034895213</c:v>
                </c:pt>
                <c:pt idx="52">
                  <c:v>7029886.5143223107</c:v>
                </c:pt>
                <c:pt idx="53">
                  <c:v>7159551.2696506996</c:v>
                </c:pt>
                <c:pt idx="54">
                  <c:v>8011664.0668334048</c:v>
                </c:pt>
                <c:pt idx="55">
                  <c:v>7555571.0169204157</c:v>
                </c:pt>
                <c:pt idx="56">
                  <c:v>7039478.7927674549</c:v>
                </c:pt>
                <c:pt idx="57">
                  <c:v>7002515.7483971333</c:v>
                </c:pt>
                <c:pt idx="58">
                  <c:v>6787089.4255633354</c:v>
                </c:pt>
                <c:pt idx="59">
                  <c:v>7391981.0926545653</c:v>
                </c:pt>
                <c:pt idx="60">
                  <c:v>8748085.6963243652</c:v>
                </c:pt>
                <c:pt idx="61">
                  <c:v>8676769.6885764133</c:v>
                </c:pt>
                <c:pt idx="62">
                  <c:v>8238722.9310281714</c:v>
                </c:pt>
                <c:pt idx="63">
                  <c:v>7735879.7410351029</c:v>
                </c:pt>
                <c:pt idx="64">
                  <c:v>6647361.9212649548</c:v>
                </c:pt>
                <c:pt idx="65">
                  <c:v>7616984.2384083578</c:v>
                </c:pt>
                <c:pt idx="66">
                  <c:v>8046968.5749652628</c:v>
                </c:pt>
                <c:pt idx="67">
                  <c:v>7705016.2586045535</c:v>
                </c:pt>
                <c:pt idx="68">
                  <c:v>7195791.5324993394</c:v>
                </c:pt>
                <c:pt idx="69">
                  <c:v>6443950.9778944869</c:v>
                </c:pt>
                <c:pt idx="70">
                  <c:v>6901087.9172620336</c:v>
                </c:pt>
                <c:pt idx="71">
                  <c:v>8311741.5678672325</c:v>
                </c:pt>
                <c:pt idx="72">
                  <c:v>9232192.652402835</c:v>
                </c:pt>
                <c:pt idx="73">
                  <c:v>7882364.6377937347</c:v>
                </c:pt>
                <c:pt idx="74">
                  <c:v>8253941.7567687603</c:v>
                </c:pt>
                <c:pt idx="75">
                  <c:v>7212106.9788140412</c:v>
                </c:pt>
                <c:pt idx="76">
                  <c:v>6567876.5454656836</c:v>
                </c:pt>
                <c:pt idx="77">
                  <c:v>7147584.1800187249</c:v>
                </c:pt>
                <c:pt idx="78">
                  <c:v>7113551.6768314503</c:v>
                </c:pt>
                <c:pt idx="79">
                  <c:v>7741977.4037638744</c:v>
                </c:pt>
                <c:pt idx="80">
                  <c:v>6853138.5614370136</c:v>
                </c:pt>
                <c:pt idx="81">
                  <c:v>6339932.0600436609</c:v>
                </c:pt>
                <c:pt idx="82">
                  <c:v>7051859.1344766924</c:v>
                </c:pt>
                <c:pt idx="83">
                  <c:v>7379944.8207648369</c:v>
                </c:pt>
                <c:pt idx="84">
                  <c:v>8819549.2345196661</c:v>
                </c:pt>
                <c:pt idx="85">
                  <c:v>7813834.5761759253</c:v>
                </c:pt>
                <c:pt idx="86">
                  <c:v>8169211.5671623824</c:v>
                </c:pt>
                <c:pt idx="87">
                  <c:v>6878230.5104167704</c:v>
                </c:pt>
                <c:pt idx="88">
                  <c:v>7076617.8584595118</c:v>
                </c:pt>
                <c:pt idx="89">
                  <c:v>7612277.2311035916</c:v>
                </c:pt>
                <c:pt idx="90">
                  <c:v>7573826.6074233567</c:v>
                </c:pt>
                <c:pt idx="91">
                  <c:v>8093589.2427808773</c:v>
                </c:pt>
                <c:pt idx="92">
                  <c:v>7072360.0953441486</c:v>
                </c:pt>
                <c:pt idx="93">
                  <c:v>6689421.7734776028</c:v>
                </c:pt>
                <c:pt idx="94">
                  <c:v>6618388.4053374073</c:v>
                </c:pt>
                <c:pt idx="95">
                  <c:v>8772244.0375948008</c:v>
                </c:pt>
                <c:pt idx="96">
                  <c:v>8835545.6064986158</c:v>
                </c:pt>
                <c:pt idx="97">
                  <c:v>8281107.7285374394</c:v>
                </c:pt>
                <c:pt idx="98">
                  <c:v>8009325.4199943021</c:v>
                </c:pt>
                <c:pt idx="99">
                  <c:v>7398477.7201617546</c:v>
                </c:pt>
                <c:pt idx="100">
                  <c:v>7173121.8243419249</c:v>
                </c:pt>
                <c:pt idx="101">
                  <c:v>6841616.2243975494</c:v>
                </c:pt>
                <c:pt idx="102">
                  <c:v>7847080.8164763693</c:v>
                </c:pt>
                <c:pt idx="103">
                  <c:v>7899982.579925051</c:v>
                </c:pt>
                <c:pt idx="104">
                  <c:v>7119902.3589558182</c:v>
                </c:pt>
                <c:pt idx="105">
                  <c:v>6836492.9212372471</c:v>
                </c:pt>
                <c:pt idx="106">
                  <c:v>6473596.2786144894</c:v>
                </c:pt>
                <c:pt idx="107">
                  <c:v>8119211.685110149</c:v>
                </c:pt>
                <c:pt idx="108">
                  <c:v>9417680.9681671672</c:v>
                </c:pt>
                <c:pt idx="109">
                  <c:v>8158531.9277150761</c:v>
                </c:pt>
                <c:pt idx="110">
                  <c:v>7943653.3424708107</c:v>
                </c:pt>
                <c:pt idx="111">
                  <c:v>6670884.223669596</c:v>
                </c:pt>
                <c:pt idx="112">
                  <c:v>6026264.7816410307</c:v>
                </c:pt>
                <c:pt idx="113">
                  <c:v>6707422.787538575</c:v>
                </c:pt>
                <c:pt idx="114">
                  <c:v>7426416.3251184281</c:v>
                </c:pt>
                <c:pt idx="115">
                  <c:v>7565146.0215547336</c:v>
                </c:pt>
                <c:pt idx="116">
                  <c:v>6904525.1322750747</c:v>
                </c:pt>
                <c:pt idx="117">
                  <c:v>6704022.5836423058</c:v>
                </c:pt>
                <c:pt idx="118">
                  <c:v>6914781.5993126258</c:v>
                </c:pt>
                <c:pt idx="119">
                  <c:v>7397922.8214604491</c:v>
                </c:pt>
                <c:pt idx="120">
                  <c:v>9230611.7082385886</c:v>
                </c:pt>
                <c:pt idx="121">
                  <c:v>8562999.1402754523</c:v>
                </c:pt>
                <c:pt idx="122">
                  <c:v>8200472.5271924026</c:v>
                </c:pt>
                <c:pt idx="123">
                  <c:v>7433931.8069226826</c:v>
                </c:pt>
                <c:pt idx="124">
                  <c:v>6608385.1734763505</c:v>
                </c:pt>
                <c:pt idx="125">
                  <c:v>6945004.8045340823</c:v>
                </c:pt>
                <c:pt idx="126">
                  <c:v>8035489.9214632502</c:v>
                </c:pt>
                <c:pt idx="127">
                  <c:v>8299027.7034551883</c:v>
                </c:pt>
                <c:pt idx="128">
                  <c:v>7993249.719706025</c:v>
                </c:pt>
                <c:pt idx="129">
                  <c:v>7540169.452121051</c:v>
                </c:pt>
                <c:pt idx="130">
                  <c:v>7521833.4532989822</c:v>
                </c:pt>
                <c:pt idx="131">
                  <c:v>8513005.2056935895</c:v>
                </c:pt>
                <c:pt idx="132">
                  <c:v>8981769.880233109</c:v>
                </c:pt>
                <c:pt idx="133">
                  <c:v>8827394.451794792</c:v>
                </c:pt>
                <c:pt idx="134">
                  <c:v>8473039.7084655613</c:v>
                </c:pt>
                <c:pt idx="135">
                  <c:v>7858194.3583166013</c:v>
                </c:pt>
                <c:pt idx="136">
                  <c:v>7626862.0034665363</c:v>
                </c:pt>
                <c:pt idx="137">
                  <c:v>7937326.7340161493</c:v>
                </c:pt>
                <c:pt idx="138">
                  <c:v>8423056.1723804884</c:v>
                </c:pt>
                <c:pt idx="139">
                  <c:v>8296323.8257148946</c:v>
                </c:pt>
                <c:pt idx="140">
                  <c:v>7465959.4528511548</c:v>
                </c:pt>
                <c:pt idx="141">
                  <c:v>7343327.1008674214</c:v>
                </c:pt>
                <c:pt idx="142">
                  <c:v>7887548.656240142</c:v>
                </c:pt>
                <c:pt idx="143">
                  <c:v>8673774.2316234931</c:v>
                </c:pt>
                <c:pt idx="144">
                  <c:v>9150324.4342688359</c:v>
                </c:pt>
                <c:pt idx="145">
                  <c:v>8996265.5386876352</c:v>
                </c:pt>
                <c:pt idx="146">
                  <c:v>8642227.7448452711</c:v>
                </c:pt>
                <c:pt idx="147">
                  <c:v>8027699.7613613009</c:v>
                </c:pt>
                <c:pt idx="148">
                  <c:v>7796685.1909034662</c:v>
                </c:pt>
                <c:pt idx="149">
                  <c:v>8107468.1241223589</c:v>
                </c:pt>
                <c:pt idx="150">
                  <c:v>8593516.183983583</c:v>
                </c:pt>
                <c:pt idx="151">
                  <c:v>8467102.878193751</c:v>
                </c:pt>
                <c:pt idx="152">
                  <c:v>7637057.966136653</c:v>
                </c:pt>
                <c:pt idx="153">
                  <c:v>7514745.4954431579</c:v>
                </c:pt>
                <c:pt idx="154">
                  <c:v>8059287.3531431723</c:v>
                </c:pt>
                <c:pt idx="155">
                  <c:v>8845833.6524450537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5F-4C4E-89A8-799D0CDE0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GS&lt;50 vs Temperatures (2011-2020)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Weather!$C$110:$C$235</c:f>
              <c:numCache>
                <c:formatCode>0</c:formatCode>
                <c:ptCount val="126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  <c:pt idx="125">
                  <c:v>21.833333333333329</c:v>
                </c:pt>
              </c:numCache>
            </c:numRef>
          </c:xVal>
          <c:yVal>
            <c:numRef>
              <c:f>Weather!$EH$110:$EH$234</c:f>
              <c:numCache>
                <c:formatCode>_(* #,##0_);_(* \(#,##0\);_(* "-"??_);_(@_)</c:formatCode>
                <c:ptCount val="125"/>
                <c:pt idx="0">
                  <c:v>6864837.5606799051</c:v>
                </c:pt>
                <c:pt idx="1">
                  <c:v>7486989.0006799055</c:v>
                </c:pt>
                <c:pt idx="2">
                  <c:v>7162036.2106799055</c:v>
                </c:pt>
                <c:pt idx="3">
                  <c:v>6476547.8606799087</c:v>
                </c:pt>
                <c:pt idx="4">
                  <c:v>6403514.4906799076</c:v>
                </c:pt>
                <c:pt idx="5">
                  <c:v>6877896.1406799043</c:v>
                </c:pt>
                <c:pt idx="6">
                  <c:v>7234914.1806799052</c:v>
                </c:pt>
                <c:pt idx="7">
                  <c:v>7344852.5306799076</c:v>
                </c:pt>
                <c:pt idx="8">
                  <c:v>6374849.0306799021</c:v>
                </c:pt>
                <c:pt idx="9">
                  <c:v>6197006.2306798976</c:v>
                </c:pt>
                <c:pt idx="10">
                  <c:v>6512655.0606799014</c:v>
                </c:pt>
                <c:pt idx="11">
                  <c:v>8516346.6906799022</c:v>
                </c:pt>
                <c:pt idx="12">
                  <c:v>6574209.2444903748</c:v>
                </c:pt>
                <c:pt idx="13">
                  <c:v>7340119.5544903772</c:v>
                </c:pt>
                <c:pt idx="14">
                  <c:v>6958502.994490372</c:v>
                </c:pt>
                <c:pt idx="15">
                  <c:v>6528936.0744903851</c:v>
                </c:pt>
                <c:pt idx="16">
                  <c:v>6426033.404490374</c:v>
                </c:pt>
                <c:pt idx="17">
                  <c:v>6971087.1044903705</c:v>
                </c:pt>
                <c:pt idx="18">
                  <c:v>7716520.8544903751</c:v>
                </c:pt>
                <c:pt idx="19">
                  <c:v>7843878.4144903794</c:v>
                </c:pt>
                <c:pt idx="20">
                  <c:v>6441465.9444903778</c:v>
                </c:pt>
                <c:pt idx="21">
                  <c:v>6350300.914490371</c:v>
                </c:pt>
                <c:pt idx="22">
                  <c:v>7024430.374490384</c:v>
                </c:pt>
                <c:pt idx="23">
                  <c:v>8378458.2844903842</c:v>
                </c:pt>
                <c:pt idx="24">
                  <c:v>7057432.2289354121</c:v>
                </c:pt>
                <c:pt idx="25">
                  <c:v>7593243.098935415</c:v>
                </c:pt>
                <c:pt idx="26">
                  <c:v>7735467.3789354125</c:v>
                </c:pt>
                <c:pt idx="27">
                  <c:v>6936016.7489354145</c:v>
                </c:pt>
                <c:pt idx="28">
                  <c:v>6937866.048935418</c:v>
                </c:pt>
                <c:pt idx="29">
                  <c:v>6780363.4189354125</c:v>
                </c:pt>
                <c:pt idx="30">
                  <c:v>7593943.1689354144</c:v>
                </c:pt>
                <c:pt idx="31">
                  <c:v>7611748.6689354172</c:v>
                </c:pt>
                <c:pt idx="32">
                  <c:v>6250680.5689354129</c:v>
                </c:pt>
                <c:pt idx="33">
                  <c:v>6826886.2589354143</c:v>
                </c:pt>
                <c:pt idx="34">
                  <c:v>6939097.1989354165</c:v>
                </c:pt>
                <c:pt idx="35">
                  <c:v>9532516.128935419</c:v>
                </c:pt>
                <c:pt idx="36">
                  <c:v>7487898.8517205259</c:v>
                </c:pt>
                <c:pt idx="37">
                  <c:v>8502995.9417205229</c:v>
                </c:pt>
                <c:pt idx="38">
                  <c:v>8235800.4217205308</c:v>
                </c:pt>
                <c:pt idx="39">
                  <c:v>7581461.2417205265</c:v>
                </c:pt>
                <c:pt idx="40">
                  <c:v>6902215.0417205226</c:v>
                </c:pt>
                <c:pt idx="41">
                  <c:v>6554303.0217205258</c:v>
                </c:pt>
                <c:pt idx="42">
                  <c:v>7496044.9317205288</c:v>
                </c:pt>
                <c:pt idx="43">
                  <c:v>7049683.7417205274</c:v>
                </c:pt>
                <c:pt idx="44">
                  <c:v>6616002.9717205288</c:v>
                </c:pt>
                <c:pt idx="45">
                  <c:v>6897925.29172053</c:v>
                </c:pt>
                <c:pt idx="46">
                  <c:v>7293217.2817205237</c:v>
                </c:pt>
                <c:pt idx="47">
                  <c:v>9033496.731720522</c:v>
                </c:pt>
                <c:pt idx="48">
                  <c:v>9162367.7804134693</c:v>
                </c:pt>
                <c:pt idx="49">
                  <c:v>8827828.0406544302</c:v>
                </c:pt>
                <c:pt idx="50">
                  <c:v>8435812.8310158737</c:v>
                </c:pt>
                <c:pt idx="51">
                  <c:v>7370231.4141484043</c:v>
                </c:pt>
                <c:pt idx="52">
                  <c:v>7077182.7683652705</c:v>
                </c:pt>
                <c:pt idx="53">
                  <c:v>6914019.9057146711</c:v>
                </c:pt>
                <c:pt idx="54">
                  <c:v>7837310.6719797337</c:v>
                </c:pt>
                <c:pt idx="55">
                  <c:v>7385438.6527026212</c:v>
                </c:pt>
                <c:pt idx="56">
                  <c:v>7261609.6984857554</c:v>
                </c:pt>
                <c:pt idx="57">
                  <c:v>6991164.0021002153</c:v>
                </c:pt>
                <c:pt idx="58">
                  <c:v>6518609.4286062401</c:v>
                </c:pt>
                <c:pt idx="59">
                  <c:v>6890863.0382447885</c:v>
                </c:pt>
                <c:pt idx="60">
                  <c:v>8689256.1018550042</c:v>
                </c:pt>
                <c:pt idx="61">
                  <c:v>8524672.8247465622</c:v>
                </c:pt>
                <c:pt idx="62">
                  <c:v>8034077.1524574133</c:v>
                </c:pt>
                <c:pt idx="63">
                  <c:v>7906470.30908392</c:v>
                </c:pt>
                <c:pt idx="64">
                  <c:v>6742797.6054694587</c:v>
                </c:pt>
                <c:pt idx="65">
                  <c:v>7675214.5211321106</c:v>
                </c:pt>
                <c:pt idx="66">
                  <c:v>8203345.3452284951</c:v>
                </c:pt>
                <c:pt idx="67">
                  <c:v>8087094.0199272949</c:v>
                </c:pt>
                <c:pt idx="68">
                  <c:v>7364858.7428188557</c:v>
                </c:pt>
                <c:pt idx="69">
                  <c:v>6481920.940409217</c:v>
                </c:pt>
                <c:pt idx="70">
                  <c:v>6598590.6946260817</c:v>
                </c:pt>
                <c:pt idx="71">
                  <c:v>8424033.8464333117</c:v>
                </c:pt>
                <c:pt idx="72">
                  <c:v>8961782.937473489</c:v>
                </c:pt>
                <c:pt idx="73">
                  <c:v>7475683.5639795121</c:v>
                </c:pt>
                <c:pt idx="74">
                  <c:v>8386104.0073530022</c:v>
                </c:pt>
                <c:pt idx="75">
                  <c:v>6961618.7254252993</c:v>
                </c:pt>
                <c:pt idx="76">
                  <c:v>6487938.850726502</c:v>
                </c:pt>
                <c:pt idx="77">
                  <c:v>7096252.9422927629</c:v>
                </c:pt>
                <c:pt idx="78">
                  <c:v>6969986.9760277011</c:v>
                </c:pt>
                <c:pt idx="79">
                  <c:v>7469547.1206060164</c:v>
                </c:pt>
                <c:pt idx="80">
                  <c:v>6971224.8651843295</c:v>
                </c:pt>
                <c:pt idx="81">
                  <c:v>6295611.4001240861</c:v>
                </c:pt>
                <c:pt idx="82">
                  <c:v>7055249.0097626392</c:v>
                </c:pt>
                <c:pt idx="83">
                  <c:v>7872393.2507264968</c:v>
                </c:pt>
                <c:pt idx="84">
                  <c:v>8973675.8913750686</c:v>
                </c:pt>
                <c:pt idx="85">
                  <c:v>7560592.093784716</c:v>
                </c:pt>
                <c:pt idx="86">
                  <c:v>8232567.2745076045</c:v>
                </c:pt>
                <c:pt idx="87">
                  <c:v>7175356.5853509782</c:v>
                </c:pt>
                <c:pt idx="88">
                  <c:v>7104279.4576401319</c:v>
                </c:pt>
                <c:pt idx="89">
                  <c:v>7590209.0961943539</c:v>
                </c:pt>
                <c:pt idx="90">
                  <c:v>7685013.5202907361</c:v>
                </c:pt>
                <c:pt idx="91">
                  <c:v>8305832.5949895326</c:v>
                </c:pt>
                <c:pt idx="92">
                  <c:v>7235600.4407726647</c:v>
                </c:pt>
                <c:pt idx="93">
                  <c:v>6858390.011857003</c:v>
                </c:pt>
                <c:pt idx="94">
                  <c:v>6844367.4480015812</c:v>
                </c:pt>
                <c:pt idx="95">
                  <c:v>8731785.7901702579</c:v>
                </c:pt>
                <c:pt idx="96">
                  <c:v>9100450.7979688402</c:v>
                </c:pt>
                <c:pt idx="97">
                  <c:v>8257335.0678483583</c:v>
                </c:pt>
                <c:pt idx="98">
                  <c:v>8209950.1811013678</c:v>
                </c:pt>
                <c:pt idx="99">
                  <c:v>7384598.2196555957</c:v>
                </c:pt>
                <c:pt idx="100">
                  <c:v>7011908.0220652344</c:v>
                </c:pt>
                <c:pt idx="101">
                  <c:v>6642423.5594146261</c:v>
                </c:pt>
                <c:pt idx="102">
                  <c:v>7953798.4027881147</c:v>
                </c:pt>
                <c:pt idx="103">
                  <c:v>7820229.9304989632</c:v>
                </c:pt>
                <c:pt idx="104">
                  <c:v>7019323.2991736615</c:v>
                </c:pt>
                <c:pt idx="105">
                  <c:v>6782854.7690531816</c:v>
                </c:pt>
                <c:pt idx="106">
                  <c:v>6765629.6027881224</c:v>
                </c:pt>
                <c:pt idx="107">
                  <c:v>8143431.5883302838</c:v>
                </c:pt>
                <c:pt idx="108">
                  <c:v>9133853.9773062132</c:v>
                </c:pt>
                <c:pt idx="109">
                  <c:v>8086938.7194748772</c:v>
                </c:pt>
                <c:pt idx="110">
                  <c:v>7679145.8712821063</c:v>
                </c:pt>
                <c:pt idx="111">
                  <c:v>6710329.7941736775</c:v>
                </c:pt>
                <c:pt idx="112">
                  <c:v>6149818.835137534</c:v>
                </c:pt>
                <c:pt idx="113">
                  <c:v>6828756.04959537</c:v>
                </c:pt>
                <c:pt idx="114">
                  <c:v>7775470.7291134307</c:v>
                </c:pt>
                <c:pt idx="115">
                  <c:v>7602092.4544146396</c:v>
                </c:pt>
                <c:pt idx="116">
                  <c:v>6802526.1989929536</c:v>
                </c:pt>
                <c:pt idx="117">
                  <c:v>6713600.6953784954</c:v>
                </c:pt>
                <c:pt idx="118">
                  <c:v>6639791.5001977691</c:v>
                </c:pt>
                <c:pt idx="119">
                  <c:v>7370193.7845351249</c:v>
                </c:pt>
                <c:pt idx="120">
                  <c:v>9067196.1680459175</c:v>
                </c:pt>
                <c:pt idx="121">
                  <c:v>8649316.948768802</c:v>
                </c:pt>
                <c:pt idx="122">
                  <c:v>7947048.8331061499</c:v>
                </c:pt>
                <c:pt idx="123">
                  <c:v>7297564.2644314589</c:v>
                </c:pt>
                <c:pt idx="124">
                  <c:v>6666532.7270820532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11-4FED-9AB2-E281350D9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 Weather Normal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&gt; 50 kW (WN)'!$F$2</c:f>
              <c:strCache>
                <c:ptCount val="1"/>
                <c:pt idx="0">
                  <c:v>GS50to999_NoCDM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kW (WN)'!$A$3:$A$128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 (WN)'!$F$3:$F$128</c:f>
              <c:numCache>
                <c:formatCode>#,##0</c:formatCode>
                <c:ptCount val="126"/>
                <c:pt idx="0">
                  <c:v>16717266.821217919</c:v>
                </c:pt>
                <c:pt idx="1">
                  <c:v>15751669.901217917</c:v>
                </c:pt>
                <c:pt idx="2">
                  <c:v>16670464.701217921</c:v>
                </c:pt>
                <c:pt idx="3">
                  <c:v>14963148.60121792</c:v>
                </c:pt>
                <c:pt idx="4">
                  <c:v>15480338.171217926</c:v>
                </c:pt>
                <c:pt idx="5">
                  <c:v>16377529.561217919</c:v>
                </c:pt>
                <c:pt idx="6">
                  <c:v>17038934.041217919</c:v>
                </c:pt>
                <c:pt idx="7">
                  <c:v>16792927.091217916</c:v>
                </c:pt>
                <c:pt idx="8">
                  <c:v>15759561.551217917</c:v>
                </c:pt>
                <c:pt idx="9">
                  <c:v>15586290.931217926</c:v>
                </c:pt>
                <c:pt idx="10">
                  <c:v>15941400.461217923</c:v>
                </c:pt>
                <c:pt idx="11">
                  <c:v>16816631.181217916</c:v>
                </c:pt>
                <c:pt idx="12">
                  <c:v>16785266.463490896</c:v>
                </c:pt>
                <c:pt idx="13">
                  <c:v>16079301.203490896</c:v>
                </c:pt>
                <c:pt idx="14">
                  <c:v>16537471.803490892</c:v>
                </c:pt>
                <c:pt idx="15">
                  <c:v>14880264.923490893</c:v>
                </c:pt>
                <c:pt idx="16">
                  <c:v>17082202.913490895</c:v>
                </c:pt>
                <c:pt idx="17">
                  <c:v>16878400.213490888</c:v>
                </c:pt>
                <c:pt idx="18">
                  <c:v>17160081.253490891</c:v>
                </c:pt>
                <c:pt idx="19">
                  <c:v>16796041.313490894</c:v>
                </c:pt>
                <c:pt idx="20">
                  <c:v>15640179.133490894</c:v>
                </c:pt>
                <c:pt idx="21">
                  <c:v>15988881.633490898</c:v>
                </c:pt>
                <c:pt idx="22">
                  <c:v>16432215.043490896</c:v>
                </c:pt>
                <c:pt idx="23">
                  <c:v>16691357.483490892</c:v>
                </c:pt>
                <c:pt idx="24">
                  <c:v>17334132.91204248</c:v>
                </c:pt>
                <c:pt idx="25">
                  <c:v>16623683.162042486</c:v>
                </c:pt>
                <c:pt idx="26">
                  <c:v>17463321.022042483</c:v>
                </c:pt>
                <c:pt idx="27">
                  <c:v>16662389.712042477</c:v>
                </c:pt>
                <c:pt idx="28">
                  <c:v>16900534.112042483</c:v>
                </c:pt>
                <c:pt idx="29">
                  <c:v>17093096.532042481</c:v>
                </c:pt>
                <c:pt idx="30">
                  <c:v>18142506.432042487</c:v>
                </c:pt>
                <c:pt idx="31">
                  <c:v>17778187.962042481</c:v>
                </c:pt>
                <c:pt idx="32">
                  <c:v>16668477.222042486</c:v>
                </c:pt>
                <c:pt idx="33">
                  <c:v>17233627.082042478</c:v>
                </c:pt>
                <c:pt idx="34">
                  <c:v>16723236.692042481</c:v>
                </c:pt>
                <c:pt idx="35">
                  <c:v>18692544.082042485</c:v>
                </c:pt>
                <c:pt idx="36">
                  <c:v>18955499.508963756</c:v>
                </c:pt>
                <c:pt idx="37">
                  <c:v>17790077.53896375</c:v>
                </c:pt>
                <c:pt idx="38">
                  <c:v>18916153.298963755</c:v>
                </c:pt>
                <c:pt idx="39">
                  <c:v>17106261.98896376</c:v>
                </c:pt>
                <c:pt idx="40">
                  <c:v>16785651.398963757</c:v>
                </c:pt>
                <c:pt idx="41">
                  <c:v>17153006.328963753</c:v>
                </c:pt>
                <c:pt idx="42">
                  <c:v>17167656.628963754</c:v>
                </c:pt>
                <c:pt idx="43">
                  <c:v>17092221.068963751</c:v>
                </c:pt>
                <c:pt idx="44">
                  <c:v>16842020.668963756</c:v>
                </c:pt>
                <c:pt idx="45">
                  <c:v>16968667.128963754</c:v>
                </c:pt>
                <c:pt idx="46">
                  <c:v>17485013.278963756</c:v>
                </c:pt>
                <c:pt idx="47">
                  <c:v>18431183.118963756</c:v>
                </c:pt>
                <c:pt idx="48">
                  <c:v>19430730.418670163</c:v>
                </c:pt>
                <c:pt idx="49">
                  <c:v>18338750.900597889</c:v>
                </c:pt>
                <c:pt idx="50">
                  <c:v>18807365.387344867</c:v>
                </c:pt>
                <c:pt idx="51">
                  <c:v>17034456.596983433</c:v>
                </c:pt>
                <c:pt idx="52">
                  <c:v>17537336.143971372</c:v>
                </c:pt>
                <c:pt idx="53">
                  <c:v>17201197.724694267</c:v>
                </c:pt>
                <c:pt idx="54">
                  <c:v>18093211.662043665</c:v>
                </c:pt>
                <c:pt idx="55">
                  <c:v>17648873.695778605</c:v>
                </c:pt>
                <c:pt idx="56">
                  <c:v>17847440.221079815</c:v>
                </c:pt>
                <c:pt idx="57">
                  <c:v>16827940.095778607</c:v>
                </c:pt>
                <c:pt idx="58">
                  <c:v>16684572.645176196</c:v>
                </c:pt>
                <c:pt idx="59">
                  <c:v>16658204.809031619</c:v>
                </c:pt>
                <c:pt idx="60">
                  <c:v>18392987.23202993</c:v>
                </c:pt>
                <c:pt idx="61">
                  <c:v>17502931.916367285</c:v>
                </c:pt>
                <c:pt idx="62">
                  <c:v>17615636.032029931</c:v>
                </c:pt>
                <c:pt idx="63">
                  <c:v>16891925.130825114</c:v>
                </c:pt>
                <c:pt idx="64">
                  <c:v>16602755.501909452</c:v>
                </c:pt>
                <c:pt idx="65">
                  <c:v>17495167.299499799</c:v>
                </c:pt>
                <c:pt idx="66">
                  <c:v>18373376.195885357</c:v>
                </c:pt>
                <c:pt idx="67">
                  <c:v>19193976.494680539</c:v>
                </c:pt>
                <c:pt idx="68">
                  <c:v>17890059.858535945</c:v>
                </c:pt>
                <c:pt idx="69">
                  <c:v>16939090.046487764</c:v>
                </c:pt>
                <c:pt idx="70">
                  <c:v>17048086.017572101</c:v>
                </c:pt>
                <c:pt idx="71">
                  <c:v>18662560.716367282</c:v>
                </c:pt>
                <c:pt idx="72">
                  <c:v>19659234.081595186</c:v>
                </c:pt>
                <c:pt idx="73">
                  <c:v>17436974.630992774</c:v>
                </c:pt>
                <c:pt idx="74">
                  <c:v>19634422.014125314</c:v>
                </c:pt>
                <c:pt idx="75">
                  <c:v>17013785.724968679</c:v>
                </c:pt>
                <c:pt idx="76">
                  <c:v>18093877.252679512</c:v>
                </c:pt>
                <c:pt idx="77">
                  <c:v>19315178.650269885</c:v>
                </c:pt>
                <c:pt idx="78">
                  <c:v>19549131.777980741</c:v>
                </c:pt>
                <c:pt idx="79">
                  <c:v>19412331.565932523</c:v>
                </c:pt>
                <c:pt idx="80">
                  <c:v>19254316.134607218</c:v>
                </c:pt>
                <c:pt idx="81">
                  <c:v>18460397.773161445</c:v>
                </c:pt>
                <c:pt idx="82">
                  <c:v>18666476.115330122</c:v>
                </c:pt>
                <c:pt idx="83">
                  <c:v>19446811.238221694</c:v>
                </c:pt>
                <c:pt idx="84">
                  <c:v>21184390.447006177</c:v>
                </c:pt>
                <c:pt idx="85">
                  <c:v>18766666.803632692</c:v>
                </c:pt>
                <c:pt idx="86">
                  <c:v>17697661.348210998</c:v>
                </c:pt>
                <c:pt idx="87">
                  <c:v>19284257.097608585</c:v>
                </c:pt>
                <c:pt idx="88">
                  <c:v>19795859.748211004</c:v>
                </c:pt>
                <c:pt idx="89">
                  <c:v>21072458.919295345</c:v>
                </c:pt>
                <c:pt idx="90">
                  <c:v>20882452.104837507</c:v>
                </c:pt>
                <c:pt idx="91">
                  <c:v>21499366.514476053</c:v>
                </c:pt>
                <c:pt idx="92">
                  <c:v>19842338.148211002</c:v>
                </c:pt>
                <c:pt idx="93">
                  <c:v>19326961.830138713</c:v>
                </c:pt>
                <c:pt idx="94">
                  <c:v>19493164.066283286</c:v>
                </c:pt>
                <c:pt idx="95">
                  <c:v>20044221.165078472</c:v>
                </c:pt>
                <c:pt idx="96">
                  <c:v>21620563.218417685</c:v>
                </c:pt>
                <c:pt idx="97">
                  <c:v>19419033.849742986</c:v>
                </c:pt>
                <c:pt idx="98">
                  <c:v>20467345.232875522</c:v>
                </c:pt>
                <c:pt idx="99">
                  <c:v>18962848.172634561</c:v>
                </c:pt>
                <c:pt idx="100">
                  <c:v>19104958.755767088</c:v>
                </c:pt>
                <c:pt idx="101">
                  <c:v>18871763.652152628</c:v>
                </c:pt>
                <c:pt idx="102">
                  <c:v>21610925.483477946</c:v>
                </c:pt>
                <c:pt idx="103">
                  <c:v>20499002.408779137</c:v>
                </c:pt>
                <c:pt idx="104">
                  <c:v>19124595.555767093</c:v>
                </c:pt>
                <c:pt idx="105">
                  <c:v>19237444.143718898</c:v>
                </c:pt>
                <c:pt idx="106">
                  <c:v>19655626.620827332</c:v>
                </c:pt>
                <c:pt idx="107">
                  <c:v>20768680.182273109</c:v>
                </c:pt>
                <c:pt idx="108">
                  <c:v>22240497.13711904</c:v>
                </c:pt>
                <c:pt idx="109">
                  <c:v>20355118.476878062</c:v>
                </c:pt>
                <c:pt idx="110">
                  <c:v>19763421.609408177</c:v>
                </c:pt>
                <c:pt idx="111">
                  <c:v>17089130.553986501</c:v>
                </c:pt>
                <c:pt idx="112">
                  <c:v>17090225.378082871</c:v>
                </c:pt>
                <c:pt idx="113">
                  <c:v>18398254.573263608</c:v>
                </c:pt>
                <c:pt idx="114">
                  <c:v>20433793.725070819</c:v>
                </c:pt>
                <c:pt idx="115">
                  <c:v>19508210.264829874</c:v>
                </c:pt>
                <c:pt idx="116">
                  <c:v>18413970.168444328</c:v>
                </c:pt>
                <c:pt idx="117">
                  <c:v>18353398.004588902</c:v>
                </c:pt>
                <c:pt idx="118">
                  <c:v>18350168.269649133</c:v>
                </c:pt>
                <c:pt idx="119">
                  <c:v>19370101.339528672</c:v>
                </c:pt>
                <c:pt idx="120">
                  <c:v>20686129.996556558</c:v>
                </c:pt>
                <c:pt idx="121">
                  <c:v>19399903.28812281</c:v>
                </c:pt>
                <c:pt idx="122">
                  <c:v>19460488.801375829</c:v>
                </c:pt>
                <c:pt idx="123">
                  <c:v>17754694.584508352</c:v>
                </c:pt>
                <c:pt idx="124">
                  <c:v>17924133.967640873</c:v>
                </c:pt>
                <c:pt idx="125">
                  <c:v>19511616.174869806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FA-4E5D-9AD9-210D527FBCCA}"/>
            </c:ext>
          </c:extLst>
        </c:ser>
        <c:ser>
          <c:idx val="1"/>
          <c:order val="1"/>
          <c:tx>
            <c:strRef>
              <c:f>'GS &gt; 50 kW (WN)'!$O$2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kW (WN)'!$A$3:$A$128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 (WN)'!$O$3:$O$128</c:f>
              <c:numCache>
                <c:formatCode>#,##0_);\(#,##0\)</c:formatCode>
                <c:ptCount val="126"/>
                <c:pt idx="0">
                  <c:v>16260641.926946038</c:v>
                </c:pt>
                <c:pt idx="1">
                  <c:v>15612810.166855056</c:v>
                </c:pt>
                <c:pt idx="2">
                  <c:v>16513632.221315578</c:v>
                </c:pt>
                <c:pt idx="3">
                  <c:v>15037257.014285589</c:v>
                </c:pt>
                <c:pt idx="4">
                  <c:v>15664661.77914265</c:v>
                </c:pt>
                <c:pt idx="5">
                  <c:v>16489637.652781956</c:v>
                </c:pt>
                <c:pt idx="6">
                  <c:v>16688082.149926681</c:v>
                </c:pt>
                <c:pt idx="7">
                  <c:v>16768117.371546349</c:v>
                </c:pt>
                <c:pt idx="8">
                  <c:v>15786799.17019869</c:v>
                </c:pt>
                <c:pt idx="9">
                  <c:v>15570077.397165075</c:v>
                </c:pt>
                <c:pt idx="10">
                  <c:v>16343512.044599567</c:v>
                </c:pt>
                <c:pt idx="11">
                  <c:v>17032357.839696247</c:v>
                </c:pt>
                <c:pt idx="12">
                  <c:v>17182602.931855038</c:v>
                </c:pt>
                <c:pt idx="13">
                  <c:v>16619137.923598198</c:v>
                </c:pt>
                <c:pt idx="14">
                  <c:v>17157852.182140492</c:v>
                </c:pt>
                <c:pt idx="15">
                  <c:v>14952696.271973763</c:v>
                </c:pt>
                <c:pt idx="16">
                  <c:v>16889514.20027826</c:v>
                </c:pt>
                <c:pt idx="17">
                  <c:v>16690668.912232768</c:v>
                </c:pt>
                <c:pt idx="18">
                  <c:v>16828466.845367447</c:v>
                </c:pt>
                <c:pt idx="19">
                  <c:v>16851498.333933223</c:v>
                </c:pt>
                <c:pt idx="20">
                  <c:v>15900973.072836187</c:v>
                </c:pt>
                <c:pt idx="21">
                  <c:v>16060932.312197911</c:v>
                </c:pt>
                <c:pt idx="22">
                  <c:v>16427623.576545265</c:v>
                </c:pt>
                <c:pt idx="23">
                  <c:v>16907084.141969223</c:v>
                </c:pt>
                <c:pt idx="24">
                  <c:v>17661779.476269454</c:v>
                </c:pt>
                <c:pt idx="25">
                  <c:v>16602880.20558363</c:v>
                </c:pt>
                <c:pt idx="26">
                  <c:v>17400101.846204992</c:v>
                </c:pt>
                <c:pt idx="27">
                  <c:v>16593583.952249156</c:v>
                </c:pt>
                <c:pt idx="28">
                  <c:v>16784201.174966134</c:v>
                </c:pt>
                <c:pt idx="29">
                  <c:v>17246333.035896283</c:v>
                </c:pt>
                <c:pt idx="30">
                  <c:v>18222839.508305237</c:v>
                </c:pt>
                <c:pt idx="31">
                  <c:v>17970960.810613539</c:v>
                </c:pt>
                <c:pt idx="32">
                  <c:v>17010811.548081942</c:v>
                </c:pt>
                <c:pt idx="33">
                  <c:v>17237133.970285464</c:v>
                </c:pt>
                <c:pt idx="34">
                  <c:v>16483768.181085678</c:v>
                </c:pt>
                <c:pt idx="35">
                  <c:v>18107876.99076635</c:v>
                </c:pt>
                <c:pt idx="36">
                  <c:v>18235717.215487354</c:v>
                </c:pt>
                <c:pt idx="37">
                  <c:v>17220076.531991109</c:v>
                </c:pt>
                <c:pt idx="38">
                  <c:v>18146673.751348119</c:v>
                </c:pt>
                <c:pt idx="39">
                  <c:v>17102603.504124787</c:v>
                </c:pt>
                <c:pt idx="40">
                  <c:v>16934296.774084147</c:v>
                </c:pt>
                <c:pt idx="41">
                  <c:v>17127135.230910514</c:v>
                </c:pt>
                <c:pt idx="42">
                  <c:v>17687798.372131575</c:v>
                </c:pt>
                <c:pt idx="43">
                  <c:v>17393785.201656125</c:v>
                </c:pt>
                <c:pt idx="44">
                  <c:v>17023641.092414919</c:v>
                </c:pt>
                <c:pt idx="45">
                  <c:v>17046258.011392999</c:v>
                </c:pt>
                <c:pt idx="46">
                  <c:v>17241904.25062665</c:v>
                </c:pt>
                <c:pt idx="47">
                  <c:v>18525732.556069255</c:v>
                </c:pt>
                <c:pt idx="48">
                  <c:v>18885172.885536674</c:v>
                </c:pt>
                <c:pt idx="49">
                  <c:v>17146221.421593994</c:v>
                </c:pt>
                <c:pt idx="50">
                  <c:v>18428461.34724424</c:v>
                </c:pt>
                <c:pt idx="51">
                  <c:v>17167227.209253725</c:v>
                </c:pt>
                <c:pt idx="52">
                  <c:v>17383281.626284789</c:v>
                </c:pt>
                <c:pt idx="53">
                  <c:v>17542165.529806193</c:v>
                </c:pt>
                <c:pt idx="54">
                  <c:v>18326117.880671673</c:v>
                </c:pt>
                <c:pt idx="55">
                  <c:v>17876141.341753986</c:v>
                </c:pt>
                <c:pt idx="56">
                  <c:v>17488601.453727633</c:v>
                </c:pt>
                <c:pt idx="57">
                  <c:v>16954046.764995307</c:v>
                </c:pt>
                <c:pt idx="58">
                  <c:v>17028425.260416303</c:v>
                </c:pt>
                <c:pt idx="59">
                  <c:v>17414808.335440196</c:v>
                </c:pt>
                <c:pt idx="60">
                  <c:v>18481919.870891538</c:v>
                </c:pt>
                <c:pt idx="61">
                  <c:v>17747886.72867031</c:v>
                </c:pt>
                <c:pt idx="62">
                  <c:v>17931444.584861435</c:v>
                </c:pt>
                <c:pt idx="63">
                  <c:v>16658738.880223403</c:v>
                </c:pt>
                <c:pt idx="64">
                  <c:v>16559466.598139871</c:v>
                </c:pt>
                <c:pt idx="65">
                  <c:v>17425514.343202617</c:v>
                </c:pt>
                <c:pt idx="66">
                  <c:v>18164483.663142662</c:v>
                </c:pt>
                <c:pt idx="67">
                  <c:v>18683586.165394325</c:v>
                </c:pt>
                <c:pt idx="68">
                  <c:v>17579646.479847517</c:v>
                </c:pt>
                <c:pt idx="69">
                  <c:v>16761345.270724256</c:v>
                </c:pt>
                <c:pt idx="70">
                  <c:v>17489633.007045317</c:v>
                </c:pt>
                <c:pt idx="71">
                  <c:v>18493432.680356786</c:v>
                </c:pt>
                <c:pt idx="72">
                  <c:v>20068012.176011696</c:v>
                </c:pt>
                <c:pt idx="73">
                  <c:v>18041300.516122527</c:v>
                </c:pt>
                <c:pt idx="74">
                  <c:v>19465627.83425913</c:v>
                </c:pt>
                <c:pt idx="75">
                  <c:v>17250236.532595482</c:v>
                </c:pt>
                <c:pt idx="76">
                  <c:v>18350916.119360227</c:v>
                </c:pt>
                <c:pt idx="77">
                  <c:v>19372227.738284722</c:v>
                </c:pt>
                <c:pt idx="78">
                  <c:v>19740909.584318984</c:v>
                </c:pt>
                <c:pt idx="79">
                  <c:v>19776251.67854809</c:v>
                </c:pt>
                <c:pt idx="80">
                  <c:v>19073921.607673533</c:v>
                </c:pt>
                <c:pt idx="81">
                  <c:v>18293404.443348184</c:v>
                </c:pt>
                <c:pt idx="82">
                  <c:v>18699006.260072853</c:v>
                </c:pt>
                <c:pt idx="83">
                  <c:v>18703001.530035313</c:v>
                </c:pt>
                <c:pt idx="84">
                  <c:v>20951397.334666997</c:v>
                </c:pt>
                <c:pt idx="85">
                  <c:v>19143720.389449447</c:v>
                </c:pt>
                <c:pt idx="86">
                  <c:v>17638602.763665278</c:v>
                </c:pt>
                <c:pt idx="87">
                  <c:v>18915591.686540302</c:v>
                </c:pt>
                <c:pt idx="88">
                  <c:v>19528280.204803042</c:v>
                </c:pt>
                <c:pt idx="89">
                  <c:v>21101646.824791308</c:v>
                </c:pt>
                <c:pt idx="90">
                  <c:v>20733925.467552371</c:v>
                </c:pt>
                <c:pt idx="91">
                  <c:v>21215845.814272091</c:v>
                </c:pt>
                <c:pt idx="92">
                  <c:v>19617498.401544828</c:v>
                </c:pt>
                <c:pt idx="93">
                  <c:v>19214120.888289273</c:v>
                </c:pt>
                <c:pt idx="94">
                  <c:v>19183432.500881024</c:v>
                </c:pt>
                <c:pt idx="95">
                  <c:v>20106005.945761275</c:v>
                </c:pt>
                <c:pt idx="96">
                  <c:v>21220106.306584716</c:v>
                </c:pt>
                <c:pt idx="97">
                  <c:v>19449198.136608325</c:v>
                </c:pt>
                <c:pt idx="98">
                  <c:v>20200777.157652717</c:v>
                </c:pt>
                <c:pt idx="99">
                  <c:v>19039764.009290222</c:v>
                </c:pt>
                <c:pt idx="100">
                  <c:v>19530188.923770592</c:v>
                </c:pt>
                <c:pt idx="101">
                  <c:v>19162979.345623706</c:v>
                </c:pt>
                <c:pt idx="102">
                  <c:v>21468369.099589713</c:v>
                </c:pt>
                <c:pt idx="103">
                  <c:v>20605538.263839401</c:v>
                </c:pt>
                <c:pt idx="104">
                  <c:v>19187654.695129275</c:v>
                </c:pt>
                <c:pt idx="105">
                  <c:v>19472569.970370695</c:v>
                </c:pt>
                <c:pt idx="106">
                  <c:v>19261176.084252052</c:v>
                </c:pt>
                <c:pt idx="107">
                  <c:v>20732691.067599289</c:v>
                </c:pt>
                <c:pt idx="108">
                  <c:v>22669558.114082936</c:v>
                </c:pt>
                <c:pt idx="109">
                  <c:v>20478375.993896782</c:v>
                </c:pt>
                <c:pt idx="110">
                  <c:v>20175873.69859311</c:v>
                </c:pt>
                <c:pt idx="111">
                  <c:v>17107920.206964403</c:v>
                </c:pt>
                <c:pt idx="112">
                  <c:v>17028352.410351086</c:v>
                </c:pt>
                <c:pt idx="113">
                  <c:v>18240374.538989995</c:v>
                </c:pt>
                <c:pt idx="114">
                  <c:v>19967516.934772819</c:v>
                </c:pt>
                <c:pt idx="115">
                  <c:v>19458856.170082156</c:v>
                </c:pt>
                <c:pt idx="116">
                  <c:v>18591520.211783972</c:v>
                </c:pt>
                <c:pt idx="117">
                  <c:v>18458940.65460417</c:v>
                </c:pt>
                <c:pt idx="118">
                  <c:v>18608367.731743474</c:v>
                </c:pt>
                <c:pt idx="119">
                  <c:v>19412643.385487031</c:v>
                </c:pt>
                <c:pt idx="120">
                  <c:v>20933165.104505468</c:v>
                </c:pt>
                <c:pt idx="121">
                  <c:v>19263643.923317306</c:v>
                </c:pt>
                <c:pt idx="122">
                  <c:v>19817871.383898262</c:v>
                </c:pt>
                <c:pt idx="123">
                  <c:v>17891652.232797105</c:v>
                </c:pt>
                <c:pt idx="124">
                  <c:v>17929037.140721168</c:v>
                </c:pt>
                <c:pt idx="125">
                  <c:v>19081094.568804361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FA-4E5D-9AD9-210D527FB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Residential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 kWh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'Residential (WN) Trend'!$A$3:$A$127</c:f>
              <c:numCache>
                <c:formatCode>mmm\-yy</c:formatCode>
                <c:ptCount val="12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</c:numCache>
            </c:numRef>
          </c:cat>
          <c:val>
            <c:numRef>
              <c:f>'Residential (WN) Trend'!$F$3:$F$128</c:f>
              <c:numCache>
                <c:formatCode>_(* #,##0_);_(* \(#,##0\);_(* "-"??_);_(@_)</c:formatCode>
                <c:ptCount val="126"/>
                <c:pt idx="0">
                  <c:v>23733365.085325282</c:v>
                </c:pt>
                <c:pt idx="1">
                  <c:v>22310529.535325348</c:v>
                </c:pt>
                <c:pt idx="2">
                  <c:v>20561511.105325352</c:v>
                </c:pt>
                <c:pt idx="3">
                  <c:v>18196504.345325314</c:v>
                </c:pt>
                <c:pt idx="4">
                  <c:v>19242436.605325352</c:v>
                </c:pt>
                <c:pt idx="5">
                  <c:v>23455207.885325335</c:v>
                </c:pt>
                <c:pt idx="6">
                  <c:v>29881256.025325283</c:v>
                </c:pt>
                <c:pt idx="7">
                  <c:v>28120502.455325332</c:v>
                </c:pt>
                <c:pt idx="8">
                  <c:v>19919582.535325326</c:v>
                </c:pt>
                <c:pt idx="9">
                  <c:v>18267774.095325306</c:v>
                </c:pt>
                <c:pt idx="10">
                  <c:v>20206933.495325342</c:v>
                </c:pt>
                <c:pt idx="11">
                  <c:v>25108396.295325305</c:v>
                </c:pt>
                <c:pt idx="12">
                  <c:v>22665511.009777255</c:v>
                </c:pt>
                <c:pt idx="13">
                  <c:v>21731631.059777245</c:v>
                </c:pt>
                <c:pt idx="14">
                  <c:v>20010014.379777245</c:v>
                </c:pt>
                <c:pt idx="15">
                  <c:v>18912007.339777257</c:v>
                </c:pt>
                <c:pt idx="16">
                  <c:v>19051304.719777234</c:v>
                </c:pt>
                <c:pt idx="17">
                  <c:v>27958863.159777239</c:v>
                </c:pt>
                <c:pt idx="18">
                  <c:v>33576079.829777248</c:v>
                </c:pt>
                <c:pt idx="19">
                  <c:v>30029439.459777251</c:v>
                </c:pt>
                <c:pt idx="20">
                  <c:v>21238214.669777248</c:v>
                </c:pt>
                <c:pt idx="21">
                  <c:v>19640038.639777251</c:v>
                </c:pt>
                <c:pt idx="22">
                  <c:v>21482109.149777245</c:v>
                </c:pt>
                <c:pt idx="23">
                  <c:v>25647572.909777213</c:v>
                </c:pt>
                <c:pt idx="24">
                  <c:v>24743261.071531244</c:v>
                </c:pt>
                <c:pt idx="25">
                  <c:v>23224532.891531281</c:v>
                </c:pt>
                <c:pt idx="26">
                  <c:v>23052750.88153125</c:v>
                </c:pt>
                <c:pt idx="27">
                  <c:v>19679187.661531229</c:v>
                </c:pt>
                <c:pt idx="28">
                  <c:v>20796344.531531259</c:v>
                </c:pt>
                <c:pt idx="29">
                  <c:v>24720133.67153126</c:v>
                </c:pt>
                <c:pt idx="30">
                  <c:v>31067397.23153127</c:v>
                </c:pt>
                <c:pt idx="31">
                  <c:v>28442759.621531248</c:v>
                </c:pt>
                <c:pt idx="32">
                  <c:v>20912722.881531265</c:v>
                </c:pt>
                <c:pt idx="33">
                  <c:v>20981353.041531246</c:v>
                </c:pt>
                <c:pt idx="34">
                  <c:v>21829613.801531244</c:v>
                </c:pt>
                <c:pt idx="35">
                  <c:v>28911020.861531246</c:v>
                </c:pt>
                <c:pt idx="36">
                  <c:v>26360023.557272851</c:v>
                </c:pt>
                <c:pt idx="37">
                  <c:v>26374215.547272835</c:v>
                </c:pt>
                <c:pt idx="38">
                  <c:v>24141795.047272857</c:v>
                </c:pt>
                <c:pt idx="39">
                  <c:v>22071105.877272848</c:v>
                </c:pt>
                <c:pt idx="40">
                  <c:v>20648893.407272812</c:v>
                </c:pt>
                <c:pt idx="41">
                  <c:v>24572425.267272837</c:v>
                </c:pt>
                <c:pt idx="42">
                  <c:v>28609332.357272841</c:v>
                </c:pt>
                <c:pt idx="43">
                  <c:v>26478984.537272859</c:v>
                </c:pt>
                <c:pt idx="44">
                  <c:v>21763182.987272844</c:v>
                </c:pt>
                <c:pt idx="45">
                  <c:v>21382264.647272848</c:v>
                </c:pt>
                <c:pt idx="46">
                  <c:v>22562429.487272851</c:v>
                </c:pt>
                <c:pt idx="47">
                  <c:v>27673778.197272848</c:v>
                </c:pt>
                <c:pt idx="48">
                  <c:v>28069177.441256527</c:v>
                </c:pt>
                <c:pt idx="49">
                  <c:v>26707165.383425221</c:v>
                </c:pt>
                <c:pt idx="50">
                  <c:v>24478082.20270231</c:v>
                </c:pt>
                <c:pt idx="51">
                  <c:v>20676669.084630042</c:v>
                </c:pt>
                <c:pt idx="52">
                  <c:v>21746093.258124005</c:v>
                </c:pt>
                <c:pt idx="53">
                  <c:v>25107302.887039673</c:v>
                </c:pt>
                <c:pt idx="54">
                  <c:v>31952965.229208339</c:v>
                </c:pt>
                <c:pt idx="55">
                  <c:v>29580077.267762542</c:v>
                </c:pt>
                <c:pt idx="56">
                  <c:v>26608771.542461362</c:v>
                </c:pt>
                <c:pt idx="57">
                  <c:v>21483913.277401097</c:v>
                </c:pt>
                <c:pt idx="58">
                  <c:v>19734087.166557718</c:v>
                </c:pt>
                <c:pt idx="59">
                  <c:v>23600600.062943287</c:v>
                </c:pt>
                <c:pt idx="60">
                  <c:v>26488550.719732195</c:v>
                </c:pt>
                <c:pt idx="61">
                  <c:v>25023617.148647863</c:v>
                </c:pt>
                <c:pt idx="62">
                  <c:v>23461776.319732215</c:v>
                </c:pt>
                <c:pt idx="63">
                  <c:v>22136159.26912979</c:v>
                </c:pt>
                <c:pt idx="64">
                  <c:v>21068139.211298458</c:v>
                </c:pt>
                <c:pt idx="65">
                  <c:v>30493925.726961114</c:v>
                </c:pt>
                <c:pt idx="66">
                  <c:v>36232069.967924938</c:v>
                </c:pt>
                <c:pt idx="67">
                  <c:v>36666591.857081592</c:v>
                </c:pt>
                <c:pt idx="68">
                  <c:v>27451832.531780414</c:v>
                </c:pt>
                <c:pt idx="69">
                  <c:v>19916253.264310535</c:v>
                </c:pt>
                <c:pt idx="70">
                  <c:v>19873181.534190029</c:v>
                </c:pt>
                <c:pt idx="71">
                  <c:v>27978193.948647868</c:v>
                </c:pt>
                <c:pt idx="72">
                  <c:v>27093622.098643739</c:v>
                </c:pt>
                <c:pt idx="73">
                  <c:v>23068759.370932903</c:v>
                </c:pt>
                <c:pt idx="74">
                  <c:v>25389455.235993147</c:v>
                </c:pt>
                <c:pt idx="75">
                  <c:v>20358576.739607595</c:v>
                </c:pt>
                <c:pt idx="76">
                  <c:v>21397367.515511237</c:v>
                </c:pt>
                <c:pt idx="77">
                  <c:v>28536633.10587268</c:v>
                </c:pt>
                <c:pt idx="78">
                  <c:v>29930546.214306407</c:v>
                </c:pt>
                <c:pt idx="79">
                  <c:v>30545492.91310158</c:v>
                </c:pt>
                <c:pt idx="80">
                  <c:v>26816098.763703998</c:v>
                </c:pt>
                <c:pt idx="81">
                  <c:v>21561059.833583519</c:v>
                </c:pt>
                <c:pt idx="82">
                  <c:v>23579172.681776274</c:v>
                </c:pt>
                <c:pt idx="83">
                  <c:v>27478381.028764222</c:v>
                </c:pt>
                <c:pt idx="84">
                  <c:v>29607203.423201349</c:v>
                </c:pt>
                <c:pt idx="85">
                  <c:v>24179288.772598948</c:v>
                </c:pt>
                <c:pt idx="86">
                  <c:v>26124027.606333889</c:v>
                </c:pt>
                <c:pt idx="87">
                  <c:v>22298688.406333879</c:v>
                </c:pt>
                <c:pt idx="88">
                  <c:v>24908740.34850258</c:v>
                </c:pt>
                <c:pt idx="89">
                  <c:v>34041039.172598973</c:v>
                </c:pt>
                <c:pt idx="90">
                  <c:v>35267527.105129071</c:v>
                </c:pt>
                <c:pt idx="91">
                  <c:v>37882496.762960359</c:v>
                </c:pt>
                <c:pt idx="92">
                  <c:v>28623515.240068838</c:v>
                </c:pt>
                <c:pt idx="93">
                  <c:v>23069429.620791711</c:v>
                </c:pt>
                <c:pt idx="94">
                  <c:v>22177389.890671223</c:v>
                </c:pt>
                <c:pt idx="95">
                  <c:v>30826041.620791715</c:v>
                </c:pt>
                <c:pt idx="96">
                  <c:v>30296678.502611879</c:v>
                </c:pt>
                <c:pt idx="97">
                  <c:v>27263823.630322684</c:v>
                </c:pt>
                <c:pt idx="98">
                  <c:v>25289889.885744374</c:v>
                </c:pt>
                <c:pt idx="99">
                  <c:v>24085428.083334759</c:v>
                </c:pt>
                <c:pt idx="100">
                  <c:v>23509154.888154022</c:v>
                </c:pt>
                <c:pt idx="101">
                  <c:v>26580302.01104556</c:v>
                </c:pt>
                <c:pt idx="102">
                  <c:v>38634397.654419079</c:v>
                </c:pt>
                <c:pt idx="103">
                  <c:v>35462351.398997389</c:v>
                </c:pt>
                <c:pt idx="104">
                  <c:v>26458002.714660037</c:v>
                </c:pt>
                <c:pt idx="105">
                  <c:v>23458321.991768487</c:v>
                </c:pt>
                <c:pt idx="106">
                  <c:v>22723875.611045595</c:v>
                </c:pt>
                <c:pt idx="107">
                  <c:v>29555236.748394977</c:v>
                </c:pt>
                <c:pt idx="108">
                  <c:v>31096332.909579843</c:v>
                </c:pt>
                <c:pt idx="109">
                  <c:v>26929021.208375014</c:v>
                </c:pt>
                <c:pt idx="110">
                  <c:v>26338553.699941278</c:v>
                </c:pt>
                <c:pt idx="111">
                  <c:v>27039073.834881049</c:v>
                </c:pt>
                <c:pt idx="112">
                  <c:v>27307988.668615971</c:v>
                </c:pt>
                <c:pt idx="113">
                  <c:v>39033998.461387023</c:v>
                </c:pt>
                <c:pt idx="114">
                  <c:v>45880496.822832875</c:v>
                </c:pt>
                <c:pt idx="115">
                  <c:v>40192363.868616</c:v>
                </c:pt>
                <c:pt idx="116">
                  <c:v>28598946.287893068</c:v>
                </c:pt>
                <c:pt idx="117">
                  <c:v>25393750.721628018</c:v>
                </c:pt>
                <c:pt idx="118">
                  <c:v>23298897.661387056</c:v>
                </c:pt>
                <c:pt idx="119">
                  <c:v>29408230.692712367</c:v>
                </c:pt>
                <c:pt idx="120">
                  <c:v>33477332.406683832</c:v>
                </c:pt>
                <c:pt idx="121">
                  <c:v>31909165.380177792</c:v>
                </c:pt>
                <c:pt idx="122">
                  <c:v>27920614.768129587</c:v>
                </c:pt>
                <c:pt idx="123">
                  <c:v>25767139.02837057</c:v>
                </c:pt>
                <c:pt idx="124">
                  <c:v>27806855.086201914</c:v>
                </c:pt>
                <c:pt idx="125">
                  <c:v>36815818.816322342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E-4705-ABEE-926E9B9A02CB}"/>
            </c:ext>
          </c:extLst>
        </c:ser>
        <c:ser>
          <c:idx val="1"/>
          <c:order val="1"/>
          <c:tx>
            <c:v>Predicted kWh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'Residential (WN) Trend'!$A$3:$A$127</c:f>
              <c:numCache>
                <c:formatCode>mmm\-yy</c:formatCode>
                <c:ptCount val="12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</c:numCache>
            </c:numRef>
          </c:cat>
          <c:val>
            <c:numRef>
              <c:f>'Residential (WN) Trend'!$Q$3:$Q$127</c:f>
              <c:numCache>
                <c:formatCode>#,##0_);\(#,##0\)</c:formatCode>
                <c:ptCount val="125"/>
                <c:pt idx="0">
                  <c:v>18785263.618988007</c:v>
                </c:pt>
                <c:pt idx="1">
                  <c:v>20846193.940831646</c:v>
                </c:pt>
                <c:pt idx="2">
                  <c:v>20139999.746637117</c:v>
                </c:pt>
                <c:pt idx="3">
                  <c:v>18307648.212177128</c:v>
                </c:pt>
                <c:pt idx="4">
                  <c:v>20470092.124704909</c:v>
                </c:pt>
                <c:pt idx="5">
                  <c:v>24787303.63626118</c:v>
                </c:pt>
                <c:pt idx="6">
                  <c:v>27311745.722229078</c:v>
                </c:pt>
                <c:pt idx="7">
                  <c:v>28504567.697822571</c:v>
                </c:pt>
                <c:pt idx="8">
                  <c:v>20136345.813199002</c:v>
                </c:pt>
                <c:pt idx="9">
                  <c:v>18088257.906181265</c:v>
                </c:pt>
                <c:pt idx="10">
                  <c:v>20925008.336721919</c:v>
                </c:pt>
                <c:pt idx="11">
                  <c:v>25351096.801265627</c:v>
                </c:pt>
                <c:pt idx="12">
                  <c:v>23283268.620739453</c:v>
                </c:pt>
                <c:pt idx="13">
                  <c:v>22577510.595426936</c:v>
                </c:pt>
                <c:pt idx="14">
                  <c:v>21356689.634971894</c:v>
                </c:pt>
                <c:pt idx="15">
                  <c:v>19029409.515231606</c:v>
                </c:pt>
                <c:pt idx="16">
                  <c:v>18738573.834030926</c:v>
                </c:pt>
                <c:pt idx="17">
                  <c:v>26602405.387382329</c:v>
                </c:pt>
                <c:pt idx="18">
                  <c:v>31160073.752655335</c:v>
                </c:pt>
                <c:pt idx="19">
                  <c:v>31053987.852029257</c:v>
                </c:pt>
                <c:pt idx="20">
                  <c:v>22012137.266080242</c:v>
                </c:pt>
                <c:pt idx="21">
                  <c:v>19707818.78250777</c:v>
                </c:pt>
                <c:pt idx="22">
                  <c:v>21395672.501602009</c:v>
                </c:pt>
                <c:pt idx="23">
                  <c:v>25894641.013380788</c:v>
                </c:pt>
                <c:pt idx="24">
                  <c:v>25243967.065118171</c:v>
                </c:pt>
                <c:pt idx="25">
                  <c:v>23181169.542941984</c:v>
                </c:pt>
                <c:pt idx="26">
                  <c:v>22788473.038720243</c:v>
                </c:pt>
                <c:pt idx="27">
                  <c:v>19560595.891295757</c:v>
                </c:pt>
                <c:pt idx="28">
                  <c:v>21232920.577527683</c:v>
                </c:pt>
                <c:pt idx="29">
                  <c:v>25914409.1401578</c:v>
                </c:pt>
                <c:pt idx="30">
                  <c:v>31938498.889927614</c:v>
                </c:pt>
                <c:pt idx="31">
                  <c:v>30563010.59228934</c:v>
                </c:pt>
                <c:pt idx="32">
                  <c:v>22292800.705937527</c:v>
                </c:pt>
                <c:pt idx="33">
                  <c:v>21194906.682263289</c:v>
                </c:pt>
                <c:pt idx="34">
                  <c:v>21357081.519924145</c:v>
                </c:pt>
                <c:pt idx="35">
                  <c:v>27809374.80672127</c:v>
                </c:pt>
                <c:pt idx="36">
                  <c:v>25101461.21210013</c:v>
                </c:pt>
                <c:pt idx="37">
                  <c:v>25408415.5722038</c:v>
                </c:pt>
                <c:pt idx="38">
                  <c:v>22691277.679121431</c:v>
                </c:pt>
                <c:pt idx="39">
                  <c:v>21967363.93909245</c:v>
                </c:pt>
                <c:pt idx="40">
                  <c:v>22180415.500246789</c:v>
                </c:pt>
                <c:pt idx="41">
                  <c:v>24926860.564614631</c:v>
                </c:pt>
                <c:pt idx="42">
                  <c:v>32989858.216391578</c:v>
                </c:pt>
                <c:pt idx="43">
                  <c:v>29405660.685119595</c:v>
                </c:pt>
                <c:pt idx="44">
                  <c:v>22573376.348142233</c:v>
                </c:pt>
                <c:pt idx="45">
                  <c:v>21499770.547335993</c:v>
                </c:pt>
                <c:pt idx="46">
                  <c:v>22055829.943892352</c:v>
                </c:pt>
                <c:pt idx="47">
                  <c:v>27712948.652105425</c:v>
                </c:pt>
                <c:pt idx="48">
                  <c:v>27103244.139521983</c:v>
                </c:pt>
                <c:pt idx="49">
                  <c:v>24695762.52777262</c:v>
                </c:pt>
                <c:pt idx="50">
                  <c:v>23683578.003571983</c:v>
                </c:pt>
                <c:pt idx="51">
                  <c:v>20950287.584554993</c:v>
                </c:pt>
                <c:pt idx="52">
                  <c:v>21366362.028241646</c:v>
                </c:pt>
                <c:pt idx="53">
                  <c:v>27690313.073598448</c:v>
                </c:pt>
                <c:pt idx="54">
                  <c:v>34041514.197055891</c:v>
                </c:pt>
                <c:pt idx="55">
                  <c:v>31975577.195440035</c:v>
                </c:pt>
                <c:pt idx="56">
                  <c:v>24261894.590173416</c:v>
                </c:pt>
                <c:pt idx="57">
                  <c:v>21583152.84735994</c:v>
                </c:pt>
                <c:pt idx="58">
                  <c:v>20425082.902442109</c:v>
                </c:pt>
                <c:pt idx="59">
                  <c:v>24754381.44143888</c:v>
                </c:pt>
                <c:pt idx="60">
                  <c:v>26588311.247832194</c:v>
                </c:pt>
                <c:pt idx="61">
                  <c:v>25374211.109284285</c:v>
                </c:pt>
                <c:pt idx="62">
                  <c:v>23884958.349117756</c:v>
                </c:pt>
                <c:pt idx="63">
                  <c:v>21682853.121962029</c:v>
                </c:pt>
                <c:pt idx="64">
                  <c:v>20562659.340872951</c:v>
                </c:pt>
                <c:pt idx="65">
                  <c:v>30162559.122801512</c:v>
                </c:pt>
                <c:pt idx="66">
                  <c:v>34795314.987535514</c:v>
                </c:pt>
                <c:pt idx="67">
                  <c:v>33175998.706021074</c:v>
                </c:pt>
                <c:pt idx="68">
                  <c:v>25768867.36070196</c:v>
                </c:pt>
                <c:pt idx="69">
                  <c:v>19685969.914085586</c:v>
                </c:pt>
                <c:pt idx="70">
                  <c:v>20627070.676425308</c:v>
                </c:pt>
                <c:pt idx="71">
                  <c:v>27574490.000426251</c:v>
                </c:pt>
                <c:pt idx="72">
                  <c:v>27730597.139324266</c:v>
                </c:pt>
                <c:pt idx="73">
                  <c:v>24083228.176384289</c:v>
                </c:pt>
                <c:pt idx="74">
                  <c:v>24957461.642913099</c:v>
                </c:pt>
                <c:pt idx="75">
                  <c:v>20987444.305390634</c:v>
                </c:pt>
                <c:pt idx="76">
                  <c:v>22733350.945228327</c:v>
                </c:pt>
                <c:pt idx="77">
                  <c:v>29182718.427404653</c:v>
                </c:pt>
                <c:pt idx="78">
                  <c:v>31690913.733519282</c:v>
                </c:pt>
                <c:pt idx="79">
                  <c:v>33914233.56473425</c:v>
                </c:pt>
                <c:pt idx="80">
                  <c:v>25213992.025515787</c:v>
                </c:pt>
                <c:pt idx="81">
                  <c:v>21544202.593073439</c:v>
                </c:pt>
                <c:pt idx="82">
                  <c:v>23532917.932102993</c:v>
                </c:pt>
                <c:pt idx="83">
                  <c:v>26109437.996962957</c:v>
                </c:pt>
                <c:pt idx="84">
                  <c:v>29166255.360590212</c:v>
                </c:pt>
                <c:pt idx="85">
                  <c:v>24804167.866487868</c:v>
                </c:pt>
                <c:pt idx="86">
                  <c:v>25866737.919784091</c:v>
                </c:pt>
                <c:pt idx="87">
                  <c:v>21493510.283434514</c:v>
                </c:pt>
                <c:pt idx="88">
                  <c:v>24381033.353589803</c:v>
                </c:pt>
                <c:pt idx="89">
                  <c:v>34655977.858756341</c:v>
                </c:pt>
                <c:pt idx="90">
                  <c:v>34312457.799348608</c:v>
                </c:pt>
                <c:pt idx="91">
                  <c:v>36202194.828562073</c:v>
                </c:pt>
                <c:pt idx="92">
                  <c:v>26635874.831891812</c:v>
                </c:pt>
                <c:pt idx="93">
                  <c:v>22314707.799305301</c:v>
                </c:pt>
                <c:pt idx="94">
                  <c:v>21565968.003372576</c:v>
                </c:pt>
                <c:pt idx="95">
                  <c:v>30810180.345067263</c:v>
                </c:pt>
                <c:pt idx="96">
                  <c:v>29574457.150487036</c:v>
                </c:pt>
                <c:pt idx="97">
                  <c:v>27306065.195933208</c:v>
                </c:pt>
                <c:pt idx="98">
                  <c:v>24684065.905666724</c:v>
                </c:pt>
                <c:pt idx="99">
                  <c:v>24069911.617952138</c:v>
                </c:pt>
                <c:pt idx="100">
                  <c:v>25570274.046447568</c:v>
                </c:pt>
                <c:pt idx="101">
                  <c:v>28807738.851603754</c:v>
                </c:pt>
                <c:pt idx="102">
                  <c:v>37726967.591182351</c:v>
                </c:pt>
                <c:pt idx="103">
                  <c:v>36894479.977456972</c:v>
                </c:pt>
                <c:pt idx="104">
                  <c:v>27562219.95825645</c:v>
                </c:pt>
                <c:pt idx="105">
                  <c:v>23416117.489230428</c:v>
                </c:pt>
                <c:pt idx="106">
                  <c:v>21944737.973477904</c:v>
                </c:pt>
                <c:pt idx="107">
                  <c:v>29375153.800532088</c:v>
                </c:pt>
                <c:pt idx="108">
                  <c:v>31767375.212033767</c:v>
                </c:pt>
                <c:pt idx="109">
                  <c:v>27075211.59837104</c:v>
                </c:pt>
                <c:pt idx="110">
                  <c:v>26913728.128008138</c:v>
                </c:pt>
                <c:pt idx="111">
                  <c:v>26888161.841937482</c:v>
                </c:pt>
                <c:pt idx="112">
                  <c:v>27327229.670143459</c:v>
                </c:pt>
                <c:pt idx="113">
                  <c:v>37934237.207823358</c:v>
                </c:pt>
                <c:pt idx="114">
                  <c:v>42389961.16389098</c:v>
                </c:pt>
                <c:pt idx="115">
                  <c:v>40380578.891766742</c:v>
                </c:pt>
                <c:pt idx="116">
                  <c:v>29436166.62229903</c:v>
                </c:pt>
                <c:pt idx="117">
                  <c:v>25455754.467589453</c:v>
                </c:pt>
                <c:pt idx="118">
                  <c:v>24072825.620897699</c:v>
                </c:pt>
                <c:pt idx="119">
                  <c:v>29360049.194279816</c:v>
                </c:pt>
                <c:pt idx="120">
                  <c:v>33842642.872709818</c:v>
                </c:pt>
                <c:pt idx="121">
                  <c:v>31671880.695339911</c:v>
                </c:pt>
                <c:pt idx="122">
                  <c:v>28478318.805543423</c:v>
                </c:pt>
                <c:pt idx="123">
                  <c:v>26139465.23548511</c:v>
                </c:pt>
                <c:pt idx="124">
                  <c:v>27902719.106541604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E-4705-ABEE-926E9B9A0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 Weather Normalized</a:t>
            </a:r>
            <a:r>
              <a:rPr lang="en-US" baseline="0"/>
              <a:t> (Trend)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&lt; 50 kW (WN) Trend'!$F$2</c:f>
              <c:strCache>
                <c:ptCount val="1"/>
                <c:pt idx="0">
                  <c:v> GSlt50_NoCDM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&lt; 50 kW (WN) Trend'!$A$3:$A$158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 (WN) Trend'!$F$3:$F$127</c:f>
              <c:numCache>
                <c:formatCode>_(* #,##0_);_(* \(#,##0\);_(* "-"??_);_(@_)</c:formatCode>
                <c:ptCount val="125"/>
                <c:pt idx="0">
                  <c:v>6864837.5606799051</c:v>
                </c:pt>
                <c:pt idx="1">
                  <c:v>7486989.0006799055</c:v>
                </c:pt>
                <c:pt idx="2">
                  <c:v>7162036.2106799055</c:v>
                </c:pt>
                <c:pt idx="3">
                  <c:v>6476547.8606799087</c:v>
                </c:pt>
                <c:pt idx="4">
                  <c:v>6403514.4906799076</c:v>
                </c:pt>
                <c:pt idx="5">
                  <c:v>6877896.1406799043</c:v>
                </c:pt>
                <c:pt idx="6">
                  <c:v>7234914.1806799052</c:v>
                </c:pt>
                <c:pt idx="7">
                  <c:v>7344852.5306799076</c:v>
                </c:pt>
                <c:pt idx="8">
                  <c:v>6374849.0306799021</c:v>
                </c:pt>
                <c:pt idx="9">
                  <c:v>6197006.2306798976</c:v>
                </c:pt>
                <c:pt idx="10">
                  <c:v>6512655.0606799014</c:v>
                </c:pt>
                <c:pt idx="11">
                  <c:v>8516346.6906799022</c:v>
                </c:pt>
                <c:pt idx="12">
                  <c:v>6574209.2444903748</c:v>
                </c:pt>
                <c:pt idx="13">
                  <c:v>7340119.5544903772</c:v>
                </c:pt>
                <c:pt idx="14">
                  <c:v>6958502.994490372</c:v>
                </c:pt>
                <c:pt idx="15">
                  <c:v>6528936.0744903851</c:v>
                </c:pt>
                <c:pt idx="16">
                  <c:v>6426033.404490374</c:v>
                </c:pt>
                <c:pt idx="17">
                  <c:v>6971087.1044903705</c:v>
                </c:pt>
                <c:pt idx="18">
                  <c:v>7716520.8544903751</c:v>
                </c:pt>
                <c:pt idx="19">
                  <c:v>7843878.4144903794</c:v>
                </c:pt>
                <c:pt idx="20">
                  <c:v>6441465.9444903778</c:v>
                </c:pt>
                <c:pt idx="21">
                  <c:v>6350300.914490371</c:v>
                </c:pt>
                <c:pt idx="22">
                  <c:v>7024430.374490384</c:v>
                </c:pt>
                <c:pt idx="23">
                  <c:v>8378458.2844903842</c:v>
                </c:pt>
                <c:pt idx="24">
                  <c:v>7057432.2289354121</c:v>
                </c:pt>
                <c:pt idx="25">
                  <c:v>7593243.098935415</c:v>
                </c:pt>
                <c:pt idx="26">
                  <c:v>7735467.3789354125</c:v>
                </c:pt>
                <c:pt idx="27">
                  <c:v>6936016.7489354145</c:v>
                </c:pt>
                <c:pt idx="28">
                  <c:v>6937866.048935418</c:v>
                </c:pt>
                <c:pt idx="29">
                  <c:v>6780363.4189354125</c:v>
                </c:pt>
                <c:pt idx="30">
                  <c:v>7593943.1689354144</c:v>
                </c:pt>
                <c:pt idx="31">
                  <c:v>7611748.6689354172</c:v>
                </c:pt>
                <c:pt idx="32">
                  <c:v>6250680.5689354129</c:v>
                </c:pt>
                <c:pt idx="33">
                  <c:v>6826886.2589354143</c:v>
                </c:pt>
                <c:pt idx="34">
                  <c:v>6939097.1989354165</c:v>
                </c:pt>
                <c:pt idx="35">
                  <c:v>9532516.128935419</c:v>
                </c:pt>
                <c:pt idx="36">
                  <c:v>7487898.8517205259</c:v>
                </c:pt>
                <c:pt idx="37">
                  <c:v>8502995.9417205229</c:v>
                </c:pt>
                <c:pt idx="38">
                  <c:v>8235800.4217205308</c:v>
                </c:pt>
                <c:pt idx="39">
                  <c:v>7581461.2417205265</c:v>
                </c:pt>
                <c:pt idx="40">
                  <c:v>6902215.0417205226</c:v>
                </c:pt>
                <c:pt idx="41">
                  <c:v>6554303.0217205258</c:v>
                </c:pt>
                <c:pt idx="42">
                  <c:v>7496044.9317205288</c:v>
                </c:pt>
                <c:pt idx="43">
                  <c:v>7049683.7417205274</c:v>
                </c:pt>
                <c:pt idx="44">
                  <c:v>6616002.9717205288</c:v>
                </c:pt>
                <c:pt idx="45">
                  <c:v>6897925.29172053</c:v>
                </c:pt>
                <c:pt idx="46">
                  <c:v>7293217.2817205237</c:v>
                </c:pt>
                <c:pt idx="47">
                  <c:v>9033496.731720522</c:v>
                </c:pt>
                <c:pt idx="48">
                  <c:v>9162367.7804134693</c:v>
                </c:pt>
                <c:pt idx="49">
                  <c:v>8827828.0406544302</c:v>
                </c:pt>
                <c:pt idx="50">
                  <c:v>8435812.8310158737</c:v>
                </c:pt>
                <c:pt idx="51">
                  <c:v>7370231.4141484043</c:v>
                </c:pt>
                <c:pt idx="52">
                  <c:v>7077182.7683652705</c:v>
                </c:pt>
                <c:pt idx="53">
                  <c:v>6914019.9057146711</c:v>
                </c:pt>
                <c:pt idx="54">
                  <c:v>7837310.6719797337</c:v>
                </c:pt>
                <c:pt idx="55">
                  <c:v>7385438.6527026212</c:v>
                </c:pt>
                <c:pt idx="56">
                  <c:v>7261609.6984857554</c:v>
                </c:pt>
                <c:pt idx="57">
                  <c:v>6991164.0021002153</c:v>
                </c:pt>
                <c:pt idx="58">
                  <c:v>6518609.4286062401</c:v>
                </c:pt>
                <c:pt idx="59">
                  <c:v>6890863.0382447885</c:v>
                </c:pt>
                <c:pt idx="60">
                  <c:v>8689256.1018550042</c:v>
                </c:pt>
                <c:pt idx="61">
                  <c:v>8524672.8247465622</c:v>
                </c:pt>
                <c:pt idx="62">
                  <c:v>8034077.1524574133</c:v>
                </c:pt>
                <c:pt idx="63">
                  <c:v>7906470.30908392</c:v>
                </c:pt>
                <c:pt idx="64">
                  <c:v>6742797.6054694587</c:v>
                </c:pt>
                <c:pt idx="65">
                  <c:v>7675214.5211321106</c:v>
                </c:pt>
                <c:pt idx="66">
                  <c:v>8203345.3452284951</c:v>
                </c:pt>
                <c:pt idx="67">
                  <c:v>8087094.0199272949</c:v>
                </c:pt>
                <c:pt idx="68">
                  <c:v>7364858.7428188557</c:v>
                </c:pt>
                <c:pt idx="69">
                  <c:v>6481920.940409217</c:v>
                </c:pt>
                <c:pt idx="70">
                  <c:v>6598590.6946260817</c:v>
                </c:pt>
                <c:pt idx="71">
                  <c:v>8424033.8464333117</c:v>
                </c:pt>
                <c:pt idx="72">
                  <c:v>8961782.937473489</c:v>
                </c:pt>
                <c:pt idx="73">
                  <c:v>7475683.5639795121</c:v>
                </c:pt>
                <c:pt idx="74">
                  <c:v>8386104.0073530022</c:v>
                </c:pt>
                <c:pt idx="75">
                  <c:v>6961618.7254252993</c:v>
                </c:pt>
                <c:pt idx="76">
                  <c:v>6487938.850726502</c:v>
                </c:pt>
                <c:pt idx="77">
                  <c:v>7096252.9422927629</c:v>
                </c:pt>
                <c:pt idx="78">
                  <c:v>6969986.9760277011</c:v>
                </c:pt>
                <c:pt idx="79">
                  <c:v>7469547.1206060164</c:v>
                </c:pt>
                <c:pt idx="80">
                  <c:v>6971224.8651843295</c:v>
                </c:pt>
                <c:pt idx="81">
                  <c:v>6295611.4001240861</c:v>
                </c:pt>
                <c:pt idx="82">
                  <c:v>7055249.0097626392</c:v>
                </c:pt>
                <c:pt idx="83">
                  <c:v>7872393.2507264968</c:v>
                </c:pt>
                <c:pt idx="84">
                  <c:v>8973675.8913750686</c:v>
                </c:pt>
                <c:pt idx="85">
                  <c:v>7560592.093784716</c:v>
                </c:pt>
                <c:pt idx="86">
                  <c:v>8232567.2745076045</c:v>
                </c:pt>
                <c:pt idx="87">
                  <c:v>7175356.5853509782</c:v>
                </c:pt>
                <c:pt idx="88">
                  <c:v>7104279.4576401319</c:v>
                </c:pt>
                <c:pt idx="89">
                  <c:v>7590209.0961943539</c:v>
                </c:pt>
                <c:pt idx="90">
                  <c:v>7685013.5202907361</c:v>
                </c:pt>
                <c:pt idx="91">
                  <c:v>8305832.5949895326</c:v>
                </c:pt>
                <c:pt idx="92">
                  <c:v>7235600.4407726647</c:v>
                </c:pt>
                <c:pt idx="93">
                  <c:v>6858390.011857003</c:v>
                </c:pt>
                <c:pt idx="94">
                  <c:v>6844367.4480015812</c:v>
                </c:pt>
                <c:pt idx="95">
                  <c:v>8731785.7901702579</c:v>
                </c:pt>
                <c:pt idx="96">
                  <c:v>9100450.7979688402</c:v>
                </c:pt>
                <c:pt idx="97">
                  <c:v>8257335.0678483583</c:v>
                </c:pt>
                <c:pt idx="98">
                  <c:v>8209950.1811013678</c:v>
                </c:pt>
                <c:pt idx="99">
                  <c:v>7384598.2196555957</c:v>
                </c:pt>
                <c:pt idx="100">
                  <c:v>7011908.0220652344</c:v>
                </c:pt>
                <c:pt idx="101">
                  <c:v>6642423.5594146261</c:v>
                </c:pt>
                <c:pt idx="102">
                  <c:v>7953798.4027881147</c:v>
                </c:pt>
                <c:pt idx="103">
                  <c:v>7820229.9304989632</c:v>
                </c:pt>
                <c:pt idx="104">
                  <c:v>7019323.2991736615</c:v>
                </c:pt>
                <c:pt idx="105">
                  <c:v>6782854.7690531816</c:v>
                </c:pt>
                <c:pt idx="106">
                  <c:v>6765629.6027881224</c:v>
                </c:pt>
                <c:pt idx="107">
                  <c:v>8143431.5883302838</c:v>
                </c:pt>
                <c:pt idx="108">
                  <c:v>9133853.9773062132</c:v>
                </c:pt>
                <c:pt idx="109">
                  <c:v>8086938.7194748772</c:v>
                </c:pt>
                <c:pt idx="110">
                  <c:v>7679145.8712821063</c:v>
                </c:pt>
                <c:pt idx="111">
                  <c:v>6710329.7941736775</c:v>
                </c:pt>
                <c:pt idx="112">
                  <c:v>6149818.835137534</c:v>
                </c:pt>
                <c:pt idx="113">
                  <c:v>6828756.04959537</c:v>
                </c:pt>
                <c:pt idx="114">
                  <c:v>7775470.7291134307</c:v>
                </c:pt>
                <c:pt idx="115">
                  <c:v>7602092.4544146396</c:v>
                </c:pt>
                <c:pt idx="116">
                  <c:v>6802526.1989929536</c:v>
                </c:pt>
                <c:pt idx="117">
                  <c:v>6713600.6953784954</c:v>
                </c:pt>
                <c:pt idx="118">
                  <c:v>6639791.5001977691</c:v>
                </c:pt>
                <c:pt idx="119">
                  <c:v>7370193.7845351249</c:v>
                </c:pt>
                <c:pt idx="120">
                  <c:v>9067196.1680459175</c:v>
                </c:pt>
                <c:pt idx="121">
                  <c:v>8649316.948768802</c:v>
                </c:pt>
                <c:pt idx="122">
                  <c:v>7947048.8331061499</c:v>
                </c:pt>
                <c:pt idx="123">
                  <c:v>7297564.2644314589</c:v>
                </c:pt>
                <c:pt idx="124">
                  <c:v>6666532.7270820532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95-491D-A708-DF3FC88B6E6F}"/>
            </c:ext>
          </c:extLst>
        </c:ser>
        <c:ser>
          <c:idx val="1"/>
          <c:order val="1"/>
          <c:tx>
            <c:strRef>
              <c:f>'GS &lt; 50 kW (WN) Trend'!$O$2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&lt; 50 kW (WN) Trend'!$A$3:$A$158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 (WN) Trend'!$O$3:$O$158</c:f>
              <c:numCache>
                <c:formatCode>#,##0_);\(#,##0\)</c:formatCode>
                <c:ptCount val="156"/>
                <c:pt idx="0">
                  <c:v>6543237.5882792342</c:v>
                </c:pt>
                <c:pt idx="1">
                  <c:v>7389823.2974353712</c:v>
                </c:pt>
                <c:pt idx="2">
                  <c:v>6998049.7554191547</c:v>
                </c:pt>
                <c:pt idx="3">
                  <c:v>6511790.742667567</c:v>
                </c:pt>
                <c:pt idx="4">
                  <c:v>6566058.1250005635</c:v>
                </c:pt>
                <c:pt idx="5">
                  <c:v>7001720.9963253755</c:v>
                </c:pt>
                <c:pt idx="6">
                  <c:v>6993852.8199318228</c:v>
                </c:pt>
                <c:pt idx="7">
                  <c:v>7378908.2763055861</c:v>
                </c:pt>
                <c:pt idx="8">
                  <c:v>6379096.260696969</c:v>
                </c:pt>
                <c:pt idx="9">
                  <c:v>6130726.032824954</c:v>
                </c:pt>
                <c:pt idx="10">
                  <c:v>6806252.4058159189</c:v>
                </c:pt>
                <c:pt idx="11">
                  <c:v>8611933.4648269489</c:v>
                </c:pt>
                <c:pt idx="12">
                  <c:v>6817510.9920820519</c:v>
                </c:pt>
                <c:pt idx="13">
                  <c:v>7678155.2372326395</c:v>
                </c:pt>
                <c:pt idx="14">
                  <c:v>7470464.3669580501</c:v>
                </c:pt>
                <c:pt idx="15">
                  <c:v>6567862.0667220345</c:v>
                </c:pt>
                <c:pt idx="16">
                  <c:v>6452007.7253680844</c:v>
                </c:pt>
                <c:pt idx="17">
                  <c:v>6861205.5785623109</c:v>
                </c:pt>
                <c:pt idx="18">
                  <c:v>7489860.6570882238</c:v>
                </c:pt>
                <c:pt idx="19">
                  <c:v>7938021.7726973575</c:v>
                </c:pt>
                <c:pt idx="20">
                  <c:v>6542747.9837262519</c:v>
                </c:pt>
                <c:pt idx="21">
                  <c:v>6334981.3012674861</c:v>
                </c:pt>
                <c:pt idx="22">
                  <c:v>7001173.5880107181</c:v>
                </c:pt>
                <c:pt idx="23">
                  <c:v>8475765.2222184055</c:v>
                </c:pt>
                <c:pt idx="24">
                  <c:v>7254633.5925569469</c:v>
                </c:pt>
                <c:pt idx="25">
                  <c:v>7574172.8222671682</c:v>
                </c:pt>
                <c:pt idx="26">
                  <c:v>7633406.8125897786</c:v>
                </c:pt>
                <c:pt idx="27">
                  <c:v>6879938.4020080529</c:v>
                </c:pt>
                <c:pt idx="28">
                  <c:v>6974021.547261822</c:v>
                </c:pt>
                <c:pt idx="29">
                  <c:v>6915107.0975404065</c:v>
                </c:pt>
                <c:pt idx="30">
                  <c:v>7675666.5038719978</c:v>
                </c:pt>
                <c:pt idx="31">
                  <c:v>7808686.5379219726</c:v>
                </c:pt>
                <c:pt idx="32">
                  <c:v>6408992.8407763857</c:v>
                </c:pt>
                <c:pt idx="33">
                  <c:v>6848617.8306725435</c:v>
                </c:pt>
                <c:pt idx="34">
                  <c:v>6763777.9518975178</c:v>
                </c:pt>
                <c:pt idx="35">
                  <c:v>9098636.552858213</c:v>
                </c:pt>
                <c:pt idx="36">
                  <c:v>6992218.3249251368</c:v>
                </c:pt>
                <c:pt idx="37">
                  <c:v>8120627.1167502552</c:v>
                </c:pt>
                <c:pt idx="38">
                  <c:v>7666543.426781957</c:v>
                </c:pt>
                <c:pt idx="39">
                  <c:v>7543000.1947484212</c:v>
                </c:pt>
                <c:pt idx="40">
                  <c:v>7095595.5808253633</c:v>
                </c:pt>
                <c:pt idx="41">
                  <c:v>6574836.7747469041</c:v>
                </c:pt>
                <c:pt idx="42">
                  <c:v>7907008.6562554725</c:v>
                </c:pt>
                <c:pt idx="43">
                  <c:v>7328062.6723875217</c:v>
                </c:pt>
                <c:pt idx="44">
                  <c:v>6677025.256241045</c:v>
                </c:pt>
                <c:pt idx="45">
                  <c:v>6897992.0986020751</c:v>
                </c:pt>
                <c:pt idx="46">
                  <c:v>7104480.7587510161</c:v>
                </c:pt>
                <c:pt idx="47">
                  <c:v>9048923.8829941116</c:v>
                </c:pt>
                <c:pt idx="48">
                  <c:v>8781938.2135434374</c:v>
                </c:pt>
                <c:pt idx="49">
                  <c:v>8033652.0543986326</c:v>
                </c:pt>
                <c:pt idx="50">
                  <c:v>8124924.4059398165</c:v>
                </c:pt>
                <c:pt idx="51">
                  <c:v>7461898.7603469603</c:v>
                </c:pt>
                <c:pt idx="52">
                  <c:v>7078075.4179204889</c:v>
                </c:pt>
                <c:pt idx="53">
                  <c:v>7184943.393000504</c:v>
                </c:pt>
                <c:pt idx="54">
                  <c:v>8033250.1300047375</c:v>
                </c:pt>
                <c:pt idx="55">
                  <c:v>7608199.2973439498</c:v>
                </c:pt>
                <c:pt idx="56">
                  <c:v>7018300.3836669419</c:v>
                </c:pt>
                <c:pt idx="57">
                  <c:v>6977208.1247225013</c:v>
                </c:pt>
                <c:pt idx="58">
                  <c:v>6783048.0193145908</c:v>
                </c:pt>
                <c:pt idx="59">
                  <c:v>7345275.9353833199</c:v>
                </c:pt>
                <c:pt idx="60">
                  <c:v>8728546.4487429895</c:v>
                </c:pt>
                <c:pt idx="61">
                  <c:v>8667641.9574062061</c:v>
                </c:pt>
                <c:pt idx="62">
                  <c:v>8202770.3337573204</c:v>
                </c:pt>
                <c:pt idx="63">
                  <c:v>7718286.4978925427</c:v>
                </c:pt>
                <c:pt idx="64">
                  <c:v>6695550.824863134</c:v>
                </c:pt>
                <c:pt idx="65">
                  <c:v>7642376.3617581623</c:v>
                </c:pt>
                <c:pt idx="66">
                  <c:v>8068554.6381365955</c:v>
                </c:pt>
                <c:pt idx="67">
                  <c:v>7757644.5390280876</c:v>
                </c:pt>
                <c:pt idx="68">
                  <c:v>7174613.1233988274</c:v>
                </c:pt>
                <c:pt idx="69">
                  <c:v>6418643.3542198548</c:v>
                </c:pt>
                <c:pt idx="70">
                  <c:v>6897046.511013289</c:v>
                </c:pt>
                <c:pt idx="71">
                  <c:v>8265036.410595987</c:v>
                </c:pt>
                <c:pt idx="72">
                  <c:v>9212653.4048214592</c:v>
                </c:pt>
                <c:pt idx="73">
                  <c:v>7873236.9066235265</c:v>
                </c:pt>
                <c:pt idx="74">
                  <c:v>8217989.1594979102</c:v>
                </c:pt>
                <c:pt idx="75">
                  <c:v>7194513.7356714811</c:v>
                </c:pt>
                <c:pt idx="76">
                  <c:v>6616065.4490638627</c:v>
                </c:pt>
                <c:pt idx="77">
                  <c:v>7172976.3033685302</c:v>
                </c:pt>
                <c:pt idx="78">
                  <c:v>7135137.740002783</c:v>
                </c:pt>
                <c:pt idx="79">
                  <c:v>7794605.6841874085</c:v>
                </c:pt>
                <c:pt idx="80">
                  <c:v>6831960.1523365006</c:v>
                </c:pt>
                <c:pt idx="81">
                  <c:v>6314624.4363690298</c:v>
                </c:pt>
                <c:pt idx="82">
                  <c:v>7047817.7282279469</c:v>
                </c:pt>
                <c:pt idx="83">
                  <c:v>7333239.6634935914</c:v>
                </c:pt>
                <c:pt idx="84">
                  <c:v>8800009.9869382903</c:v>
                </c:pt>
                <c:pt idx="85">
                  <c:v>7804706.8450057171</c:v>
                </c:pt>
                <c:pt idx="86">
                  <c:v>8133258.9698915314</c:v>
                </c:pt>
                <c:pt idx="87">
                  <c:v>6860637.2672742102</c:v>
                </c:pt>
                <c:pt idx="88">
                  <c:v>7124806.7620576909</c:v>
                </c:pt>
                <c:pt idx="89">
                  <c:v>7637669.354453397</c:v>
                </c:pt>
                <c:pt idx="90">
                  <c:v>7595412.6705946894</c:v>
                </c:pt>
                <c:pt idx="91">
                  <c:v>8146217.5232044114</c:v>
                </c:pt>
                <c:pt idx="92">
                  <c:v>7051181.6862436356</c:v>
                </c:pt>
                <c:pt idx="93">
                  <c:v>6664114.1498029716</c:v>
                </c:pt>
                <c:pt idx="94">
                  <c:v>6614346.9990886617</c:v>
                </c:pt>
                <c:pt idx="95">
                  <c:v>8725538.8803235553</c:v>
                </c:pt>
                <c:pt idx="96">
                  <c:v>8816006.3589172401</c:v>
                </c:pt>
                <c:pt idx="97">
                  <c:v>8271979.9973672302</c:v>
                </c:pt>
                <c:pt idx="98">
                  <c:v>7973372.822723452</c:v>
                </c:pt>
                <c:pt idx="99">
                  <c:v>7380884.4770191945</c:v>
                </c:pt>
                <c:pt idx="100">
                  <c:v>7221310.727940104</c:v>
                </c:pt>
                <c:pt idx="101">
                  <c:v>6867008.3477473538</c:v>
                </c:pt>
                <c:pt idx="102">
                  <c:v>7868666.879647702</c:v>
                </c:pt>
                <c:pt idx="103">
                  <c:v>7952610.8603485851</c:v>
                </c:pt>
                <c:pt idx="104">
                  <c:v>7098723.9498553053</c:v>
                </c:pt>
                <c:pt idx="105">
                  <c:v>6811185.2975626169</c:v>
                </c:pt>
                <c:pt idx="106">
                  <c:v>6469554.8723657448</c:v>
                </c:pt>
                <c:pt idx="107">
                  <c:v>8072506.5278389035</c:v>
                </c:pt>
                <c:pt idx="108">
                  <c:v>9398141.7205857914</c:v>
                </c:pt>
                <c:pt idx="109">
                  <c:v>8149404.1965448679</c:v>
                </c:pt>
                <c:pt idx="110">
                  <c:v>7907700.7451999597</c:v>
                </c:pt>
                <c:pt idx="111">
                  <c:v>6653290.9805270368</c:v>
                </c:pt>
                <c:pt idx="112">
                  <c:v>6074453.6852392098</c:v>
                </c:pt>
                <c:pt idx="113">
                  <c:v>6732814.9108883794</c:v>
                </c:pt>
                <c:pt idx="114">
                  <c:v>7448002.3882897608</c:v>
                </c:pt>
                <c:pt idx="115">
                  <c:v>7617774.3019782677</c:v>
                </c:pt>
                <c:pt idx="116">
                  <c:v>6883346.7231745636</c:v>
                </c:pt>
                <c:pt idx="117">
                  <c:v>6678714.9599676756</c:v>
                </c:pt>
                <c:pt idx="118">
                  <c:v>6910740.1930638812</c:v>
                </c:pt>
                <c:pt idx="119">
                  <c:v>7351217.6641892046</c:v>
                </c:pt>
                <c:pt idx="120">
                  <c:v>9211072.4606572129</c:v>
                </c:pt>
                <c:pt idx="121">
                  <c:v>8553871.4091052432</c:v>
                </c:pt>
                <c:pt idx="122">
                  <c:v>8164519.9299215516</c:v>
                </c:pt>
                <c:pt idx="123">
                  <c:v>7416338.5637801215</c:v>
                </c:pt>
                <c:pt idx="124">
                  <c:v>6656574.0770745287</c:v>
                </c:pt>
                <c:pt idx="125">
                  <c:v>6970396.9278838877</c:v>
                </c:pt>
                <c:pt idx="126">
                  <c:v>8057075.9846345829</c:v>
                </c:pt>
                <c:pt idx="127">
                  <c:v>8351655.9838787224</c:v>
                </c:pt>
                <c:pt idx="128">
                  <c:v>7972071.3106055129</c:v>
                </c:pt>
                <c:pt idx="129">
                  <c:v>7514861.828446419</c:v>
                </c:pt>
                <c:pt idx="130">
                  <c:v>7517792.0470502377</c:v>
                </c:pt>
                <c:pt idx="131">
                  <c:v>8466300.048422344</c:v>
                </c:pt>
                <c:pt idx="132">
                  <c:v>8962230.6326517351</c:v>
                </c:pt>
                <c:pt idx="133">
                  <c:v>8818266.7206245847</c:v>
                </c:pt>
                <c:pt idx="134">
                  <c:v>8437087.1111947112</c:v>
                </c:pt>
                <c:pt idx="135">
                  <c:v>7840601.1151740411</c:v>
                </c:pt>
                <c:pt idx="136">
                  <c:v>7675050.9070647163</c:v>
                </c:pt>
                <c:pt idx="137">
                  <c:v>7962718.8573659556</c:v>
                </c:pt>
                <c:pt idx="138">
                  <c:v>8444642.2355518192</c:v>
                </c:pt>
                <c:pt idx="139">
                  <c:v>8348952.1061384277</c:v>
                </c:pt>
                <c:pt idx="140">
                  <c:v>7444781.0437506428</c:v>
                </c:pt>
                <c:pt idx="141">
                  <c:v>7318019.4771927902</c:v>
                </c:pt>
                <c:pt idx="142">
                  <c:v>7883507.2499913974</c:v>
                </c:pt>
                <c:pt idx="143">
                  <c:v>8627069.0743522458</c:v>
                </c:pt>
                <c:pt idx="144">
                  <c:v>9124358.5003462061</c:v>
                </c:pt>
                <c:pt idx="145">
                  <c:v>8985102.0650539286</c:v>
                </c:pt>
                <c:pt idx="146">
                  <c:v>8601709.9496752489</c:v>
                </c:pt>
                <c:pt idx="147">
                  <c:v>8014330.1018202715</c:v>
                </c:pt>
                <c:pt idx="148">
                  <c:v>7854160.3854127862</c:v>
                </c:pt>
                <c:pt idx="149">
                  <c:v>8137168.9819533862</c:v>
                </c:pt>
                <c:pt idx="150">
                  <c:v>8619357.2551271804</c:v>
                </c:pt>
                <c:pt idx="151">
                  <c:v>8527205.052490646</c:v>
                </c:pt>
                <c:pt idx="152">
                  <c:v>7615680.3767876513</c:v>
                </c:pt>
                <c:pt idx="153">
                  <c:v>7484883.8369304296</c:v>
                </c:pt>
                <c:pt idx="154">
                  <c:v>8059234.8631992005</c:v>
                </c:pt>
                <c:pt idx="155">
                  <c:v>8788728.6189673226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95-491D-A708-DF3FC88B6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 Weather Normal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&gt; 50 kW (WN) Trend'!$F$2</c:f>
              <c:strCache>
                <c:ptCount val="1"/>
                <c:pt idx="0">
                  <c:v>GS50to999_NoCDM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kW (WN) Trend'!$A$3:$A$128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 (WN) Trend'!$F$3:$F$128</c:f>
              <c:numCache>
                <c:formatCode>#,##0</c:formatCode>
                <c:ptCount val="126"/>
                <c:pt idx="0">
                  <c:v>16717266.821217919</c:v>
                </c:pt>
                <c:pt idx="1">
                  <c:v>15751669.901217917</c:v>
                </c:pt>
                <c:pt idx="2">
                  <c:v>16670464.701217921</c:v>
                </c:pt>
                <c:pt idx="3">
                  <c:v>14963148.60121792</c:v>
                </c:pt>
                <c:pt idx="4">
                  <c:v>15480338.171217926</c:v>
                </c:pt>
                <c:pt idx="5">
                  <c:v>16377529.561217919</c:v>
                </c:pt>
                <c:pt idx="6">
                  <c:v>17038934.041217919</c:v>
                </c:pt>
                <c:pt idx="7">
                  <c:v>16792927.091217916</c:v>
                </c:pt>
                <c:pt idx="8">
                  <c:v>15759561.551217917</c:v>
                </c:pt>
                <c:pt idx="9">
                  <c:v>15586290.931217926</c:v>
                </c:pt>
                <c:pt idx="10">
                  <c:v>15941400.461217923</c:v>
                </c:pt>
                <c:pt idx="11">
                  <c:v>16816631.181217916</c:v>
                </c:pt>
                <c:pt idx="12">
                  <c:v>16785266.463490896</c:v>
                </c:pt>
                <c:pt idx="13">
                  <c:v>16079301.203490896</c:v>
                </c:pt>
                <c:pt idx="14">
                  <c:v>16537471.803490892</c:v>
                </c:pt>
                <c:pt idx="15">
                  <c:v>14880264.923490893</c:v>
                </c:pt>
                <c:pt idx="16">
                  <c:v>17082202.913490895</c:v>
                </c:pt>
                <c:pt idx="17">
                  <c:v>16878400.213490888</c:v>
                </c:pt>
                <c:pt idx="18">
                  <c:v>17160081.253490891</c:v>
                </c:pt>
                <c:pt idx="19">
                  <c:v>16796041.313490894</c:v>
                </c:pt>
                <c:pt idx="20">
                  <c:v>15640179.133490894</c:v>
                </c:pt>
                <c:pt idx="21">
                  <c:v>15988881.633490898</c:v>
                </c:pt>
                <c:pt idx="22">
                  <c:v>16432215.043490896</c:v>
                </c:pt>
                <c:pt idx="23">
                  <c:v>16691357.483490892</c:v>
                </c:pt>
                <c:pt idx="24">
                  <c:v>17334132.91204248</c:v>
                </c:pt>
                <c:pt idx="25">
                  <c:v>16623683.162042486</c:v>
                </c:pt>
                <c:pt idx="26">
                  <c:v>17463321.022042483</c:v>
                </c:pt>
                <c:pt idx="27">
                  <c:v>16662389.712042477</c:v>
                </c:pt>
                <c:pt idx="28">
                  <c:v>16900534.112042483</c:v>
                </c:pt>
                <c:pt idx="29">
                  <c:v>17093096.532042481</c:v>
                </c:pt>
                <c:pt idx="30">
                  <c:v>18142506.432042487</c:v>
                </c:pt>
                <c:pt idx="31">
                  <c:v>17778187.962042481</c:v>
                </c:pt>
                <c:pt idx="32">
                  <c:v>16668477.222042486</c:v>
                </c:pt>
                <c:pt idx="33">
                  <c:v>17233627.082042478</c:v>
                </c:pt>
                <c:pt idx="34">
                  <c:v>16723236.692042481</c:v>
                </c:pt>
                <c:pt idx="35">
                  <c:v>18692544.082042485</c:v>
                </c:pt>
                <c:pt idx="36">
                  <c:v>18955499.508963756</c:v>
                </c:pt>
                <c:pt idx="37">
                  <c:v>17790077.53896375</c:v>
                </c:pt>
                <c:pt idx="38">
                  <c:v>18916153.298963755</c:v>
                </c:pt>
                <c:pt idx="39">
                  <c:v>17106261.98896376</c:v>
                </c:pt>
                <c:pt idx="40">
                  <c:v>16785651.398963757</c:v>
                </c:pt>
                <c:pt idx="41">
                  <c:v>17153006.328963753</c:v>
                </c:pt>
                <c:pt idx="42">
                  <c:v>17167656.628963754</c:v>
                </c:pt>
                <c:pt idx="43">
                  <c:v>17092221.068963751</c:v>
                </c:pt>
                <c:pt idx="44">
                  <c:v>16842020.668963756</c:v>
                </c:pt>
                <c:pt idx="45">
                  <c:v>16968667.128963754</c:v>
                </c:pt>
                <c:pt idx="46">
                  <c:v>17485013.278963756</c:v>
                </c:pt>
                <c:pt idx="47">
                  <c:v>18431183.118963756</c:v>
                </c:pt>
                <c:pt idx="48">
                  <c:v>19430730.418670163</c:v>
                </c:pt>
                <c:pt idx="49">
                  <c:v>18338750.900597889</c:v>
                </c:pt>
                <c:pt idx="50">
                  <c:v>18807365.387344867</c:v>
                </c:pt>
                <c:pt idx="51">
                  <c:v>17034456.596983433</c:v>
                </c:pt>
                <c:pt idx="52">
                  <c:v>17537336.143971372</c:v>
                </c:pt>
                <c:pt idx="53">
                  <c:v>17201197.724694267</c:v>
                </c:pt>
                <c:pt idx="54">
                  <c:v>18093211.662043665</c:v>
                </c:pt>
                <c:pt idx="55">
                  <c:v>17648873.695778605</c:v>
                </c:pt>
                <c:pt idx="56">
                  <c:v>17847440.221079815</c:v>
                </c:pt>
                <c:pt idx="57">
                  <c:v>16827940.095778607</c:v>
                </c:pt>
                <c:pt idx="58">
                  <c:v>16684572.645176196</c:v>
                </c:pt>
                <c:pt idx="59">
                  <c:v>16658204.809031619</c:v>
                </c:pt>
                <c:pt idx="60">
                  <c:v>18392987.23202993</c:v>
                </c:pt>
                <c:pt idx="61">
                  <c:v>17502931.916367285</c:v>
                </c:pt>
                <c:pt idx="62">
                  <c:v>17615636.032029931</c:v>
                </c:pt>
                <c:pt idx="63">
                  <c:v>16891925.130825114</c:v>
                </c:pt>
                <c:pt idx="64">
                  <c:v>16602755.501909452</c:v>
                </c:pt>
                <c:pt idx="65">
                  <c:v>17495167.299499799</c:v>
                </c:pt>
                <c:pt idx="66">
                  <c:v>18373376.195885357</c:v>
                </c:pt>
                <c:pt idx="67">
                  <c:v>19193976.494680539</c:v>
                </c:pt>
                <c:pt idx="68">
                  <c:v>17890059.858535945</c:v>
                </c:pt>
                <c:pt idx="69">
                  <c:v>16939090.046487764</c:v>
                </c:pt>
                <c:pt idx="70">
                  <c:v>17048086.017572101</c:v>
                </c:pt>
                <c:pt idx="71">
                  <c:v>18662560.716367282</c:v>
                </c:pt>
                <c:pt idx="72">
                  <c:v>19659234.081595186</c:v>
                </c:pt>
                <c:pt idx="73">
                  <c:v>17436974.630992774</c:v>
                </c:pt>
                <c:pt idx="74">
                  <c:v>19634422.014125314</c:v>
                </c:pt>
                <c:pt idx="75">
                  <c:v>17013785.724968679</c:v>
                </c:pt>
                <c:pt idx="76">
                  <c:v>18093877.252679512</c:v>
                </c:pt>
                <c:pt idx="77">
                  <c:v>19315178.650269885</c:v>
                </c:pt>
                <c:pt idx="78">
                  <c:v>19549131.777980741</c:v>
                </c:pt>
                <c:pt idx="79">
                  <c:v>19412331.565932523</c:v>
                </c:pt>
                <c:pt idx="80">
                  <c:v>19254316.134607218</c:v>
                </c:pt>
                <c:pt idx="81">
                  <c:v>18460397.773161445</c:v>
                </c:pt>
                <c:pt idx="82">
                  <c:v>18666476.115330122</c:v>
                </c:pt>
                <c:pt idx="83">
                  <c:v>19446811.238221694</c:v>
                </c:pt>
                <c:pt idx="84">
                  <c:v>21184390.447006177</c:v>
                </c:pt>
                <c:pt idx="85">
                  <c:v>18766666.803632692</c:v>
                </c:pt>
                <c:pt idx="86">
                  <c:v>17697661.348210998</c:v>
                </c:pt>
                <c:pt idx="87">
                  <c:v>19284257.097608585</c:v>
                </c:pt>
                <c:pt idx="88">
                  <c:v>19795859.748211004</c:v>
                </c:pt>
                <c:pt idx="89">
                  <c:v>21072458.919295345</c:v>
                </c:pt>
                <c:pt idx="90">
                  <c:v>20882452.104837507</c:v>
                </c:pt>
                <c:pt idx="91">
                  <c:v>21499366.514476053</c:v>
                </c:pt>
                <c:pt idx="92">
                  <c:v>19842338.148211002</c:v>
                </c:pt>
                <c:pt idx="93">
                  <c:v>19326961.830138713</c:v>
                </c:pt>
                <c:pt idx="94">
                  <c:v>19493164.066283286</c:v>
                </c:pt>
                <c:pt idx="95">
                  <c:v>20044221.165078472</c:v>
                </c:pt>
                <c:pt idx="96">
                  <c:v>21620563.218417685</c:v>
                </c:pt>
                <c:pt idx="97">
                  <c:v>19419033.849742986</c:v>
                </c:pt>
                <c:pt idx="98">
                  <c:v>20467345.232875522</c:v>
                </c:pt>
                <c:pt idx="99">
                  <c:v>18962848.172634561</c:v>
                </c:pt>
                <c:pt idx="100">
                  <c:v>19104958.755767088</c:v>
                </c:pt>
                <c:pt idx="101">
                  <c:v>18871763.652152628</c:v>
                </c:pt>
                <c:pt idx="102">
                  <c:v>21610925.483477946</c:v>
                </c:pt>
                <c:pt idx="103">
                  <c:v>20499002.408779137</c:v>
                </c:pt>
                <c:pt idx="104">
                  <c:v>19124595.555767093</c:v>
                </c:pt>
                <c:pt idx="105">
                  <c:v>19237444.143718898</c:v>
                </c:pt>
                <c:pt idx="106">
                  <c:v>19655626.620827332</c:v>
                </c:pt>
                <c:pt idx="107">
                  <c:v>20768680.182273109</c:v>
                </c:pt>
                <c:pt idx="108">
                  <c:v>22240497.13711904</c:v>
                </c:pt>
                <c:pt idx="109">
                  <c:v>20355118.476878062</c:v>
                </c:pt>
                <c:pt idx="110">
                  <c:v>19763421.609408177</c:v>
                </c:pt>
                <c:pt idx="111">
                  <c:v>17089130.553986501</c:v>
                </c:pt>
                <c:pt idx="112">
                  <c:v>17090225.378082871</c:v>
                </c:pt>
                <c:pt idx="113">
                  <c:v>18398254.573263608</c:v>
                </c:pt>
                <c:pt idx="114">
                  <c:v>20433793.725070819</c:v>
                </c:pt>
                <c:pt idx="115">
                  <c:v>19508210.264829874</c:v>
                </c:pt>
                <c:pt idx="116">
                  <c:v>18413970.168444328</c:v>
                </c:pt>
                <c:pt idx="117">
                  <c:v>18353398.004588902</c:v>
                </c:pt>
                <c:pt idx="118">
                  <c:v>18350168.269649133</c:v>
                </c:pt>
                <c:pt idx="119">
                  <c:v>19370101.339528672</c:v>
                </c:pt>
                <c:pt idx="120">
                  <c:v>20686129.996556558</c:v>
                </c:pt>
                <c:pt idx="121">
                  <c:v>19399903.28812281</c:v>
                </c:pt>
                <c:pt idx="122">
                  <c:v>19460488.801375829</c:v>
                </c:pt>
                <c:pt idx="123">
                  <c:v>17754694.584508352</c:v>
                </c:pt>
                <c:pt idx="124">
                  <c:v>17924133.967640873</c:v>
                </c:pt>
                <c:pt idx="125">
                  <c:v>19511616.174869806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C-4DAC-BCCD-A540BC072C72}"/>
            </c:ext>
          </c:extLst>
        </c:ser>
        <c:ser>
          <c:idx val="1"/>
          <c:order val="1"/>
          <c:tx>
            <c:strRef>
              <c:f>'GS &gt; 50 kW (WN) Trend'!$O$2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kW (WN) Trend'!$A$3:$A$128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 (WN) Trend'!$O$3:$O$128</c:f>
              <c:numCache>
                <c:formatCode>#,##0_);\(#,##0\)</c:formatCode>
                <c:ptCount val="126"/>
                <c:pt idx="0">
                  <c:v>16260641.926946038</c:v>
                </c:pt>
                <c:pt idx="1">
                  <c:v>15612810.166855056</c:v>
                </c:pt>
                <c:pt idx="2">
                  <c:v>16513632.221315578</c:v>
                </c:pt>
                <c:pt idx="3">
                  <c:v>15037257.014285589</c:v>
                </c:pt>
                <c:pt idx="4">
                  <c:v>15664661.77914265</c:v>
                </c:pt>
                <c:pt idx="5">
                  <c:v>16489637.652781956</c:v>
                </c:pt>
                <c:pt idx="6">
                  <c:v>16688082.149926681</c:v>
                </c:pt>
                <c:pt idx="7">
                  <c:v>16768117.371546349</c:v>
                </c:pt>
                <c:pt idx="8">
                  <c:v>15786799.17019869</c:v>
                </c:pt>
                <c:pt idx="9">
                  <c:v>15570077.397165075</c:v>
                </c:pt>
                <c:pt idx="10">
                  <c:v>16343512.044599567</c:v>
                </c:pt>
                <c:pt idx="11">
                  <c:v>17032357.839696247</c:v>
                </c:pt>
                <c:pt idx="12">
                  <c:v>17182602.931855038</c:v>
                </c:pt>
                <c:pt idx="13">
                  <c:v>16619137.923598198</c:v>
                </c:pt>
                <c:pt idx="14">
                  <c:v>17157852.182140492</c:v>
                </c:pt>
                <c:pt idx="15">
                  <c:v>14952696.271973763</c:v>
                </c:pt>
                <c:pt idx="16">
                  <c:v>16889514.20027826</c:v>
                </c:pt>
                <c:pt idx="17">
                  <c:v>16690668.912232768</c:v>
                </c:pt>
                <c:pt idx="18">
                  <c:v>16828466.845367447</c:v>
                </c:pt>
                <c:pt idx="19">
                  <c:v>16851498.333933223</c:v>
                </c:pt>
                <c:pt idx="20">
                  <c:v>15900973.072836187</c:v>
                </c:pt>
                <c:pt idx="21">
                  <c:v>16060932.312197911</c:v>
                </c:pt>
                <c:pt idx="22">
                  <c:v>16427623.576545265</c:v>
                </c:pt>
                <c:pt idx="23">
                  <c:v>16907084.141969223</c:v>
                </c:pt>
                <c:pt idx="24">
                  <c:v>17661779.476269454</c:v>
                </c:pt>
                <c:pt idx="25">
                  <c:v>16602880.20558363</c:v>
                </c:pt>
                <c:pt idx="26">
                  <c:v>17400101.846204992</c:v>
                </c:pt>
                <c:pt idx="27">
                  <c:v>16593583.952249156</c:v>
                </c:pt>
                <c:pt idx="28">
                  <c:v>16784201.174966134</c:v>
                </c:pt>
                <c:pt idx="29">
                  <c:v>17246333.035896283</c:v>
                </c:pt>
                <c:pt idx="30">
                  <c:v>18222839.508305237</c:v>
                </c:pt>
                <c:pt idx="31">
                  <c:v>17970960.810613539</c:v>
                </c:pt>
                <c:pt idx="32">
                  <c:v>17010811.548081942</c:v>
                </c:pt>
                <c:pt idx="33">
                  <c:v>17237133.970285464</c:v>
                </c:pt>
                <c:pt idx="34">
                  <c:v>16483768.181085678</c:v>
                </c:pt>
                <c:pt idx="35">
                  <c:v>18107876.99076635</c:v>
                </c:pt>
                <c:pt idx="36">
                  <c:v>18235717.215487354</c:v>
                </c:pt>
                <c:pt idx="37">
                  <c:v>17220076.531991109</c:v>
                </c:pt>
                <c:pt idx="38">
                  <c:v>18146673.751348119</c:v>
                </c:pt>
                <c:pt idx="39">
                  <c:v>17102603.504124787</c:v>
                </c:pt>
                <c:pt idx="40">
                  <c:v>16934296.774084147</c:v>
                </c:pt>
                <c:pt idx="41">
                  <c:v>17127135.230910514</c:v>
                </c:pt>
                <c:pt idx="42">
                  <c:v>17687798.372131575</c:v>
                </c:pt>
                <c:pt idx="43">
                  <c:v>17393785.201656125</c:v>
                </c:pt>
                <c:pt idx="44">
                  <c:v>17023641.092414919</c:v>
                </c:pt>
                <c:pt idx="45">
                  <c:v>17046258.011392999</c:v>
                </c:pt>
                <c:pt idx="46">
                  <c:v>17241904.25062665</c:v>
                </c:pt>
                <c:pt idx="47">
                  <c:v>18525732.556069255</c:v>
                </c:pt>
                <c:pt idx="48">
                  <c:v>18885172.885536674</c:v>
                </c:pt>
                <c:pt idx="49">
                  <c:v>17146221.421593994</c:v>
                </c:pt>
                <c:pt idx="50">
                  <c:v>18428461.34724424</c:v>
                </c:pt>
                <c:pt idx="51">
                  <c:v>17167227.209253725</c:v>
                </c:pt>
                <c:pt idx="52">
                  <c:v>17383281.626284789</c:v>
                </c:pt>
                <c:pt idx="53">
                  <c:v>17542165.529806193</c:v>
                </c:pt>
                <c:pt idx="54">
                  <c:v>18326117.880671673</c:v>
                </c:pt>
                <c:pt idx="55">
                  <c:v>17876141.341753986</c:v>
                </c:pt>
                <c:pt idx="56">
                  <c:v>17488601.453727633</c:v>
                </c:pt>
                <c:pt idx="57">
                  <c:v>16954046.764995307</c:v>
                </c:pt>
                <c:pt idx="58">
                  <c:v>17028425.260416303</c:v>
                </c:pt>
                <c:pt idx="59">
                  <c:v>17414808.335440196</c:v>
                </c:pt>
                <c:pt idx="60">
                  <c:v>18481919.870891538</c:v>
                </c:pt>
                <c:pt idx="61">
                  <c:v>17747886.72867031</c:v>
                </c:pt>
                <c:pt idx="62">
                  <c:v>17931444.584861435</c:v>
                </c:pt>
                <c:pt idx="63">
                  <c:v>16658738.880223403</c:v>
                </c:pt>
                <c:pt idx="64">
                  <c:v>16559466.598139871</c:v>
                </c:pt>
                <c:pt idx="65">
                  <c:v>17425514.343202617</c:v>
                </c:pt>
                <c:pt idx="66">
                  <c:v>18164483.663142662</c:v>
                </c:pt>
                <c:pt idx="67">
                  <c:v>18683586.165394325</c:v>
                </c:pt>
                <c:pt idx="68">
                  <c:v>17579646.479847517</c:v>
                </c:pt>
                <c:pt idx="69">
                  <c:v>16761345.270724256</c:v>
                </c:pt>
                <c:pt idx="70">
                  <c:v>17489633.007045317</c:v>
                </c:pt>
                <c:pt idx="71">
                  <c:v>18493432.680356786</c:v>
                </c:pt>
                <c:pt idx="72">
                  <c:v>20068012.176011696</c:v>
                </c:pt>
                <c:pt idx="73">
                  <c:v>18041300.516122527</c:v>
                </c:pt>
                <c:pt idx="74">
                  <c:v>19465627.83425913</c:v>
                </c:pt>
                <c:pt idx="75">
                  <c:v>17250236.532595482</c:v>
                </c:pt>
                <c:pt idx="76">
                  <c:v>18350916.119360227</c:v>
                </c:pt>
                <c:pt idx="77">
                  <c:v>19372227.738284722</c:v>
                </c:pt>
                <c:pt idx="78">
                  <c:v>19740909.584318984</c:v>
                </c:pt>
                <c:pt idx="79">
                  <c:v>19776251.67854809</c:v>
                </c:pt>
                <c:pt idx="80">
                  <c:v>19073921.607673533</c:v>
                </c:pt>
                <c:pt idx="81">
                  <c:v>18293404.443348184</c:v>
                </c:pt>
                <c:pt idx="82">
                  <c:v>18699006.260072853</c:v>
                </c:pt>
                <c:pt idx="83">
                  <c:v>18703001.530035313</c:v>
                </c:pt>
                <c:pt idx="84">
                  <c:v>20951397.334666997</c:v>
                </c:pt>
                <c:pt idx="85">
                  <c:v>19143720.389449447</c:v>
                </c:pt>
                <c:pt idx="86">
                  <c:v>17638602.763665278</c:v>
                </c:pt>
                <c:pt idx="87">
                  <c:v>18915591.686540302</c:v>
                </c:pt>
                <c:pt idx="88">
                  <c:v>19528280.204803042</c:v>
                </c:pt>
                <c:pt idx="89">
                  <c:v>21101646.824791308</c:v>
                </c:pt>
                <c:pt idx="90">
                  <c:v>20733925.467552371</c:v>
                </c:pt>
                <c:pt idx="91">
                  <c:v>21215845.814272091</c:v>
                </c:pt>
                <c:pt idx="92">
                  <c:v>19617498.401544828</c:v>
                </c:pt>
                <c:pt idx="93">
                  <c:v>19214120.888289273</c:v>
                </c:pt>
                <c:pt idx="94">
                  <c:v>19183432.500881024</c:v>
                </c:pt>
                <c:pt idx="95">
                  <c:v>20106005.945761275</c:v>
                </c:pt>
                <c:pt idx="96">
                  <c:v>21220106.306584716</c:v>
                </c:pt>
                <c:pt idx="97">
                  <c:v>19449198.136608325</c:v>
                </c:pt>
                <c:pt idx="98">
                  <c:v>20200777.157652717</c:v>
                </c:pt>
                <c:pt idx="99">
                  <c:v>19039764.009290222</c:v>
                </c:pt>
                <c:pt idx="100">
                  <c:v>19530188.923770592</c:v>
                </c:pt>
                <c:pt idx="101">
                  <c:v>19162979.345623706</c:v>
                </c:pt>
                <c:pt idx="102">
                  <c:v>21468369.099589713</c:v>
                </c:pt>
                <c:pt idx="103">
                  <c:v>20605538.263839401</c:v>
                </c:pt>
                <c:pt idx="104">
                  <c:v>19187654.695129275</c:v>
                </c:pt>
                <c:pt idx="105">
                  <c:v>19472569.970370695</c:v>
                </c:pt>
                <c:pt idx="106">
                  <c:v>19261176.084252052</c:v>
                </c:pt>
                <c:pt idx="107">
                  <c:v>20732691.067599289</c:v>
                </c:pt>
                <c:pt idx="108">
                  <c:v>22669558.114082936</c:v>
                </c:pt>
                <c:pt idx="109">
                  <c:v>20478375.993896782</c:v>
                </c:pt>
                <c:pt idx="110">
                  <c:v>20175873.69859311</c:v>
                </c:pt>
                <c:pt idx="111">
                  <c:v>17107920.206964403</c:v>
                </c:pt>
                <c:pt idx="112">
                  <c:v>17028352.410351086</c:v>
                </c:pt>
                <c:pt idx="113">
                  <c:v>18240374.538989995</c:v>
                </c:pt>
                <c:pt idx="114">
                  <c:v>19967516.934772819</c:v>
                </c:pt>
                <c:pt idx="115">
                  <c:v>19458856.170082156</c:v>
                </c:pt>
                <c:pt idx="116">
                  <c:v>18591520.211783972</c:v>
                </c:pt>
                <c:pt idx="117">
                  <c:v>18458940.65460417</c:v>
                </c:pt>
                <c:pt idx="118">
                  <c:v>18608367.731743474</c:v>
                </c:pt>
                <c:pt idx="119">
                  <c:v>19412643.385487031</c:v>
                </c:pt>
                <c:pt idx="120">
                  <c:v>20933165.104505468</c:v>
                </c:pt>
                <c:pt idx="121">
                  <c:v>19263643.923317306</c:v>
                </c:pt>
                <c:pt idx="122">
                  <c:v>19817871.383898262</c:v>
                </c:pt>
                <c:pt idx="123">
                  <c:v>17891652.232797105</c:v>
                </c:pt>
                <c:pt idx="124">
                  <c:v>17929037.140721168</c:v>
                </c:pt>
                <c:pt idx="125">
                  <c:v>19081094.568804361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4C-4DAC-BCCD-A540BC072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GS&gt;50 vs Temperatures (2011-2020)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Weather!$C$110:$C$234</c:f>
              <c:numCache>
                <c:formatCode>0</c:formatCode>
                <c:ptCount val="125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</c:numCache>
            </c:numRef>
          </c:xVal>
          <c:yVal>
            <c:numRef>
              <c:f>Weather!$EI$110:$EI$234</c:f>
              <c:numCache>
                <c:formatCode>_(* #,##0_);_(* \(#,##0\);_(* "-"??_);_(@_)</c:formatCode>
                <c:ptCount val="125"/>
                <c:pt idx="0">
                  <c:v>16717266.821217919</c:v>
                </c:pt>
                <c:pt idx="1">
                  <c:v>15751669.901217917</c:v>
                </c:pt>
                <c:pt idx="2">
                  <c:v>16670464.701217921</c:v>
                </c:pt>
                <c:pt idx="3">
                  <c:v>14963148.60121792</c:v>
                </c:pt>
                <c:pt idx="4">
                  <c:v>15480338.171217926</c:v>
                </c:pt>
                <c:pt idx="5">
                  <c:v>16377529.561217919</c:v>
                </c:pt>
                <c:pt idx="6">
                  <c:v>17038934.041217919</c:v>
                </c:pt>
                <c:pt idx="7">
                  <c:v>16792927.091217916</c:v>
                </c:pt>
                <c:pt idx="8">
                  <c:v>15759561.551217917</c:v>
                </c:pt>
                <c:pt idx="9">
                  <c:v>15586290.931217926</c:v>
                </c:pt>
                <c:pt idx="10">
                  <c:v>15941400.461217923</c:v>
                </c:pt>
                <c:pt idx="11">
                  <c:v>16816631.181217916</c:v>
                </c:pt>
                <c:pt idx="12">
                  <c:v>16785266.463490896</c:v>
                </c:pt>
                <c:pt idx="13">
                  <c:v>16079301.203490896</c:v>
                </c:pt>
                <c:pt idx="14">
                  <c:v>16537471.803490892</c:v>
                </c:pt>
                <c:pt idx="15">
                  <c:v>14880264.923490893</c:v>
                </c:pt>
                <c:pt idx="16">
                  <c:v>17082202.913490895</c:v>
                </c:pt>
                <c:pt idx="17">
                  <c:v>16878400.213490888</c:v>
                </c:pt>
                <c:pt idx="18">
                  <c:v>17160081.253490891</c:v>
                </c:pt>
                <c:pt idx="19">
                  <c:v>16796041.313490894</c:v>
                </c:pt>
                <c:pt idx="20">
                  <c:v>15640179.133490894</c:v>
                </c:pt>
                <c:pt idx="21">
                  <c:v>15988881.633490898</c:v>
                </c:pt>
                <c:pt idx="22">
                  <c:v>16432215.043490896</c:v>
                </c:pt>
                <c:pt idx="23">
                  <c:v>16691357.483490892</c:v>
                </c:pt>
                <c:pt idx="24">
                  <c:v>17334132.91204248</c:v>
                </c:pt>
                <c:pt idx="25">
                  <c:v>16623683.162042486</c:v>
                </c:pt>
                <c:pt idx="26">
                  <c:v>17463321.022042483</c:v>
                </c:pt>
                <c:pt idx="27">
                  <c:v>16662389.712042477</c:v>
                </c:pt>
                <c:pt idx="28">
                  <c:v>16900534.112042483</c:v>
                </c:pt>
                <c:pt idx="29">
                  <c:v>17093096.532042481</c:v>
                </c:pt>
                <c:pt idx="30">
                  <c:v>18142506.432042487</c:v>
                </c:pt>
                <c:pt idx="31">
                  <c:v>17778187.962042481</c:v>
                </c:pt>
                <c:pt idx="32">
                  <c:v>16668477.222042486</c:v>
                </c:pt>
                <c:pt idx="33">
                  <c:v>17233627.082042478</c:v>
                </c:pt>
                <c:pt idx="34">
                  <c:v>16723236.692042481</c:v>
                </c:pt>
                <c:pt idx="35">
                  <c:v>18692544.082042485</c:v>
                </c:pt>
                <c:pt idx="36">
                  <c:v>18955499.508963756</c:v>
                </c:pt>
                <c:pt idx="37">
                  <c:v>17790077.53896375</c:v>
                </c:pt>
                <c:pt idx="38">
                  <c:v>18916153.298963755</c:v>
                </c:pt>
                <c:pt idx="39">
                  <c:v>17106261.98896376</c:v>
                </c:pt>
                <c:pt idx="40">
                  <c:v>16785651.398963757</c:v>
                </c:pt>
                <c:pt idx="41">
                  <c:v>17153006.328963753</c:v>
                </c:pt>
                <c:pt idx="42">
                  <c:v>17167656.628963754</c:v>
                </c:pt>
                <c:pt idx="43">
                  <c:v>17092221.068963751</c:v>
                </c:pt>
                <c:pt idx="44">
                  <c:v>16842020.668963756</c:v>
                </c:pt>
                <c:pt idx="45">
                  <c:v>16968667.128963754</c:v>
                </c:pt>
                <c:pt idx="46">
                  <c:v>17485013.278963756</c:v>
                </c:pt>
                <c:pt idx="47">
                  <c:v>18431183.118963756</c:v>
                </c:pt>
                <c:pt idx="48">
                  <c:v>19430730.418670163</c:v>
                </c:pt>
                <c:pt idx="49">
                  <c:v>18338750.900597889</c:v>
                </c:pt>
                <c:pt idx="50">
                  <c:v>18807365.387344867</c:v>
                </c:pt>
                <c:pt idx="51">
                  <c:v>17034456.596983433</c:v>
                </c:pt>
                <c:pt idx="52">
                  <c:v>17537336.143971372</c:v>
                </c:pt>
                <c:pt idx="53">
                  <c:v>17201197.724694267</c:v>
                </c:pt>
                <c:pt idx="54">
                  <c:v>18093211.662043665</c:v>
                </c:pt>
                <c:pt idx="55">
                  <c:v>17648873.695778605</c:v>
                </c:pt>
                <c:pt idx="56">
                  <c:v>17847440.221079815</c:v>
                </c:pt>
                <c:pt idx="57">
                  <c:v>16827940.095778607</c:v>
                </c:pt>
                <c:pt idx="58">
                  <c:v>16684572.645176196</c:v>
                </c:pt>
                <c:pt idx="59">
                  <c:v>16658204.809031619</c:v>
                </c:pt>
                <c:pt idx="60">
                  <c:v>18392987.23202993</c:v>
                </c:pt>
                <c:pt idx="61">
                  <c:v>17502931.916367285</c:v>
                </c:pt>
                <c:pt idx="62">
                  <c:v>17615636.032029931</c:v>
                </c:pt>
                <c:pt idx="63">
                  <c:v>16891925.130825114</c:v>
                </c:pt>
                <c:pt idx="64">
                  <c:v>16602755.501909452</c:v>
                </c:pt>
                <c:pt idx="65">
                  <c:v>17495167.299499799</c:v>
                </c:pt>
                <c:pt idx="66">
                  <c:v>18373376.195885357</c:v>
                </c:pt>
                <c:pt idx="67">
                  <c:v>19193976.494680539</c:v>
                </c:pt>
                <c:pt idx="68">
                  <c:v>17890059.858535945</c:v>
                </c:pt>
                <c:pt idx="69">
                  <c:v>16939090.046487764</c:v>
                </c:pt>
                <c:pt idx="70">
                  <c:v>17048086.017572101</c:v>
                </c:pt>
                <c:pt idx="71">
                  <c:v>18662560.716367282</c:v>
                </c:pt>
                <c:pt idx="72">
                  <c:v>19659234.081595186</c:v>
                </c:pt>
                <c:pt idx="73">
                  <c:v>17436974.630992774</c:v>
                </c:pt>
                <c:pt idx="74">
                  <c:v>19634422.014125314</c:v>
                </c:pt>
                <c:pt idx="75">
                  <c:v>17013785.724968679</c:v>
                </c:pt>
                <c:pt idx="76">
                  <c:v>18093877.252679512</c:v>
                </c:pt>
                <c:pt idx="77">
                  <c:v>19315178.650269885</c:v>
                </c:pt>
                <c:pt idx="78">
                  <c:v>19549131.777980741</c:v>
                </c:pt>
                <c:pt idx="79">
                  <c:v>19412331.565932523</c:v>
                </c:pt>
                <c:pt idx="80">
                  <c:v>19254316.134607218</c:v>
                </c:pt>
                <c:pt idx="81">
                  <c:v>18460397.773161445</c:v>
                </c:pt>
                <c:pt idx="82">
                  <c:v>18666476.115330122</c:v>
                </c:pt>
                <c:pt idx="83">
                  <c:v>19446811.238221694</c:v>
                </c:pt>
                <c:pt idx="84">
                  <c:v>21184390.447006177</c:v>
                </c:pt>
                <c:pt idx="85">
                  <c:v>18766666.803632692</c:v>
                </c:pt>
                <c:pt idx="86">
                  <c:v>17697661.348210998</c:v>
                </c:pt>
                <c:pt idx="87">
                  <c:v>19284257.097608585</c:v>
                </c:pt>
                <c:pt idx="88">
                  <c:v>19795859.748211004</c:v>
                </c:pt>
                <c:pt idx="89">
                  <c:v>21072458.919295345</c:v>
                </c:pt>
                <c:pt idx="90">
                  <c:v>20882452.104837507</c:v>
                </c:pt>
                <c:pt idx="91">
                  <c:v>21499366.514476053</c:v>
                </c:pt>
                <c:pt idx="92">
                  <c:v>19842338.148211002</c:v>
                </c:pt>
                <c:pt idx="93">
                  <c:v>19326961.830138713</c:v>
                </c:pt>
                <c:pt idx="94">
                  <c:v>19493164.066283286</c:v>
                </c:pt>
                <c:pt idx="95">
                  <c:v>20044221.165078472</c:v>
                </c:pt>
                <c:pt idx="96">
                  <c:v>21620563.218417685</c:v>
                </c:pt>
                <c:pt idx="97">
                  <c:v>19419033.849742986</c:v>
                </c:pt>
                <c:pt idx="98">
                  <c:v>20467345.232875522</c:v>
                </c:pt>
                <c:pt idx="99">
                  <c:v>18962848.172634561</c:v>
                </c:pt>
                <c:pt idx="100">
                  <c:v>19104958.755767088</c:v>
                </c:pt>
                <c:pt idx="101">
                  <c:v>18871763.652152628</c:v>
                </c:pt>
                <c:pt idx="102">
                  <c:v>21610925.483477946</c:v>
                </c:pt>
                <c:pt idx="103">
                  <c:v>20499002.408779137</c:v>
                </c:pt>
                <c:pt idx="104">
                  <c:v>19124595.555767093</c:v>
                </c:pt>
                <c:pt idx="105">
                  <c:v>19237444.143718898</c:v>
                </c:pt>
                <c:pt idx="106">
                  <c:v>19655626.620827332</c:v>
                </c:pt>
                <c:pt idx="107">
                  <c:v>20768680.182273109</c:v>
                </c:pt>
                <c:pt idx="108">
                  <c:v>22240497.13711904</c:v>
                </c:pt>
                <c:pt idx="109">
                  <c:v>20355118.476878062</c:v>
                </c:pt>
                <c:pt idx="110">
                  <c:v>19763421.609408177</c:v>
                </c:pt>
                <c:pt idx="111">
                  <c:v>17089130.553986501</c:v>
                </c:pt>
                <c:pt idx="112">
                  <c:v>17090225.378082871</c:v>
                </c:pt>
                <c:pt idx="113">
                  <c:v>18398254.573263608</c:v>
                </c:pt>
                <c:pt idx="114">
                  <c:v>20433793.725070819</c:v>
                </c:pt>
                <c:pt idx="115">
                  <c:v>19508210.264829874</c:v>
                </c:pt>
                <c:pt idx="116">
                  <c:v>18413970.168444328</c:v>
                </c:pt>
                <c:pt idx="117">
                  <c:v>18353398.004588902</c:v>
                </c:pt>
                <c:pt idx="118">
                  <c:v>18350168.269649133</c:v>
                </c:pt>
                <c:pt idx="119">
                  <c:v>19370101.339528672</c:v>
                </c:pt>
                <c:pt idx="120">
                  <c:v>20686129.996556558</c:v>
                </c:pt>
                <c:pt idx="121">
                  <c:v>19399903.28812281</c:v>
                </c:pt>
                <c:pt idx="122">
                  <c:v>19460488.801375829</c:v>
                </c:pt>
                <c:pt idx="123">
                  <c:v>17754694.584508352</c:v>
                </c:pt>
                <c:pt idx="124">
                  <c:v>17924133.967640873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69-45FE-B6F3-766ADC3FE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GS&lt;50  Actaul Vs. Predicted (2011-2020)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Weather!$C$2:$C$234</c:f>
              <c:numCache>
                <c:formatCode>0</c:formatCode>
                <c:ptCount val="233"/>
                <c:pt idx="0">
                  <c:v>-0.45806451612903204</c:v>
                </c:pt>
                <c:pt idx="1">
                  <c:v>-1.2928571428571425</c:v>
                </c:pt>
                <c:pt idx="2">
                  <c:v>0.39999999999999997</c:v>
                </c:pt>
                <c:pt idx="3">
                  <c:v>7.293333333333333</c:v>
                </c:pt>
                <c:pt idx="4">
                  <c:v>10.912903225806451</c:v>
                </c:pt>
                <c:pt idx="5">
                  <c:v>19.126666666666665</c:v>
                </c:pt>
                <c:pt idx="6">
                  <c:v>24.20645161290323</c:v>
                </c:pt>
                <c:pt idx="7">
                  <c:v>22.596774193548384</c:v>
                </c:pt>
                <c:pt idx="8">
                  <c:v>20.193333333333335</c:v>
                </c:pt>
                <c:pt idx="9">
                  <c:v>8.8967741935483851</c:v>
                </c:pt>
                <c:pt idx="10">
                  <c:v>3.166666666666667</c:v>
                </c:pt>
                <c:pt idx="11">
                  <c:v>-1.9806451612903229</c:v>
                </c:pt>
                <c:pt idx="12">
                  <c:v>-8.2741935483870961</c:v>
                </c:pt>
                <c:pt idx="13">
                  <c:v>-6.9642857142857144</c:v>
                </c:pt>
                <c:pt idx="14">
                  <c:v>-0.7451612903225816</c:v>
                </c:pt>
                <c:pt idx="15">
                  <c:v>5.6633333333333331</c:v>
                </c:pt>
                <c:pt idx="16">
                  <c:v>12.261290322580646</c:v>
                </c:pt>
                <c:pt idx="17">
                  <c:v>18.316666666666663</c:v>
                </c:pt>
                <c:pt idx="18">
                  <c:v>21.809677419354834</c:v>
                </c:pt>
                <c:pt idx="19">
                  <c:v>22.06451612903226</c:v>
                </c:pt>
                <c:pt idx="20">
                  <c:v>16.970000000000002</c:v>
                </c:pt>
                <c:pt idx="21">
                  <c:v>9.0967741935483897</c:v>
                </c:pt>
                <c:pt idx="22">
                  <c:v>4.7166666666666659</c:v>
                </c:pt>
                <c:pt idx="23">
                  <c:v>-0.11290322580645111</c:v>
                </c:pt>
                <c:pt idx="24">
                  <c:v>-9.3903225806451598</c:v>
                </c:pt>
                <c:pt idx="25">
                  <c:v>-3.7827586206896551</c:v>
                </c:pt>
                <c:pt idx="26">
                  <c:v>2.2806451612903227</c:v>
                </c:pt>
                <c:pt idx="27">
                  <c:v>6.95</c:v>
                </c:pt>
                <c:pt idx="28">
                  <c:v>13.151612903225805</c:v>
                </c:pt>
                <c:pt idx="29">
                  <c:v>17.579999999999998</c:v>
                </c:pt>
                <c:pt idx="30">
                  <c:v>20.670967741935488</c:v>
                </c:pt>
                <c:pt idx="31">
                  <c:v>19.509677419354841</c:v>
                </c:pt>
                <c:pt idx="32">
                  <c:v>18.373333333333338</c:v>
                </c:pt>
                <c:pt idx="33">
                  <c:v>10.748387096774191</c:v>
                </c:pt>
                <c:pt idx="34">
                  <c:v>5.3633333333333333</c:v>
                </c:pt>
                <c:pt idx="35">
                  <c:v>-2.7548387096774194</c:v>
                </c:pt>
                <c:pt idx="36">
                  <c:v>-6.838709677419355</c:v>
                </c:pt>
                <c:pt idx="37">
                  <c:v>-4.0142857142857142</c:v>
                </c:pt>
                <c:pt idx="38">
                  <c:v>-1.6322580645161293</c:v>
                </c:pt>
                <c:pt idx="39">
                  <c:v>7.7733333333333343</c:v>
                </c:pt>
                <c:pt idx="40">
                  <c:v>11.916129032258063</c:v>
                </c:pt>
                <c:pt idx="41">
                  <c:v>22.58</c:v>
                </c:pt>
                <c:pt idx="42">
                  <c:v>24.087096774193551</c:v>
                </c:pt>
                <c:pt idx="43">
                  <c:v>22.532258064516128</c:v>
                </c:pt>
                <c:pt idx="44">
                  <c:v>18.983333333333338</c:v>
                </c:pt>
                <c:pt idx="45">
                  <c:v>11.141935483870968</c:v>
                </c:pt>
                <c:pt idx="46">
                  <c:v>5.0533333333333328</c:v>
                </c:pt>
                <c:pt idx="47">
                  <c:v>-3.4612903225806457</c:v>
                </c:pt>
                <c:pt idx="48">
                  <c:v>0.2</c:v>
                </c:pt>
                <c:pt idx="49">
                  <c:v>-3.5821428571428564</c:v>
                </c:pt>
                <c:pt idx="50">
                  <c:v>1.3354838709677419</c:v>
                </c:pt>
                <c:pt idx="51">
                  <c:v>8.2233333333333345</c:v>
                </c:pt>
                <c:pt idx="52">
                  <c:v>14.42258064516129</c:v>
                </c:pt>
                <c:pt idx="53">
                  <c:v>19.803333333333335</c:v>
                </c:pt>
                <c:pt idx="54">
                  <c:v>23.396774193548385</c:v>
                </c:pt>
                <c:pt idx="55">
                  <c:v>21.141935483870963</c:v>
                </c:pt>
                <c:pt idx="56">
                  <c:v>15.733333333333331</c:v>
                </c:pt>
                <c:pt idx="57">
                  <c:v>8.7354838709677427</c:v>
                </c:pt>
                <c:pt idx="58">
                  <c:v>5.2600000000000007</c:v>
                </c:pt>
                <c:pt idx="59">
                  <c:v>1.854838709677419</c:v>
                </c:pt>
                <c:pt idx="60">
                  <c:v>-2.8741935483870971</c:v>
                </c:pt>
                <c:pt idx="61">
                  <c:v>-8.4321428571428587</c:v>
                </c:pt>
                <c:pt idx="62">
                  <c:v>0.36451612903225866</c:v>
                </c:pt>
                <c:pt idx="63">
                  <c:v>6.1199999999999992</c:v>
                </c:pt>
                <c:pt idx="64">
                  <c:v>14.322580645161292</c:v>
                </c:pt>
                <c:pt idx="65">
                  <c:v>20.756666666666671</c:v>
                </c:pt>
                <c:pt idx="66">
                  <c:v>21.319354838709678</c:v>
                </c:pt>
                <c:pt idx="67">
                  <c:v>22.380645161290325</c:v>
                </c:pt>
                <c:pt idx="68">
                  <c:v>18.353333333333332</c:v>
                </c:pt>
                <c:pt idx="69">
                  <c:v>14.196774193548386</c:v>
                </c:pt>
                <c:pt idx="70">
                  <c:v>2.583333333333333</c:v>
                </c:pt>
                <c:pt idx="71">
                  <c:v>-2.3451612903225807</c:v>
                </c:pt>
                <c:pt idx="72">
                  <c:v>-2.1129032258064515</c:v>
                </c:pt>
                <c:pt idx="73">
                  <c:v>-5.2655172413793103</c:v>
                </c:pt>
                <c:pt idx="74">
                  <c:v>-1.6838709677419355</c:v>
                </c:pt>
                <c:pt idx="75">
                  <c:v>9.5366666666666635</c:v>
                </c:pt>
                <c:pt idx="76">
                  <c:v>11.838709677419354</c:v>
                </c:pt>
                <c:pt idx="77">
                  <c:v>19.626666666666665</c:v>
                </c:pt>
                <c:pt idx="78">
                  <c:v>21.548387096774185</c:v>
                </c:pt>
                <c:pt idx="79">
                  <c:v>19.654838709677417</c:v>
                </c:pt>
                <c:pt idx="80">
                  <c:v>16.923333333333332</c:v>
                </c:pt>
                <c:pt idx="81">
                  <c:v>9.0129032258064505</c:v>
                </c:pt>
                <c:pt idx="82">
                  <c:v>2.9466666666666677</c:v>
                </c:pt>
                <c:pt idx="83">
                  <c:v>-3.1161290322580641</c:v>
                </c:pt>
                <c:pt idx="84">
                  <c:v>-8.7806451612903214</c:v>
                </c:pt>
                <c:pt idx="85">
                  <c:v>-3.657142857142857</c:v>
                </c:pt>
                <c:pt idx="86">
                  <c:v>0.78064516129032258</c:v>
                </c:pt>
                <c:pt idx="87">
                  <c:v>7.8466666666666667</c:v>
                </c:pt>
                <c:pt idx="88">
                  <c:v>13.099999999999998</c:v>
                </c:pt>
                <c:pt idx="89">
                  <c:v>17.49666666666667</c:v>
                </c:pt>
                <c:pt idx="90">
                  <c:v>19.209677419354836</c:v>
                </c:pt>
                <c:pt idx="91">
                  <c:v>20.619354838709679</c:v>
                </c:pt>
                <c:pt idx="92">
                  <c:v>16.856666666666666</c:v>
                </c:pt>
                <c:pt idx="93">
                  <c:v>8.7161290322580633</c:v>
                </c:pt>
                <c:pt idx="94">
                  <c:v>5.96</c:v>
                </c:pt>
                <c:pt idx="95">
                  <c:v>-2.3645161290322583</c:v>
                </c:pt>
                <c:pt idx="96">
                  <c:v>-5.2258064516129039</c:v>
                </c:pt>
                <c:pt idx="97">
                  <c:v>-3.3678571428571429</c:v>
                </c:pt>
                <c:pt idx="98">
                  <c:v>4.3612903225806452</c:v>
                </c:pt>
                <c:pt idx="99">
                  <c:v>10.496666666666666</c:v>
                </c:pt>
                <c:pt idx="100">
                  <c:v>15.993548387096771</c:v>
                </c:pt>
                <c:pt idx="101">
                  <c:v>19.233333333333334</c:v>
                </c:pt>
                <c:pt idx="102">
                  <c:v>23.261290322580646</c:v>
                </c:pt>
                <c:pt idx="103">
                  <c:v>22.409677419354832</c:v>
                </c:pt>
                <c:pt idx="104">
                  <c:v>16.446666666666665</c:v>
                </c:pt>
                <c:pt idx="105">
                  <c:v>10.206451612903221</c:v>
                </c:pt>
                <c:pt idx="106">
                  <c:v>4.4900000000000011</c:v>
                </c:pt>
                <c:pt idx="107">
                  <c:v>-3.8129032258064517</c:v>
                </c:pt>
                <c:pt idx="108">
                  <c:v>-7.0096774193548388</c:v>
                </c:pt>
                <c:pt idx="109">
                  <c:v>-5.364285714285713</c:v>
                </c:pt>
                <c:pt idx="110">
                  <c:v>-0.4774193548387099</c:v>
                </c:pt>
                <c:pt idx="111">
                  <c:v>6.9233333333333329</c:v>
                </c:pt>
                <c:pt idx="112">
                  <c:v>14.093548387096776</c:v>
                </c:pt>
                <c:pt idx="113">
                  <c:v>19.106666666666666</c:v>
                </c:pt>
                <c:pt idx="114">
                  <c:v>24.396774193548385</c:v>
                </c:pt>
                <c:pt idx="115">
                  <c:v>21.941935483870971</c:v>
                </c:pt>
                <c:pt idx="116">
                  <c:v>17.709999999999997</c:v>
                </c:pt>
                <c:pt idx="117">
                  <c:v>10.483870967741938</c:v>
                </c:pt>
                <c:pt idx="118">
                  <c:v>6.6033333333333335</c:v>
                </c:pt>
                <c:pt idx="119">
                  <c:v>0.77419354838709664</c:v>
                </c:pt>
                <c:pt idx="120">
                  <c:v>-1.7129032258064516</c:v>
                </c:pt>
                <c:pt idx="121">
                  <c:v>-0.33448275862068977</c:v>
                </c:pt>
                <c:pt idx="122">
                  <c:v>6.7354838709677418</c:v>
                </c:pt>
                <c:pt idx="123">
                  <c:v>7.2766666666666673</c:v>
                </c:pt>
                <c:pt idx="124">
                  <c:v>16.58064516129032</c:v>
                </c:pt>
                <c:pt idx="125">
                  <c:v>20.613333333333333</c:v>
                </c:pt>
                <c:pt idx="126">
                  <c:v>24.303225806451614</c:v>
                </c:pt>
                <c:pt idx="127">
                  <c:v>21.551612903225806</c:v>
                </c:pt>
                <c:pt idx="128">
                  <c:v>16.353333333333335</c:v>
                </c:pt>
                <c:pt idx="129">
                  <c:v>10.212903225806452</c:v>
                </c:pt>
                <c:pt idx="130">
                  <c:v>3.5333333333333332</c:v>
                </c:pt>
                <c:pt idx="131">
                  <c:v>0.79032258064516181</c:v>
                </c:pt>
                <c:pt idx="132">
                  <c:v>-2.1451612903225801</c:v>
                </c:pt>
                <c:pt idx="133">
                  <c:v>-4.5535714285714288</c:v>
                </c:pt>
                <c:pt idx="134">
                  <c:v>0.10322580645161282</c:v>
                </c:pt>
                <c:pt idx="135">
                  <c:v>6.0466666666666669</c:v>
                </c:pt>
                <c:pt idx="136">
                  <c:v>15.225806451612904</c:v>
                </c:pt>
                <c:pt idx="137">
                  <c:v>18.886666666666667</c:v>
                </c:pt>
                <c:pt idx="138">
                  <c:v>22.299999999999994</c:v>
                </c:pt>
                <c:pt idx="139">
                  <c:v>20.883870967741935</c:v>
                </c:pt>
                <c:pt idx="140">
                  <c:v>15.936666666666666</c:v>
                </c:pt>
                <c:pt idx="141">
                  <c:v>10.796774193548389</c:v>
                </c:pt>
                <c:pt idx="142">
                  <c:v>2.06</c:v>
                </c:pt>
                <c:pt idx="143">
                  <c:v>-4.1903225806451623</c:v>
                </c:pt>
                <c:pt idx="144">
                  <c:v>-8.6419354838709683</c:v>
                </c:pt>
                <c:pt idx="145">
                  <c:v>-8.3250000000000011</c:v>
                </c:pt>
                <c:pt idx="146">
                  <c:v>-4.2774193548387096</c:v>
                </c:pt>
                <c:pt idx="147">
                  <c:v>6.1033333333333335</c:v>
                </c:pt>
                <c:pt idx="148">
                  <c:v>14.122580645161293</c:v>
                </c:pt>
                <c:pt idx="149">
                  <c:v>19.8</c:v>
                </c:pt>
                <c:pt idx="150">
                  <c:v>20.161290322580641</c:v>
                </c:pt>
                <c:pt idx="151">
                  <c:v>20.35483870967742</c:v>
                </c:pt>
                <c:pt idx="152">
                  <c:v>16.68</c:v>
                </c:pt>
                <c:pt idx="153">
                  <c:v>10.806451612903228</c:v>
                </c:pt>
                <c:pt idx="154">
                  <c:v>1.9300000000000002</c:v>
                </c:pt>
                <c:pt idx="155">
                  <c:v>2.2580645161290443E-2</c:v>
                </c:pt>
                <c:pt idx="156">
                  <c:v>-7.5612903225806471</c:v>
                </c:pt>
                <c:pt idx="157">
                  <c:v>-12.6</c:v>
                </c:pt>
                <c:pt idx="158">
                  <c:v>-1.8548387096774195</c:v>
                </c:pt>
                <c:pt idx="159">
                  <c:v>7.543333333333333</c:v>
                </c:pt>
                <c:pt idx="160">
                  <c:v>16.21935483870968</c:v>
                </c:pt>
                <c:pt idx="161">
                  <c:v>17.95</c:v>
                </c:pt>
                <c:pt idx="162">
                  <c:v>21.558064516129033</c:v>
                </c:pt>
                <c:pt idx="163">
                  <c:v>20.716129032258063</c:v>
                </c:pt>
                <c:pt idx="164">
                  <c:v>19.693333333333332</c:v>
                </c:pt>
                <c:pt idx="165">
                  <c:v>9.9419354838709673</c:v>
                </c:pt>
                <c:pt idx="166">
                  <c:v>6.5000000000000009</c:v>
                </c:pt>
                <c:pt idx="167">
                  <c:v>4.1387096774193548</c:v>
                </c:pt>
                <c:pt idx="168">
                  <c:v>-3.6258064516129025</c:v>
                </c:pt>
                <c:pt idx="169">
                  <c:v>-2.2896551724137932</c:v>
                </c:pt>
                <c:pt idx="170">
                  <c:v>2.6419354838709674</c:v>
                </c:pt>
                <c:pt idx="171">
                  <c:v>4.8400000000000007</c:v>
                </c:pt>
                <c:pt idx="172">
                  <c:v>14.593548387096776</c:v>
                </c:pt>
                <c:pt idx="173">
                  <c:v>19.983333333333334</c:v>
                </c:pt>
                <c:pt idx="174">
                  <c:v>23.70645161290323</c:v>
                </c:pt>
                <c:pt idx="175">
                  <c:v>24.303225806451611</c:v>
                </c:pt>
                <c:pt idx="176">
                  <c:v>19.45</c:v>
                </c:pt>
                <c:pt idx="177">
                  <c:v>11.867741935483874</c:v>
                </c:pt>
                <c:pt idx="178">
                  <c:v>6.7400000000000029</c:v>
                </c:pt>
                <c:pt idx="179">
                  <c:v>-1.6129032258064513</c:v>
                </c:pt>
                <c:pt idx="180">
                  <c:v>-1.6419354838709674</c:v>
                </c:pt>
                <c:pt idx="181">
                  <c:v>-0.22857142857142865</c:v>
                </c:pt>
                <c:pt idx="182">
                  <c:v>-0.5161290322580645</c:v>
                </c:pt>
                <c:pt idx="183">
                  <c:v>9.4166666666666643</c:v>
                </c:pt>
                <c:pt idx="184">
                  <c:v>12.580645161290324</c:v>
                </c:pt>
                <c:pt idx="185">
                  <c:v>19.383333333333329</c:v>
                </c:pt>
                <c:pt idx="186">
                  <c:v>21.758064516129032</c:v>
                </c:pt>
                <c:pt idx="187">
                  <c:v>20.051612903225806</c:v>
                </c:pt>
                <c:pt idx="188">
                  <c:v>18.746666666666666</c:v>
                </c:pt>
                <c:pt idx="189">
                  <c:v>13.293548387096774</c:v>
                </c:pt>
                <c:pt idx="190">
                  <c:v>3.6866666666666674</c:v>
                </c:pt>
                <c:pt idx="191">
                  <c:v>-5.1774193548387109</c:v>
                </c:pt>
                <c:pt idx="192">
                  <c:v>-5.6225806451612907</c:v>
                </c:pt>
                <c:pt idx="193">
                  <c:v>-1.8214285714285698</c:v>
                </c:pt>
                <c:pt idx="194">
                  <c:v>0.1290322580645161</c:v>
                </c:pt>
                <c:pt idx="195">
                  <c:v>3.4266666666666667</c:v>
                </c:pt>
                <c:pt idx="196">
                  <c:v>16.970967741935482</c:v>
                </c:pt>
                <c:pt idx="197">
                  <c:v>19.523333333333333</c:v>
                </c:pt>
                <c:pt idx="198">
                  <c:v>23.412903225806449</c:v>
                </c:pt>
                <c:pt idx="199">
                  <c:v>23.199999999999996</c:v>
                </c:pt>
                <c:pt idx="200">
                  <c:v>18.993333333333339</c:v>
                </c:pt>
                <c:pt idx="201">
                  <c:v>8.9290322580645149</c:v>
                </c:pt>
                <c:pt idx="202">
                  <c:v>1.5300000000000002</c:v>
                </c:pt>
                <c:pt idx="203">
                  <c:v>-0.18064516129032263</c:v>
                </c:pt>
                <c:pt idx="204">
                  <c:v>-6.661290322580645</c:v>
                </c:pt>
                <c:pt idx="205">
                  <c:v>-4.2035714285714283</c:v>
                </c:pt>
                <c:pt idx="206">
                  <c:v>-1.1580645161290322</c:v>
                </c:pt>
                <c:pt idx="207">
                  <c:v>6.44</c:v>
                </c:pt>
                <c:pt idx="208">
                  <c:v>11.7741935483871</c:v>
                </c:pt>
                <c:pt idx="209">
                  <c:v>18.193333333333335</c:v>
                </c:pt>
                <c:pt idx="210">
                  <c:v>23.383870967741931</c:v>
                </c:pt>
                <c:pt idx="211">
                  <c:v>21.303225806451607</c:v>
                </c:pt>
                <c:pt idx="212">
                  <c:v>17.566666666666666</c:v>
                </c:pt>
                <c:pt idx="213">
                  <c:v>10.53548387096774</c:v>
                </c:pt>
                <c:pt idx="214">
                  <c:v>0.89000000000000024</c:v>
                </c:pt>
                <c:pt idx="215">
                  <c:v>-0.78709677419354829</c:v>
                </c:pt>
                <c:pt idx="216">
                  <c:v>-1.5161290322580645</c:v>
                </c:pt>
                <c:pt idx="217">
                  <c:v>-3.0965517241379308</c:v>
                </c:pt>
                <c:pt idx="218">
                  <c:v>3.2032258064516133</c:v>
                </c:pt>
                <c:pt idx="219">
                  <c:v>5.9233333333333338</c:v>
                </c:pt>
                <c:pt idx="220">
                  <c:v>12.06774193548387</c:v>
                </c:pt>
                <c:pt idx="221">
                  <c:v>20.463333333333331</c:v>
                </c:pt>
                <c:pt idx="222">
                  <c:v>24.958064516129035</c:v>
                </c:pt>
                <c:pt idx="223">
                  <c:v>22.06129032258065</c:v>
                </c:pt>
                <c:pt idx="224">
                  <c:v>16.806666666666665</c:v>
                </c:pt>
                <c:pt idx="225">
                  <c:v>9.2806451612903249</c:v>
                </c:pt>
                <c:pt idx="226">
                  <c:v>6.8400000000000016</c:v>
                </c:pt>
                <c:pt idx="227">
                  <c:v>-0.30000000000000004</c:v>
                </c:pt>
                <c:pt idx="228">
                  <c:v>-2.6451612903225805</c:v>
                </c:pt>
                <c:pt idx="229">
                  <c:v>-5.3464285714285724</c:v>
                </c:pt>
                <c:pt idx="230">
                  <c:v>3.1387096774193552</c:v>
                </c:pt>
                <c:pt idx="231">
                  <c:v>7.9200000000000017</c:v>
                </c:pt>
                <c:pt idx="232">
                  <c:v>13.60322580645161</c:v>
                </c:pt>
              </c:numCache>
            </c:numRef>
          </c:xVal>
          <c:yVal>
            <c:numRef>
              <c:f>Weather!$EH$2:$EH$234</c:f>
              <c:numCache>
                <c:formatCode>_(* #,##0_);_(* \(#,##0\);_(* "-"??_);_(@_)</c:formatCode>
                <c:ptCount val="233"/>
                <c:pt idx="108">
                  <c:v>6864837.5606799051</c:v>
                </c:pt>
                <c:pt idx="109">
                  <c:v>7486989.0006799055</c:v>
                </c:pt>
                <c:pt idx="110">
                  <c:v>7162036.2106799055</c:v>
                </c:pt>
                <c:pt idx="111">
                  <c:v>6476547.8606799087</c:v>
                </c:pt>
                <c:pt idx="112">
                  <c:v>6403514.4906799076</c:v>
                </c:pt>
                <c:pt idx="113">
                  <c:v>6877896.1406799043</c:v>
                </c:pt>
                <c:pt idx="114">
                  <c:v>7234914.1806799052</c:v>
                </c:pt>
                <c:pt idx="115">
                  <c:v>7344852.5306799076</c:v>
                </c:pt>
                <c:pt idx="116">
                  <c:v>6374849.0306799021</c:v>
                </c:pt>
                <c:pt idx="117">
                  <c:v>6197006.2306798976</c:v>
                </c:pt>
                <c:pt idx="118">
                  <c:v>6512655.0606799014</c:v>
                </c:pt>
                <c:pt idx="119">
                  <c:v>8516346.6906799022</c:v>
                </c:pt>
                <c:pt idx="120">
                  <c:v>6574209.2444903748</c:v>
                </c:pt>
                <c:pt idx="121">
                  <c:v>7340119.5544903772</c:v>
                </c:pt>
                <c:pt idx="122">
                  <c:v>6958502.994490372</c:v>
                </c:pt>
                <c:pt idx="123">
                  <c:v>6528936.0744903851</c:v>
                </c:pt>
                <c:pt idx="124">
                  <c:v>6426033.404490374</c:v>
                </c:pt>
                <c:pt idx="125">
                  <c:v>6971087.1044903705</c:v>
                </c:pt>
                <c:pt idx="126">
                  <c:v>7716520.8544903751</c:v>
                </c:pt>
                <c:pt idx="127">
                  <c:v>7843878.4144903794</c:v>
                </c:pt>
                <c:pt idx="128">
                  <c:v>6441465.9444903778</c:v>
                </c:pt>
                <c:pt idx="129">
                  <c:v>6350300.914490371</c:v>
                </c:pt>
                <c:pt idx="130">
                  <c:v>7024430.374490384</c:v>
                </c:pt>
                <c:pt idx="131">
                  <c:v>8378458.2844903842</c:v>
                </c:pt>
                <c:pt idx="132">
                  <c:v>7057432.2289354121</c:v>
                </c:pt>
                <c:pt idx="133">
                  <c:v>7593243.098935415</c:v>
                </c:pt>
                <c:pt idx="134">
                  <c:v>7735467.3789354125</c:v>
                </c:pt>
                <c:pt idx="135">
                  <c:v>6936016.7489354145</c:v>
                </c:pt>
                <c:pt idx="136">
                  <c:v>6937866.048935418</c:v>
                </c:pt>
                <c:pt idx="137">
                  <c:v>6780363.4189354125</c:v>
                </c:pt>
                <c:pt idx="138">
                  <c:v>7593943.1689354144</c:v>
                </c:pt>
                <c:pt idx="139">
                  <c:v>7611748.6689354172</c:v>
                </c:pt>
                <c:pt idx="140">
                  <c:v>6250680.5689354129</c:v>
                </c:pt>
                <c:pt idx="141">
                  <c:v>6826886.2589354143</c:v>
                </c:pt>
                <c:pt idx="142">
                  <c:v>6939097.1989354165</c:v>
                </c:pt>
                <c:pt idx="143">
                  <c:v>9532516.128935419</c:v>
                </c:pt>
                <c:pt idx="144">
                  <c:v>7487898.8517205259</c:v>
                </c:pt>
                <c:pt idx="145">
                  <c:v>8502995.9417205229</c:v>
                </c:pt>
                <c:pt idx="146">
                  <c:v>8235800.4217205308</c:v>
                </c:pt>
                <c:pt idx="147">
                  <c:v>7581461.2417205265</c:v>
                </c:pt>
                <c:pt idx="148">
                  <c:v>6902215.0417205226</c:v>
                </c:pt>
                <c:pt idx="149">
                  <c:v>6554303.0217205258</c:v>
                </c:pt>
                <c:pt idx="150">
                  <c:v>7496044.9317205288</c:v>
                </c:pt>
                <c:pt idx="151">
                  <c:v>7049683.7417205274</c:v>
                </c:pt>
                <c:pt idx="152">
                  <c:v>6616002.9717205288</c:v>
                </c:pt>
                <c:pt idx="153">
                  <c:v>6897925.29172053</c:v>
                </c:pt>
                <c:pt idx="154">
                  <c:v>7293217.2817205237</c:v>
                </c:pt>
                <c:pt idx="155">
                  <c:v>9033496.731720522</c:v>
                </c:pt>
                <c:pt idx="156">
                  <c:v>9162367.7804134693</c:v>
                </c:pt>
                <c:pt idx="157">
                  <c:v>8827828.0406544302</c:v>
                </c:pt>
                <c:pt idx="158">
                  <c:v>8435812.8310158737</c:v>
                </c:pt>
                <c:pt idx="159">
                  <c:v>7370231.4141484043</c:v>
                </c:pt>
                <c:pt idx="160">
                  <c:v>7077182.7683652705</c:v>
                </c:pt>
                <c:pt idx="161">
                  <c:v>6914019.9057146711</c:v>
                </c:pt>
                <c:pt idx="162">
                  <c:v>7837310.6719797337</c:v>
                </c:pt>
                <c:pt idx="163">
                  <c:v>7385438.6527026212</c:v>
                </c:pt>
                <c:pt idx="164">
                  <c:v>7261609.6984857554</c:v>
                </c:pt>
                <c:pt idx="165">
                  <c:v>6991164.0021002153</c:v>
                </c:pt>
                <c:pt idx="166">
                  <c:v>6518609.4286062401</c:v>
                </c:pt>
                <c:pt idx="167">
                  <c:v>6890863.0382447885</c:v>
                </c:pt>
                <c:pt idx="168">
                  <c:v>8689256.1018550042</c:v>
                </c:pt>
                <c:pt idx="169">
                  <c:v>8524672.8247465622</c:v>
                </c:pt>
                <c:pt idx="170">
                  <c:v>8034077.1524574133</c:v>
                </c:pt>
                <c:pt idx="171">
                  <c:v>7906470.30908392</c:v>
                </c:pt>
                <c:pt idx="172">
                  <c:v>6742797.6054694587</c:v>
                </c:pt>
                <c:pt idx="173">
                  <c:v>7675214.5211321106</c:v>
                </c:pt>
                <c:pt idx="174">
                  <c:v>8203345.3452284951</c:v>
                </c:pt>
                <c:pt idx="175">
                  <c:v>8087094.0199272949</c:v>
                </c:pt>
                <c:pt idx="176">
                  <c:v>7364858.7428188557</c:v>
                </c:pt>
                <c:pt idx="177">
                  <c:v>6481920.940409217</c:v>
                </c:pt>
                <c:pt idx="178">
                  <c:v>6598590.6946260817</c:v>
                </c:pt>
                <c:pt idx="179">
                  <c:v>8424033.8464333117</c:v>
                </c:pt>
                <c:pt idx="180">
                  <c:v>8961782.937473489</c:v>
                </c:pt>
                <c:pt idx="181">
                  <c:v>7475683.5639795121</c:v>
                </c:pt>
                <c:pt idx="182">
                  <c:v>8386104.0073530022</c:v>
                </c:pt>
                <c:pt idx="183">
                  <c:v>6961618.7254252993</c:v>
                </c:pt>
                <c:pt idx="184">
                  <c:v>6487938.850726502</c:v>
                </c:pt>
                <c:pt idx="185">
                  <c:v>7096252.9422927629</c:v>
                </c:pt>
                <c:pt idx="186">
                  <c:v>6969986.9760277011</c:v>
                </c:pt>
                <c:pt idx="187">
                  <c:v>7469547.1206060164</c:v>
                </c:pt>
                <c:pt idx="188">
                  <c:v>6971224.8651843295</c:v>
                </c:pt>
                <c:pt idx="189">
                  <c:v>6295611.4001240861</c:v>
                </c:pt>
                <c:pt idx="190">
                  <c:v>7055249.0097626392</c:v>
                </c:pt>
                <c:pt idx="191">
                  <c:v>7872393.2507264968</c:v>
                </c:pt>
                <c:pt idx="192">
                  <c:v>8973675.8913750686</c:v>
                </c:pt>
                <c:pt idx="193">
                  <c:v>7560592.093784716</c:v>
                </c:pt>
                <c:pt idx="194">
                  <c:v>8232567.2745076045</c:v>
                </c:pt>
                <c:pt idx="195">
                  <c:v>7175356.5853509782</c:v>
                </c:pt>
                <c:pt idx="196">
                  <c:v>7104279.4576401319</c:v>
                </c:pt>
                <c:pt idx="197">
                  <c:v>7590209.0961943539</c:v>
                </c:pt>
                <c:pt idx="198">
                  <c:v>7685013.5202907361</c:v>
                </c:pt>
                <c:pt idx="199">
                  <c:v>8305832.5949895326</c:v>
                </c:pt>
                <c:pt idx="200">
                  <c:v>7235600.4407726647</c:v>
                </c:pt>
                <c:pt idx="201">
                  <c:v>6858390.011857003</c:v>
                </c:pt>
                <c:pt idx="202">
                  <c:v>6844367.4480015812</c:v>
                </c:pt>
                <c:pt idx="203">
                  <c:v>8731785.7901702579</c:v>
                </c:pt>
                <c:pt idx="204">
                  <c:v>9100450.7979688402</c:v>
                </c:pt>
                <c:pt idx="205">
                  <c:v>8257335.0678483583</c:v>
                </c:pt>
                <c:pt idx="206">
                  <c:v>8209950.1811013678</c:v>
                </c:pt>
                <c:pt idx="207">
                  <c:v>7384598.2196555957</c:v>
                </c:pt>
                <c:pt idx="208">
                  <c:v>7011908.0220652344</c:v>
                </c:pt>
                <c:pt idx="209">
                  <c:v>6642423.5594146261</c:v>
                </c:pt>
                <c:pt idx="210">
                  <c:v>7953798.4027881147</c:v>
                </c:pt>
                <c:pt idx="211">
                  <c:v>7820229.9304989632</c:v>
                </c:pt>
                <c:pt idx="212">
                  <c:v>7019323.2991736615</c:v>
                </c:pt>
                <c:pt idx="213">
                  <c:v>6782854.7690531816</c:v>
                </c:pt>
                <c:pt idx="214">
                  <c:v>6765629.6027881224</c:v>
                </c:pt>
                <c:pt idx="215">
                  <c:v>8143431.5883302838</c:v>
                </c:pt>
                <c:pt idx="216">
                  <c:v>9133853.9773062132</c:v>
                </c:pt>
                <c:pt idx="217">
                  <c:v>8086938.7194748772</c:v>
                </c:pt>
                <c:pt idx="218">
                  <c:v>7679145.8712821063</c:v>
                </c:pt>
                <c:pt idx="219">
                  <c:v>6710329.7941736775</c:v>
                </c:pt>
                <c:pt idx="220">
                  <c:v>6149818.835137534</c:v>
                </c:pt>
                <c:pt idx="221">
                  <c:v>6828756.04959537</c:v>
                </c:pt>
                <c:pt idx="222">
                  <c:v>7775470.7291134307</c:v>
                </c:pt>
                <c:pt idx="223">
                  <c:v>7602092.4544146396</c:v>
                </c:pt>
                <c:pt idx="224">
                  <c:v>6802526.1989929536</c:v>
                </c:pt>
                <c:pt idx="225">
                  <c:v>6713600.6953784954</c:v>
                </c:pt>
                <c:pt idx="226">
                  <c:v>6639791.5001977691</c:v>
                </c:pt>
                <c:pt idx="227">
                  <c:v>7370193.7845351249</c:v>
                </c:pt>
                <c:pt idx="228">
                  <c:v>9067196.1680459175</c:v>
                </c:pt>
                <c:pt idx="229">
                  <c:v>8649316.948768802</c:v>
                </c:pt>
                <c:pt idx="230">
                  <c:v>7947048.8331061499</c:v>
                </c:pt>
                <c:pt idx="231">
                  <c:v>7297564.2644314589</c:v>
                </c:pt>
                <c:pt idx="232">
                  <c:v>6666532.7270820532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78-4904-9953-21615C4737E0}"/>
            </c:ext>
          </c:extLst>
        </c:ser>
        <c:ser>
          <c:idx val="1"/>
          <c:order val="1"/>
          <c:tx>
            <c:strRef>
              <c:f>Weather!$EL$1</c:f>
              <c:strCache>
                <c:ptCount val="1"/>
                <c:pt idx="0">
                  <c:v> Predicted GS&lt;50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Weather!$C$110:$C$235</c:f>
              <c:numCache>
                <c:formatCode>0</c:formatCode>
                <c:ptCount val="126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  <c:pt idx="125">
                  <c:v>21.833333333333329</c:v>
                </c:pt>
              </c:numCache>
            </c:numRef>
          </c:xVal>
          <c:yVal>
            <c:numRef>
              <c:f>Weather!$EL$110:$EL$235</c:f>
              <c:numCache>
                <c:formatCode>_(* #,##0_);_(* \(#,##0\);_(* "-"??_);_(@_)</c:formatCode>
                <c:ptCount val="126"/>
                <c:pt idx="0">
                  <c:v>8244002.8044734839</c:v>
                </c:pt>
                <c:pt idx="1">
                  <c:v>7847781.5304164747</c:v>
                </c:pt>
                <c:pt idx="2">
                  <c:v>7546914.9852159303</c:v>
                </c:pt>
                <c:pt idx="3">
                  <c:v>6725900.4425348109</c:v>
                </c:pt>
                <c:pt idx="4">
                  <c:v>6307030.8878317792</c:v>
                </c:pt>
                <c:pt idx="5">
                  <c:v>6558692.8912883867</c:v>
                </c:pt>
                <c:pt idx="6">
                  <c:v>7790284.2370916409</c:v>
                </c:pt>
                <c:pt idx="7">
                  <c:v>7205062.1510207914</c:v>
                </c:pt>
                <c:pt idx="8">
                  <c:v>6432408.1108057639</c:v>
                </c:pt>
                <c:pt idx="9">
                  <c:v>6485170.4476026641</c:v>
                </c:pt>
                <c:pt idx="10">
                  <c:v>6758947.5687810946</c:v>
                </c:pt>
                <c:pt idx="11">
                  <c:v>7413349.5166371986</c:v>
                </c:pt>
                <c:pt idx="12">
                  <c:v>7678759.2493026676</c:v>
                </c:pt>
                <c:pt idx="13">
                  <c:v>7419201.6119099781</c:v>
                </c:pt>
                <c:pt idx="14">
                  <c:v>6810590.0792248379</c:v>
                </c:pt>
                <c:pt idx="15">
                  <c:v>6704996.5206245556</c:v>
                </c:pt>
                <c:pt idx="16">
                  <c:v>6441280.811015306</c:v>
                </c:pt>
                <c:pt idx="17">
                  <c:v>6959725.052355581</c:v>
                </c:pt>
                <c:pt idx="18">
                  <c:v>7767982.7384108854</c:v>
                </c:pt>
                <c:pt idx="19">
                  <c:v>7112011.070318331</c:v>
                </c:pt>
                <c:pt idx="20">
                  <c:v>6407751.9584996114</c:v>
                </c:pt>
                <c:pt idx="21">
                  <c:v>6456197.2621652437</c:v>
                </c:pt>
                <c:pt idx="22">
                  <c:v>7075993.4362063818</c:v>
                </c:pt>
                <c:pt idx="23">
                  <c:v>7411628.3121452052</c:v>
                </c:pt>
                <c:pt idx="24">
                  <c:v>7724887.5296881059</c:v>
                </c:pt>
                <c:pt idx="25">
                  <c:v>7769638.8464799486</c:v>
                </c:pt>
                <c:pt idx="26">
                  <c:v>7484951.6235041469</c:v>
                </c:pt>
                <c:pt idx="27">
                  <c:v>6816435.7988136932</c:v>
                </c:pt>
                <c:pt idx="28">
                  <c:v>6384362.2732768701</c:v>
                </c:pt>
                <c:pt idx="29">
                  <c:v>6595885.145808436</c:v>
                </c:pt>
                <c:pt idx="30">
                  <c:v>7290423.0597643713</c:v>
                </c:pt>
                <c:pt idx="31">
                  <c:v>6952824.5107694929</c:v>
                </c:pt>
                <c:pt idx="32">
                  <c:v>6321644.1318621803</c:v>
                </c:pt>
                <c:pt idx="33">
                  <c:v>6396116.1757436357</c:v>
                </c:pt>
                <c:pt idx="34">
                  <c:v>7228147.9132986488</c:v>
                </c:pt>
                <c:pt idx="35">
                  <c:v>7943136.2592729395</c:v>
                </c:pt>
                <c:pt idx="36">
                  <c:v>8418188.6990632731</c:v>
                </c:pt>
                <c:pt idx="37">
                  <c:v>8133157.2351890719</c:v>
                </c:pt>
                <c:pt idx="38">
                  <c:v>7952430.7635297067</c:v>
                </c:pt>
                <c:pt idx="39">
                  <c:v>6810583.7035409138</c:v>
                </c:pt>
                <c:pt idx="40">
                  <c:v>6250496.3312204182</c:v>
                </c:pt>
                <c:pt idx="41">
                  <c:v>6696383.3061473742</c:v>
                </c:pt>
                <c:pt idx="42">
                  <c:v>6780564.6588905575</c:v>
                </c:pt>
                <c:pt idx="43">
                  <c:v>6837838.2715867124</c:v>
                </c:pt>
                <c:pt idx="44">
                  <c:v>6382922.4152108245</c:v>
                </c:pt>
                <c:pt idx="45">
                  <c:v>6412895.58255703</c:v>
                </c:pt>
                <c:pt idx="46">
                  <c:v>7241573.3083362021</c:v>
                </c:pt>
                <c:pt idx="47">
                  <c:v>7493557.6459641177</c:v>
                </c:pt>
                <c:pt idx="48">
                  <c:v>8302867.9980996763</c:v>
                </c:pt>
                <c:pt idx="49">
                  <c:v>8545213.5905724261</c:v>
                </c:pt>
                <c:pt idx="50">
                  <c:v>7693905.8488322143</c:v>
                </c:pt>
                <c:pt idx="51">
                  <c:v>6661871.6354326354</c:v>
                </c:pt>
                <c:pt idx="52">
                  <c:v>6474269.5011645369</c:v>
                </c:pt>
                <c:pt idx="53">
                  <c:v>6397603.4432724696</c:v>
                </c:pt>
                <c:pt idx="54">
                  <c:v>7113549.1047101077</c:v>
                </c:pt>
                <c:pt idx="55">
                  <c:v>6912835.6165833119</c:v>
                </c:pt>
                <c:pt idx="56">
                  <c:v>6784213.8234019317</c:v>
                </c:pt>
                <c:pt idx="57">
                  <c:v>6466188.1100278646</c:v>
                </c:pt>
                <c:pt idx="58">
                  <c:v>6769619.0366314575</c:v>
                </c:pt>
                <c:pt idx="59">
                  <c:v>7054306.2596072592</c:v>
                </c:pt>
                <c:pt idx="60">
                  <c:v>7882894.1020531505</c:v>
                </c:pt>
                <c:pt idx="61">
                  <c:v>7614386.2013020935</c:v>
                </c:pt>
                <c:pt idx="62">
                  <c:v>7214034.0364642972</c:v>
                </c:pt>
                <c:pt idx="63">
                  <c:v>6944390.7783169169</c:v>
                </c:pt>
                <c:pt idx="64">
                  <c:v>6590990.7511488963</c:v>
                </c:pt>
                <c:pt idx="65">
                  <c:v>6809927.769955582</c:v>
                </c:pt>
                <c:pt idx="66">
                  <c:v>7625714.557171586</c:v>
                </c:pt>
                <c:pt idx="67">
                  <c:v>7767982.7384108854</c:v>
                </c:pt>
                <c:pt idx="68">
                  <c:v>6677978.9538591895</c:v>
                </c:pt>
                <c:pt idx="69">
                  <c:v>6414305.9106953777</c:v>
                </c:pt>
                <c:pt idx="70">
                  <c:v>6744833.6919467449</c:v>
                </c:pt>
                <c:pt idx="71">
                  <c:v>7668087.7814523038</c:v>
                </c:pt>
                <c:pt idx="72">
                  <c:v>7671185.9495378938</c:v>
                </c:pt>
                <c:pt idx="73">
                  <c:v>7352763.118519011</c:v>
                </c:pt>
                <c:pt idx="74">
                  <c:v>7551045.8759967154</c:v>
                </c:pt>
                <c:pt idx="75">
                  <c:v>6492899.9286068268</c:v>
                </c:pt>
                <c:pt idx="76">
                  <c:v>6374966.1892607128</c:v>
                </c:pt>
                <c:pt idx="77">
                  <c:v>6667051.6423185747</c:v>
                </c:pt>
                <c:pt idx="78">
                  <c:v>7161228.1708551701</c:v>
                </c:pt>
                <c:pt idx="79">
                  <c:v>6775569.9780218126</c:v>
                </c:pt>
                <c:pt idx="80">
                  <c:v>6702743.6853669984</c:v>
                </c:pt>
                <c:pt idx="81">
                  <c:v>6293322.6602431443</c:v>
                </c:pt>
                <c:pt idx="82">
                  <c:v>7060158.3548800377</c:v>
                </c:pt>
                <c:pt idx="83">
                  <c:v>8048473.974182969</c:v>
                </c:pt>
                <c:pt idx="84">
                  <c:v>8095979.218162002</c:v>
                </c:pt>
                <c:pt idx="85">
                  <c:v>7506294.5592048727</c:v>
                </c:pt>
                <c:pt idx="86">
                  <c:v>7482197.6963169575</c:v>
                </c:pt>
                <c:pt idx="87">
                  <c:v>7087009.1449551433</c:v>
                </c:pt>
                <c:pt idx="88">
                  <c:v>6457517.0832119714</c:v>
                </c:pt>
                <c:pt idx="89">
                  <c:v>6664839.3636229821</c:v>
                </c:pt>
                <c:pt idx="90">
                  <c:v>7555733.992345768</c:v>
                </c:pt>
                <c:pt idx="91">
                  <c:v>7504978.8574171532</c:v>
                </c:pt>
                <c:pt idx="92">
                  <c:v>6758537.6997684315</c:v>
                </c:pt>
                <c:pt idx="93">
                  <c:v>6678926.0129880542</c:v>
                </c:pt>
                <c:pt idx="94">
                  <c:v>7282882.216144057</c:v>
                </c:pt>
                <c:pt idx="95">
                  <c:v>7515244.8225632412</c:v>
                </c:pt>
                <c:pt idx="96">
                  <c:v>8206824.7874464132</c:v>
                </c:pt>
                <c:pt idx="97">
                  <c:v>7735903.2384368666</c:v>
                </c:pt>
                <c:pt idx="98">
                  <c:v>7619549.8147780746</c:v>
                </c:pt>
                <c:pt idx="99">
                  <c:v>6775815.3728026357</c:v>
                </c:pt>
                <c:pt idx="100">
                  <c:v>6290697.9254345149</c:v>
                </c:pt>
                <c:pt idx="101">
                  <c:v>6448175.4081008658</c:v>
                </c:pt>
                <c:pt idx="102">
                  <c:v>7548812.8375827754</c:v>
                </c:pt>
                <c:pt idx="103">
                  <c:v>7052796.7462349469</c:v>
                </c:pt>
                <c:pt idx="104">
                  <c:v>6280221.7552938778</c:v>
                </c:pt>
                <c:pt idx="105">
                  <c:v>6457397.431342545</c:v>
                </c:pt>
                <c:pt idx="106">
                  <c:v>7348976.4686366245</c:v>
                </c:pt>
                <c:pt idx="107">
                  <c:v>7579962.111462214</c:v>
                </c:pt>
                <c:pt idx="108">
                  <c:v>7657760.5545003414</c:v>
                </c:pt>
                <c:pt idx="109">
                  <c:v>7694938.5715274103</c:v>
                </c:pt>
                <c:pt idx="110">
                  <c:v>7154136.1201429088</c:v>
                </c:pt>
                <c:pt idx="111">
                  <c:v>6829172.7120544482</c:v>
                </c:pt>
                <c:pt idx="112">
                  <c:v>6642332.7881149184</c:v>
                </c:pt>
                <c:pt idx="113">
                  <c:v>6921779.5042577563</c:v>
                </c:pt>
                <c:pt idx="114">
                  <c:v>7924093.2291761711</c:v>
                </c:pt>
                <c:pt idx="115">
                  <c:v>7233515.7872686516</c:v>
                </c:pt>
                <c:pt idx="116">
                  <c:v>6370954.5191659583</c:v>
                </c:pt>
                <c:pt idx="117">
                  <c:v>6511152.5580310179</c:v>
                </c:pt>
                <c:pt idx="118">
                  <c:v>6735619.7230890673</c:v>
                </c:pt>
                <c:pt idx="119">
                  <c:v>7527981.7358039962</c:v>
                </c:pt>
                <c:pt idx="120">
                  <c:v>7778244.8689399175</c:v>
                </c:pt>
                <c:pt idx="121">
                  <c:v>7846060.3259244803</c:v>
                </c:pt>
                <c:pt idx="122">
                  <c:v>7161020.9381108843</c:v>
                </c:pt>
                <c:pt idx="123">
                  <c:v>6622972.4139135722</c:v>
                </c:pt>
                <c:pt idx="124">
                  <c:v>6539703.315662873</c:v>
                </c:pt>
                <c:pt idx="125">
                  <c:v>7147671.6661305288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78-4904-9953-21615C473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Monthly Tempurature (</a:t>
                </a:r>
                <a:r>
                  <a:rPr lang="en-US" sz="1000" b="0" i="0" u="none" strike="noStrike" baseline="0">
                    <a:effectLst/>
                  </a:rPr>
                  <a:t>°</a:t>
                </a:r>
                <a:r>
                  <a:rPr lang="en-US" baseline="0"/>
                  <a:t>C)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Purchases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GS&gt;50  Actaul Vs. Predicted (2011-2020)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Weather!$C$2:$C$234</c:f>
              <c:numCache>
                <c:formatCode>0</c:formatCode>
                <c:ptCount val="233"/>
                <c:pt idx="0">
                  <c:v>-0.45806451612903204</c:v>
                </c:pt>
                <c:pt idx="1">
                  <c:v>-1.2928571428571425</c:v>
                </c:pt>
                <c:pt idx="2">
                  <c:v>0.39999999999999997</c:v>
                </c:pt>
                <c:pt idx="3">
                  <c:v>7.293333333333333</c:v>
                </c:pt>
                <c:pt idx="4">
                  <c:v>10.912903225806451</c:v>
                </c:pt>
                <c:pt idx="5">
                  <c:v>19.126666666666665</c:v>
                </c:pt>
                <c:pt idx="6">
                  <c:v>24.20645161290323</c:v>
                </c:pt>
                <c:pt idx="7">
                  <c:v>22.596774193548384</c:v>
                </c:pt>
                <c:pt idx="8">
                  <c:v>20.193333333333335</c:v>
                </c:pt>
                <c:pt idx="9">
                  <c:v>8.8967741935483851</c:v>
                </c:pt>
                <c:pt idx="10">
                  <c:v>3.166666666666667</c:v>
                </c:pt>
                <c:pt idx="11">
                  <c:v>-1.9806451612903229</c:v>
                </c:pt>
                <c:pt idx="12">
                  <c:v>-8.2741935483870961</c:v>
                </c:pt>
                <c:pt idx="13">
                  <c:v>-6.9642857142857144</c:v>
                </c:pt>
                <c:pt idx="14">
                  <c:v>-0.7451612903225816</c:v>
                </c:pt>
                <c:pt idx="15">
                  <c:v>5.6633333333333331</c:v>
                </c:pt>
                <c:pt idx="16">
                  <c:v>12.261290322580646</c:v>
                </c:pt>
                <c:pt idx="17">
                  <c:v>18.316666666666663</c:v>
                </c:pt>
                <c:pt idx="18">
                  <c:v>21.809677419354834</c:v>
                </c:pt>
                <c:pt idx="19">
                  <c:v>22.06451612903226</c:v>
                </c:pt>
                <c:pt idx="20">
                  <c:v>16.970000000000002</c:v>
                </c:pt>
                <c:pt idx="21">
                  <c:v>9.0967741935483897</c:v>
                </c:pt>
                <c:pt idx="22">
                  <c:v>4.7166666666666659</c:v>
                </c:pt>
                <c:pt idx="23">
                  <c:v>-0.11290322580645111</c:v>
                </c:pt>
                <c:pt idx="24">
                  <c:v>-9.3903225806451598</c:v>
                </c:pt>
                <c:pt idx="25">
                  <c:v>-3.7827586206896551</c:v>
                </c:pt>
                <c:pt idx="26">
                  <c:v>2.2806451612903227</c:v>
                </c:pt>
                <c:pt idx="27">
                  <c:v>6.95</c:v>
                </c:pt>
                <c:pt idx="28">
                  <c:v>13.151612903225805</c:v>
                </c:pt>
                <c:pt idx="29">
                  <c:v>17.579999999999998</c:v>
                </c:pt>
                <c:pt idx="30">
                  <c:v>20.670967741935488</c:v>
                </c:pt>
                <c:pt idx="31">
                  <c:v>19.509677419354841</c:v>
                </c:pt>
                <c:pt idx="32">
                  <c:v>18.373333333333338</c:v>
                </c:pt>
                <c:pt idx="33">
                  <c:v>10.748387096774191</c:v>
                </c:pt>
                <c:pt idx="34">
                  <c:v>5.3633333333333333</c:v>
                </c:pt>
                <c:pt idx="35">
                  <c:v>-2.7548387096774194</c:v>
                </c:pt>
                <c:pt idx="36">
                  <c:v>-6.838709677419355</c:v>
                </c:pt>
                <c:pt idx="37">
                  <c:v>-4.0142857142857142</c:v>
                </c:pt>
                <c:pt idx="38">
                  <c:v>-1.6322580645161293</c:v>
                </c:pt>
                <c:pt idx="39">
                  <c:v>7.7733333333333343</c:v>
                </c:pt>
                <c:pt idx="40">
                  <c:v>11.916129032258063</c:v>
                </c:pt>
                <c:pt idx="41">
                  <c:v>22.58</c:v>
                </c:pt>
                <c:pt idx="42">
                  <c:v>24.087096774193551</c:v>
                </c:pt>
                <c:pt idx="43">
                  <c:v>22.532258064516128</c:v>
                </c:pt>
                <c:pt idx="44">
                  <c:v>18.983333333333338</c:v>
                </c:pt>
                <c:pt idx="45">
                  <c:v>11.141935483870968</c:v>
                </c:pt>
                <c:pt idx="46">
                  <c:v>5.0533333333333328</c:v>
                </c:pt>
                <c:pt idx="47">
                  <c:v>-3.4612903225806457</c:v>
                </c:pt>
                <c:pt idx="48">
                  <c:v>0.2</c:v>
                </c:pt>
                <c:pt idx="49">
                  <c:v>-3.5821428571428564</c:v>
                </c:pt>
                <c:pt idx="50">
                  <c:v>1.3354838709677419</c:v>
                </c:pt>
                <c:pt idx="51">
                  <c:v>8.2233333333333345</c:v>
                </c:pt>
                <c:pt idx="52">
                  <c:v>14.42258064516129</c:v>
                </c:pt>
                <c:pt idx="53">
                  <c:v>19.803333333333335</c:v>
                </c:pt>
                <c:pt idx="54">
                  <c:v>23.396774193548385</c:v>
                </c:pt>
                <c:pt idx="55">
                  <c:v>21.141935483870963</c:v>
                </c:pt>
                <c:pt idx="56">
                  <c:v>15.733333333333331</c:v>
                </c:pt>
                <c:pt idx="57">
                  <c:v>8.7354838709677427</c:v>
                </c:pt>
                <c:pt idx="58">
                  <c:v>5.2600000000000007</c:v>
                </c:pt>
                <c:pt idx="59">
                  <c:v>1.854838709677419</c:v>
                </c:pt>
                <c:pt idx="60">
                  <c:v>-2.8741935483870971</c:v>
                </c:pt>
                <c:pt idx="61">
                  <c:v>-8.4321428571428587</c:v>
                </c:pt>
                <c:pt idx="62">
                  <c:v>0.36451612903225866</c:v>
                </c:pt>
                <c:pt idx="63">
                  <c:v>6.1199999999999992</c:v>
                </c:pt>
                <c:pt idx="64">
                  <c:v>14.322580645161292</c:v>
                </c:pt>
                <c:pt idx="65">
                  <c:v>20.756666666666671</c:v>
                </c:pt>
                <c:pt idx="66">
                  <c:v>21.319354838709678</c:v>
                </c:pt>
                <c:pt idx="67">
                  <c:v>22.380645161290325</c:v>
                </c:pt>
                <c:pt idx="68">
                  <c:v>18.353333333333332</c:v>
                </c:pt>
                <c:pt idx="69">
                  <c:v>14.196774193548386</c:v>
                </c:pt>
                <c:pt idx="70">
                  <c:v>2.583333333333333</c:v>
                </c:pt>
                <c:pt idx="71">
                  <c:v>-2.3451612903225807</c:v>
                </c:pt>
                <c:pt idx="72">
                  <c:v>-2.1129032258064515</c:v>
                </c:pt>
                <c:pt idx="73">
                  <c:v>-5.2655172413793103</c:v>
                </c:pt>
                <c:pt idx="74">
                  <c:v>-1.6838709677419355</c:v>
                </c:pt>
                <c:pt idx="75">
                  <c:v>9.5366666666666635</c:v>
                </c:pt>
                <c:pt idx="76">
                  <c:v>11.838709677419354</c:v>
                </c:pt>
                <c:pt idx="77">
                  <c:v>19.626666666666665</c:v>
                </c:pt>
                <c:pt idx="78">
                  <c:v>21.548387096774185</c:v>
                </c:pt>
                <c:pt idx="79">
                  <c:v>19.654838709677417</c:v>
                </c:pt>
                <c:pt idx="80">
                  <c:v>16.923333333333332</c:v>
                </c:pt>
                <c:pt idx="81">
                  <c:v>9.0129032258064505</c:v>
                </c:pt>
                <c:pt idx="82">
                  <c:v>2.9466666666666677</c:v>
                </c:pt>
                <c:pt idx="83">
                  <c:v>-3.1161290322580641</c:v>
                </c:pt>
                <c:pt idx="84">
                  <c:v>-8.7806451612903214</c:v>
                </c:pt>
                <c:pt idx="85">
                  <c:v>-3.657142857142857</c:v>
                </c:pt>
                <c:pt idx="86">
                  <c:v>0.78064516129032258</c:v>
                </c:pt>
                <c:pt idx="87">
                  <c:v>7.8466666666666667</c:v>
                </c:pt>
                <c:pt idx="88">
                  <c:v>13.099999999999998</c:v>
                </c:pt>
                <c:pt idx="89">
                  <c:v>17.49666666666667</c:v>
                </c:pt>
                <c:pt idx="90">
                  <c:v>19.209677419354836</c:v>
                </c:pt>
                <c:pt idx="91">
                  <c:v>20.619354838709679</c:v>
                </c:pt>
                <c:pt idx="92">
                  <c:v>16.856666666666666</c:v>
                </c:pt>
                <c:pt idx="93">
                  <c:v>8.7161290322580633</c:v>
                </c:pt>
                <c:pt idx="94">
                  <c:v>5.96</c:v>
                </c:pt>
                <c:pt idx="95">
                  <c:v>-2.3645161290322583</c:v>
                </c:pt>
                <c:pt idx="96">
                  <c:v>-5.2258064516129039</c:v>
                </c:pt>
                <c:pt idx="97">
                  <c:v>-3.3678571428571429</c:v>
                </c:pt>
                <c:pt idx="98">
                  <c:v>4.3612903225806452</c:v>
                </c:pt>
                <c:pt idx="99">
                  <c:v>10.496666666666666</c:v>
                </c:pt>
                <c:pt idx="100">
                  <c:v>15.993548387096771</c:v>
                </c:pt>
                <c:pt idx="101">
                  <c:v>19.233333333333334</c:v>
                </c:pt>
                <c:pt idx="102">
                  <c:v>23.261290322580646</c:v>
                </c:pt>
                <c:pt idx="103">
                  <c:v>22.409677419354832</c:v>
                </c:pt>
                <c:pt idx="104">
                  <c:v>16.446666666666665</c:v>
                </c:pt>
                <c:pt idx="105">
                  <c:v>10.206451612903221</c:v>
                </c:pt>
                <c:pt idx="106">
                  <c:v>4.4900000000000011</c:v>
                </c:pt>
                <c:pt idx="107">
                  <c:v>-3.8129032258064517</c:v>
                </c:pt>
                <c:pt idx="108">
                  <c:v>-7.0096774193548388</c:v>
                </c:pt>
                <c:pt idx="109">
                  <c:v>-5.364285714285713</c:v>
                </c:pt>
                <c:pt idx="110">
                  <c:v>-0.4774193548387099</c:v>
                </c:pt>
                <c:pt idx="111">
                  <c:v>6.9233333333333329</c:v>
                </c:pt>
                <c:pt idx="112">
                  <c:v>14.093548387096776</c:v>
                </c:pt>
                <c:pt idx="113">
                  <c:v>19.106666666666666</c:v>
                </c:pt>
                <c:pt idx="114">
                  <c:v>24.396774193548385</c:v>
                </c:pt>
                <c:pt idx="115">
                  <c:v>21.941935483870971</c:v>
                </c:pt>
                <c:pt idx="116">
                  <c:v>17.709999999999997</c:v>
                </c:pt>
                <c:pt idx="117">
                  <c:v>10.483870967741938</c:v>
                </c:pt>
                <c:pt idx="118">
                  <c:v>6.6033333333333335</c:v>
                </c:pt>
                <c:pt idx="119">
                  <c:v>0.77419354838709664</c:v>
                </c:pt>
                <c:pt idx="120">
                  <c:v>-1.7129032258064516</c:v>
                </c:pt>
                <c:pt idx="121">
                  <c:v>-0.33448275862068977</c:v>
                </c:pt>
                <c:pt idx="122">
                  <c:v>6.7354838709677418</c:v>
                </c:pt>
                <c:pt idx="123">
                  <c:v>7.2766666666666673</c:v>
                </c:pt>
                <c:pt idx="124">
                  <c:v>16.58064516129032</c:v>
                </c:pt>
                <c:pt idx="125">
                  <c:v>20.613333333333333</c:v>
                </c:pt>
                <c:pt idx="126">
                  <c:v>24.303225806451614</c:v>
                </c:pt>
                <c:pt idx="127">
                  <c:v>21.551612903225806</c:v>
                </c:pt>
                <c:pt idx="128">
                  <c:v>16.353333333333335</c:v>
                </c:pt>
                <c:pt idx="129">
                  <c:v>10.212903225806452</c:v>
                </c:pt>
                <c:pt idx="130">
                  <c:v>3.5333333333333332</c:v>
                </c:pt>
                <c:pt idx="131">
                  <c:v>0.79032258064516181</c:v>
                </c:pt>
                <c:pt idx="132">
                  <c:v>-2.1451612903225801</c:v>
                </c:pt>
                <c:pt idx="133">
                  <c:v>-4.5535714285714288</c:v>
                </c:pt>
                <c:pt idx="134">
                  <c:v>0.10322580645161282</c:v>
                </c:pt>
                <c:pt idx="135">
                  <c:v>6.0466666666666669</c:v>
                </c:pt>
                <c:pt idx="136">
                  <c:v>15.225806451612904</c:v>
                </c:pt>
                <c:pt idx="137">
                  <c:v>18.886666666666667</c:v>
                </c:pt>
                <c:pt idx="138">
                  <c:v>22.299999999999994</c:v>
                </c:pt>
                <c:pt idx="139">
                  <c:v>20.883870967741935</c:v>
                </c:pt>
                <c:pt idx="140">
                  <c:v>15.936666666666666</c:v>
                </c:pt>
                <c:pt idx="141">
                  <c:v>10.796774193548389</c:v>
                </c:pt>
                <c:pt idx="142">
                  <c:v>2.06</c:v>
                </c:pt>
                <c:pt idx="143">
                  <c:v>-4.1903225806451623</c:v>
                </c:pt>
                <c:pt idx="144">
                  <c:v>-8.6419354838709683</c:v>
                </c:pt>
                <c:pt idx="145">
                  <c:v>-8.3250000000000011</c:v>
                </c:pt>
                <c:pt idx="146">
                  <c:v>-4.2774193548387096</c:v>
                </c:pt>
                <c:pt idx="147">
                  <c:v>6.1033333333333335</c:v>
                </c:pt>
                <c:pt idx="148">
                  <c:v>14.122580645161293</c:v>
                </c:pt>
                <c:pt idx="149">
                  <c:v>19.8</c:v>
                </c:pt>
                <c:pt idx="150">
                  <c:v>20.161290322580641</c:v>
                </c:pt>
                <c:pt idx="151">
                  <c:v>20.35483870967742</c:v>
                </c:pt>
                <c:pt idx="152">
                  <c:v>16.68</c:v>
                </c:pt>
                <c:pt idx="153">
                  <c:v>10.806451612903228</c:v>
                </c:pt>
                <c:pt idx="154">
                  <c:v>1.9300000000000002</c:v>
                </c:pt>
                <c:pt idx="155">
                  <c:v>2.2580645161290443E-2</c:v>
                </c:pt>
                <c:pt idx="156">
                  <c:v>-7.5612903225806471</c:v>
                </c:pt>
                <c:pt idx="157">
                  <c:v>-12.6</c:v>
                </c:pt>
                <c:pt idx="158">
                  <c:v>-1.8548387096774195</c:v>
                </c:pt>
                <c:pt idx="159">
                  <c:v>7.543333333333333</c:v>
                </c:pt>
                <c:pt idx="160">
                  <c:v>16.21935483870968</c:v>
                </c:pt>
                <c:pt idx="161">
                  <c:v>17.95</c:v>
                </c:pt>
                <c:pt idx="162">
                  <c:v>21.558064516129033</c:v>
                </c:pt>
                <c:pt idx="163">
                  <c:v>20.716129032258063</c:v>
                </c:pt>
                <c:pt idx="164">
                  <c:v>19.693333333333332</c:v>
                </c:pt>
                <c:pt idx="165">
                  <c:v>9.9419354838709673</c:v>
                </c:pt>
                <c:pt idx="166">
                  <c:v>6.5000000000000009</c:v>
                </c:pt>
                <c:pt idx="167">
                  <c:v>4.1387096774193548</c:v>
                </c:pt>
                <c:pt idx="168">
                  <c:v>-3.6258064516129025</c:v>
                </c:pt>
                <c:pt idx="169">
                  <c:v>-2.2896551724137932</c:v>
                </c:pt>
                <c:pt idx="170">
                  <c:v>2.6419354838709674</c:v>
                </c:pt>
                <c:pt idx="171">
                  <c:v>4.8400000000000007</c:v>
                </c:pt>
                <c:pt idx="172">
                  <c:v>14.593548387096776</c:v>
                </c:pt>
                <c:pt idx="173">
                  <c:v>19.983333333333334</c:v>
                </c:pt>
                <c:pt idx="174">
                  <c:v>23.70645161290323</c:v>
                </c:pt>
                <c:pt idx="175">
                  <c:v>24.303225806451611</c:v>
                </c:pt>
                <c:pt idx="176">
                  <c:v>19.45</c:v>
                </c:pt>
                <c:pt idx="177">
                  <c:v>11.867741935483874</c:v>
                </c:pt>
                <c:pt idx="178">
                  <c:v>6.7400000000000029</c:v>
                </c:pt>
                <c:pt idx="179">
                  <c:v>-1.6129032258064513</c:v>
                </c:pt>
                <c:pt idx="180">
                  <c:v>-1.6419354838709674</c:v>
                </c:pt>
                <c:pt idx="181">
                  <c:v>-0.22857142857142865</c:v>
                </c:pt>
                <c:pt idx="182">
                  <c:v>-0.5161290322580645</c:v>
                </c:pt>
                <c:pt idx="183">
                  <c:v>9.4166666666666643</c:v>
                </c:pt>
                <c:pt idx="184">
                  <c:v>12.580645161290324</c:v>
                </c:pt>
                <c:pt idx="185">
                  <c:v>19.383333333333329</c:v>
                </c:pt>
                <c:pt idx="186">
                  <c:v>21.758064516129032</c:v>
                </c:pt>
                <c:pt idx="187">
                  <c:v>20.051612903225806</c:v>
                </c:pt>
                <c:pt idx="188">
                  <c:v>18.746666666666666</c:v>
                </c:pt>
                <c:pt idx="189">
                  <c:v>13.293548387096774</c:v>
                </c:pt>
                <c:pt idx="190">
                  <c:v>3.6866666666666674</c:v>
                </c:pt>
                <c:pt idx="191">
                  <c:v>-5.1774193548387109</c:v>
                </c:pt>
                <c:pt idx="192">
                  <c:v>-5.6225806451612907</c:v>
                </c:pt>
                <c:pt idx="193">
                  <c:v>-1.8214285714285698</c:v>
                </c:pt>
                <c:pt idx="194">
                  <c:v>0.1290322580645161</c:v>
                </c:pt>
                <c:pt idx="195">
                  <c:v>3.4266666666666667</c:v>
                </c:pt>
                <c:pt idx="196">
                  <c:v>16.970967741935482</c:v>
                </c:pt>
                <c:pt idx="197">
                  <c:v>19.523333333333333</c:v>
                </c:pt>
                <c:pt idx="198">
                  <c:v>23.412903225806449</c:v>
                </c:pt>
                <c:pt idx="199">
                  <c:v>23.199999999999996</c:v>
                </c:pt>
                <c:pt idx="200">
                  <c:v>18.993333333333339</c:v>
                </c:pt>
                <c:pt idx="201">
                  <c:v>8.9290322580645149</c:v>
                </c:pt>
                <c:pt idx="202">
                  <c:v>1.5300000000000002</c:v>
                </c:pt>
                <c:pt idx="203">
                  <c:v>-0.18064516129032263</c:v>
                </c:pt>
                <c:pt idx="204">
                  <c:v>-6.661290322580645</c:v>
                </c:pt>
                <c:pt idx="205">
                  <c:v>-4.2035714285714283</c:v>
                </c:pt>
                <c:pt idx="206">
                  <c:v>-1.1580645161290322</c:v>
                </c:pt>
                <c:pt idx="207">
                  <c:v>6.44</c:v>
                </c:pt>
                <c:pt idx="208">
                  <c:v>11.7741935483871</c:v>
                </c:pt>
                <c:pt idx="209">
                  <c:v>18.193333333333335</c:v>
                </c:pt>
                <c:pt idx="210">
                  <c:v>23.383870967741931</c:v>
                </c:pt>
                <c:pt idx="211">
                  <c:v>21.303225806451607</c:v>
                </c:pt>
                <c:pt idx="212">
                  <c:v>17.566666666666666</c:v>
                </c:pt>
                <c:pt idx="213">
                  <c:v>10.53548387096774</c:v>
                </c:pt>
                <c:pt idx="214">
                  <c:v>0.89000000000000024</c:v>
                </c:pt>
                <c:pt idx="215">
                  <c:v>-0.78709677419354829</c:v>
                </c:pt>
                <c:pt idx="216">
                  <c:v>-1.5161290322580645</c:v>
                </c:pt>
                <c:pt idx="217">
                  <c:v>-3.0965517241379308</c:v>
                </c:pt>
                <c:pt idx="218">
                  <c:v>3.2032258064516133</c:v>
                </c:pt>
                <c:pt idx="219">
                  <c:v>5.9233333333333338</c:v>
                </c:pt>
                <c:pt idx="220">
                  <c:v>12.06774193548387</c:v>
                </c:pt>
                <c:pt idx="221">
                  <c:v>20.463333333333331</c:v>
                </c:pt>
                <c:pt idx="222">
                  <c:v>24.958064516129035</c:v>
                </c:pt>
                <c:pt idx="223">
                  <c:v>22.06129032258065</c:v>
                </c:pt>
                <c:pt idx="224">
                  <c:v>16.806666666666665</c:v>
                </c:pt>
                <c:pt idx="225">
                  <c:v>9.2806451612903249</c:v>
                </c:pt>
                <c:pt idx="226">
                  <c:v>6.8400000000000016</c:v>
                </c:pt>
                <c:pt idx="227">
                  <c:v>-0.30000000000000004</c:v>
                </c:pt>
                <c:pt idx="228">
                  <c:v>-2.6451612903225805</c:v>
                </c:pt>
                <c:pt idx="229">
                  <c:v>-5.3464285714285724</c:v>
                </c:pt>
                <c:pt idx="230">
                  <c:v>3.1387096774193552</c:v>
                </c:pt>
                <c:pt idx="231">
                  <c:v>7.9200000000000017</c:v>
                </c:pt>
                <c:pt idx="232">
                  <c:v>13.60322580645161</c:v>
                </c:pt>
              </c:numCache>
            </c:numRef>
          </c:xVal>
          <c:yVal>
            <c:numRef>
              <c:f>Weather!$EI$2:$EI$234</c:f>
              <c:numCache>
                <c:formatCode>_(* #,##0_);_(* \(#,##0\);_(* "-"??_);_(@_)</c:formatCode>
                <c:ptCount val="233"/>
                <c:pt idx="108">
                  <c:v>16717266.821217919</c:v>
                </c:pt>
                <c:pt idx="109">
                  <c:v>15751669.901217917</c:v>
                </c:pt>
                <c:pt idx="110">
                  <c:v>16670464.701217921</c:v>
                </c:pt>
                <c:pt idx="111">
                  <c:v>14963148.60121792</c:v>
                </c:pt>
                <c:pt idx="112">
                  <c:v>15480338.171217926</c:v>
                </c:pt>
                <c:pt idx="113">
                  <c:v>16377529.561217919</c:v>
                </c:pt>
                <c:pt idx="114">
                  <c:v>17038934.041217919</c:v>
                </c:pt>
                <c:pt idx="115">
                  <c:v>16792927.091217916</c:v>
                </c:pt>
                <c:pt idx="116">
                  <c:v>15759561.551217917</c:v>
                </c:pt>
                <c:pt idx="117">
                  <c:v>15586290.931217926</c:v>
                </c:pt>
                <c:pt idx="118">
                  <c:v>15941400.461217923</c:v>
                </c:pt>
                <c:pt idx="119">
                  <c:v>16816631.181217916</c:v>
                </c:pt>
                <c:pt idx="120">
                  <c:v>16785266.463490896</c:v>
                </c:pt>
                <c:pt idx="121">
                  <c:v>16079301.203490896</c:v>
                </c:pt>
                <c:pt idx="122">
                  <c:v>16537471.803490892</c:v>
                </c:pt>
                <c:pt idx="123">
                  <c:v>14880264.923490893</c:v>
                </c:pt>
                <c:pt idx="124">
                  <c:v>17082202.913490895</c:v>
                </c:pt>
                <c:pt idx="125">
                  <c:v>16878400.213490888</c:v>
                </c:pt>
                <c:pt idx="126">
                  <c:v>17160081.253490891</c:v>
                </c:pt>
                <c:pt idx="127">
                  <c:v>16796041.313490894</c:v>
                </c:pt>
                <c:pt idx="128">
                  <c:v>15640179.133490894</c:v>
                </c:pt>
                <c:pt idx="129">
                  <c:v>15988881.633490898</c:v>
                </c:pt>
                <c:pt idx="130">
                  <c:v>16432215.043490896</c:v>
                </c:pt>
                <c:pt idx="131">
                  <c:v>16691357.483490892</c:v>
                </c:pt>
                <c:pt idx="132">
                  <c:v>17334132.91204248</c:v>
                </c:pt>
                <c:pt idx="133">
                  <c:v>16623683.162042486</c:v>
                </c:pt>
                <c:pt idx="134">
                  <c:v>17463321.022042483</c:v>
                </c:pt>
                <c:pt idx="135">
                  <c:v>16662389.712042477</c:v>
                </c:pt>
                <c:pt idx="136">
                  <c:v>16900534.112042483</c:v>
                </c:pt>
                <c:pt idx="137">
                  <c:v>17093096.532042481</c:v>
                </c:pt>
                <c:pt idx="138">
                  <c:v>18142506.432042487</c:v>
                </c:pt>
                <c:pt idx="139">
                  <c:v>17778187.962042481</c:v>
                </c:pt>
                <c:pt idx="140">
                  <c:v>16668477.222042486</c:v>
                </c:pt>
                <c:pt idx="141">
                  <c:v>17233627.082042478</c:v>
                </c:pt>
                <c:pt idx="142">
                  <c:v>16723236.692042481</c:v>
                </c:pt>
                <c:pt idx="143">
                  <c:v>18692544.082042485</c:v>
                </c:pt>
                <c:pt idx="144">
                  <c:v>18955499.508963756</c:v>
                </c:pt>
                <c:pt idx="145">
                  <c:v>17790077.53896375</c:v>
                </c:pt>
                <c:pt idx="146">
                  <c:v>18916153.298963755</c:v>
                </c:pt>
                <c:pt idx="147">
                  <c:v>17106261.98896376</c:v>
                </c:pt>
                <c:pt idx="148">
                  <c:v>16785651.398963757</c:v>
                </c:pt>
                <c:pt idx="149">
                  <c:v>17153006.328963753</c:v>
                </c:pt>
                <c:pt idx="150">
                  <c:v>17167656.628963754</c:v>
                </c:pt>
                <c:pt idx="151">
                  <c:v>17092221.068963751</c:v>
                </c:pt>
                <c:pt idx="152">
                  <c:v>16842020.668963756</c:v>
                </c:pt>
                <c:pt idx="153">
                  <c:v>16968667.128963754</c:v>
                </c:pt>
                <c:pt idx="154">
                  <c:v>17485013.278963756</c:v>
                </c:pt>
                <c:pt idx="155">
                  <c:v>18431183.118963756</c:v>
                </c:pt>
                <c:pt idx="156">
                  <c:v>19430730.418670163</c:v>
                </c:pt>
                <c:pt idx="157">
                  <c:v>18338750.900597889</c:v>
                </c:pt>
                <c:pt idx="158">
                  <c:v>18807365.387344867</c:v>
                </c:pt>
                <c:pt idx="159">
                  <c:v>17034456.596983433</c:v>
                </c:pt>
                <c:pt idx="160">
                  <c:v>17537336.143971372</c:v>
                </c:pt>
                <c:pt idx="161">
                  <c:v>17201197.724694267</c:v>
                </c:pt>
                <c:pt idx="162">
                  <c:v>18093211.662043665</c:v>
                </c:pt>
                <c:pt idx="163">
                  <c:v>17648873.695778605</c:v>
                </c:pt>
                <c:pt idx="164">
                  <c:v>17847440.221079815</c:v>
                </c:pt>
                <c:pt idx="165">
                  <c:v>16827940.095778607</c:v>
                </c:pt>
                <c:pt idx="166">
                  <c:v>16684572.645176196</c:v>
                </c:pt>
                <c:pt idx="167">
                  <c:v>16658204.809031619</c:v>
                </c:pt>
                <c:pt idx="168">
                  <c:v>18392987.23202993</c:v>
                </c:pt>
                <c:pt idx="169">
                  <c:v>17502931.916367285</c:v>
                </c:pt>
                <c:pt idx="170">
                  <c:v>17615636.032029931</c:v>
                </c:pt>
                <c:pt idx="171">
                  <c:v>16891925.130825114</c:v>
                </c:pt>
                <c:pt idx="172">
                  <c:v>16602755.501909452</c:v>
                </c:pt>
                <c:pt idx="173">
                  <c:v>17495167.299499799</c:v>
                </c:pt>
                <c:pt idx="174">
                  <c:v>18373376.195885357</c:v>
                </c:pt>
                <c:pt idx="175">
                  <c:v>19193976.494680539</c:v>
                </c:pt>
                <c:pt idx="176">
                  <c:v>17890059.858535945</c:v>
                </c:pt>
                <c:pt idx="177">
                  <c:v>16939090.046487764</c:v>
                </c:pt>
                <c:pt idx="178">
                  <c:v>17048086.017572101</c:v>
                </c:pt>
                <c:pt idx="179">
                  <c:v>18662560.716367282</c:v>
                </c:pt>
                <c:pt idx="180">
                  <c:v>19659234.081595186</c:v>
                </c:pt>
                <c:pt idx="181">
                  <c:v>17436974.630992774</c:v>
                </c:pt>
                <c:pt idx="182">
                  <c:v>19634422.014125314</c:v>
                </c:pt>
                <c:pt idx="183">
                  <c:v>17013785.724968679</c:v>
                </c:pt>
                <c:pt idx="184">
                  <c:v>18093877.252679512</c:v>
                </c:pt>
                <c:pt idx="185">
                  <c:v>19315178.650269885</c:v>
                </c:pt>
                <c:pt idx="186">
                  <c:v>19549131.777980741</c:v>
                </c:pt>
                <c:pt idx="187">
                  <c:v>19412331.565932523</c:v>
                </c:pt>
                <c:pt idx="188">
                  <c:v>19254316.134607218</c:v>
                </c:pt>
                <c:pt idx="189">
                  <c:v>18460397.773161445</c:v>
                </c:pt>
                <c:pt idx="190">
                  <c:v>18666476.115330122</c:v>
                </c:pt>
                <c:pt idx="191">
                  <c:v>19446811.238221694</c:v>
                </c:pt>
                <c:pt idx="192">
                  <c:v>21184390.447006177</c:v>
                </c:pt>
                <c:pt idx="193">
                  <c:v>18766666.803632692</c:v>
                </c:pt>
                <c:pt idx="194">
                  <c:v>17697661.348210998</c:v>
                </c:pt>
                <c:pt idx="195">
                  <c:v>19284257.097608585</c:v>
                </c:pt>
                <c:pt idx="196">
                  <c:v>19795859.748211004</c:v>
                </c:pt>
                <c:pt idx="197">
                  <c:v>21072458.919295345</c:v>
                </c:pt>
                <c:pt idx="198">
                  <c:v>20882452.104837507</c:v>
                </c:pt>
                <c:pt idx="199">
                  <c:v>21499366.514476053</c:v>
                </c:pt>
                <c:pt idx="200">
                  <c:v>19842338.148211002</c:v>
                </c:pt>
                <c:pt idx="201">
                  <c:v>19326961.830138713</c:v>
                </c:pt>
                <c:pt idx="202">
                  <c:v>19493164.066283286</c:v>
                </c:pt>
                <c:pt idx="203">
                  <c:v>20044221.165078472</c:v>
                </c:pt>
                <c:pt idx="204">
                  <c:v>21620563.218417685</c:v>
                </c:pt>
                <c:pt idx="205">
                  <c:v>19419033.849742986</c:v>
                </c:pt>
                <c:pt idx="206">
                  <c:v>20467345.232875522</c:v>
                </c:pt>
                <c:pt idx="207">
                  <c:v>18962848.172634561</c:v>
                </c:pt>
                <c:pt idx="208">
                  <c:v>19104958.755767088</c:v>
                </c:pt>
                <c:pt idx="209">
                  <c:v>18871763.652152628</c:v>
                </c:pt>
                <c:pt idx="210">
                  <c:v>21610925.483477946</c:v>
                </c:pt>
                <c:pt idx="211">
                  <c:v>20499002.408779137</c:v>
                </c:pt>
                <c:pt idx="212">
                  <c:v>19124595.555767093</c:v>
                </c:pt>
                <c:pt idx="213">
                  <c:v>19237444.143718898</c:v>
                </c:pt>
                <c:pt idx="214">
                  <c:v>19655626.620827332</c:v>
                </c:pt>
                <c:pt idx="215">
                  <c:v>20768680.182273109</c:v>
                </c:pt>
                <c:pt idx="216">
                  <c:v>22240497.13711904</c:v>
                </c:pt>
                <c:pt idx="217">
                  <c:v>20355118.476878062</c:v>
                </c:pt>
                <c:pt idx="218">
                  <c:v>19763421.609408177</c:v>
                </c:pt>
                <c:pt idx="219">
                  <c:v>17089130.553986501</c:v>
                </c:pt>
                <c:pt idx="220">
                  <c:v>17090225.378082871</c:v>
                </c:pt>
                <c:pt idx="221">
                  <c:v>18398254.573263608</c:v>
                </c:pt>
                <c:pt idx="222">
                  <c:v>20433793.725070819</c:v>
                </c:pt>
                <c:pt idx="223">
                  <c:v>19508210.264829874</c:v>
                </c:pt>
                <c:pt idx="224">
                  <c:v>18413970.168444328</c:v>
                </c:pt>
                <c:pt idx="225">
                  <c:v>18353398.004588902</c:v>
                </c:pt>
                <c:pt idx="226">
                  <c:v>18350168.269649133</c:v>
                </c:pt>
                <c:pt idx="227">
                  <c:v>19370101.339528672</c:v>
                </c:pt>
                <c:pt idx="228">
                  <c:v>20686129.996556558</c:v>
                </c:pt>
                <c:pt idx="229">
                  <c:v>19399903.28812281</c:v>
                </c:pt>
                <c:pt idx="230">
                  <c:v>19460488.801375829</c:v>
                </c:pt>
                <c:pt idx="231">
                  <c:v>17754694.584508352</c:v>
                </c:pt>
                <c:pt idx="232">
                  <c:v>17924133.967640873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94-405E-B8F0-6C3A232C5CA4}"/>
            </c:ext>
          </c:extLst>
        </c:ser>
        <c:ser>
          <c:idx val="1"/>
          <c:order val="1"/>
          <c:tx>
            <c:strRef>
              <c:f>Weather!$EM$1</c:f>
              <c:strCache>
                <c:ptCount val="1"/>
                <c:pt idx="0">
                  <c:v> Predicted GS&gt;50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Weather!$C$110:$C$235</c:f>
              <c:numCache>
                <c:formatCode>0</c:formatCode>
                <c:ptCount val="126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  <c:pt idx="125">
                  <c:v>21.833333333333329</c:v>
                </c:pt>
              </c:numCache>
            </c:numRef>
          </c:xVal>
          <c:yVal>
            <c:numRef>
              <c:f>Weather!$EM$110:$EM$235</c:f>
              <c:numCache>
                <c:formatCode>_(* #,##0_);_(* \(#,##0\);_(* "-"??_);_(@_)</c:formatCode>
                <c:ptCount val="126"/>
                <c:pt idx="0">
                  <c:v>17892416.621512532</c:v>
                </c:pt>
                <c:pt idx="1">
                  <c:v>17775638.622374278</c:v>
                </c:pt>
                <c:pt idx="2">
                  <c:v>17686964.451004311</c:v>
                </c:pt>
                <c:pt idx="3">
                  <c:v>17444987.450183518</c:v>
                </c:pt>
                <c:pt idx="4">
                  <c:v>17372174.003719274</c:v>
                </c:pt>
                <c:pt idx="5">
                  <c:v>17571066.459243458</c:v>
                </c:pt>
                <c:pt idx="6">
                  <c:v>18224470.028740145</c:v>
                </c:pt>
                <c:pt idx="7">
                  <c:v>17915815.580699876</c:v>
                </c:pt>
                <c:pt idx="8">
                  <c:v>17490364.526691929</c:v>
                </c:pt>
                <c:pt idx="9">
                  <c:v>17391394.336994</c:v>
                </c:pt>
                <c:pt idx="10">
                  <c:v>17454727.404933538</c:v>
                </c:pt>
                <c:pt idx="11">
                  <c:v>17647598.800556317</c:v>
                </c:pt>
                <c:pt idx="12">
                  <c:v>17725822.812142409</c:v>
                </c:pt>
                <c:pt idx="13">
                  <c:v>17649323.584209967</c:v>
                </c:pt>
                <c:pt idx="14">
                  <c:v>17475316.125534605</c:v>
                </c:pt>
                <c:pt idx="15">
                  <c:v>17441331.595307913</c:v>
                </c:pt>
                <c:pt idx="16">
                  <c:v>17475980.390663218</c:v>
                </c:pt>
                <c:pt idx="17">
                  <c:v>17778731.737564772</c:v>
                </c:pt>
                <c:pt idx="18">
                  <c:v>18212707.901285261</c:v>
                </c:pt>
                <c:pt idx="19">
                  <c:v>17866739.117870871</c:v>
                </c:pt>
                <c:pt idx="20">
                  <c:v>17456614.703864478</c:v>
                </c:pt>
                <c:pt idx="21">
                  <c:v>17373550.277278926</c:v>
                </c:pt>
                <c:pt idx="22">
                  <c:v>17548170.095816534</c:v>
                </c:pt>
                <c:pt idx="23">
                  <c:v>17647091.51124642</c:v>
                </c:pt>
                <c:pt idx="24">
                  <c:v>17739418.165647645</c:v>
                </c:pt>
                <c:pt idx="25">
                  <c:v>17752607.687704962</c:v>
                </c:pt>
                <c:pt idx="26">
                  <c:v>17668702.035848025</c:v>
                </c:pt>
                <c:pt idx="27">
                  <c:v>17471670.867884092</c:v>
                </c:pt>
                <c:pt idx="28">
                  <c:v>17426816.920733728</c:v>
                </c:pt>
                <c:pt idx="29">
                  <c:v>17584354.308164436</c:v>
                </c:pt>
                <c:pt idx="30">
                  <c:v>17960836.137509953</c:v>
                </c:pt>
                <c:pt idx="31">
                  <c:v>17782781.863279101</c:v>
                </c:pt>
                <c:pt idx="32">
                  <c:v>17410479.314802751</c:v>
                </c:pt>
                <c:pt idx="33">
                  <c:v>17356200.501188405</c:v>
                </c:pt>
                <c:pt idx="34">
                  <c:v>17593014.470811415</c:v>
                </c:pt>
                <c:pt idx="35">
                  <c:v>17803742.450142562</c:v>
                </c:pt>
                <c:pt idx="36">
                  <c:v>17943754.299674094</c:v>
                </c:pt>
                <c:pt idx="37">
                  <c:v>17859747.189955175</c:v>
                </c:pt>
                <c:pt idx="38">
                  <c:v>17806481.812416006</c:v>
                </c:pt>
                <c:pt idx="39">
                  <c:v>17469946.084230442</c:v>
                </c:pt>
                <c:pt idx="40">
                  <c:v>17346922.556695607</c:v>
                </c:pt>
                <c:pt idx="41">
                  <c:v>17645288.335159682</c:v>
                </c:pt>
                <c:pt idx="42">
                  <c:v>17691929.568455156</c:v>
                </c:pt>
                <c:pt idx="43">
                  <c:v>17721335.489207432</c:v>
                </c:pt>
                <c:pt idx="44">
                  <c:v>17450728.221101474</c:v>
                </c:pt>
                <c:pt idx="45">
                  <c:v>17364008.903024416</c:v>
                </c:pt>
                <c:pt idx="46">
                  <c:v>17596971.327428613</c:v>
                </c:pt>
                <c:pt idx="47">
                  <c:v>17671238.482397508</c:v>
                </c:pt>
                <c:pt idx="48">
                  <c:v>17909765.915911004</c:v>
                </c:pt>
                <c:pt idx="49">
                  <c:v>17981192.250744477</c:v>
                </c:pt>
                <c:pt idx="50">
                  <c:v>17730286.958069503</c:v>
                </c:pt>
                <c:pt idx="51">
                  <c:v>17426116.287855357</c:v>
                </c:pt>
                <c:pt idx="52">
                  <c:v>17484808.428885546</c:v>
                </c:pt>
                <c:pt idx="53">
                  <c:v>17478496.124454565</c:v>
                </c:pt>
                <c:pt idx="54">
                  <c:v>17867550.299074654</c:v>
                </c:pt>
                <c:pt idx="55">
                  <c:v>17761691.151980687</c:v>
                </c:pt>
                <c:pt idx="56">
                  <c:v>17683521.33075019</c:v>
                </c:pt>
                <c:pt idx="57">
                  <c:v>17373452.913799368</c:v>
                </c:pt>
                <c:pt idx="58">
                  <c:v>17457872.5986549</c:v>
                </c:pt>
                <c:pt idx="59">
                  <c:v>17541778.250511836</c:v>
                </c:pt>
                <c:pt idx="60">
                  <c:v>17785987.324296173</c:v>
                </c:pt>
                <c:pt idx="61">
                  <c:v>17706850.191952266</c:v>
                </c:pt>
                <c:pt idx="62">
                  <c:v>17588854.698470261</c:v>
                </c:pt>
                <c:pt idx="63">
                  <c:v>17509919.759312239</c:v>
                </c:pt>
                <c:pt idx="64">
                  <c:v>17510083.719665676</c:v>
                </c:pt>
                <c:pt idx="65">
                  <c:v>17700046.91995158</c:v>
                </c:pt>
                <c:pt idx="66">
                  <c:v>18137673.639935128</c:v>
                </c:pt>
                <c:pt idx="67">
                  <c:v>18212707.901285261</c:v>
                </c:pt>
                <c:pt idx="68">
                  <c:v>17631096.03593779</c:v>
                </c:pt>
                <c:pt idx="69">
                  <c:v>17382855.258212019</c:v>
                </c:pt>
                <c:pt idx="70">
                  <c:v>17450567.632592384</c:v>
                </c:pt>
                <c:pt idx="71">
                  <c:v>17722677.618421048</c:v>
                </c:pt>
                <c:pt idx="72">
                  <c:v>17723590.739178862</c:v>
                </c:pt>
                <c:pt idx="73">
                  <c:v>17629742.216847949</c:v>
                </c:pt>
                <c:pt idx="74">
                  <c:v>17688181.945348065</c:v>
                </c:pt>
                <c:pt idx="75">
                  <c:v>17380252.035628136</c:v>
                </c:pt>
                <c:pt idx="76">
                  <c:v>17377165.670022354</c:v>
                </c:pt>
                <c:pt idx="77">
                  <c:v>17625012.417755425</c:v>
                </c:pt>
                <c:pt idx="78">
                  <c:v>17892696.916391995</c:v>
                </c:pt>
                <c:pt idx="79">
                  <c:v>17687773.408804376</c:v>
                </c:pt>
                <c:pt idx="80">
                  <c:v>17630700.560868941</c:v>
                </c:pt>
                <c:pt idx="81">
                  <c:v>17352208.240205552</c:v>
                </c:pt>
                <c:pt idx="82">
                  <c:v>17543503.034165487</c:v>
                </c:pt>
                <c:pt idx="83">
                  <c:v>17834788.555908252</c:v>
                </c:pt>
                <c:pt idx="84">
                  <c:v>17848789.740861405</c:v>
                </c:pt>
                <c:pt idx="85">
                  <c:v>17674992.423290744</c:v>
                </c:pt>
                <c:pt idx="86">
                  <c:v>17667890.372952189</c:v>
                </c:pt>
                <c:pt idx="87">
                  <c:v>17551416.747399874</c:v>
                </c:pt>
                <c:pt idx="88">
                  <c:v>17490070.509485058</c:v>
                </c:pt>
                <c:pt idx="89">
                  <c:v>17626328.720654882</c:v>
                </c:pt>
                <c:pt idx="90">
                  <c:v>18100764.895162903</c:v>
                </c:pt>
                <c:pt idx="91">
                  <c:v>18073995.915437989</c:v>
                </c:pt>
                <c:pt idx="92">
                  <c:v>17660207.216945119</c:v>
                </c:pt>
                <c:pt idx="93">
                  <c:v>17452973.238064852</c:v>
                </c:pt>
                <c:pt idx="94">
                  <c:v>17609146.270866137</c:v>
                </c:pt>
                <c:pt idx="95">
                  <c:v>17677630.327702209</c:v>
                </c:pt>
                <c:pt idx="96">
                  <c:v>17881459.172418758</c:v>
                </c:pt>
                <c:pt idx="97">
                  <c:v>17742664.817230985</c:v>
                </c:pt>
                <c:pt idx="98">
                  <c:v>17708372.059881959</c:v>
                </c:pt>
                <c:pt idx="99">
                  <c:v>17459698.840170529</c:v>
                </c:pt>
                <c:pt idx="100">
                  <c:v>17324951.720544782</c:v>
                </c:pt>
                <c:pt idx="101">
                  <c:v>17505568.996073365</c:v>
                </c:pt>
                <c:pt idx="102">
                  <c:v>18097114.579745866</c:v>
                </c:pt>
                <c:pt idx="103">
                  <c:v>17835508.641525138</c:v>
                </c:pt>
                <c:pt idx="104">
                  <c:v>17418669.945176244</c:v>
                </c:pt>
                <c:pt idx="105">
                  <c:v>17379630.04192489</c:v>
                </c:pt>
                <c:pt idx="106">
                  <c:v>17628626.180366173</c:v>
                </c:pt>
                <c:pt idx="107">
                  <c:v>17696704.405754331</c:v>
                </c:pt>
                <c:pt idx="108">
                  <c:v>17719633.882561669</c:v>
                </c:pt>
                <c:pt idx="109">
                  <c:v>17730591.331655439</c:v>
                </c:pt>
                <c:pt idx="110">
                  <c:v>17571201.030485854</c:v>
                </c:pt>
                <c:pt idx="111">
                  <c:v>17475424.808777329</c:v>
                </c:pt>
                <c:pt idx="112">
                  <c:v>17490143.726676621</c:v>
                </c:pt>
                <c:pt idx="113">
                  <c:v>17758959.015087988</c:v>
                </c:pt>
                <c:pt idx="114">
                  <c:v>18295042.793469459</c:v>
                </c:pt>
                <c:pt idx="115">
                  <c:v>17930822.432969902</c:v>
                </c:pt>
                <c:pt idx="116">
                  <c:v>17447379.870810129</c:v>
                </c:pt>
                <c:pt idx="117">
                  <c:v>17382589.660836086</c:v>
                </c:pt>
                <c:pt idx="118">
                  <c:v>17448030.945196874</c:v>
                </c:pt>
                <c:pt idx="119">
                  <c:v>17681384.268595446</c:v>
                </c:pt>
                <c:pt idx="120">
                  <c:v>17755144.134254448</c:v>
                </c:pt>
                <c:pt idx="121">
                  <c:v>17775131.333064381</c:v>
                </c:pt>
                <c:pt idx="122">
                  <c:v>17573230.18772544</c:v>
                </c:pt>
                <c:pt idx="123">
                  <c:v>17414651.549451686</c:v>
                </c:pt>
                <c:pt idx="124">
                  <c:v>17469737.449887395</c:v>
                </c:pt>
                <c:pt idx="125">
                  <c:v>17884585.826892219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94-405E-B8F0-6C3A232C5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Monthly Tempurature (</a:t>
                </a:r>
                <a:r>
                  <a:rPr lang="en-US" sz="1000" b="0" i="0" u="none" strike="noStrike" baseline="0">
                    <a:effectLst/>
                  </a:rPr>
                  <a:t>°</a:t>
                </a:r>
                <a:r>
                  <a:rPr lang="en-US" baseline="0"/>
                  <a:t>C)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Purchases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Residential!$F$2</c:f>
              <c:strCache>
                <c:ptCount val="1"/>
                <c:pt idx="0">
                  <c:v>Used + 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Residential!$A$3:$A$158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Residential!$F$3:$F$134</c:f>
              <c:numCache>
                <c:formatCode>_(* #,##0_);_(* \(#,##0\);_(* "-"??_);_(@_)</c:formatCode>
                <c:ptCount val="132"/>
                <c:pt idx="0">
                  <c:v>23733365.085325282</c:v>
                </c:pt>
                <c:pt idx="1">
                  <c:v>22310529.535325348</c:v>
                </c:pt>
                <c:pt idx="2">
                  <c:v>20561511.105325352</c:v>
                </c:pt>
                <c:pt idx="3">
                  <c:v>18196504.345325314</c:v>
                </c:pt>
                <c:pt idx="4">
                  <c:v>19242436.605325352</c:v>
                </c:pt>
                <c:pt idx="5">
                  <c:v>23455207.885325335</c:v>
                </c:pt>
                <c:pt idx="6">
                  <c:v>29881256.025325283</c:v>
                </c:pt>
                <c:pt idx="7">
                  <c:v>28120502.455325332</c:v>
                </c:pt>
                <c:pt idx="8">
                  <c:v>19919582.535325326</c:v>
                </c:pt>
                <c:pt idx="9">
                  <c:v>18267774.095325306</c:v>
                </c:pt>
                <c:pt idx="10">
                  <c:v>20206933.495325342</c:v>
                </c:pt>
                <c:pt idx="11">
                  <c:v>25108396.295325305</c:v>
                </c:pt>
                <c:pt idx="12">
                  <c:v>22665511.009777255</c:v>
                </c:pt>
                <c:pt idx="13">
                  <c:v>21731631.059777245</c:v>
                </c:pt>
                <c:pt idx="14">
                  <c:v>20010014.379777245</c:v>
                </c:pt>
                <c:pt idx="15">
                  <c:v>18912007.339777257</c:v>
                </c:pt>
                <c:pt idx="16">
                  <c:v>19051304.719777234</c:v>
                </c:pt>
                <c:pt idx="17">
                  <c:v>27958863.159777239</c:v>
                </c:pt>
                <c:pt idx="18">
                  <c:v>33576079.829777248</c:v>
                </c:pt>
                <c:pt idx="19">
                  <c:v>30029439.459777251</c:v>
                </c:pt>
                <c:pt idx="20">
                  <c:v>21238214.669777248</c:v>
                </c:pt>
                <c:pt idx="21">
                  <c:v>19640038.639777251</c:v>
                </c:pt>
                <c:pt idx="22">
                  <c:v>21482109.149777245</c:v>
                </c:pt>
                <c:pt idx="23">
                  <c:v>25647572.909777213</c:v>
                </c:pt>
                <c:pt idx="24">
                  <c:v>24743261.071531244</c:v>
                </c:pt>
                <c:pt idx="25">
                  <c:v>23224532.891531281</c:v>
                </c:pt>
                <c:pt idx="26">
                  <c:v>23052750.88153125</c:v>
                </c:pt>
                <c:pt idx="27">
                  <c:v>19679187.661531229</c:v>
                </c:pt>
                <c:pt idx="28">
                  <c:v>20796344.531531259</c:v>
                </c:pt>
                <c:pt idx="29">
                  <c:v>24720133.67153126</c:v>
                </c:pt>
                <c:pt idx="30">
                  <c:v>31067397.23153127</c:v>
                </c:pt>
                <c:pt idx="31">
                  <c:v>28442759.621531248</c:v>
                </c:pt>
                <c:pt idx="32">
                  <c:v>20912722.881531265</c:v>
                </c:pt>
                <c:pt idx="33">
                  <c:v>20981353.041531246</c:v>
                </c:pt>
                <c:pt idx="34">
                  <c:v>21829613.801531244</c:v>
                </c:pt>
                <c:pt idx="35">
                  <c:v>28911020.861531246</c:v>
                </c:pt>
                <c:pt idx="36">
                  <c:v>26360023.557272851</c:v>
                </c:pt>
                <c:pt idx="37">
                  <c:v>26374215.547272835</c:v>
                </c:pt>
                <c:pt idx="38">
                  <c:v>24141795.047272857</c:v>
                </c:pt>
                <c:pt idx="39">
                  <c:v>22071105.877272848</c:v>
                </c:pt>
                <c:pt idx="40">
                  <c:v>20648893.407272812</c:v>
                </c:pt>
                <c:pt idx="41">
                  <c:v>24572425.267272837</c:v>
                </c:pt>
                <c:pt idx="42">
                  <c:v>28609332.357272841</c:v>
                </c:pt>
                <c:pt idx="43">
                  <c:v>26478984.537272859</c:v>
                </c:pt>
                <c:pt idx="44">
                  <c:v>21763182.987272844</c:v>
                </c:pt>
                <c:pt idx="45">
                  <c:v>21382264.647272848</c:v>
                </c:pt>
                <c:pt idx="46">
                  <c:v>22562429.487272851</c:v>
                </c:pt>
                <c:pt idx="47">
                  <c:v>27673778.197272848</c:v>
                </c:pt>
                <c:pt idx="48">
                  <c:v>28069177.441256527</c:v>
                </c:pt>
                <c:pt idx="49">
                  <c:v>26707165.383425221</c:v>
                </c:pt>
                <c:pt idx="50">
                  <c:v>24478082.20270231</c:v>
                </c:pt>
                <c:pt idx="51">
                  <c:v>20676669.084630042</c:v>
                </c:pt>
                <c:pt idx="52">
                  <c:v>21746093.258124005</c:v>
                </c:pt>
                <c:pt idx="53">
                  <c:v>25107302.887039673</c:v>
                </c:pt>
                <c:pt idx="54">
                  <c:v>31952965.229208339</c:v>
                </c:pt>
                <c:pt idx="55">
                  <c:v>29580077.267762542</c:v>
                </c:pt>
                <c:pt idx="56">
                  <c:v>26608771.542461362</c:v>
                </c:pt>
                <c:pt idx="57">
                  <c:v>21483913.277401097</c:v>
                </c:pt>
                <c:pt idx="58">
                  <c:v>19734087.166557718</c:v>
                </c:pt>
                <c:pt idx="59">
                  <c:v>23600600.062943287</c:v>
                </c:pt>
                <c:pt idx="60">
                  <c:v>26488550.719732195</c:v>
                </c:pt>
                <c:pt idx="61">
                  <c:v>25023617.148647863</c:v>
                </c:pt>
                <c:pt idx="62">
                  <c:v>23461776.319732215</c:v>
                </c:pt>
                <c:pt idx="63">
                  <c:v>22136159.26912979</c:v>
                </c:pt>
                <c:pt idx="64">
                  <c:v>21068139.211298458</c:v>
                </c:pt>
                <c:pt idx="65">
                  <c:v>30493925.726961114</c:v>
                </c:pt>
                <c:pt idx="66">
                  <c:v>36232069.967924938</c:v>
                </c:pt>
                <c:pt idx="67">
                  <c:v>36666591.857081592</c:v>
                </c:pt>
                <c:pt idx="68">
                  <c:v>27451832.531780414</c:v>
                </c:pt>
                <c:pt idx="69">
                  <c:v>19916253.264310535</c:v>
                </c:pt>
                <c:pt idx="70">
                  <c:v>19873181.534190029</c:v>
                </c:pt>
                <c:pt idx="71">
                  <c:v>27978193.948647868</c:v>
                </c:pt>
                <c:pt idx="72">
                  <c:v>27093622.098643739</c:v>
                </c:pt>
                <c:pt idx="73">
                  <c:v>23068759.370932903</c:v>
                </c:pt>
                <c:pt idx="74">
                  <c:v>25389455.235993147</c:v>
                </c:pt>
                <c:pt idx="75">
                  <c:v>20358576.739607595</c:v>
                </c:pt>
                <c:pt idx="76">
                  <c:v>21397367.515511237</c:v>
                </c:pt>
                <c:pt idx="77">
                  <c:v>28536633.10587268</c:v>
                </c:pt>
                <c:pt idx="78">
                  <c:v>29930546.214306407</c:v>
                </c:pt>
                <c:pt idx="79">
                  <c:v>30545492.91310158</c:v>
                </c:pt>
                <c:pt idx="80">
                  <c:v>26816098.763703998</c:v>
                </c:pt>
                <c:pt idx="81">
                  <c:v>21561059.833583519</c:v>
                </c:pt>
                <c:pt idx="82">
                  <c:v>23579172.681776274</c:v>
                </c:pt>
                <c:pt idx="83">
                  <c:v>27478381.028764222</c:v>
                </c:pt>
                <c:pt idx="84">
                  <c:v>29607203.423201349</c:v>
                </c:pt>
                <c:pt idx="85">
                  <c:v>24179288.772598948</c:v>
                </c:pt>
                <c:pt idx="86">
                  <c:v>26124027.606333889</c:v>
                </c:pt>
                <c:pt idx="87">
                  <c:v>22298688.406333879</c:v>
                </c:pt>
                <c:pt idx="88">
                  <c:v>24908740.34850258</c:v>
                </c:pt>
                <c:pt idx="89">
                  <c:v>34041039.172598973</c:v>
                </c:pt>
                <c:pt idx="90">
                  <c:v>35267527.105129071</c:v>
                </c:pt>
                <c:pt idx="91">
                  <c:v>37882496.762960359</c:v>
                </c:pt>
                <c:pt idx="92">
                  <c:v>28623515.240068838</c:v>
                </c:pt>
                <c:pt idx="93">
                  <c:v>23069429.620791711</c:v>
                </c:pt>
                <c:pt idx="94">
                  <c:v>22177389.890671223</c:v>
                </c:pt>
                <c:pt idx="95">
                  <c:v>30826041.620791715</c:v>
                </c:pt>
                <c:pt idx="96">
                  <c:v>30296678.502611879</c:v>
                </c:pt>
                <c:pt idx="97">
                  <c:v>27263823.630322684</c:v>
                </c:pt>
                <c:pt idx="98">
                  <c:v>25289889.885744374</c:v>
                </c:pt>
                <c:pt idx="99">
                  <c:v>24085428.083334759</c:v>
                </c:pt>
                <c:pt idx="100">
                  <c:v>23509154.888154022</c:v>
                </c:pt>
                <c:pt idx="101">
                  <c:v>26580302.01104556</c:v>
                </c:pt>
                <c:pt idx="102">
                  <c:v>38634397.654419079</c:v>
                </c:pt>
                <c:pt idx="103">
                  <c:v>35462351.398997389</c:v>
                </c:pt>
                <c:pt idx="104">
                  <c:v>26458002.714660037</c:v>
                </c:pt>
                <c:pt idx="105">
                  <c:v>23458321.991768487</c:v>
                </c:pt>
                <c:pt idx="106">
                  <c:v>22723875.611045595</c:v>
                </c:pt>
                <c:pt idx="107">
                  <c:v>29555236.748394977</c:v>
                </c:pt>
                <c:pt idx="108">
                  <c:v>31096332.909579843</c:v>
                </c:pt>
                <c:pt idx="109">
                  <c:v>26929021.208375014</c:v>
                </c:pt>
                <c:pt idx="110">
                  <c:v>26338553.699941278</c:v>
                </c:pt>
                <c:pt idx="111">
                  <c:v>27039073.834881049</c:v>
                </c:pt>
                <c:pt idx="112">
                  <c:v>27307988.668615971</c:v>
                </c:pt>
                <c:pt idx="113">
                  <c:v>39033998.461387023</c:v>
                </c:pt>
                <c:pt idx="114">
                  <c:v>45880496.822832875</c:v>
                </c:pt>
                <c:pt idx="115">
                  <c:v>40192363.868616</c:v>
                </c:pt>
                <c:pt idx="116">
                  <c:v>28598946.287893068</c:v>
                </c:pt>
                <c:pt idx="117">
                  <c:v>25393750.721628018</c:v>
                </c:pt>
                <c:pt idx="118">
                  <c:v>23298897.661387056</c:v>
                </c:pt>
                <c:pt idx="119">
                  <c:v>29408230.692712367</c:v>
                </c:pt>
                <c:pt idx="120">
                  <c:v>33477332.406683832</c:v>
                </c:pt>
                <c:pt idx="121">
                  <c:v>31909165.380177792</c:v>
                </c:pt>
                <c:pt idx="122">
                  <c:v>27920614.768129587</c:v>
                </c:pt>
                <c:pt idx="123">
                  <c:v>25767139.02837057</c:v>
                </c:pt>
                <c:pt idx="124">
                  <c:v>27806855.086201914</c:v>
                </c:pt>
                <c:pt idx="125">
                  <c:v>36815818.816322342</c:v>
                </c:pt>
                <c:pt idx="126">
                  <c:v>38740795.529575378</c:v>
                </c:pt>
                <c:pt idx="127">
                  <c:v>41750401.312707894</c:v>
                </c:pt>
                <c:pt idx="128">
                  <c:v>32351736.252466962</c:v>
                </c:pt>
                <c:pt idx="129">
                  <c:v>26087658.662105598</c:v>
                </c:pt>
                <c:pt idx="130">
                  <c:v>24401756.406683806</c:v>
                </c:pt>
                <c:pt idx="131">
                  <c:v>30014573.110298268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A-42E0-8C62-DBE4C20DEEB5}"/>
            </c:ext>
          </c:extLst>
        </c:ser>
        <c:ser>
          <c:idx val="1"/>
          <c:order val="1"/>
          <c:tx>
            <c:strRef>
              <c:f>Residential!$O$2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Residential!$A$3:$A$158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Residential!$O$3:$O$158</c:f>
              <c:numCache>
                <c:formatCode>#,##0_);\(#,##0\)</c:formatCode>
                <c:ptCount val="156"/>
                <c:pt idx="0">
                  <c:v>24703828.522043005</c:v>
                </c:pt>
                <c:pt idx="1">
                  <c:v>21621102.323816389</c:v>
                </c:pt>
                <c:pt idx="2">
                  <c:v>20142231.515205633</c:v>
                </c:pt>
                <c:pt idx="3">
                  <c:v>17415298.381147988</c:v>
                </c:pt>
                <c:pt idx="4">
                  <c:v>18070622.210426494</c:v>
                </c:pt>
                <c:pt idx="5">
                  <c:v>23268834.523716442</c:v>
                </c:pt>
                <c:pt idx="6">
                  <c:v>32547948.46714358</c:v>
                </c:pt>
                <c:pt idx="7">
                  <c:v>28553919.213335745</c:v>
                </c:pt>
                <c:pt idx="8">
                  <c:v>21122421.989654027</c:v>
                </c:pt>
                <c:pt idx="9">
                  <c:v>18178258.058418937</c:v>
                </c:pt>
                <c:pt idx="10">
                  <c:v>18003506.160173032</c:v>
                </c:pt>
                <c:pt idx="11">
                  <c:v>23308707.025824837</c:v>
                </c:pt>
                <c:pt idx="12">
                  <c:v>24075174.581782162</c:v>
                </c:pt>
                <c:pt idx="13">
                  <c:v>22115238.605460197</c:v>
                </c:pt>
                <c:pt idx="14">
                  <c:v>19297999.801098853</c:v>
                </c:pt>
                <c:pt idx="15">
                  <c:v>18423624.943382394</c:v>
                </c:pt>
                <c:pt idx="16">
                  <c:v>20662080.877335876</c:v>
                </c:pt>
                <c:pt idx="17">
                  <c:v>27009637.321441893</c:v>
                </c:pt>
                <c:pt idx="18">
                  <c:v>33479649.868677016</c:v>
                </c:pt>
                <c:pt idx="19">
                  <c:v>29009234.804589324</c:v>
                </c:pt>
                <c:pt idx="20">
                  <c:v>21628693.565425608</c:v>
                </c:pt>
                <c:pt idx="21">
                  <c:v>19019109.885580048</c:v>
                </c:pt>
                <c:pt idx="22">
                  <c:v>19793765.711607885</c:v>
                </c:pt>
                <c:pt idx="23">
                  <c:v>24356588.702556275</c:v>
                </c:pt>
                <c:pt idx="24">
                  <c:v>25281551.370804287</c:v>
                </c:pt>
                <c:pt idx="25">
                  <c:v>23385481.919046778</c:v>
                </c:pt>
                <c:pt idx="26">
                  <c:v>22036530.980614703</c:v>
                </c:pt>
                <c:pt idx="27">
                  <c:v>19801909.62822216</c:v>
                </c:pt>
                <c:pt idx="28">
                  <c:v>21070954.354994014</c:v>
                </c:pt>
                <c:pt idx="29">
                  <c:v>25617672.996126898</c:v>
                </c:pt>
                <c:pt idx="30">
                  <c:v>31353665.074087575</c:v>
                </c:pt>
                <c:pt idx="31">
                  <c:v>29058765.496761132</c:v>
                </c:pt>
                <c:pt idx="32">
                  <c:v>22137757.786415152</c:v>
                </c:pt>
                <c:pt idx="33">
                  <c:v>19974431.685337175</c:v>
                </c:pt>
                <c:pt idx="34">
                  <c:v>21270363.52929778</c:v>
                </c:pt>
                <c:pt idx="35">
                  <c:v>26702821.04894466</c:v>
                </c:pt>
                <c:pt idx="36">
                  <c:v>27918871.117504027</c:v>
                </c:pt>
                <c:pt idx="37">
                  <c:v>25103579.070684023</c:v>
                </c:pt>
                <c:pt idx="38">
                  <c:v>23868361.923187215</c:v>
                </c:pt>
                <c:pt idx="39">
                  <c:v>20280228.080251399</c:v>
                </c:pt>
                <c:pt idx="40">
                  <c:v>20395024.797596447</c:v>
                </c:pt>
                <c:pt idx="41">
                  <c:v>26885945.757881075</c:v>
                </c:pt>
                <c:pt idx="42">
                  <c:v>28326816.043948878</c:v>
                </c:pt>
                <c:pt idx="43">
                  <c:v>28753747.69203506</c:v>
                </c:pt>
                <c:pt idx="44">
                  <c:v>23262015.189817682</c:v>
                </c:pt>
                <c:pt idx="45">
                  <c:v>20627206.391094096</c:v>
                </c:pt>
                <c:pt idx="46">
                  <c:v>21879401.451632485</c:v>
                </c:pt>
                <c:pt idx="47">
                  <c:v>26126382.086362801</c:v>
                </c:pt>
                <c:pt idx="48">
                  <c:v>28225929.99946193</c:v>
                </c:pt>
                <c:pt idx="49">
                  <c:v>26791830.83697173</c:v>
                </c:pt>
                <c:pt idx="50">
                  <c:v>23913259.764123648</c:v>
                </c:pt>
                <c:pt idx="51">
                  <c:v>20642031.56196693</c:v>
                </c:pt>
                <c:pt idx="52">
                  <c:v>23018959.256522119</c:v>
                </c:pt>
                <c:pt idx="53">
                  <c:v>25349454.284037784</c:v>
                </c:pt>
                <c:pt idx="54">
                  <c:v>31220834.885838509</c:v>
                </c:pt>
                <c:pt idx="55">
                  <c:v>29861660.091682378</c:v>
                </c:pt>
                <c:pt idx="56">
                  <c:v>26952272.215839446</c:v>
                </c:pt>
                <c:pt idx="57">
                  <c:v>21117454.778281473</c:v>
                </c:pt>
                <c:pt idx="58">
                  <c:v>21116712.332198516</c:v>
                </c:pt>
                <c:pt idx="59">
                  <c:v>25443146.28469716</c:v>
                </c:pt>
                <c:pt idx="60">
                  <c:v>27585137.722263277</c:v>
                </c:pt>
                <c:pt idx="61">
                  <c:v>25567179.859756988</c:v>
                </c:pt>
                <c:pt idx="62">
                  <c:v>23130479.695438702</c:v>
                </c:pt>
                <c:pt idx="63">
                  <c:v>21858593.455310419</c:v>
                </c:pt>
                <c:pt idx="64">
                  <c:v>23657885.395539638</c:v>
                </c:pt>
                <c:pt idx="65">
                  <c:v>28749937.283173397</c:v>
                </c:pt>
                <c:pt idx="66">
                  <c:v>35220474.91638092</c:v>
                </c:pt>
                <c:pt idx="67">
                  <c:v>36240332.948199116</c:v>
                </c:pt>
                <c:pt idx="68">
                  <c:v>26782705.731325448</c:v>
                </c:pt>
                <c:pt idx="69">
                  <c:v>21943088.514077529</c:v>
                </c:pt>
                <c:pt idx="70">
                  <c:v>21564642.399099633</c:v>
                </c:pt>
                <c:pt idx="71">
                  <c:v>27504393.008999296</c:v>
                </c:pt>
                <c:pt idx="72">
                  <c:v>27529321.367655262</c:v>
                </c:pt>
                <c:pt idx="73">
                  <c:v>24651661.165780503</c:v>
                </c:pt>
                <c:pt idx="74">
                  <c:v>24418207.452512845</c:v>
                </c:pt>
                <c:pt idx="75">
                  <c:v>21158360.334687442</c:v>
                </c:pt>
                <c:pt idx="76">
                  <c:v>22218960.408420514</c:v>
                </c:pt>
                <c:pt idx="77">
                  <c:v>28194444.378589761</c:v>
                </c:pt>
                <c:pt idx="78">
                  <c:v>32492391.942333747</c:v>
                </c:pt>
                <c:pt idx="79">
                  <c:v>29870047.885451112</c:v>
                </c:pt>
                <c:pt idx="80">
                  <c:v>27199135.126658645</c:v>
                </c:pt>
                <c:pt idx="81">
                  <c:v>22251078.991115287</c:v>
                </c:pt>
                <c:pt idx="82">
                  <c:v>22940933.964180678</c:v>
                </c:pt>
                <c:pt idx="83">
                  <c:v>29070497.030586205</c:v>
                </c:pt>
                <c:pt idx="84">
                  <c:v>29219879.535065986</c:v>
                </c:pt>
                <c:pt idx="85">
                  <c:v>25706851.508965116</c:v>
                </c:pt>
                <c:pt idx="86">
                  <c:v>25005619.21172148</c:v>
                </c:pt>
                <c:pt idx="87">
                  <c:v>23403367.712472692</c:v>
                </c:pt>
                <c:pt idx="88">
                  <c:v>24898320.572597943</c:v>
                </c:pt>
                <c:pt idx="89">
                  <c:v>29104819.43451564</c:v>
                </c:pt>
                <c:pt idx="90">
                  <c:v>36124133.08513052</c:v>
                </c:pt>
                <c:pt idx="91">
                  <c:v>35851284.459536426</c:v>
                </c:pt>
                <c:pt idx="92">
                  <c:v>28506858.177506793</c:v>
                </c:pt>
                <c:pt idx="93">
                  <c:v>23993523.835733533</c:v>
                </c:pt>
                <c:pt idx="94">
                  <c:v>24473016.961890209</c:v>
                </c:pt>
                <c:pt idx="95">
                  <c:v>28689627.691343866</c:v>
                </c:pt>
                <c:pt idx="96">
                  <c:v>30465714.659441493</c:v>
                </c:pt>
                <c:pt idx="97">
                  <c:v>27203439.329824582</c:v>
                </c:pt>
                <c:pt idx="98">
                  <c:v>26187478.433964595</c:v>
                </c:pt>
                <c:pt idx="99">
                  <c:v>23404070.023363147</c:v>
                </c:pt>
                <c:pt idx="100">
                  <c:v>23086322.742770258</c:v>
                </c:pt>
                <c:pt idx="101">
                  <c:v>28235604.744074821</c:v>
                </c:pt>
                <c:pt idx="102">
                  <c:v>36783878.421905808</c:v>
                </c:pt>
                <c:pt idx="103">
                  <c:v>33381502.832382701</c:v>
                </c:pt>
                <c:pt idx="104">
                  <c:v>26041171.23488098</c:v>
                </c:pt>
                <c:pt idx="105">
                  <c:v>23820078.292705502</c:v>
                </c:pt>
                <c:pt idx="106">
                  <c:v>25147436.641272135</c:v>
                </c:pt>
                <c:pt idx="107">
                  <c:v>29319357.851203892</c:v>
                </c:pt>
                <c:pt idx="108">
                  <c:v>29522069.822333388</c:v>
                </c:pt>
                <c:pt idx="109">
                  <c:v>28235070.825596593</c:v>
                </c:pt>
                <c:pt idx="110">
                  <c:v>26858112.509586338</c:v>
                </c:pt>
                <c:pt idx="111">
                  <c:v>25021658.133336339</c:v>
                </c:pt>
                <c:pt idx="112">
                  <c:v>27036960.158086222</c:v>
                </c:pt>
                <c:pt idx="113">
                  <c:v>35484440.757029772</c:v>
                </c:pt>
                <c:pt idx="114">
                  <c:v>46566353.197086364</c:v>
                </c:pt>
                <c:pt idx="115">
                  <c:v>39638075.472720623</c:v>
                </c:pt>
                <c:pt idx="116">
                  <c:v>28330924.107396714</c:v>
                </c:pt>
                <c:pt idx="117">
                  <c:v>24902971.936826479</c:v>
                </c:pt>
                <c:pt idx="118">
                  <c:v>25023212.605366264</c:v>
                </c:pt>
                <c:pt idx="119">
                  <c:v>31434692.20800861</c:v>
                </c:pt>
                <c:pt idx="120">
                  <c:v>32352598.927332737</c:v>
                </c:pt>
                <c:pt idx="121">
                  <c:v>30516788.040396638</c:v>
                </c:pt>
                <c:pt idx="122">
                  <c:v>27362381.833090819</c:v>
                </c:pt>
                <c:pt idx="123">
                  <c:v>24784608.30015355</c:v>
                </c:pt>
                <c:pt idx="124">
                  <c:v>27464148.959457047</c:v>
                </c:pt>
                <c:pt idx="125">
                  <c:v>38426431.027904101</c:v>
                </c:pt>
                <c:pt idx="126">
                  <c:v>38383524.193299085</c:v>
                </c:pt>
                <c:pt idx="127">
                  <c:v>44212275.997346647</c:v>
                </c:pt>
                <c:pt idx="128">
                  <c:v>28793165.486765206</c:v>
                </c:pt>
                <c:pt idx="129">
                  <c:v>25957355.205696635</c:v>
                </c:pt>
                <c:pt idx="130">
                  <c:v>26417525.095713437</c:v>
                </c:pt>
                <c:pt idx="131">
                  <c:v>31119451.616568409</c:v>
                </c:pt>
                <c:pt idx="132">
                  <c:v>32839088.783573113</c:v>
                </c:pt>
                <c:pt idx="133">
                  <c:v>30178328.03851939</c:v>
                </c:pt>
                <c:pt idx="134">
                  <c:v>28297673.004810624</c:v>
                </c:pt>
                <c:pt idx="135">
                  <c:v>25522248.506663192</c:v>
                </c:pt>
                <c:pt idx="136">
                  <c:v>27132941.425240915</c:v>
                </c:pt>
                <c:pt idx="137">
                  <c:v>33741369.741467528</c:v>
                </c:pt>
                <c:pt idx="138">
                  <c:v>40712245.64605426</c:v>
                </c:pt>
                <c:pt idx="139">
                  <c:v>38850332.387800328</c:v>
                </c:pt>
                <c:pt idx="140">
                  <c:v>30182098.258420158</c:v>
                </c:pt>
                <c:pt idx="141">
                  <c:v>25778515.291555516</c:v>
                </c:pt>
                <c:pt idx="142">
                  <c:v>26674067.183871105</c:v>
                </c:pt>
                <c:pt idx="143">
                  <c:v>31962761.494906716</c:v>
                </c:pt>
                <c:pt idx="144">
                  <c:v>32729962.355039552</c:v>
                </c:pt>
                <c:pt idx="145">
                  <c:v>30125850.736234572</c:v>
                </c:pt>
                <c:pt idx="146">
                  <c:v>28344676.650404304</c:v>
                </c:pt>
                <c:pt idx="147">
                  <c:v>25744649.835773993</c:v>
                </c:pt>
                <c:pt idx="148">
                  <c:v>27273340.878144536</c:v>
                </c:pt>
                <c:pt idx="149">
                  <c:v>33505753.515461095</c:v>
                </c:pt>
                <c:pt idx="150">
                  <c:v>39949435.325428188</c:v>
                </c:pt>
                <c:pt idx="151">
                  <c:v>38260679.798890382</c:v>
                </c:pt>
                <c:pt idx="152">
                  <c:v>30192874.246700834</c:v>
                </c:pt>
                <c:pt idx="153">
                  <c:v>26106687.785850424</c:v>
                </c:pt>
                <c:pt idx="154">
                  <c:v>26895196.479175922</c:v>
                </c:pt>
                <c:pt idx="155">
                  <c:v>32061981.41234605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F3-478E-AD12-98CE46BB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&lt; 50 kW'!$F$2</c:f>
              <c:strCache>
                <c:ptCount val="1"/>
                <c:pt idx="0">
                  <c:v> GSlt50_NoCDM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&lt; 50 kW'!$A$3:$A$158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kW'!$F$3:$F$127</c:f>
              <c:numCache>
                <c:formatCode>_(* #,##0_);_(* \(#,##0\);_(* "-"??_);_(@_)</c:formatCode>
                <c:ptCount val="125"/>
                <c:pt idx="0">
                  <c:v>6864837.5606799051</c:v>
                </c:pt>
                <c:pt idx="1">
                  <c:v>7486989.0006799055</c:v>
                </c:pt>
                <c:pt idx="2">
                  <c:v>7162036.2106799055</c:v>
                </c:pt>
                <c:pt idx="3">
                  <c:v>6476547.8606799087</c:v>
                </c:pt>
                <c:pt idx="4">
                  <c:v>6403514.4906799076</c:v>
                </c:pt>
                <c:pt idx="5">
                  <c:v>6877896.1406799043</c:v>
                </c:pt>
                <c:pt idx="6">
                  <c:v>7234914.1806799052</c:v>
                </c:pt>
                <c:pt idx="7">
                  <c:v>7344852.5306799076</c:v>
                </c:pt>
                <c:pt idx="8">
                  <c:v>6374849.0306799021</c:v>
                </c:pt>
                <c:pt idx="9">
                  <c:v>6197006.2306798976</c:v>
                </c:pt>
                <c:pt idx="10">
                  <c:v>6512655.0606799014</c:v>
                </c:pt>
                <c:pt idx="11">
                  <c:v>8516346.6906799022</c:v>
                </c:pt>
                <c:pt idx="12">
                  <c:v>6574209.2444903748</c:v>
                </c:pt>
                <c:pt idx="13">
                  <c:v>7340119.5544903772</c:v>
                </c:pt>
                <c:pt idx="14">
                  <c:v>6958502.994490372</c:v>
                </c:pt>
                <c:pt idx="15">
                  <c:v>6528936.0744903851</c:v>
                </c:pt>
                <c:pt idx="16">
                  <c:v>6426033.404490374</c:v>
                </c:pt>
                <c:pt idx="17">
                  <c:v>6971087.1044903705</c:v>
                </c:pt>
                <c:pt idx="18">
                  <c:v>7716520.8544903751</c:v>
                </c:pt>
                <c:pt idx="19">
                  <c:v>7843878.4144903794</c:v>
                </c:pt>
                <c:pt idx="20">
                  <c:v>6441465.9444903778</c:v>
                </c:pt>
                <c:pt idx="21">
                  <c:v>6350300.914490371</c:v>
                </c:pt>
                <c:pt idx="22">
                  <c:v>7024430.374490384</c:v>
                </c:pt>
                <c:pt idx="23">
                  <c:v>8378458.2844903842</c:v>
                </c:pt>
                <c:pt idx="24">
                  <c:v>7057432.2289354121</c:v>
                </c:pt>
                <c:pt idx="25">
                  <c:v>7593243.098935415</c:v>
                </c:pt>
                <c:pt idx="26">
                  <c:v>7735467.3789354125</c:v>
                </c:pt>
                <c:pt idx="27">
                  <c:v>6936016.7489354145</c:v>
                </c:pt>
                <c:pt idx="28">
                  <c:v>6937866.048935418</c:v>
                </c:pt>
                <c:pt idx="29">
                  <c:v>6780363.4189354125</c:v>
                </c:pt>
                <c:pt idx="30">
                  <c:v>7593943.1689354144</c:v>
                </c:pt>
                <c:pt idx="31">
                  <c:v>7611748.6689354172</c:v>
                </c:pt>
                <c:pt idx="32">
                  <c:v>6250680.5689354129</c:v>
                </c:pt>
                <c:pt idx="33">
                  <c:v>6826886.2589354143</c:v>
                </c:pt>
                <c:pt idx="34">
                  <c:v>6939097.1989354165</c:v>
                </c:pt>
                <c:pt idx="35">
                  <c:v>9532516.128935419</c:v>
                </c:pt>
                <c:pt idx="36">
                  <c:v>7487898.8517205259</c:v>
                </c:pt>
                <c:pt idx="37">
                  <c:v>8502995.9417205229</c:v>
                </c:pt>
                <c:pt idx="38">
                  <c:v>8235800.4217205308</c:v>
                </c:pt>
                <c:pt idx="39">
                  <c:v>7581461.2417205265</c:v>
                </c:pt>
                <c:pt idx="40">
                  <c:v>6902215.0417205226</c:v>
                </c:pt>
                <c:pt idx="41">
                  <c:v>6554303.0217205258</c:v>
                </c:pt>
                <c:pt idx="42">
                  <c:v>7496044.9317205288</c:v>
                </c:pt>
                <c:pt idx="43">
                  <c:v>7049683.7417205274</c:v>
                </c:pt>
                <c:pt idx="44">
                  <c:v>6616002.9717205288</c:v>
                </c:pt>
                <c:pt idx="45">
                  <c:v>6897925.29172053</c:v>
                </c:pt>
                <c:pt idx="46">
                  <c:v>7293217.2817205237</c:v>
                </c:pt>
                <c:pt idx="47">
                  <c:v>9033496.731720522</c:v>
                </c:pt>
                <c:pt idx="48">
                  <c:v>9162367.7804134693</c:v>
                </c:pt>
                <c:pt idx="49">
                  <c:v>8827828.0406544302</c:v>
                </c:pt>
                <c:pt idx="50">
                  <c:v>8435812.8310158737</c:v>
                </c:pt>
                <c:pt idx="51">
                  <c:v>7370231.4141484043</c:v>
                </c:pt>
                <c:pt idx="52">
                  <c:v>7077182.7683652705</c:v>
                </c:pt>
                <c:pt idx="53">
                  <c:v>6914019.9057146711</c:v>
                </c:pt>
                <c:pt idx="54">
                  <c:v>7837310.6719797337</c:v>
                </c:pt>
                <c:pt idx="55">
                  <c:v>7385438.6527026212</c:v>
                </c:pt>
                <c:pt idx="56">
                  <c:v>7261609.6984857554</c:v>
                </c:pt>
                <c:pt idx="57">
                  <c:v>6991164.0021002153</c:v>
                </c:pt>
                <c:pt idx="58">
                  <c:v>6518609.4286062401</c:v>
                </c:pt>
                <c:pt idx="59">
                  <c:v>6890863.0382447885</c:v>
                </c:pt>
                <c:pt idx="60">
                  <c:v>8689256.1018550042</c:v>
                </c:pt>
                <c:pt idx="61">
                  <c:v>8524672.8247465622</c:v>
                </c:pt>
                <c:pt idx="62">
                  <c:v>8034077.1524574133</c:v>
                </c:pt>
                <c:pt idx="63">
                  <c:v>7906470.30908392</c:v>
                </c:pt>
                <c:pt idx="64">
                  <c:v>6742797.6054694587</c:v>
                </c:pt>
                <c:pt idx="65">
                  <c:v>7675214.5211321106</c:v>
                </c:pt>
                <c:pt idx="66">
                  <c:v>8203345.3452284951</c:v>
                </c:pt>
                <c:pt idx="67">
                  <c:v>8087094.0199272949</c:v>
                </c:pt>
                <c:pt idx="68">
                  <c:v>7364858.7428188557</c:v>
                </c:pt>
                <c:pt idx="69">
                  <c:v>6481920.940409217</c:v>
                </c:pt>
                <c:pt idx="70">
                  <c:v>6598590.6946260817</c:v>
                </c:pt>
                <c:pt idx="71">
                  <c:v>8424033.8464333117</c:v>
                </c:pt>
                <c:pt idx="72">
                  <c:v>8961782.937473489</c:v>
                </c:pt>
                <c:pt idx="73">
                  <c:v>7475683.5639795121</c:v>
                </c:pt>
                <c:pt idx="74">
                  <c:v>8386104.0073530022</c:v>
                </c:pt>
                <c:pt idx="75">
                  <c:v>6961618.7254252993</c:v>
                </c:pt>
                <c:pt idx="76">
                  <c:v>6487938.850726502</c:v>
                </c:pt>
                <c:pt idx="77">
                  <c:v>7096252.9422927629</c:v>
                </c:pt>
                <c:pt idx="78">
                  <c:v>6969986.9760277011</c:v>
                </c:pt>
                <c:pt idx="79">
                  <c:v>7469547.1206060164</c:v>
                </c:pt>
                <c:pt idx="80">
                  <c:v>6971224.8651843295</c:v>
                </c:pt>
                <c:pt idx="81">
                  <c:v>6295611.4001240861</c:v>
                </c:pt>
                <c:pt idx="82">
                  <c:v>7055249.0097626392</c:v>
                </c:pt>
                <c:pt idx="83">
                  <c:v>7872393.2507264968</c:v>
                </c:pt>
                <c:pt idx="84">
                  <c:v>8973675.8913750686</c:v>
                </c:pt>
                <c:pt idx="85">
                  <c:v>7560592.093784716</c:v>
                </c:pt>
                <c:pt idx="86">
                  <c:v>8232567.2745076045</c:v>
                </c:pt>
                <c:pt idx="87">
                  <c:v>7175356.5853509782</c:v>
                </c:pt>
                <c:pt idx="88">
                  <c:v>7104279.4576401319</c:v>
                </c:pt>
                <c:pt idx="89">
                  <c:v>7590209.0961943539</c:v>
                </c:pt>
                <c:pt idx="90">
                  <c:v>7685013.5202907361</c:v>
                </c:pt>
                <c:pt idx="91">
                  <c:v>8305832.5949895326</c:v>
                </c:pt>
                <c:pt idx="92">
                  <c:v>7235600.4407726647</c:v>
                </c:pt>
                <c:pt idx="93">
                  <c:v>6858390.011857003</c:v>
                </c:pt>
                <c:pt idx="94">
                  <c:v>6844367.4480015812</c:v>
                </c:pt>
                <c:pt idx="95">
                  <c:v>8731785.7901702579</c:v>
                </c:pt>
                <c:pt idx="96">
                  <c:v>9100450.7979688402</c:v>
                </c:pt>
                <c:pt idx="97">
                  <c:v>8257335.0678483583</c:v>
                </c:pt>
                <c:pt idx="98">
                  <c:v>8209950.1811013678</c:v>
                </c:pt>
                <c:pt idx="99">
                  <c:v>7384598.2196555957</c:v>
                </c:pt>
                <c:pt idx="100">
                  <c:v>7011908.0220652344</c:v>
                </c:pt>
                <c:pt idx="101">
                  <c:v>6642423.5594146261</c:v>
                </c:pt>
                <c:pt idx="102">
                  <c:v>7953798.4027881147</c:v>
                </c:pt>
                <c:pt idx="103">
                  <c:v>7820229.9304989632</c:v>
                </c:pt>
                <c:pt idx="104">
                  <c:v>7019323.2991736615</c:v>
                </c:pt>
                <c:pt idx="105">
                  <c:v>6782854.7690531816</c:v>
                </c:pt>
                <c:pt idx="106">
                  <c:v>6765629.6027881224</c:v>
                </c:pt>
                <c:pt idx="107">
                  <c:v>8143431.5883302838</c:v>
                </c:pt>
                <c:pt idx="108">
                  <c:v>9133853.9773062132</c:v>
                </c:pt>
                <c:pt idx="109">
                  <c:v>8086938.7194748772</c:v>
                </c:pt>
                <c:pt idx="110">
                  <c:v>7679145.8712821063</c:v>
                </c:pt>
                <c:pt idx="111">
                  <c:v>6710329.7941736775</c:v>
                </c:pt>
                <c:pt idx="112">
                  <c:v>6149818.835137534</c:v>
                </c:pt>
                <c:pt idx="113">
                  <c:v>6828756.04959537</c:v>
                </c:pt>
                <c:pt idx="114">
                  <c:v>7775470.7291134307</c:v>
                </c:pt>
                <c:pt idx="115">
                  <c:v>7602092.4544146396</c:v>
                </c:pt>
                <c:pt idx="116">
                  <c:v>6802526.1989929536</c:v>
                </c:pt>
                <c:pt idx="117">
                  <c:v>6713600.6953784954</c:v>
                </c:pt>
                <c:pt idx="118">
                  <c:v>6639791.5001977691</c:v>
                </c:pt>
                <c:pt idx="119">
                  <c:v>7370193.7845351249</c:v>
                </c:pt>
                <c:pt idx="120">
                  <c:v>9067196.1680459175</c:v>
                </c:pt>
                <c:pt idx="121">
                  <c:v>8649316.948768802</c:v>
                </c:pt>
                <c:pt idx="122">
                  <c:v>7947048.8331061499</c:v>
                </c:pt>
                <c:pt idx="123">
                  <c:v>7297564.2644314589</c:v>
                </c:pt>
                <c:pt idx="124">
                  <c:v>6666532.7270820532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C-42C7-B1F0-A5EB75A7E6E1}"/>
            </c:ext>
          </c:extLst>
        </c:ser>
        <c:ser>
          <c:idx val="1"/>
          <c:order val="1"/>
          <c:tx>
            <c:strRef>
              <c:f>'GS &lt; 50 kW'!$M$2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&lt; 50 kW'!$A$3:$A$158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kW'!$M$3:$M$158</c:f>
              <c:numCache>
                <c:formatCode>#,##0_);\(#,##0\)</c:formatCode>
                <c:ptCount val="156"/>
                <c:pt idx="0">
                  <c:v>7939402.1714848019</c:v>
                </c:pt>
                <c:pt idx="1">
                  <c:v>7649401.8756099707</c:v>
                </c:pt>
                <c:pt idx="2">
                  <c:v>7330641.1525834771</c:v>
                </c:pt>
                <c:pt idx="3">
                  <c:v>6530497.7319060341</c:v>
                </c:pt>
                <c:pt idx="4">
                  <c:v>6207325.6891227197</c:v>
                </c:pt>
                <c:pt idx="5">
                  <c:v>6565445.2175851371</c:v>
                </c:pt>
                <c:pt idx="6">
                  <c:v>7490521.415698804</c:v>
                </c:pt>
                <c:pt idx="7">
                  <c:v>7197954.4233220071</c:v>
                </c:pt>
                <c:pt idx="8">
                  <c:v>6334552.2047129748</c:v>
                </c:pt>
                <c:pt idx="9">
                  <c:v>6278905.2691865033</c:v>
                </c:pt>
                <c:pt idx="10">
                  <c:v>6485076.2378046857</c:v>
                </c:pt>
                <c:pt idx="11">
                  <c:v>7437529.5682323426</c:v>
                </c:pt>
                <c:pt idx="12">
                  <c:v>7726038.0172170615</c:v>
                </c:pt>
                <c:pt idx="13">
                  <c:v>7488137.8394781351</c:v>
                </c:pt>
                <c:pt idx="14">
                  <c:v>6944150.7178839399</c:v>
                </c:pt>
                <c:pt idx="15">
                  <c:v>6836965.4055895032</c:v>
                </c:pt>
                <c:pt idx="16">
                  <c:v>6674739.1773917004</c:v>
                </c:pt>
                <c:pt idx="17">
                  <c:v>7093782.3399122022</c:v>
                </c:pt>
                <c:pt idx="18">
                  <c:v>7662110.6908888966</c:v>
                </c:pt>
                <c:pt idx="19">
                  <c:v>7230736.9902331531</c:v>
                </c:pt>
                <c:pt idx="20">
                  <c:v>6309694.1840880392</c:v>
                </c:pt>
                <c:pt idx="21">
                  <c:v>6325988.2117715329</c:v>
                </c:pt>
                <c:pt idx="22">
                  <c:v>6899973.8966374574</c:v>
                </c:pt>
                <c:pt idx="23">
                  <c:v>7544199.6273177434</c:v>
                </c:pt>
                <c:pt idx="24">
                  <c:v>7880528.6238535801</c:v>
                </c:pt>
                <c:pt idx="25">
                  <c:v>7979500.7601782344</c:v>
                </c:pt>
                <c:pt idx="26">
                  <c:v>7754509.7906825617</c:v>
                </c:pt>
                <c:pt idx="27">
                  <c:v>7117960.1832845388</c:v>
                </c:pt>
                <c:pt idx="28">
                  <c:v>6829855.0475804592</c:v>
                </c:pt>
                <c:pt idx="29">
                  <c:v>6952374.0103208814</c:v>
                </c:pt>
                <c:pt idx="30">
                  <c:v>7482810.7721151114</c:v>
                </c:pt>
                <c:pt idx="31">
                  <c:v>7267372.7884678096</c:v>
                </c:pt>
                <c:pt idx="32">
                  <c:v>6386920.9127725326</c:v>
                </c:pt>
                <c:pt idx="33">
                  <c:v>6392153.9017532505</c:v>
                </c:pt>
                <c:pt idx="34">
                  <c:v>7181119.970760636</c:v>
                </c:pt>
                <c:pt idx="35">
                  <c:v>8188949.7115139877</c:v>
                </c:pt>
                <c:pt idx="36">
                  <c:v>8676627.3892122358</c:v>
                </c:pt>
                <c:pt idx="37">
                  <c:v>8430496.1402480584</c:v>
                </c:pt>
                <c:pt idx="38">
                  <c:v>8221456.1397243673</c:v>
                </c:pt>
                <c:pt idx="39">
                  <c:v>7084572.7606042195</c:v>
                </c:pt>
                <c:pt idx="40">
                  <c:v>6687899.970424816</c:v>
                </c:pt>
                <c:pt idx="41">
                  <c:v>7164627.4631165834</c:v>
                </c:pt>
                <c:pt idx="42">
                  <c:v>7287827.3438063404</c:v>
                </c:pt>
                <c:pt idx="43">
                  <c:v>7351228.7744248211</c:v>
                </c:pt>
                <c:pt idx="44">
                  <c:v>6680548.0340782991</c:v>
                </c:pt>
                <c:pt idx="45">
                  <c:v>6604982.4528695028</c:v>
                </c:pt>
                <c:pt idx="46">
                  <c:v>7385701.032952914</c:v>
                </c:pt>
                <c:pt idx="47">
                  <c:v>7930806.7704238622</c:v>
                </c:pt>
                <c:pt idx="48">
                  <c:v>8747366.8678229023</c:v>
                </c:pt>
                <c:pt idx="49">
                  <c:v>9033467.0877942555</c:v>
                </c:pt>
                <c:pt idx="50">
                  <c:v>8138731.3129485874</c:v>
                </c:pt>
                <c:pt idx="51">
                  <c:v>7099048.0241724346</c:v>
                </c:pt>
                <c:pt idx="52">
                  <c:v>6988778.0826408137</c:v>
                </c:pt>
                <c:pt idx="53">
                  <c:v>6991587.8651756458</c:v>
                </c:pt>
                <c:pt idx="54">
                  <c:v>7481908.1398665756</c:v>
                </c:pt>
                <c:pt idx="55">
                  <c:v>7334170.1127543468</c:v>
                </c:pt>
                <c:pt idx="56">
                  <c:v>6912202.6857214905</c:v>
                </c:pt>
                <c:pt idx="57">
                  <c:v>6603235.014403698</c:v>
                </c:pt>
                <c:pt idx="58">
                  <c:v>6958142.5783471381</c:v>
                </c:pt>
                <c:pt idx="59">
                  <c:v>7491570.9450077843</c:v>
                </c:pt>
                <c:pt idx="60">
                  <c:v>8291183.440441248</c:v>
                </c:pt>
                <c:pt idx="61">
                  <c:v>8054685.1075305333</c:v>
                </c:pt>
                <c:pt idx="62">
                  <c:v>7772713.2769636428</c:v>
                </c:pt>
                <c:pt idx="63">
                  <c:v>7492462.7519533876</c:v>
                </c:pt>
                <c:pt idx="64">
                  <c:v>7150481.0831933767</c:v>
                </c:pt>
                <c:pt idx="65">
                  <c:v>7424433.1254003746</c:v>
                </c:pt>
                <c:pt idx="66">
                  <c:v>8008975.4389687879</c:v>
                </c:pt>
                <c:pt idx="67">
                  <c:v>8093064.0677294815</c:v>
                </c:pt>
                <c:pt idx="68">
                  <c:v>7034782.733409442</c:v>
                </c:pt>
                <c:pt idx="69">
                  <c:v>6791987.0322295809</c:v>
                </c:pt>
                <c:pt idx="70">
                  <c:v>7011822.1844360847</c:v>
                </c:pt>
                <c:pt idx="71">
                  <c:v>8213371.5006500157</c:v>
                </c:pt>
                <c:pt idx="72">
                  <c:v>8239727.0198940737</c:v>
                </c:pt>
                <c:pt idx="73">
                  <c:v>7929184.5111111132</c:v>
                </c:pt>
                <c:pt idx="74">
                  <c:v>8140311.3129153689</c:v>
                </c:pt>
                <c:pt idx="75">
                  <c:v>7107347.2850371981</c:v>
                </c:pt>
                <c:pt idx="76">
                  <c:v>6954164.2337999847</c:v>
                </c:pt>
                <c:pt idx="77">
                  <c:v>7319794.8731241683</c:v>
                </c:pt>
                <c:pt idx="78">
                  <c:v>7770864.0610463927</c:v>
                </c:pt>
                <c:pt idx="79">
                  <c:v>7546946.2459152574</c:v>
                </c:pt>
                <c:pt idx="80">
                  <c:v>7076672.0063296882</c:v>
                </c:pt>
                <c:pt idx="81">
                  <c:v>6766353.1552152187</c:v>
                </c:pt>
                <c:pt idx="82">
                  <c:v>7420926.1572997151</c:v>
                </c:pt>
                <c:pt idx="83">
                  <c:v>8660531.0929148253</c:v>
                </c:pt>
                <c:pt idx="84">
                  <c:v>8684706.7030262593</c:v>
                </c:pt>
                <c:pt idx="85">
                  <c:v>8139279.8479540674</c:v>
                </c:pt>
                <c:pt idx="86">
                  <c:v>8102294.7764730742</c:v>
                </c:pt>
                <c:pt idx="87">
                  <c:v>7711618.3587800898</c:v>
                </c:pt>
                <c:pt idx="88">
                  <c:v>7159807.0549368747</c:v>
                </c:pt>
                <c:pt idx="89">
                  <c:v>7421234.7645347621</c:v>
                </c:pt>
                <c:pt idx="90">
                  <c:v>8066752.3769635353</c:v>
                </c:pt>
                <c:pt idx="91">
                  <c:v>8057236.5403538514</c:v>
                </c:pt>
                <c:pt idx="92">
                  <c:v>7204349.5320540462</c:v>
                </c:pt>
                <c:pt idx="93">
                  <c:v>7056992.1898327097</c:v>
                </c:pt>
                <c:pt idx="94">
                  <c:v>7653611.9405760951</c:v>
                </c:pt>
                <c:pt idx="95">
                  <c:v>8148067.7268760614</c:v>
                </c:pt>
                <c:pt idx="96">
                  <c:v>8774541.7671913747</c:v>
                </c:pt>
                <c:pt idx="97">
                  <c:v>8332286.1560325585</c:v>
                </c:pt>
                <c:pt idx="98">
                  <c:v>8197926.9688866381</c:v>
                </c:pt>
                <c:pt idx="99">
                  <c:v>7327935.8356435839</c:v>
                </c:pt>
                <c:pt idx="100">
                  <c:v>6908601.4012327101</c:v>
                </c:pt>
                <c:pt idx="101">
                  <c:v>7140393.2004170809</c:v>
                </c:pt>
                <c:pt idx="102">
                  <c:v>7917179.2345667537</c:v>
                </c:pt>
                <c:pt idx="103">
                  <c:v>7563229.8979068883</c:v>
                </c:pt>
                <c:pt idx="104">
                  <c:v>6686786.0087847207</c:v>
                </c:pt>
                <c:pt idx="105">
                  <c:v>6647895.2016309509</c:v>
                </c:pt>
                <c:pt idx="106">
                  <c:v>7517655.5812733304</c:v>
                </c:pt>
                <c:pt idx="107">
                  <c:v>8031428.6276070904</c:v>
                </c:pt>
                <c:pt idx="108">
                  <c:v>8075532.4212944079</c:v>
                </c:pt>
                <c:pt idx="109">
                  <c:v>8118668.4017417226</c:v>
                </c:pt>
                <c:pt idx="110">
                  <c:v>7284649.2525081187</c:v>
                </c:pt>
                <c:pt idx="111">
                  <c:v>6624900.4066048246</c:v>
                </c:pt>
                <c:pt idx="112">
                  <c:v>6462875.4955801237</c:v>
                </c:pt>
                <c:pt idx="113">
                  <c:v>7147280.6842147745</c:v>
                </c:pt>
                <c:pt idx="114">
                  <c:v>7856224.3044572752</c:v>
                </c:pt>
                <c:pt idx="115">
                  <c:v>7433544.0573712196</c:v>
                </c:pt>
                <c:pt idx="116">
                  <c:v>6459674.6033616662</c:v>
                </c:pt>
                <c:pt idx="117">
                  <c:v>6480246.5859034741</c:v>
                </c:pt>
                <c:pt idx="118">
                  <c:v>6766327.4078589007</c:v>
                </c:pt>
                <c:pt idx="119">
                  <c:v>7924508.6304517705</c:v>
                </c:pt>
                <c:pt idx="120">
                  <c:v>8296173.2466921266</c:v>
                </c:pt>
                <c:pt idx="121">
                  <c:v>8583742.7021904383</c:v>
                </c:pt>
                <c:pt idx="122">
                  <c:v>7874897.8952194825</c:v>
                </c:pt>
                <c:pt idx="123">
                  <c:v>7419240.7387789749</c:v>
                </c:pt>
                <c:pt idx="124">
                  <c:v>7377969.136308061</c:v>
                </c:pt>
                <c:pt idx="125">
                  <c:v>7933585.0710929614</c:v>
                </c:pt>
                <c:pt idx="126">
                  <c:v>7902879.2517451923</c:v>
                </c:pt>
                <c:pt idx="127">
                  <c:v>8407719.2502366696</c:v>
                </c:pt>
                <c:pt idx="128">
                  <c:v>7251630.6665386688</c:v>
                </c:pt>
                <c:pt idx="129">
                  <c:v>7128496.1764589846</c:v>
                </c:pt>
                <c:pt idx="130">
                  <c:v>7631939.2841217052</c:v>
                </c:pt>
                <c:pt idx="131">
                  <c:v>8264850.5061127022</c:v>
                </c:pt>
                <c:pt idx="132">
                  <c:v>8981769.880233109</c:v>
                </c:pt>
                <c:pt idx="133">
                  <c:v>8827394.451794792</c:v>
                </c:pt>
                <c:pt idx="134">
                  <c:v>8473039.7084655613</c:v>
                </c:pt>
                <c:pt idx="135">
                  <c:v>7858194.3583166013</c:v>
                </c:pt>
                <c:pt idx="136">
                  <c:v>7626862.0034665363</c:v>
                </c:pt>
                <c:pt idx="137">
                  <c:v>7937326.7340161493</c:v>
                </c:pt>
                <c:pt idx="138">
                  <c:v>8423056.1723804884</c:v>
                </c:pt>
                <c:pt idx="139">
                  <c:v>8296323.8257148946</c:v>
                </c:pt>
                <c:pt idx="140">
                  <c:v>7465959.4528511548</c:v>
                </c:pt>
                <c:pt idx="141">
                  <c:v>7343327.1008674214</c:v>
                </c:pt>
                <c:pt idx="142">
                  <c:v>7887548.656240142</c:v>
                </c:pt>
                <c:pt idx="143">
                  <c:v>8673774.2316234931</c:v>
                </c:pt>
                <c:pt idx="144">
                  <c:v>9150324.4342688359</c:v>
                </c:pt>
                <c:pt idx="145">
                  <c:v>8996265.5386876352</c:v>
                </c:pt>
                <c:pt idx="146">
                  <c:v>8642227.7448452711</c:v>
                </c:pt>
                <c:pt idx="147">
                  <c:v>8027699.7613613009</c:v>
                </c:pt>
                <c:pt idx="148">
                  <c:v>7796685.1909034662</c:v>
                </c:pt>
                <c:pt idx="149">
                  <c:v>8107468.1241223589</c:v>
                </c:pt>
                <c:pt idx="150">
                  <c:v>8593516.183983583</c:v>
                </c:pt>
                <c:pt idx="151">
                  <c:v>8467102.878193751</c:v>
                </c:pt>
                <c:pt idx="152">
                  <c:v>7637057.966136653</c:v>
                </c:pt>
                <c:pt idx="153">
                  <c:v>7514745.4954431579</c:v>
                </c:pt>
                <c:pt idx="154">
                  <c:v>8059287.3531431723</c:v>
                </c:pt>
                <c:pt idx="155">
                  <c:v>8845833.6524450537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C-42C7-B1F0-A5EB75A7E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&gt; 50 kW'!$F$2</c:f>
              <c:strCache>
                <c:ptCount val="1"/>
                <c:pt idx="0">
                  <c:v>GS50to999_NoCDM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kW'!$A$3:$A$128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kW'!$F$3:$F$128</c:f>
              <c:numCache>
                <c:formatCode>#,##0</c:formatCode>
                <c:ptCount val="126"/>
                <c:pt idx="0">
                  <c:v>16717266.821217919</c:v>
                </c:pt>
                <c:pt idx="1">
                  <c:v>15751669.901217917</c:v>
                </c:pt>
                <c:pt idx="2">
                  <c:v>16670464.701217921</c:v>
                </c:pt>
                <c:pt idx="3">
                  <c:v>14963148.60121792</c:v>
                </c:pt>
                <c:pt idx="4">
                  <c:v>15480338.171217926</c:v>
                </c:pt>
                <c:pt idx="5">
                  <c:v>16377529.561217919</c:v>
                </c:pt>
                <c:pt idx="6">
                  <c:v>17038934.041217919</c:v>
                </c:pt>
                <c:pt idx="7">
                  <c:v>16792927.091217916</c:v>
                </c:pt>
                <c:pt idx="8">
                  <c:v>15759561.551217917</c:v>
                </c:pt>
                <c:pt idx="9">
                  <c:v>15586290.931217926</c:v>
                </c:pt>
                <c:pt idx="10">
                  <c:v>15941400.461217923</c:v>
                </c:pt>
                <c:pt idx="11">
                  <c:v>16816631.181217916</c:v>
                </c:pt>
                <c:pt idx="12">
                  <c:v>16785266.463490896</c:v>
                </c:pt>
                <c:pt idx="13">
                  <c:v>16079301.203490896</c:v>
                </c:pt>
                <c:pt idx="14">
                  <c:v>16537471.803490892</c:v>
                </c:pt>
                <c:pt idx="15">
                  <c:v>14880264.923490893</c:v>
                </c:pt>
                <c:pt idx="16">
                  <c:v>17082202.913490895</c:v>
                </c:pt>
                <c:pt idx="17">
                  <c:v>16878400.213490888</c:v>
                </c:pt>
                <c:pt idx="18">
                  <c:v>17160081.253490891</c:v>
                </c:pt>
                <c:pt idx="19">
                  <c:v>16796041.313490894</c:v>
                </c:pt>
                <c:pt idx="20">
                  <c:v>15640179.133490894</c:v>
                </c:pt>
                <c:pt idx="21">
                  <c:v>15988881.633490898</c:v>
                </c:pt>
                <c:pt idx="22">
                  <c:v>16432215.043490896</c:v>
                </c:pt>
                <c:pt idx="23">
                  <c:v>16691357.483490892</c:v>
                </c:pt>
                <c:pt idx="24">
                  <c:v>17334132.91204248</c:v>
                </c:pt>
                <c:pt idx="25">
                  <c:v>16623683.162042486</c:v>
                </c:pt>
                <c:pt idx="26">
                  <c:v>17463321.022042483</c:v>
                </c:pt>
                <c:pt idx="27">
                  <c:v>16662389.712042477</c:v>
                </c:pt>
                <c:pt idx="28">
                  <c:v>16900534.112042483</c:v>
                </c:pt>
                <c:pt idx="29">
                  <c:v>17093096.532042481</c:v>
                </c:pt>
                <c:pt idx="30">
                  <c:v>18142506.432042487</c:v>
                </c:pt>
                <c:pt idx="31">
                  <c:v>17778187.962042481</c:v>
                </c:pt>
                <c:pt idx="32">
                  <c:v>16668477.222042486</c:v>
                </c:pt>
                <c:pt idx="33">
                  <c:v>17233627.082042478</c:v>
                </c:pt>
                <c:pt idx="34">
                  <c:v>16723236.692042481</c:v>
                </c:pt>
                <c:pt idx="35">
                  <c:v>18692544.082042485</c:v>
                </c:pt>
                <c:pt idx="36">
                  <c:v>18955499.508963756</c:v>
                </c:pt>
                <c:pt idx="37">
                  <c:v>17790077.53896375</c:v>
                </c:pt>
                <c:pt idx="38">
                  <c:v>18916153.298963755</c:v>
                </c:pt>
                <c:pt idx="39">
                  <c:v>17106261.98896376</c:v>
                </c:pt>
                <c:pt idx="40">
                  <c:v>16785651.398963757</c:v>
                </c:pt>
                <c:pt idx="41">
                  <c:v>17153006.328963753</c:v>
                </c:pt>
                <c:pt idx="42">
                  <c:v>17167656.628963754</c:v>
                </c:pt>
                <c:pt idx="43">
                  <c:v>17092221.068963751</c:v>
                </c:pt>
                <c:pt idx="44">
                  <c:v>16842020.668963756</c:v>
                </c:pt>
                <c:pt idx="45">
                  <c:v>16968667.128963754</c:v>
                </c:pt>
                <c:pt idx="46">
                  <c:v>17485013.278963756</c:v>
                </c:pt>
                <c:pt idx="47">
                  <c:v>18431183.118963756</c:v>
                </c:pt>
                <c:pt idx="48">
                  <c:v>19430730.418670163</c:v>
                </c:pt>
                <c:pt idx="49">
                  <c:v>18338750.900597889</c:v>
                </c:pt>
                <c:pt idx="50">
                  <c:v>18807365.387344867</c:v>
                </c:pt>
                <c:pt idx="51">
                  <c:v>17034456.596983433</c:v>
                </c:pt>
                <c:pt idx="52">
                  <c:v>17537336.143971372</c:v>
                </c:pt>
                <c:pt idx="53">
                  <c:v>17201197.724694267</c:v>
                </c:pt>
                <c:pt idx="54">
                  <c:v>18093211.662043665</c:v>
                </c:pt>
                <c:pt idx="55">
                  <c:v>17648873.695778605</c:v>
                </c:pt>
                <c:pt idx="56">
                  <c:v>17847440.221079815</c:v>
                </c:pt>
                <c:pt idx="57">
                  <c:v>16827940.095778607</c:v>
                </c:pt>
                <c:pt idx="58">
                  <c:v>16684572.645176196</c:v>
                </c:pt>
                <c:pt idx="59">
                  <c:v>16658204.809031619</c:v>
                </c:pt>
                <c:pt idx="60">
                  <c:v>18392987.23202993</c:v>
                </c:pt>
                <c:pt idx="61">
                  <c:v>17502931.916367285</c:v>
                </c:pt>
                <c:pt idx="62">
                  <c:v>17615636.032029931</c:v>
                </c:pt>
                <c:pt idx="63">
                  <c:v>16891925.130825114</c:v>
                </c:pt>
                <c:pt idx="64">
                  <c:v>16602755.501909452</c:v>
                </c:pt>
                <c:pt idx="65">
                  <c:v>17495167.299499799</c:v>
                </c:pt>
                <c:pt idx="66">
                  <c:v>18373376.195885357</c:v>
                </c:pt>
                <c:pt idx="67">
                  <c:v>19193976.494680539</c:v>
                </c:pt>
                <c:pt idx="68">
                  <c:v>17890059.858535945</c:v>
                </c:pt>
                <c:pt idx="69">
                  <c:v>16939090.046487764</c:v>
                </c:pt>
                <c:pt idx="70">
                  <c:v>17048086.017572101</c:v>
                </c:pt>
                <c:pt idx="71">
                  <c:v>18662560.716367282</c:v>
                </c:pt>
                <c:pt idx="72">
                  <c:v>19659234.081595186</c:v>
                </c:pt>
                <c:pt idx="73">
                  <c:v>17436974.630992774</c:v>
                </c:pt>
                <c:pt idx="74">
                  <c:v>19634422.014125314</c:v>
                </c:pt>
                <c:pt idx="75">
                  <c:v>17013785.724968679</c:v>
                </c:pt>
                <c:pt idx="76">
                  <c:v>18093877.252679512</c:v>
                </c:pt>
                <c:pt idx="77">
                  <c:v>19315178.650269885</c:v>
                </c:pt>
                <c:pt idx="78">
                  <c:v>19549131.777980741</c:v>
                </c:pt>
                <c:pt idx="79">
                  <c:v>19412331.565932523</c:v>
                </c:pt>
                <c:pt idx="80">
                  <c:v>19254316.134607218</c:v>
                </c:pt>
                <c:pt idx="81">
                  <c:v>18460397.773161445</c:v>
                </c:pt>
                <c:pt idx="82">
                  <c:v>18666476.115330122</c:v>
                </c:pt>
                <c:pt idx="83">
                  <c:v>19446811.238221694</c:v>
                </c:pt>
                <c:pt idx="84">
                  <c:v>21184390.447006177</c:v>
                </c:pt>
                <c:pt idx="85">
                  <c:v>18766666.803632692</c:v>
                </c:pt>
                <c:pt idx="86">
                  <c:v>17697661.348210998</c:v>
                </c:pt>
                <c:pt idx="87">
                  <c:v>19284257.097608585</c:v>
                </c:pt>
                <c:pt idx="88">
                  <c:v>19795859.748211004</c:v>
                </c:pt>
                <c:pt idx="89">
                  <c:v>21072458.919295345</c:v>
                </c:pt>
                <c:pt idx="90">
                  <c:v>20882452.104837507</c:v>
                </c:pt>
                <c:pt idx="91">
                  <c:v>21499366.514476053</c:v>
                </c:pt>
                <c:pt idx="92">
                  <c:v>19842338.148211002</c:v>
                </c:pt>
                <c:pt idx="93">
                  <c:v>19326961.830138713</c:v>
                </c:pt>
                <c:pt idx="94">
                  <c:v>19493164.066283286</c:v>
                </c:pt>
                <c:pt idx="95">
                  <c:v>20044221.165078472</c:v>
                </c:pt>
                <c:pt idx="96">
                  <c:v>21620563.218417685</c:v>
                </c:pt>
                <c:pt idx="97">
                  <c:v>19419033.849742986</c:v>
                </c:pt>
                <c:pt idx="98">
                  <c:v>20467345.232875522</c:v>
                </c:pt>
                <c:pt idx="99">
                  <c:v>18962848.172634561</c:v>
                </c:pt>
                <c:pt idx="100">
                  <c:v>19104958.755767088</c:v>
                </c:pt>
                <c:pt idx="101">
                  <c:v>18871763.652152628</c:v>
                </c:pt>
                <c:pt idx="102">
                  <c:v>21610925.483477946</c:v>
                </c:pt>
                <c:pt idx="103">
                  <c:v>20499002.408779137</c:v>
                </c:pt>
                <c:pt idx="104">
                  <c:v>19124595.555767093</c:v>
                </c:pt>
                <c:pt idx="105">
                  <c:v>19237444.143718898</c:v>
                </c:pt>
                <c:pt idx="106">
                  <c:v>19655626.620827332</c:v>
                </c:pt>
                <c:pt idx="107">
                  <c:v>20768680.182273109</c:v>
                </c:pt>
                <c:pt idx="108">
                  <c:v>22240497.13711904</c:v>
                </c:pt>
                <c:pt idx="109">
                  <c:v>20355118.476878062</c:v>
                </c:pt>
                <c:pt idx="110">
                  <c:v>19763421.609408177</c:v>
                </c:pt>
                <c:pt idx="111">
                  <c:v>17089130.553986501</c:v>
                </c:pt>
                <c:pt idx="112">
                  <c:v>17090225.378082871</c:v>
                </c:pt>
                <c:pt idx="113">
                  <c:v>18398254.573263608</c:v>
                </c:pt>
                <c:pt idx="114">
                  <c:v>20433793.725070819</c:v>
                </c:pt>
                <c:pt idx="115">
                  <c:v>19508210.264829874</c:v>
                </c:pt>
                <c:pt idx="116">
                  <c:v>18413970.168444328</c:v>
                </c:pt>
                <c:pt idx="117">
                  <c:v>18353398.004588902</c:v>
                </c:pt>
                <c:pt idx="118">
                  <c:v>18350168.269649133</c:v>
                </c:pt>
                <c:pt idx="119">
                  <c:v>19370101.339528672</c:v>
                </c:pt>
                <c:pt idx="120">
                  <c:v>20686129.996556558</c:v>
                </c:pt>
                <c:pt idx="121">
                  <c:v>19399903.28812281</c:v>
                </c:pt>
                <c:pt idx="122">
                  <c:v>19460488.801375829</c:v>
                </c:pt>
                <c:pt idx="123">
                  <c:v>17754694.584508352</c:v>
                </c:pt>
                <c:pt idx="124">
                  <c:v>17924133.967640873</c:v>
                </c:pt>
                <c:pt idx="125">
                  <c:v>19511616.174869806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4-4808-9BE8-F8FBC56C7ABA}"/>
            </c:ext>
          </c:extLst>
        </c:ser>
        <c:ser>
          <c:idx val="1"/>
          <c:order val="1"/>
          <c:tx>
            <c:strRef>
              <c:f>'GS &gt; 50 kW'!$M$2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kW'!$A$3:$A$128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kW'!$M$3:$M$128</c:f>
              <c:numCache>
                <c:formatCode>#,##0_);\(#,##0\)</c:formatCode>
                <c:ptCount val="126"/>
                <c:pt idx="0">
                  <c:v>17704010.197220638</c:v>
                </c:pt>
                <c:pt idx="1">
                  <c:v>16134983.087175831</c:v>
                </c:pt>
                <c:pt idx="2">
                  <c:v>16636249.446781021</c:v>
                </c:pt>
                <c:pt idx="3">
                  <c:v>15178303.852549981</c:v>
                </c:pt>
                <c:pt idx="4">
                  <c:v>15678787.880525563</c:v>
                </c:pt>
                <c:pt idx="5">
                  <c:v>16158854.476047836</c:v>
                </c:pt>
                <c:pt idx="6">
                  <c:v>17677929.038486186</c:v>
                </c:pt>
                <c:pt idx="7">
                  <c:v>17205728.477211777</c:v>
                </c:pt>
                <c:pt idx="8">
                  <c:v>15955369.944562163</c:v>
                </c:pt>
                <c:pt idx="9">
                  <c:v>15706268.556448996</c:v>
                </c:pt>
                <c:pt idx="10">
                  <c:v>15447209.521234453</c:v>
                </c:pt>
                <c:pt idx="11">
                  <c:v>16630708.203187445</c:v>
                </c:pt>
                <c:pt idx="12">
                  <c:v>17027016.552310996</c:v>
                </c:pt>
                <c:pt idx="13">
                  <c:v>15999248.029334381</c:v>
                </c:pt>
                <c:pt idx="14">
                  <c:v>16078807.953727253</c:v>
                </c:pt>
                <c:pt idx="15">
                  <c:v>15431827.569131844</c:v>
                </c:pt>
                <c:pt idx="16">
                  <c:v>16212945.95804921</c:v>
                </c:pt>
                <c:pt idx="17">
                  <c:v>16573460.398995472</c:v>
                </c:pt>
                <c:pt idx="18">
                  <c:v>17806201.466628358</c:v>
                </c:pt>
                <c:pt idx="19">
                  <c:v>17291103.949882273</c:v>
                </c:pt>
                <c:pt idx="20">
                  <c:v>15996956.586817546</c:v>
                </c:pt>
                <c:pt idx="21">
                  <c:v>15967483.995570581</c:v>
                </c:pt>
                <c:pt idx="22">
                  <c:v>16272816.602909211</c:v>
                </c:pt>
                <c:pt idx="23">
                  <c:v>17106484.717007637</c:v>
                </c:pt>
                <c:pt idx="24">
                  <c:v>17611954.170790456</c:v>
                </c:pt>
                <c:pt idx="25">
                  <c:v>16730299.892051788</c:v>
                </c:pt>
                <c:pt idx="26">
                  <c:v>17311184.521924879</c:v>
                </c:pt>
                <c:pt idx="27">
                  <c:v>16161069.218466062</c:v>
                </c:pt>
                <c:pt idx="28">
                  <c:v>16722111.118743237</c:v>
                </c:pt>
                <c:pt idx="29">
                  <c:v>16916172.723250791</c:v>
                </c:pt>
                <c:pt idx="30">
                  <c:v>17992688.312738568</c:v>
                </c:pt>
                <c:pt idx="31">
                  <c:v>17740094.976767614</c:v>
                </c:pt>
                <c:pt idx="32">
                  <c:v>16433815.613378994</c:v>
                </c:pt>
                <c:pt idx="33">
                  <c:v>16517015.181484841</c:v>
                </c:pt>
                <c:pt idx="34">
                  <c:v>16878999.544198722</c:v>
                </c:pt>
                <c:pt idx="35">
                  <c:v>18241684.114095271</c:v>
                </c:pt>
                <c:pt idx="36">
                  <c:v>18970601.819547921</c:v>
                </c:pt>
                <c:pt idx="37">
                  <c:v>17576710.823756978</c:v>
                </c:pt>
                <c:pt idx="38">
                  <c:v>18304896.080141652</c:v>
                </c:pt>
                <c:pt idx="39">
                  <c:v>16383797.551461328</c:v>
                </c:pt>
                <c:pt idx="40">
                  <c:v>16704381.772939196</c:v>
                </c:pt>
                <c:pt idx="41">
                  <c:v>17177429.323775277</c:v>
                </c:pt>
                <c:pt idx="42">
                  <c:v>17624048.583825123</c:v>
                </c:pt>
                <c:pt idx="43">
                  <c:v>17640687.838369709</c:v>
                </c:pt>
                <c:pt idx="44">
                  <c:v>16571476.878519051</c:v>
                </c:pt>
                <c:pt idx="45">
                  <c:v>16409150.188577428</c:v>
                </c:pt>
                <c:pt idx="46">
                  <c:v>16972059.124543227</c:v>
                </c:pt>
                <c:pt idx="47">
                  <c:v>17655282.02076577</c:v>
                </c:pt>
                <c:pt idx="48">
                  <c:v>18901680.466412235</c:v>
                </c:pt>
                <c:pt idx="49">
                  <c:v>18349712.131496824</c:v>
                </c:pt>
                <c:pt idx="50">
                  <c:v>18135247.379159629</c:v>
                </c:pt>
                <c:pt idx="51">
                  <c:v>16509220.474276513</c:v>
                </c:pt>
                <c:pt idx="52">
                  <c:v>17371462.942993905</c:v>
                </c:pt>
                <c:pt idx="53">
                  <c:v>17333100.173120871</c:v>
                </c:pt>
                <c:pt idx="54">
                  <c:v>18613811.50637383</c:v>
                </c:pt>
                <c:pt idx="55">
                  <c:v>18523436.352506809</c:v>
                </c:pt>
                <c:pt idx="56">
                  <c:v>17923783.468830425</c:v>
                </c:pt>
                <c:pt idx="57">
                  <c:v>17113243.538095731</c:v>
                </c:pt>
                <c:pt idx="58">
                  <c:v>17037786.81385266</c:v>
                </c:pt>
                <c:pt idx="59">
                  <c:v>17684115.200338468</c:v>
                </c:pt>
                <c:pt idx="60">
                  <c:v>18939285.193311188</c:v>
                </c:pt>
                <c:pt idx="61">
                  <c:v>17821056.631648913</c:v>
                </c:pt>
                <c:pt idx="62">
                  <c:v>17922308.099861484</c:v>
                </c:pt>
                <c:pt idx="63">
                  <c:v>17247937.247296207</c:v>
                </c:pt>
                <c:pt idx="64">
                  <c:v>17612841.333522443</c:v>
                </c:pt>
                <c:pt idx="65">
                  <c:v>18156431.365370683</c:v>
                </c:pt>
                <c:pt idx="66">
                  <c:v>19329959.276002385</c:v>
                </c:pt>
                <c:pt idx="67">
                  <c:v>19462623.594472293</c:v>
                </c:pt>
                <c:pt idx="68">
                  <c:v>18000310.726555914</c:v>
                </c:pt>
                <c:pt idx="69">
                  <c:v>17588671.070835896</c:v>
                </c:pt>
                <c:pt idx="70">
                  <c:v>17132465.181418031</c:v>
                </c:pt>
                <c:pt idx="71">
                  <c:v>18785423.392452788</c:v>
                </c:pt>
                <c:pt idx="72">
                  <c:v>18826604.307601202</c:v>
                </c:pt>
                <c:pt idx="73">
                  <c:v>17498082.318642028</c:v>
                </c:pt>
                <c:pt idx="74">
                  <c:v>18857206.003363341</c:v>
                </c:pt>
                <c:pt idx="75">
                  <c:v>17273584.040036835</c:v>
                </c:pt>
                <c:pt idx="76">
                  <c:v>18168295.972851884</c:v>
                </c:pt>
                <c:pt idx="77">
                  <c:v>18773346.628438793</c:v>
                </c:pt>
                <c:pt idx="78">
                  <c:v>19667208.016322315</c:v>
                </c:pt>
                <c:pt idx="79">
                  <c:v>19368249.96155943</c:v>
                </c:pt>
                <c:pt idx="80">
                  <c:v>18764398.070246495</c:v>
                </c:pt>
                <c:pt idx="81">
                  <c:v>18545938.088081531</c:v>
                </c:pt>
                <c:pt idx="82">
                  <c:v>18630822.116649408</c:v>
                </c:pt>
                <c:pt idx="83">
                  <c:v>20529660.820706744</c:v>
                </c:pt>
                <c:pt idx="84">
                  <c:v>20569237.910492755</c:v>
                </c:pt>
                <c:pt idx="85">
                  <c:v>18732239.11182563</c:v>
                </c:pt>
                <c:pt idx="86">
                  <c:v>19689779.907404721</c:v>
                </c:pt>
                <c:pt idx="87">
                  <c:v>18788934.471594881</c:v>
                </c:pt>
                <c:pt idx="88">
                  <c:v>19174561.84689809</c:v>
                </c:pt>
                <c:pt idx="89">
                  <c:v>19276732.625424951</c:v>
                </c:pt>
                <c:pt idx="90">
                  <c:v>20584835.512212437</c:v>
                </c:pt>
                <c:pt idx="91">
                  <c:v>20378688.989773866</c:v>
                </c:pt>
                <c:pt idx="92">
                  <c:v>19016141.735678662</c:v>
                </c:pt>
                <c:pt idx="93">
                  <c:v>18597647.404690683</c:v>
                </c:pt>
                <c:pt idx="94">
                  <c:v>19073247.303388126</c:v>
                </c:pt>
                <c:pt idx="95">
                  <c:v>19787973.231660724</c:v>
                </c:pt>
                <c:pt idx="96">
                  <c:v>20812067.990606442</c:v>
                </c:pt>
                <c:pt idx="97">
                  <c:v>19245501.643085271</c:v>
                </c:pt>
                <c:pt idx="98">
                  <c:v>20197960.57619936</c:v>
                </c:pt>
                <c:pt idx="99">
                  <c:v>18882784.938161381</c:v>
                </c:pt>
                <c:pt idx="100">
                  <c:v>19142081.05557109</c:v>
                </c:pt>
                <c:pt idx="101">
                  <c:v>19729116.03776646</c:v>
                </c:pt>
                <c:pt idx="102">
                  <c:v>21323166.713237867</c:v>
                </c:pt>
                <c:pt idx="103">
                  <c:v>20968904.222864315</c:v>
                </c:pt>
                <c:pt idx="104">
                  <c:v>19929936.817065489</c:v>
                </c:pt>
                <c:pt idx="105">
                  <c:v>19541045.365921751</c:v>
                </c:pt>
                <c:pt idx="106">
                  <c:v>20400522.530529555</c:v>
                </c:pt>
                <c:pt idx="107">
                  <c:v>21081617.016776815</c:v>
                </c:pt>
                <c:pt idx="108">
                  <c:v>21244629.747283548</c:v>
                </c:pt>
                <c:pt idx="109">
                  <c:v>20705484.979539357</c:v>
                </c:pt>
                <c:pt idx="110">
                  <c:v>19597736.460375138</c:v>
                </c:pt>
                <c:pt idx="111">
                  <c:v>17320633.614180755</c:v>
                </c:pt>
                <c:pt idx="112">
                  <c:v>17070754.39602292</c:v>
                </c:pt>
                <c:pt idx="113">
                  <c:v>17831454.931141365</c:v>
                </c:pt>
                <c:pt idx="114">
                  <c:v>19456136.652985916</c:v>
                </c:pt>
                <c:pt idx="115">
                  <c:v>19426553.407095775</c:v>
                </c:pt>
                <c:pt idx="116">
                  <c:v>18408177.555714514</c:v>
                </c:pt>
                <c:pt idx="117">
                  <c:v>18545058.24498421</c:v>
                </c:pt>
                <c:pt idx="118">
                  <c:v>18859915.355602242</c:v>
                </c:pt>
                <c:pt idx="119">
                  <c:v>20115309.428223327</c:v>
                </c:pt>
                <c:pt idx="120">
                  <c:v>20356495.762149516</c:v>
                </c:pt>
                <c:pt idx="121">
                  <c:v>19329307.293308526</c:v>
                </c:pt>
                <c:pt idx="122">
                  <c:v>19327691.063440714</c:v>
                </c:pt>
                <c:pt idx="123">
                  <c:v>18354459.847445231</c:v>
                </c:pt>
                <c:pt idx="124">
                  <c:v>18971773.552747861</c:v>
                </c:pt>
                <c:pt idx="125">
                  <c:v>19851305.987825748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4-4808-9BE8-F8FBC56C7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chart" Target="../charts/chart20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144</xdr:col>
      <xdr:colOff>123825</xdr:colOff>
      <xdr:row>5</xdr:row>
      <xdr:rowOff>76200</xdr:rowOff>
    </xdr:from>
    <xdr:to>
      <xdr:col>154</xdr:col>
      <xdr:colOff>200025</xdr:colOff>
      <xdr:row>22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EC9417F-0BDD-47FB-B23A-294E33925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162</xdr:col>
      <xdr:colOff>114300</xdr:colOff>
      <xdr:row>4</xdr:row>
      <xdr:rowOff>95250</xdr:rowOff>
    </xdr:from>
    <xdr:to>
      <xdr:col>172</xdr:col>
      <xdr:colOff>523875</xdr:colOff>
      <xdr:row>23</xdr:row>
      <xdr:rowOff>104775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9E023B2-A8A0-4171-80FB-26D21B9E7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144</xdr:col>
      <xdr:colOff>0</xdr:colOff>
      <xdr:row>23</xdr:row>
      <xdr:rowOff>0</xdr:rowOff>
    </xdr:from>
    <xdr:to>
      <xdr:col>154</xdr:col>
      <xdr:colOff>76200</xdr:colOff>
      <xdr:row>39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1825522-04CC-4DC4-BDE7-FBB2052F1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144</xdr:col>
      <xdr:colOff>0</xdr:colOff>
      <xdr:row>41</xdr:row>
      <xdr:rowOff>0</xdr:rowOff>
    </xdr:from>
    <xdr:to>
      <xdr:col>154</xdr:col>
      <xdr:colOff>76200</xdr:colOff>
      <xdr:row>57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2F5B4A6-9524-43DF-8F1B-7305397E5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162</xdr:col>
      <xdr:colOff>38100</xdr:colOff>
      <xdr:row>24</xdr:row>
      <xdr:rowOff>19050</xdr:rowOff>
    </xdr:from>
    <xdr:to>
      <xdr:col>172</xdr:col>
      <xdr:colOff>561975</xdr:colOff>
      <xdr:row>41</xdr:row>
      <xdr:rowOff>76200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590F51D-568C-463C-830D-ECD1D6F18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162</xdr:col>
      <xdr:colOff>66675</xdr:colOff>
      <xdr:row>42</xdr:row>
      <xdr:rowOff>95250</xdr:rowOff>
    </xdr:from>
    <xdr:to>
      <xdr:col>172</xdr:col>
      <xdr:colOff>590550</xdr:colOff>
      <xdr:row>59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D931759-278D-4839-BC4B-D0D937E81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178593</xdr:colOff>
      <xdr:row>33</xdr:row>
      <xdr:rowOff>158350</xdr:rowOff>
    </xdr:from>
    <xdr:to>
      <xdr:col>34</xdr:col>
      <xdr:colOff>369092</xdr:colOff>
      <xdr:row>64</xdr:row>
      <xdr:rowOff>142872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4B48F3-A3DD-452D-87AC-712BC91A7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297655</xdr:colOff>
      <xdr:row>24</xdr:row>
      <xdr:rowOff>35719</xdr:rowOff>
    </xdr:from>
    <xdr:to>
      <xdr:col>35</xdr:col>
      <xdr:colOff>202405</xdr:colOff>
      <xdr:row>55</xdr:row>
      <xdr:rowOff>20242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E4DBB3-4E7D-4824-8B15-FB5DFC755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166687</xdr:colOff>
      <xdr:row>35</xdr:row>
      <xdr:rowOff>23812</xdr:rowOff>
    </xdr:from>
    <xdr:to>
      <xdr:col>33</xdr:col>
      <xdr:colOff>59531</xdr:colOff>
      <xdr:row>69</xdr:row>
      <xdr:rowOff>11905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ABF27A-B73C-48FE-8662-3FCA105D5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404812</xdr:colOff>
      <xdr:row>33</xdr:row>
      <xdr:rowOff>158350</xdr:rowOff>
    </xdr:from>
    <xdr:to>
      <xdr:col>34</xdr:col>
      <xdr:colOff>595311</xdr:colOff>
      <xdr:row>64</xdr:row>
      <xdr:rowOff>142872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F8E8D4-2113-4EEA-9BBA-2C43CD77A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428625</xdr:colOff>
      <xdr:row>25</xdr:row>
      <xdr:rowOff>71438</xdr:rowOff>
    </xdr:from>
    <xdr:to>
      <xdr:col>35</xdr:col>
      <xdr:colOff>333375</xdr:colOff>
      <xdr:row>56</xdr:row>
      <xdr:rowOff>55960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F0896A-D813-4457-9BD3-CE79F6F10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36</xdr:row>
      <xdr:rowOff>91677</xdr:rowOff>
    </xdr:from>
    <xdr:to>
      <xdr:col>34</xdr:col>
      <xdr:colOff>190499</xdr:colOff>
      <xdr:row>67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B59B8F-89A3-4969-ADA6-54290D800A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163185</xdr:colOff>
      <xdr:row>33</xdr:row>
      <xdr:rowOff>20377</xdr:rowOff>
    </xdr:from>
    <xdr:to>
      <xdr:col>32</xdr:col>
      <xdr:colOff>359987</xdr:colOff>
      <xdr:row>64</xdr:row>
      <xdr:rowOff>4899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2046BE-7F6F-4204-8047-1CD115610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607218</xdr:colOff>
      <xdr:row>37</xdr:row>
      <xdr:rowOff>130969</xdr:rowOff>
    </xdr:from>
    <xdr:to>
      <xdr:col>33</xdr:col>
      <xdr:colOff>511967</xdr:colOff>
      <xdr:row>68</xdr:row>
      <xdr:rowOff>115491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C4F983-CF5C-414E-971D-31A2A1BDD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393700</xdr:colOff>
      <xdr:row>6</xdr:row>
      <xdr:rowOff>0</xdr:rowOff>
    </xdr:from>
    <xdr:to>
      <xdr:col>17</xdr:col>
      <xdr:colOff>533400</xdr:colOff>
      <xdr:row>10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2B5B99D-C19F-4D6D-A763-3F1B2AC75AFD}"/>
            </a:ext>
          </a:extLst>
        </xdr:cNvPr>
        <xdr:cNvSpPr txBox="1"/>
      </xdr:nvSpPr>
      <xdr:spPr>
        <a:xfrm>
          <a:off x="15062200" y="1238250"/>
          <a:ext cx="4159250" cy="9525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Annualized</a:t>
          </a:r>
          <a:r>
            <a:rPr lang="en-US" sz="1100" baseline="0"/>
            <a:t> cumulative savings are half of savings in current year, plus cumulative savings from previous years.</a:t>
          </a:r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84</xdr:row>
      <xdr:rowOff>138112</xdr:rowOff>
    </xdr:from>
    <xdr:to>
      <xdr:col>7</xdr:col>
      <xdr:colOff>246063</xdr:colOff>
      <xdr:row>101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44B5F9-44F9-4FBB-A381-B88091FC0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571500</xdr:colOff>
      <xdr:row>102</xdr:row>
      <xdr:rowOff>127000</xdr:rowOff>
    </xdr:from>
    <xdr:to>
      <xdr:col>7</xdr:col>
      <xdr:colOff>579438</xdr:colOff>
      <xdr:row>119</xdr:row>
      <xdr:rowOff>117475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5BFA881-7FE1-418F-AADD-8A585EACC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428626</xdr:colOff>
      <xdr:row>84</xdr:row>
      <xdr:rowOff>142875</xdr:rowOff>
    </xdr:from>
    <xdr:to>
      <xdr:col>14</xdr:col>
      <xdr:colOff>523876</xdr:colOff>
      <xdr:row>101</xdr:row>
      <xdr:rowOff>133350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BB92B9B-155F-47D2-A13A-68091F8FD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396875</xdr:colOff>
      <xdr:row>102</xdr:row>
      <xdr:rowOff>150812</xdr:rowOff>
    </xdr:from>
    <xdr:to>
      <xdr:col>16</xdr:col>
      <xdr:colOff>523875</xdr:colOff>
      <xdr:row>119</xdr:row>
      <xdr:rowOff>141287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8E6EF08-71AA-4307-AA28-E0CDDD230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87312</xdr:colOff>
      <xdr:row>84</xdr:row>
      <xdr:rowOff>127001</xdr:rowOff>
    </xdr:from>
    <xdr:to>
      <xdr:col>22</xdr:col>
      <xdr:colOff>682625</xdr:colOff>
      <xdr:row>101</xdr:row>
      <xdr:rowOff>117476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52FC25A-23F0-4C58-8E0C-D77AAD8B0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103</xdr:row>
      <xdr:rowOff>0</xdr:rowOff>
    </xdr:from>
    <xdr:to>
      <xdr:col>23</xdr:col>
      <xdr:colOff>817562</xdr:colOff>
      <xdr:row>119</xdr:row>
      <xdr:rowOff>149225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3D0283B-32FF-4A8E-913E-FDEF03F2E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0</xdr:colOff>
      <xdr:row>85</xdr:row>
      <xdr:rowOff>0</xdr:rowOff>
    </xdr:from>
    <xdr:to>
      <xdr:col>29</xdr:col>
      <xdr:colOff>515938</xdr:colOff>
      <xdr:row>101</xdr:row>
      <xdr:rowOff>149225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ED0B3F4-0E97-4FF0-A342-9ACF3F6B8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0</xdr:colOff>
      <xdr:row>103</xdr:row>
      <xdr:rowOff>0</xdr:rowOff>
    </xdr:from>
    <xdr:to>
      <xdr:col>31</xdr:col>
      <xdr:colOff>420688</xdr:colOff>
      <xdr:row>119</xdr:row>
      <xdr:rowOff>149225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FF7403E-6456-4006-9B8C-9CF8E89E1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801687</xdr:colOff>
      <xdr:row>124</xdr:row>
      <xdr:rowOff>127000</xdr:rowOff>
    </xdr:from>
    <xdr:to>
      <xdr:col>23</xdr:col>
      <xdr:colOff>650875</xdr:colOff>
      <xdr:row>141</xdr:row>
      <xdr:rowOff>117475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F3CEF35-7E49-4DF5-8C2E-65E0E17FC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134937</xdr:colOff>
      <xdr:row>125</xdr:row>
      <xdr:rowOff>39688</xdr:rowOff>
    </xdr:from>
    <xdr:to>
      <xdr:col>8</xdr:col>
      <xdr:colOff>452438</xdr:colOff>
      <xdr:row>142</xdr:row>
      <xdr:rowOff>30163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23D5D69-2F8A-454F-BCFE-045395239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125</xdr:row>
      <xdr:rowOff>0</xdr:rowOff>
    </xdr:from>
    <xdr:to>
      <xdr:col>16</xdr:col>
      <xdr:colOff>801688</xdr:colOff>
      <xdr:row>141</xdr:row>
      <xdr:rowOff>149225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9482F668-7E26-4ED9-B67F-36179404F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52386</xdr:colOff>
      <xdr:row>5</xdr:row>
      <xdr:rowOff>47625</xdr:rowOff>
    </xdr:from>
    <xdr:to>
      <xdr:col>28</xdr:col>
      <xdr:colOff>590549</xdr:colOff>
      <xdr:row>22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69BFB4-6CA4-489F-AF48-750EDBF777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66676</xdr:colOff>
      <xdr:row>1</xdr:row>
      <xdr:rowOff>9525</xdr:rowOff>
    </xdr:from>
    <xdr:to>
      <xdr:col>17</xdr:col>
      <xdr:colOff>323851</xdr:colOff>
      <xdr:row>20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B0A9DE-24C8-4279-A3EE-777EDD0B9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47625</xdr:colOff>
      <xdr:row>20</xdr:row>
      <xdr:rowOff>104775</xdr:rowOff>
    </xdr:from>
    <xdr:to>
      <xdr:col>17</xdr:col>
      <xdr:colOff>304800</xdr:colOff>
      <xdr:row>39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7701854-B82F-4AC1-9BE3-DD78B7D5C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17</xdr:col>
      <xdr:colOff>257175</xdr:colOff>
      <xdr:row>59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4771B7-9BF0-4A1B-B28A-D0DEFABA9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24</xdr:row>
      <xdr:rowOff>0</xdr:rowOff>
    </xdr:from>
    <xdr:to>
      <xdr:col>28</xdr:col>
      <xdr:colOff>533400</xdr:colOff>
      <xdr:row>42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5A8701E-BC13-44ED-8192-7695732F7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44</xdr:row>
      <xdr:rowOff>0</xdr:rowOff>
    </xdr:from>
    <xdr:to>
      <xdr:col>28</xdr:col>
      <xdr:colOff>533400</xdr:colOff>
      <xdr:row>62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D43D877-7A22-40FF-805D-46F2F98F0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513051</xdr:colOff>
      <xdr:row>11</xdr:row>
      <xdr:rowOff>36802</xdr:rowOff>
    </xdr:from>
    <xdr:to>
      <xdr:col>35</xdr:col>
      <xdr:colOff>520627</xdr:colOff>
      <xdr:row>47</xdr:row>
      <xdr:rowOff>128802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785848-8247-4C75-9DD2-60193A4CDD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916781</xdr:colOff>
      <xdr:row>26</xdr:row>
      <xdr:rowOff>35718</xdr:rowOff>
    </xdr:from>
    <xdr:to>
      <xdr:col>33</xdr:col>
      <xdr:colOff>809624</xdr:colOff>
      <xdr:row>60</xdr:row>
      <xdr:rowOff>23811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6EF921-20BA-435C-8D06-5D3103880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HH96YE_%20MEA%20Statistics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/Documents%20and%20Settings/CCalhoun/Local%20Settings/Temporary%20Internet%20Files/Content.Outlook/EIW673TU/Documents%20and%20Settings/dferraro/Local%20Settings/Temporary%20Internet%20Files/OLKB/Dummy%20File.xls?118A2054" TargetMode="External"/><Relationship Id="rId1" Type="http://schemas.openxmlformats.org/officeDocument/2006/relationships/externalLinkPath" Target="file:///\\118A2054\Dummy%20Fi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rajovicr/Local%20Settings/Temporary%20Internet%20Files/Content.Outlook/HAF9ATEP/Dummy%20Fil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Tennant/Return%20on%20Equity%20and%20WC/RateMake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LDC%20FTY%20-%20LF/CostAllocat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891282D\Exhibit%203%20Distribution%20Revenue%20Throughputs%20-%20Blank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amar$\My%20Documents\EXCEL\COSA\COSA_Unbundling%20(MEA)\Mea_UCA_tes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bacon/My%20Documents/Orillia/2010%20Rates/2010%20Rate%20File%20-%20July%202,%202009/Documents%20and%20Settings/phurley/Desktop/Lakeland%20Rate%20App/LPDL_2009%20Revenue%20Requiremen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eichsteller$\My%20Documents\EXCEL\COSA\COSA_Unbundling%20(MEA)\Mea_UCA_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 Statistics"/>
      <sheetName val="North York Stat"/>
      <sheetName val="MEA Title Pge"/>
      <sheetName val="Old MEA Statistics"/>
      <sheetName val="Input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SUMMARY</v>
          </cell>
        </row>
        <row r="250">
          <cell r="B250" t="str">
            <v xml:space="preserve">   Average for medium size utilities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mmy File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mmy File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1.Admin"/>
      <sheetName val="A2.HistoricalBalances"/>
      <sheetName val="A3.CustomerClasses"/>
      <sheetName val="B1.GrossCapital"/>
      <sheetName val="B2.CapitalAmortization"/>
      <sheetName val="B3.NetCapital"/>
      <sheetName val="B4.OMA"/>
      <sheetName val="B5.DeferralBalances"/>
      <sheetName val="C1.LoadForecast"/>
      <sheetName val="C2.PassthruRates"/>
      <sheetName val="C3.DistRates"/>
      <sheetName val="C4.DistRevenue"/>
      <sheetName val="C5.ApprovedRecovery"/>
      <sheetName val="C6.ProposedRecoveries"/>
      <sheetName val="C7.RateRiders"/>
      <sheetName val="C8.ServiceRevenues"/>
      <sheetName val="C9.RevenueOffsets"/>
      <sheetName val="D1.RateBase"/>
      <sheetName val="D2.Debt"/>
      <sheetName val="D3.CapitalStructure"/>
      <sheetName val="E1.BridgeYrPL"/>
      <sheetName val="E2.TestYrPL"/>
      <sheetName val="E3.CapitalInfo"/>
      <sheetName val="E4.PILsResults"/>
      <sheetName val="F1.RevRequirement"/>
      <sheetName val="F2.DirectRevenues"/>
      <sheetName val="F3.CostAllocation"/>
      <sheetName val="F4.RevenueAllocation"/>
      <sheetName val="F5.RateDesign"/>
      <sheetName val="F6.RatesCheck"/>
      <sheetName val="F7.FinalRates"/>
      <sheetName val="F8.BillImpacts"/>
      <sheetName val="G1.BridgeYrProForma"/>
      <sheetName val="G2.TestYrProForma"/>
      <sheetName val="G3.TestYrNewRates"/>
      <sheetName val="G4.VarBS"/>
      <sheetName val="G5.VarPL"/>
      <sheetName val="G6.VarRateBase"/>
      <sheetName val="G7.VarSuffDef"/>
      <sheetName val="X11.RatesSched"/>
      <sheetName val="X12.PLtrend"/>
      <sheetName val="X13.PLvariances"/>
      <sheetName val="X14.BStrend"/>
      <sheetName val="X15.BSvariances"/>
      <sheetName val="X21.CapitalCont"/>
      <sheetName val="X22.RBtrend"/>
      <sheetName val="X23.RBvariances"/>
      <sheetName val="X71.RevSuffDef"/>
      <sheetName val="X72.RevenueReq"/>
      <sheetName val="Y1.PrescribedRates"/>
      <sheetName val="Y2.ChartOfAccts"/>
      <sheetName val="Y3.AmortAccts"/>
      <sheetName val="Y4.PassthruAccts"/>
      <sheetName val="Y5.DistRateAccts"/>
      <sheetName val="Y6.ServiceRevAccts"/>
      <sheetName val="Y7.RPPrates"/>
      <sheetName val="Y8.VarianceThresholds"/>
      <sheetName val="Z1.ModelVariables"/>
      <sheetName val="Z2.ModelTables"/>
      <sheetName val="Z0.Disclaimer"/>
    </sheetNames>
    <sheetDataSet>
      <sheetData sheetId="0" refreshError="1"/>
      <sheetData sheetId="1" refreshError="1">
        <row r="13">
          <cell r="C13">
            <v>2009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10">
          <cell r="C10" t="str">
            <v xml:space="preserve">_x000D_
</v>
          </cell>
        </row>
        <row r="12">
          <cell r="C12" t="str">
            <v>2006 EDR Approved</v>
          </cell>
        </row>
        <row r="14">
          <cell r="C14" t="str">
            <v> </v>
          </cell>
        </row>
      </sheetData>
      <sheetData sheetId="59" refreshError="1"/>
      <sheetData sheetId="6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lassRevenues"/>
      <sheetName val="ExistingRatesDetails"/>
      <sheetName val="ExistingRatesSummary"/>
      <sheetName val="LoadForecastDetails"/>
      <sheetName val="LoadForecastSummary"/>
      <sheetName val="Refs"/>
    </sheetNames>
    <sheetDataSet>
      <sheetData sheetId="0" refreshError="1">
        <row r="8">
          <cell r="C8" t="str">
            <v>C:\Documents and Settings\jcochrane.ERA-INC\My Documents\2008EDR\FTYv1.3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Horizon_Utilities_Corporation_Detailed_CA_model_Run2.xls</v>
          </cell>
        </row>
        <row r="3">
          <cell r="B3" t="str">
            <v>'[Horizon_Utilities_Corporation_Detailed_CA_model_Run2.xls]I2 LDC class'!$C:$G</v>
          </cell>
        </row>
        <row r="4">
          <cell r="B4" t="str">
            <v>'[Horizon_Utilities_Corporation_Detailed_CA_model_Run2.xls]O1 Revenue to cost|RR'!$D$17:$W$17</v>
          </cell>
        </row>
        <row r="5">
          <cell r="B5" t="str">
            <v>Revenue Requirement (includes NI)</v>
          </cell>
        </row>
        <row r="6">
          <cell r="B6">
            <v>92033309.222477198</v>
          </cell>
        </row>
        <row r="7">
          <cell r="B7" t="str">
            <v>'[Horizon_Utilities_Corporation_Detailed_CA_model_Run2.xls]O1 Revenue to cost|RR'!$B:$W</v>
          </cell>
        </row>
        <row r="8">
          <cell r="B8">
            <v>498976676.05552793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  <row r="76">
          <cell r="E76">
            <v>36161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A Continuity 2006"/>
      <sheetName val="FA Continuity 2007"/>
      <sheetName val="FA Continuity 2008"/>
      <sheetName val="FA Continuity 2009"/>
      <sheetName val="Trial Balance"/>
      <sheetName val="2006 Balance Sheet"/>
      <sheetName val="2006 Income Statement"/>
      <sheetName val="2007 Balance Sheet"/>
      <sheetName val="2007 Income Statement"/>
      <sheetName val="2008 Balance Sheet"/>
      <sheetName val="2008 Income Statement"/>
      <sheetName val="2009 Balance Sheet"/>
      <sheetName val="2009 Income Statement"/>
      <sheetName val="IS Comparison"/>
      <sheetName val="Debt &amp; Capital Structure"/>
      <sheetName val="Return on Capital"/>
      <sheetName val="Tax rates"/>
      <sheetName val="CCA Continuity 2008"/>
      <sheetName val="CCA Continuity 2009"/>
      <sheetName val="Reserves Continuity"/>
      <sheetName val="Corporation Loss Continuity"/>
      <sheetName val="Interest Schedule"/>
      <sheetName val="Tax Adjustments 2008"/>
      <sheetName val="Tax Adjustments 2009"/>
      <sheetName val="2009 Rev Deficiency"/>
      <sheetName val="Capital Tax &amp; Expense Schedules"/>
      <sheetName val="Revenue Require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0">
          <cell r="B10" t="str">
            <v>Service Revenue Requirement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S135"/>
  <sheetViews>
    <sheetView zoomScale="110" zoomScaleNormal="110" workbookViewId="0">
      <pane xSplit="3" ySplit="1" topLeftCell="D73" activePane="bottomRight" state="frozen"/>
      <selection activeCell="V159" sqref="V159"/>
      <selection pane="topRight" activeCell="V159" sqref="V159"/>
      <selection pane="bottomLeft" activeCell="V159" sqref="V159"/>
      <selection pane="bottomRight" activeCell="L97" sqref="L97"/>
    </sheetView>
  </sheetViews>
  <sheetFormatPr defaultRowHeight="12.75" x14ac:dyDescent="0.2"/>
  <cols>
    <col min="1" max="1" width="9.7109375" bestFit="1" customWidth="1"/>
    <col min="4" max="6" width="15.140625" style="101" customWidth="1"/>
    <col min="7" max="7" width="12.85546875" style="101" bestFit="1" customWidth="1"/>
    <col min="8" max="9" width="12.85546875" style="101" customWidth="1"/>
    <col min="10" max="12" width="16" style="101" customWidth="1"/>
    <col min="13" max="13" width="11.28515625" style="101" bestFit="1" customWidth="1"/>
    <col min="14" max="14" width="15.140625" style="101" customWidth="1"/>
    <col min="15" max="15" width="11.28515625" style="101" customWidth="1"/>
    <col min="16" max="16" width="11.28515625" style="101" bestFit="1" customWidth="1"/>
    <col min="17" max="18" width="11.28515625" style="101" customWidth="1"/>
    <col min="19" max="26" width="9.7109375" style="101" customWidth="1"/>
    <col min="27" max="27" width="19.140625" customWidth="1"/>
    <col min="28" max="29" width="9.28515625" bestFit="1" customWidth="1"/>
    <col min="30" max="30" width="11.42578125" customWidth="1"/>
    <col min="31" max="32" width="9.28515625" bestFit="1" customWidth="1"/>
    <col min="33" max="33" width="9.28515625" customWidth="1"/>
    <col min="34" max="34" width="9.28515625" bestFit="1" customWidth="1"/>
    <col min="52" max="52" width="11.28515625" bestFit="1" customWidth="1"/>
    <col min="53" max="58" width="9.28515625" bestFit="1" customWidth="1"/>
    <col min="60" max="61" width="9.85546875" customWidth="1"/>
    <col min="95" max="97" width="10.85546875" customWidth="1"/>
  </cols>
  <sheetData>
    <row r="1" spans="1:97" ht="38.25" x14ac:dyDescent="0.2">
      <c r="A1" s="28" t="s">
        <v>0</v>
      </c>
      <c r="B1" s="28" t="s">
        <v>1</v>
      </c>
      <c r="C1" s="28" t="s">
        <v>2</v>
      </c>
      <c r="D1" s="100" t="s">
        <v>3</v>
      </c>
      <c r="E1" s="100" t="s">
        <v>4</v>
      </c>
      <c r="F1" s="100" t="s">
        <v>5</v>
      </c>
      <c r="G1" s="100" t="s">
        <v>6</v>
      </c>
      <c r="H1" s="100" t="s">
        <v>7</v>
      </c>
      <c r="I1" s="100" t="s">
        <v>8</v>
      </c>
      <c r="J1" s="100" t="s">
        <v>9</v>
      </c>
      <c r="K1" s="100" t="s">
        <v>10</v>
      </c>
      <c r="L1" s="100" t="s">
        <v>11</v>
      </c>
      <c r="M1" s="100" t="s">
        <v>12</v>
      </c>
      <c r="N1" s="100" t="s">
        <v>13</v>
      </c>
      <c r="O1" s="100" t="s">
        <v>14</v>
      </c>
      <c r="P1" s="100" t="s">
        <v>15</v>
      </c>
      <c r="Q1" s="100" t="s">
        <v>16</v>
      </c>
      <c r="R1" s="100" t="s">
        <v>17</v>
      </c>
      <c r="S1" s="100" t="s">
        <v>18</v>
      </c>
      <c r="T1" s="100" t="s">
        <v>19</v>
      </c>
      <c r="U1" s="100" t="s">
        <v>20</v>
      </c>
      <c r="V1" s="100" t="s">
        <v>21</v>
      </c>
      <c r="W1" s="100" t="s">
        <v>22</v>
      </c>
      <c r="X1" s="100" t="s">
        <v>23</v>
      </c>
      <c r="Y1" s="100" t="s">
        <v>24</v>
      </c>
      <c r="Z1" s="100" t="s">
        <v>25</v>
      </c>
      <c r="AA1" s="28" t="s">
        <v>26</v>
      </c>
      <c r="AB1" s="100" t="s">
        <v>27</v>
      </c>
      <c r="AC1" s="100" t="s">
        <v>28</v>
      </c>
      <c r="AD1" s="100" t="s">
        <v>29</v>
      </c>
      <c r="AE1" s="100" t="s">
        <v>30</v>
      </c>
      <c r="AF1" s="100" t="s">
        <v>31</v>
      </c>
      <c r="AG1" s="100" t="s">
        <v>32</v>
      </c>
      <c r="AH1" s="100" t="s">
        <v>33</v>
      </c>
      <c r="AI1" s="103" t="str">
        <f>Weather!C1</f>
        <v>Avg. Temp</v>
      </c>
      <c r="AJ1" s="103" t="str">
        <f>Weather!D1</f>
        <v>HDD22</v>
      </c>
      <c r="AK1" s="103" t="str">
        <f>Weather!E1</f>
        <v>CDD22</v>
      </c>
      <c r="AL1" s="103" t="str">
        <f>Weather!F1</f>
        <v>HDD20</v>
      </c>
      <c r="AM1" s="103" t="str">
        <f>Weather!G1</f>
        <v>CDD20</v>
      </c>
      <c r="AN1" s="103" t="str">
        <f>Weather!H1</f>
        <v>HDD18</v>
      </c>
      <c r="AO1" s="103" t="str">
        <f>Weather!I1</f>
        <v>CDD18</v>
      </c>
      <c r="AP1" s="103" t="str">
        <f>Weather!J1</f>
        <v>HDD16</v>
      </c>
      <c r="AQ1" s="103" t="str">
        <f>Weather!K1</f>
        <v>CDD16</v>
      </c>
      <c r="AR1" s="103" t="str">
        <f>Weather!L1</f>
        <v>HDD14</v>
      </c>
      <c r="AS1" s="103" t="str">
        <f>Weather!M1</f>
        <v>CDD14</v>
      </c>
      <c r="AT1" s="103" t="str">
        <f>Weather!N1</f>
        <v>HDD12</v>
      </c>
      <c r="AU1" s="103" t="str">
        <f>Weather!O1</f>
        <v>CDD12</v>
      </c>
      <c r="AV1" s="103" t="str">
        <f>Weather!P1</f>
        <v>HDD10</v>
      </c>
      <c r="AW1" s="103" t="str">
        <f>Weather!Q1</f>
        <v>CDD10</v>
      </c>
      <c r="AX1" s="103" t="str">
        <f>Weather!R1</f>
        <v>HDD8</v>
      </c>
      <c r="AY1" s="103" t="str">
        <f>Weather!S1</f>
        <v>CDD8</v>
      </c>
      <c r="AZ1" s="118" t="str">
        <f>Economic!C1</f>
        <v>OntarioGDP</v>
      </c>
      <c r="BA1" s="118" t="str">
        <f>Economic!D1</f>
        <v>OntarioFTEAdj</v>
      </c>
      <c r="BB1" s="118" t="str">
        <f>Economic!E1</f>
        <v>OntarioFTE</v>
      </c>
      <c r="BC1" s="118" t="str">
        <f>Economic!F1</f>
        <v>TorontoFTEAdj</v>
      </c>
      <c r="BD1" s="118" t="str">
        <f>Economic!G1</f>
        <v>TorontoFTE</v>
      </c>
      <c r="BE1" s="118" t="str">
        <f>Economic!H1</f>
        <v>HamiltonFTEAdj</v>
      </c>
      <c r="BF1" s="118" t="str">
        <f>Economic!I1</f>
        <v>HamiltonFTE</v>
      </c>
      <c r="BG1" s="121" t="s">
        <v>34</v>
      </c>
      <c r="BH1" s="121" t="s">
        <v>35</v>
      </c>
      <c r="BI1" s="121" t="s">
        <v>36</v>
      </c>
      <c r="BJ1" s="121" t="s">
        <v>37</v>
      </c>
      <c r="BK1" s="121" t="s">
        <v>38</v>
      </c>
      <c r="BL1" s="121" t="s">
        <v>39</v>
      </c>
      <c r="BM1" s="121" t="s">
        <v>40</v>
      </c>
      <c r="BN1" s="121" t="s">
        <v>41</v>
      </c>
      <c r="BO1" s="121" t="s">
        <v>42</v>
      </c>
      <c r="BP1" s="121" t="s">
        <v>43</v>
      </c>
      <c r="BQ1" s="121" t="s">
        <v>44</v>
      </c>
      <c r="BR1" s="121" t="s">
        <v>45</v>
      </c>
      <c r="BS1" s="121" t="s">
        <v>46</v>
      </c>
      <c r="BT1" s="121" t="s">
        <v>47</v>
      </c>
      <c r="BU1" s="121" t="s">
        <v>48</v>
      </c>
      <c r="BV1" s="121" t="s">
        <v>49</v>
      </c>
      <c r="BW1" s="121" t="s">
        <v>50</v>
      </c>
      <c r="BX1" s="121" t="s">
        <v>51</v>
      </c>
      <c r="BY1" s="122" t="s">
        <v>52</v>
      </c>
      <c r="BZ1" s="127" t="s">
        <v>53</v>
      </c>
      <c r="CA1" s="127" t="str">
        <f>$BY$1&amp;AJ1</f>
        <v>COVIDHDD22</v>
      </c>
      <c r="CB1" s="127" t="str">
        <f t="shared" ref="CB1:CN1" si="0">$BY$1&amp;AK1</f>
        <v>COVIDCDD22</v>
      </c>
      <c r="CC1" s="127" t="str">
        <f t="shared" si="0"/>
        <v>COVIDHDD20</v>
      </c>
      <c r="CD1" s="127" t="str">
        <f t="shared" si="0"/>
        <v>COVIDCDD20</v>
      </c>
      <c r="CE1" s="127" t="str">
        <f t="shared" si="0"/>
        <v>COVIDHDD18</v>
      </c>
      <c r="CF1" s="127" t="str">
        <f t="shared" si="0"/>
        <v>COVIDCDD18</v>
      </c>
      <c r="CG1" s="127" t="str">
        <f t="shared" si="0"/>
        <v>COVIDHDD16</v>
      </c>
      <c r="CH1" s="127" t="str">
        <f t="shared" si="0"/>
        <v>COVIDCDD16</v>
      </c>
      <c r="CI1" s="127" t="str">
        <f t="shared" si="0"/>
        <v>COVIDHDD14</v>
      </c>
      <c r="CJ1" s="127" t="str">
        <f t="shared" si="0"/>
        <v>COVIDCDD14</v>
      </c>
      <c r="CK1" s="127" t="str">
        <f t="shared" si="0"/>
        <v>COVIDHDD12</v>
      </c>
      <c r="CL1" s="127" t="str">
        <f t="shared" si="0"/>
        <v>COVIDCDD12</v>
      </c>
      <c r="CM1" s="127" t="str">
        <f t="shared" si="0"/>
        <v>COVIDHDD10</v>
      </c>
      <c r="CN1" s="127" t="str">
        <f t="shared" si="0"/>
        <v>COVIDCDD10</v>
      </c>
      <c r="CO1" s="127" t="str">
        <f>$BY$1&amp;AX1</f>
        <v>COVIDHDD8</v>
      </c>
      <c r="CP1" s="127" t="str">
        <f>$BY$1&amp;AY1</f>
        <v>COVIDCDD8</v>
      </c>
      <c r="CQ1" s="127" t="s">
        <v>54</v>
      </c>
      <c r="CR1" s="127" t="s">
        <v>55</v>
      </c>
      <c r="CS1" s="127" t="s">
        <v>56</v>
      </c>
    </row>
    <row r="2" spans="1:97" x14ac:dyDescent="0.2">
      <c r="A2" s="115">
        <v>40544</v>
      </c>
      <c r="B2">
        <f t="shared" ref="B2:B10" si="1">YEAR(A2)</f>
        <v>2011</v>
      </c>
      <c r="C2">
        <f t="shared" ref="C2:C10" si="2">MONTH(A2)</f>
        <v>1</v>
      </c>
      <c r="D2" s="131">
        <v>23710157.339999959</v>
      </c>
      <c r="E2" s="131">
        <f>VLOOKUP($B2,'Historic CDM'!$L$5:$R$17,2,FALSE)/12</f>
        <v>23207.745325324893</v>
      </c>
      <c r="F2" s="131">
        <f>D2+E2</f>
        <v>23733365.085325282</v>
      </c>
      <c r="G2" s="131">
        <v>6855369.9400000023</v>
      </c>
      <c r="H2" s="131">
        <f>VLOOKUP($B2,'Historic CDM'!$L$5:$R$17,3,FALSE)/12</f>
        <v>9467.620679902544</v>
      </c>
      <c r="I2" s="131">
        <f>G2+H2</f>
        <v>6864837.5606799051</v>
      </c>
      <c r="J2" s="131">
        <v>16624484.049999999</v>
      </c>
      <c r="K2" s="131">
        <f>VLOOKUP($B2,'Historic CDM'!$L$5:$R$17,4,FALSE)/12</f>
        <v>92782.771217919406</v>
      </c>
      <c r="L2" s="131">
        <f>J2+K2</f>
        <v>16717266.821217919</v>
      </c>
      <c r="N2" s="131">
        <f>VLOOKUP($B2,'Historic CDM'!$L$5:$R$17,5,FALSE)/12</f>
        <v>26940.854166666697</v>
      </c>
      <c r="Q2" s="131">
        <f>VLOOKUP($B2,'Historic CDM'!$L$5:$R$17,6,FALSE)/12</f>
        <v>3226.2539355113836</v>
      </c>
      <c r="AA2" s="41">
        <v>26615</v>
      </c>
      <c r="AB2" s="125">
        <v>2283</v>
      </c>
      <c r="AC2" s="125">
        <v>257</v>
      </c>
      <c r="AI2" s="104">
        <f>Weather!C110</f>
        <v>-7.0096774193548388</v>
      </c>
      <c r="AJ2" s="104">
        <f>Weather!D110</f>
        <v>899.29999999999984</v>
      </c>
      <c r="AK2" s="104">
        <f>Weather!E110</f>
        <v>0</v>
      </c>
      <c r="AL2" s="104">
        <f>Weather!F110</f>
        <v>837.3</v>
      </c>
      <c r="AM2" s="104">
        <f>Weather!G110</f>
        <v>0</v>
      </c>
      <c r="AN2" s="104">
        <f>Weather!H110</f>
        <v>775.3</v>
      </c>
      <c r="AO2" s="104">
        <f>Weather!I110</f>
        <v>0</v>
      </c>
      <c r="AP2" s="104">
        <f>Weather!J110</f>
        <v>713.3</v>
      </c>
      <c r="AQ2" s="104">
        <f>Weather!K110</f>
        <v>0</v>
      </c>
      <c r="AR2" s="104">
        <f>Weather!L110</f>
        <v>651.30000000000007</v>
      </c>
      <c r="AS2" s="104">
        <f>Weather!M110</f>
        <v>0</v>
      </c>
      <c r="AT2" s="104">
        <f>Weather!N110</f>
        <v>589.30000000000007</v>
      </c>
      <c r="AU2" s="104">
        <f>Weather!O110</f>
        <v>0</v>
      </c>
      <c r="AV2" s="104">
        <f>Weather!P110</f>
        <v>527.30000000000007</v>
      </c>
      <c r="AW2" s="104">
        <f>Weather!Q110</f>
        <v>0</v>
      </c>
      <c r="AX2" s="104">
        <f>Weather!R110</f>
        <v>465.30000000000007</v>
      </c>
      <c r="AY2" s="104">
        <f>Weather!S110</f>
        <v>0</v>
      </c>
      <c r="AZ2" s="119">
        <f>Economic!C2</f>
        <v>625936.9</v>
      </c>
      <c r="BA2" s="120">
        <f>Economic!D2</f>
        <v>6580.3</v>
      </c>
      <c r="BB2" s="120">
        <f>Economic!E2</f>
        <v>6544.8</v>
      </c>
      <c r="BC2" s="120">
        <f>Economic!F2</f>
        <v>2928.6</v>
      </c>
      <c r="BD2" s="120">
        <f>Economic!G2</f>
        <v>2924.8</v>
      </c>
      <c r="BE2" s="120">
        <f>Economic!H2</f>
        <v>370</v>
      </c>
      <c r="BF2" s="120">
        <f>Economic!I2</f>
        <v>367.9</v>
      </c>
      <c r="BG2" s="123">
        <v>31</v>
      </c>
      <c r="BH2" s="123">
        <v>21</v>
      </c>
      <c r="BI2" s="123">
        <v>1</v>
      </c>
      <c r="BJ2" s="123">
        <v>1</v>
      </c>
      <c r="BK2" s="123">
        <v>0</v>
      </c>
      <c r="BL2" s="123">
        <v>0</v>
      </c>
      <c r="BM2" s="123">
        <v>0</v>
      </c>
      <c r="BN2" s="123">
        <v>0</v>
      </c>
      <c r="BO2" s="123">
        <v>0</v>
      </c>
      <c r="BP2" s="123">
        <v>0</v>
      </c>
      <c r="BQ2" s="123">
        <v>0</v>
      </c>
      <c r="BR2" s="123">
        <v>0</v>
      </c>
      <c r="BS2" s="123">
        <v>0</v>
      </c>
      <c r="BT2" s="123">
        <v>0</v>
      </c>
      <c r="BU2" s="123">
        <v>0</v>
      </c>
      <c r="BV2" s="123">
        <v>0</v>
      </c>
      <c r="BW2" s="123">
        <v>0</v>
      </c>
      <c r="BX2" s="123">
        <v>0</v>
      </c>
      <c r="BY2" s="124">
        <v>0</v>
      </c>
      <c r="BZ2" s="124">
        <v>0</v>
      </c>
      <c r="CA2" s="124">
        <f>$BY2*AJ2</f>
        <v>0</v>
      </c>
      <c r="CB2" s="124">
        <f t="shared" ref="CB2:CN2" si="3">$BY2*AK2</f>
        <v>0</v>
      </c>
      <c r="CC2" s="124">
        <f t="shared" si="3"/>
        <v>0</v>
      </c>
      <c r="CD2" s="124">
        <f t="shared" si="3"/>
        <v>0</v>
      </c>
      <c r="CE2" s="124">
        <f t="shared" si="3"/>
        <v>0</v>
      </c>
      <c r="CF2" s="124">
        <f t="shared" si="3"/>
        <v>0</v>
      </c>
      <c r="CG2" s="124">
        <f t="shared" si="3"/>
        <v>0</v>
      </c>
      <c r="CH2" s="124">
        <f t="shared" si="3"/>
        <v>0</v>
      </c>
      <c r="CI2" s="124">
        <f t="shared" si="3"/>
        <v>0</v>
      </c>
      <c r="CJ2" s="124">
        <f t="shared" si="3"/>
        <v>0</v>
      </c>
      <c r="CK2" s="124">
        <f t="shared" si="3"/>
        <v>0</v>
      </c>
      <c r="CL2" s="124">
        <f t="shared" si="3"/>
        <v>0</v>
      </c>
      <c r="CM2" s="124">
        <f t="shared" si="3"/>
        <v>0</v>
      </c>
      <c r="CN2" s="124">
        <f t="shared" si="3"/>
        <v>0</v>
      </c>
      <c r="CO2" s="124">
        <f>$BY2*AX2</f>
        <v>0</v>
      </c>
      <c r="CP2" s="124">
        <f>$BY2*AY2</f>
        <v>0</v>
      </c>
      <c r="CQ2" s="138">
        <f>F2/AA2</f>
        <v>891.72891547342783</v>
      </c>
      <c r="CR2" s="138">
        <f>I2/AB2</f>
        <v>3006.93717068765</v>
      </c>
      <c r="CS2" s="138">
        <f>L2/AC2</f>
        <v>65047.730821859608</v>
      </c>
    </row>
    <row r="3" spans="1:97" x14ac:dyDescent="0.2">
      <c r="A3" s="114">
        <v>40575</v>
      </c>
      <c r="B3">
        <f t="shared" si="1"/>
        <v>2011</v>
      </c>
      <c r="C3">
        <f t="shared" si="2"/>
        <v>2</v>
      </c>
      <c r="D3" s="131">
        <v>22287321.790000025</v>
      </c>
      <c r="E3" s="131">
        <f>VLOOKUP($B3,'Historic CDM'!$L$5:$R$17,2,FALSE)/12</f>
        <v>23207.745325324893</v>
      </c>
      <c r="F3" s="131">
        <f t="shared" ref="F3:F66" si="4">D3+E3</f>
        <v>22310529.535325348</v>
      </c>
      <c r="G3" s="131">
        <v>7477521.3800000027</v>
      </c>
      <c r="H3" s="131">
        <f>VLOOKUP($B3,'Historic CDM'!$L$5:$R$17,3,FALSE)/12</f>
        <v>9467.620679902544</v>
      </c>
      <c r="I3" s="131">
        <f t="shared" ref="I3:I66" si="5">G3+H3</f>
        <v>7486989.0006799055</v>
      </c>
      <c r="J3" s="131">
        <v>15658887.129999997</v>
      </c>
      <c r="K3" s="131">
        <f>VLOOKUP($B3,'Historic CDM'!$L$5:$R$17,4,FALSE)/12</f>
        <v>92782.771217919406</v>
      </c>
      <c r="L3" s="131">
        <f t="shared" ref="L3:L66" si="6">J3+K3</f>
        <v>15751669.901217917</v>
      </c>
      <c r="N3" s="131">
        <f>VLOOKUP($B3,'Historic CDM'!$L$5:$R$17,5,FALSE)/12</f>
        <v>26940.854166666697</v>
      </c>
      <c r="Q3" s="131">
        <f>VLOOKUP($B3,'Historic CDM'!$L$5:$R$17,6,FALSE)/12</f>
        <v>3226.2539355113836</v>
      </c>
      <c r="AA3" s="41">
        <v>26654</v>
      </c>
      <c r="AB3" s="125">
        <v>2302</v>
      </c>
      <c r="AC3" s="125">
        <v>255</v>
      </c>
      <c r="AI3" s="104">
        <f>Weather!C111</f>
        <v>-5.364285714285713</v>
      </c>
      <c r="AJ3" s="104">
        <f>Weather!D111</f>
        <v>766.20000000000016</v>
      </c>
      <c r="AK3" s="104">
        <f>Weather!E111</f>
        <v>0</v>
      </c>
      <c r="AL3" s="104">
        <f>Weather!F111</f>
        <v>710.20000000000016</v>
      </c>
      <c r="AM3" s="104">
        <f>Weather!G111</f>
        <v>0</v>
      </c>
      <c r="AN3" s="104">
        <f>Weather!H111</f>
        <v>654.20000000000016</v>
      </c>
      <c r="AO3" s="104">
        <f>Weather!I111</f>
        <v>0</v>
      </c>
      <c r="AP3" s="104">
        <f>Weather!J111</f>
        <v>598.20000000000016</v>
      </c>
      <c r="AQ3" s="104">
        <f>Weather!K111</f>
        <v>0</v>
      </c>
      <c r="AR3" s="104">
        <f>Weather!L111</f>
        <v>542.20000000000016</v>
      </c>
      <c r="AS3" s="104">
        <f>Weather!M111</f>
        <v>0</v>
      </c>
      <c r="AT3" s="104">
        <f>Weather!N111</f>
        <v>486.2000000000001</v>
      </c>
      <c r="AU3" s="104">
        <f>Weather!O111</f>
        <v>0</v>
      </c>
      <c r="AV3" s="104">
        <f>Weather!P111</f>
        <v>430.20000000000005</v>
      </c>
      <c r="AW3" s="104">
        <f>Weather!Q111</f>
        <v>0</v>
      </c>
      <c r="AX3" s="104">
        <f>Weather!R111</f>
        <v>374.20000000000005</v>
      </c>
      <c r="AY3" s="104">
        <f>Weather!S111</f>
        <v>0</v>
      </c>
      <c r="AZ3" s="119">
        <f>Economic!C3</f>
        <v>625936.9</v>
      </c>
      <c r="BA3" s="120">
        <f>Economic!D3</f>
        <v>6596.8</v>
      </c>
      <c r="BB3" s="120">
        <f>Economic!E3</f>
        <v>6526.6</v>
      </c>
      <c r="BC3" s="120">
        <f>Economic!F3</f>
        <v>2938.9</v>
      </c>
      <c r="BD3" s="120">
        <f>Economic!G3</f>
        <v>2921.9</v>
      </c>
      <c r="BE3" s="120">
        <f>Economic!H3</f>
        <v>367.6</v>
      </c>
      <c r="BF3" s="120">
        <f>Economic!I3</f>
        <v>363.8</v>
      </c>
      <c r="BG3" s="123">
        <v>28</v>
      </c>
      <c r="BH3" s="123">
        <v>19</v>
      </c>
      <c r="BI3" s="123">
        <f t="shared" ref="BI3:BI24" si="7">1+BI2</f>
        <v>2</v>
      </c>
      <c r="BJ3" s="123">
        <v>0</v>
      </c>
      <c r="BK3" s="123">
        <v>1</v>
      </c>
      <c r="BL3" s="123">
        <v>0</v>
      </c>
      <c r="BM3" s="123">
        <v>0</v>
      </c>
      <c r="BN3" s="123">
        <v>0</v>
      </c>
      <c r="BO3" s="123">
        <v>0</v>
      </c>
      <c r="BP3" s="123">
        <v>0</v>
      </c>
      <c r="BQ3" s="123">
        <v>0</v>
      </c>
      <c r="BR3" s="123">
        <v>0</v>
      </c>
      <c r="BS3" s="123">
        <v>0</v>
      </c>
      <c r="BT3" s="123">
        <v>0</v>
      </c>
      <c r="BU3" s="123">
        <v>0</v>
      </c>
      <c r="BV3" s="123">
        <v>0</v>
      </c>
      <c r="BW3" s="123">
        <v>0</v>
      </c>
      <c r="BX3" s="123">
        <v>0</v>
      </c>
      <c r="BY3" s="124">
        <v>0</v>
      </c>
      <c r="BZ3" s="124">
        <v>0</v>
      </c>
      <c r="CA3" s="124">
        <f t="shared" ref="CA3:CA66" si="8">$BY3*AJ3</f>
        <v>0</v>
      </c>
      <c r="CB3" s="124">
        <f t="shared" ref="CB3:CB66" si="9">$BY3*AK3</f>
        <v>0</v>
      </c>
      <c r="CC3" s="124">
        <f t="shared" ref="CC3:CC66" si="10">$BY3*AL3</f>
        <v>0</v>
      </c>
      <c r="CD3" s="124">
        <f t="shared" ref="CD3:CD66" si="11">$BY3*AM3</f>
        <v>0</v>
      </c>
      <c r="CE3" s="124">
        <f t="shared" ref="CE3:CE66" si="12">$BY3*AN3</f>
        <v>0</v>
      </c>
      <c r="CF3" s="124">
        <f t="shared" ref="CF3:CF66" si="13">$BY3*AO3</f>
        <v>0</v>
      </c>
      <c r="CG3" s="124">
        <f t="shared" ref="CG3:CG66" si="14">$BY3*AP3</f>
        <v>0</v>
      </c>
      <c r="CH3" s="124">
        <f t="shared" ref="CH3:CH66" si="15">$BY3*AQ3</f>
        <v>0</v>
      </c>
      <c r="CI3" s="124">
        <f t="shared" ref="CI3:CI66" si="16">$BY3*AR3</f>
        <v>0</v>
      </c>
      <c r="CJ3" s="124">
        <f t="shared" ref="CJ3:CJ66" si="17">$BY3*AS3</f>
        <v>0</v>
      </c>
      <c r="CK3" s="124">
        <f t="shared" ref="CK3:CK66" si="18">$BY3*AT3</f>
        <v>0</v>
      </c>
      <c r="CL3" s="124">
        <f t="shared" ref="CL3:CL66" si="19">$BY3*AU3</f>
        <v>0</v>
      </c>
      <c r="CM3" s="124">
        <f t="shared" ref="CM3:CM66" si="20">$BY3*AV3</f>
        <v>0</v>
      </c>
      <c r="CN3" s="124">
        <f t="shared" ref="CN3:CN66" si="21">$BY3*AW3</f>
        <v>0</v>
      </c>
      <c r="CO3" s="124">
        <f t="shared" ref="CO3:CO66" si="22">$BY3*AX3</f>
        <v>0</v>
      </c>
      <c r="CP3" s="124">
        <f t="shared" ref="CP3:CP66" si="23">$BY3*AY3</f>
        <v>0</v>
      </c>
      <c r="CQ3" s="138">
        <f t="shared" ref="CQ3:CQ66" si="24">F3/AA3</f>
        <v>837.04245273975198</v>
      </c>
      <c r="CR3" s="138">
        <f t="shared" ref="CR3:CR66" si="25">I3/AB3</f>
        <v>3252.3844486011753</v>
      </c>
      <c r="CS3" s="138">
        <f t="shared" ref="CS3:CS66" si="26">L3/AC3</f>
        <v>61771.254514580069</v>
      </c>
    </row>
    <row r="4" spans="1:97" x14ac:dyDescent="0.2">
      <c r="A4" s="115">
        <v>40603</v>
      </c>
      <c r="B4">
        <f t="shared" si="1"/>
        <v>2011</v>
      </c>
      <c r="C4">
        <f t="shared" si="2"/>
        <v>3</v>
      </c>
      <c r="D4" s="131">
        <v>20538303.360000029</v>
      </c>
      <c r="E4" s="131">
        <f>VLOOKUP($B4,'Historic CDM'!$L$5:$R$17,2,FALSE)/12</f>
        <v>23207.745325324893</v>
      </c>
      <c r="F4" s="131">
        <f t="shared" si="4"/>
        <v>20561511.105325352</v>
      </c>
      <c r="G4" s="131">
        <v>7152568.5900000026</v>
      </c>
      <c r="H4" s="131">
        <f>VLOOKUP($B4,'Historic CDM'!$L$5:$R$17,3,FALSE)/12</f>
        <v>9467.620679902544</v>
      </c>
      <c r="I4" s="131">
        <f t="shared" si="5"/>
        <v>7162036.2106799055</v>
      </c>
      <c r="J4" s="131">
        <v>16577681.930000002</v>
      </c>
      <c r="K4" s="131">
        <f>VLOOKUP($B4,'Historic CDM'!$L$5:$R$17,4,FALSE)/12</f>
        <v>92782.771217919406</v>
      </c>
      <c r="L4" s="131">
        <f t="shared" si="6"/>
        <v>16670464.701217921</v>
      </c>
      <c r="N4" s="131">
        <f>VLOOKUP($B4,'Historic CDM'!$L$5:$R$17,5,FALSE)/12</f>
        <v>26940.854166666697</v>
      </c>
      <c r="Q4" s="131">
        <f>VLOOKUP($B4,'Historic CDM'!$L$5:$R$17,6,FALSE)/12</f>
        <v>3226.2539355113836</v>
      </c>
      <c r="AA4" s="41">
        <v>26750</v>
      </c>
      <c r="AB4" s="125">
        <v>2305</v>
      </c>
      <c r="AC4" s="125">
        <v>256</v>
      </c>
      <c r="AI4" s="104">
        <f>Weather!C112</f>
        <v>-0.4774193548387099</v>
      </c>
      <c r="AJ4" s="104">
        <f>Weather!D112</f>
        <v>696.8</v>
      </c>
      <c r="AK4" s="104">
        <f>Weather!E112</f>
        <v>0</v>
      </c>
      <c r="AL4" s="104">
        <f>Weather!F112</f>
        <v>634.79999999999995</v>
      </c>
      <c r="AM4" s="104">
        <f>Weather!G112</f>
        <v>0</v>
      </c>
      <c r="AN4" s="104">
        <f>Weather!H112</f>
        <v>572.79999999999995</v>
      </c>
      <c r="AO4" s="104">
        <f>Weather!I112</f>
        <v>0</v>
      </c>
      <c r="AP4" s="104">
        <f>Weather!J112</f>
        <v>510.79999999999995</v>
      </c>
      <c r="AQ4" s="104">
        <f>Weather!K112</f>
        <v>0</v>
      </c>
      <c r="AR4" s="104">
        <f>Weather!L112</f>
        <v>448.8</v>
      </c>
      <c r="AS4" s="104">
        <f>Weather!M112</f>
        <v>0</v>
      </c>
      <c r="AT4" s="104">
        <f>Weather!N112</f>
        <v>386.8</v>
      </c>
      <c r="AU4" s="104">
        <f>Weather!O112</f>
        <v>0</v>
      </c>
      <c r="AV4" s="104">
        <f>Weather!P112</f>
        <v>324.79999999999995</v>
      </c>
      <c r="AW4" s="104">
        <f>Weather!Q112</f>
        <v>0</v>
      </c>
      <c r="AX4" s="104">
        <f>Weather!R112</f>
        <v>263.29999999999995</v>
      </c>
      <c r="AY4" s="104">
        <f>Weather!S112</f>
        <v>0.5</v>
      </c>
      <c r="AZ4" s="119">
        <f>Economic!C4</f>
        <v>625936.9</v>
      </c>
      <c r="BA4" s="120">
        <f>Economic!D4</f>
        <v>6610.1</v>
      </c>
      <c r="BB4" s="120">
        <f>Economic!E4</f>
        <v>6506.1</v>
      </c>
      <c r="BC4" s="120">
        <f>Economic!F4</f>
        <v>2930.7</v>
      </c>
      <c r="BD4" s="120">
        <f>Economic!G4</f>
        <v>2896</v>
      </c>
      <c r="BE4" s="120">
        <f>Economic!H4</f>
        <v>367.4</v>
      </c>
      <c r="BF4" s="120">
        <f>Economic!I4</f>
        <v>362.1</v>
      </c>
      <c r="BG4" s="123">
        <v>31</v>
      </c>
      <c r="BH4" s="123">
        <v>22</v>
      </c>
      <c r="BI4" s="123">
        <f t="shared" si="7"/>
        <v>3</v>
      </c>
      <c r="BJ4" s="123">
        <v>0</v>
      </c>
      <c r="BK4" s="123">
        <v>0</v>
      </c>
      <c r="BL4" s="123">
        <v>1</v>
      </c>
      <c r="BM4" s="123">
        <v>0</v>
      </c>
      <c r="BN4" s="123">
        <v>0</v>
      </c>
      <c r="BO4" s="123">
        <v>0</v>
      </c>
      <c r="BP4" s="123">
        <v>0</v>
      </c>
      <c r="BQ4" s="123">
        <v>0</v>
      </c>
      <c r="BR4" s="123">
        <v>0</v>
      </c>
      <c r="BS4" s="123">
        <v>0</v>
      </c>
      <c r="BT4" s="123">
        <v>0</v>
      </c>
      <c r="BU4" s="123">
        <v>0</v>
      </c>
      <c r="BV4" s="123">
        <v>1</v>
      </c>
      <c r="BW4" s="123">
        <v>0</v>
      </c>
      <c r="BX4" s="123">
        <v>1</v>
      </c>
      <c r="BY4" s="124">
        <v>0</v>
      </c>
      <c r="BZ4" s="124">
        <v>0</v>
      </c>
      <c r="CA4" s="124">
        <f t="shared" si="8"/>
        <v>0</v>
      </c>
      <c r="CB4" s="124">
        <f t="shared" si="9"/>
        <v>0</v>
      </c>
      <c r="CC4" s="124">
        <f t="shared" si="10"/>
        <v>0</v>
      </c>
      <c r="CD4" s="124">
        <f t="shared" si="11"/>
        <v>0</v>
      </c>
      <c r="CE4" s="124">
        <f t="shared" si="12"/>
        <v>0</v>
      </c>
      <c r="CF4" s="124">
        <f t="shared" si="13"/>
        <v>0</v>
      </c>
      <c r="CG4" s="124">
        <f t="shared" si="14"/>
        <v>0</v>
      </c>
      <c r="CH4" s="124">
        <f t="shared" si="15"/>
        <v>0</v>
      </c>
      <c r="CI4" s="124">
        <f t="shared" si="16"/>
        <v>0</v>
      </c>
      <c r="CJ4" s="124">
        <f t="shared" si="17"/>
        <v>0</v>
      </c>
      <c r="CK4" s="124">
        <f t="shared" si="18"/>
        <v>0</v>
      </c>
      <c r="CL4" s="124">
        <f t="shared" si="19"/>
        <v>0</v>
      </c>
      <c r="CM4" s="124">
        <f t="shared" si="20"/>
        <v>0</v>
      </c>
      <c r="CN4" s="124">
        <f t="shared" si="21"/>
        <v>0</v>
      </c>
      <c r="CO4" s="124">
        <f t="shared" si="22"/>
        <v>0</v>
      </c>
      <c r="CP4" s="124">
        <f t="shared" si="23"/>
        <v>0</v>
      </c>
      <c r="CQ4" s="138">
        <f t="shared" si="24"/>
        <v>768.65462075982623</v>
      </c>
      <c r="CR4" s="138">
        <f t="shared" si="25"/>
        <v>3107.1740610324969</v>
      </c>
      <c r="CS4" s="138">
        <f t="shared" si="26"/>
        <v>65119.002739132506</v>
      </c>
    </row>
    <row r="5" spans="1:97" x14ac:dyDescent="0.2">
      <c r="A5" s="114">
        <v>40634</v>
      </c>
      <c r="B5">
        <f t="shared" si="1"/>
        <v>2011</v>
      </c>
      <c r="C5">
        <f t="shared" si="2"/>
        <v>4</v>
      </c>
      <c r="D5" s="131">
        <v>18173296.59999999</v>
      </c>
      <c r="E5" s="131">
        <f>VLOOKUP($B5,'Historic CDM'!$L$5:$R$17,2,FALSE)/12</f>
        <v>23207.745325324893</v>
      </c>
      <c r="F5" s="131">
        <f t="shared" si="4"/>
        <v>18196504.345325314</v>
      </c>
      <c r="G5" s="131">
        <v>6467080.2400000058</v>
      </c>
      <c r="H5" s="131">
        <f>VLOOKUP($B5,'Historic CDM'!$L$5:$R$17,3,FALSE)/12</f>
        <v>9467.620679902544</v>
      </c>
      <c r="I5" s="131">
        <f t="shared" si="5"/>
        <v>6476547.8606799087</v>
      </c>
      <c r="J5" s="131">
        <v>14870365.83</v>
      </c>
      <c r="K5" s="131">
        <f>VLOOKUP($B5,'Historic CDM'!$L$5:$R$17,4,FALSE)/12</f>
        <v>92782.771217919406</v>
      </c>
      <c r="L5" s="131">
        <f t="shared" si="6"/>
        <v>14963148.60121792</v>
      </c>
      <c r="N5" s="131">
        <f>VLOOKUP($B5,'Historic CDM'!$L$5:$R$17,5,FALSE)/12</f>
        <v>26940.854166666697</v>
      </c>
      <c r="Q5" s="131">
        <f>VLOOKUP($B5,'Historic CDM'!$L$5:$R$17,6,FALSE)/12</f>
        <v>3226.2539355113836</v>
      </c>
      <c r="AA5" s="41">
        <v>26846</v>
      </c>
      <c r="AB5" s="125">
        <v>2308</v>
      </c>
      <c r="AC5" s="125">
        <v>257</v>
      </c>
      <c r="AI5" s="104">
        <f>Weather!C113</f>
        <v>6.9233333333333329</v>
      </c>
      <c r="AJ5" s="104">
        <f>Weather!D113</f>
        <v>452.2999999999999</v>
      </c>
      <c r="AK5" s="104">
        <f>Weather!E113</f>
        <v>0</v>
      </c>
      <c r="AL5" s="104">
        <f>Weather!F113</f>
        <v>392.2999999999999</v>
      </c>
      <c r="AM5" s="104">
        <f>Weather!G113</f>
        <v>0</v>
      </c>
      <c r="AN5" s="104">
        <f>Weather!H113</f>
        <v>332.2999999999999</v>
      </c>
      <c r="AO5" s="104">
        <f>Weather!I113</f>
        <v>0</v>
      </c>
      <c r="AP5" s="104">
        <f>Weather!J113</f>
        <v>272.29999999999995</v>
      </c>
      <c r="AQ5" s="104">
        <f>Weather!K113</f>
        <v>0</v>
      </c>
      <c r="AR5" s="104">
        <f>Weather!L113</f>
        <v>213.6</v>
      </c>
      <c r="AS5" s="104">
        <f>Weather!M113</f>
        <v>1.3000000000000007</v>
      </c>
      <c r="AT5" s="104">
        <f>Weather!N113</f>
        <v>158.70000000000002</v>
      </c>
      <c r="AU5" s="104">
        <f>Weather!O113</f>
        <v>6.4</v>
      </c>
      <c r="AV5" s="104">
        <f>Weather!P113</f>
        <v>106.70000000000002</v>
      </c>
      <c r="AW5" s="104">
        <f>Weather!Q113</f>
        <v>14.399999999999999</v>
      </c>
      <c r="AX5" s="104">
        <f>Weather!R113</f>
        <v>62.2</v>
      </c>
      <c r="AY5" s="104">
        <f>Weather!S113</f>
        <v>29.9</v>
      </c>
      <c r="AZ5" s="119">
        <f>Economic!C5</f>
        <v>625936.9</v>
      </c>
      <c r="BA5" s="120">
        <f>Economic!D5</f>
        <v>6619.5</v>
      </c>
      <c r="BB5" s="120">
        <f>Economic!E5</f>
        <v>6534</v>
      </c>
      <c r="BC5" s="120">
        <f>Economic!F5</f>
        <v>2922.2</v>
      </c>
      <c r="BD5" s="120">
        <f>Economic!G5</f>
        <v>2893.5</v>
      </c>
      <c r="BE5" s="120">
        <f>Economic!H5</f>
        <v>369.2</v>
      </c>
      <c r="BF5" s="120">
        <f>Economic!I5</f>
        <v>365.5</v>
      </c>
      <c r="BG5" s="123">
        <v>30</v>
      </c>
      <c r="BH5" s="123">
        <v>20</v>
      </c>
      <c r="BI5" s="123">
        <f t="shared" si="7"/>
        <v>4</v>
      </c>
      <c r="BJ5" s="123">
        <v>0</v>
      </c>
      <c r="BK5" s="123">
        <v>0</v>
      </c>
      <c r="BL5" s="123">
        <v>0</v>
      </c>
      <c r="BM5" s="123">
        <v>1</v>
      </c>
      <c r="BN5" s="123">
        <v>0</v>
      </c>
      <c r="BO5" s="123">
        <v>0</v>
      </c>
      <c r="BP5" s="123">
        <v>0</v>
      </c>
      <c r="BQ5" s="123">
        <v>0</v>
      </c>
      <c r="BR5" s="123">
        <v>0</v>
      </c>
      <c r="BS5" s="123">
        <v>0</v>
      </c>
      <c r="BT5" s="123">
        <v>0</v>
      </c>
      <c r="BU5" s="123">
        <v>0</v>
      </c>
      <c r="BV5" s="123">
        <v>1</v>
      </c>
      <c r="BW5" s="123">
        <v>0</v>
      </c>
      <c r="BX5" s="123">
        <v>1</v>
      </c>
      <c r="BY5" s="124">
        <v>0</v>
      </c>
      <c r="BZ5" s="124">
        <v>0</v>
      </c>
      <c r="CA5" s="124">
        <f t="shared" si="8"/>
        <v>0</v>
      </c>
      <c r="CB5" s="124">
        <f t="shared" si="9"/>
        <v>0</v>
      </c>
      <c r="CC5" s="124">
        <f t="shared" si="10"/>
        <v>0</v>
      </c>
      <c r="CD5" s="124">
        <f t="shared" si="11"/>
        <v>0</v>
      </c>
      <c r="CE5" s="124">
        <f t="shared" si="12"/>
        <v>0</v>
      </c>
      <c r="CF5" s="124">
        <f t="shared" si="13"/>
        <v>0</v>
      </c>
      <c r="CG5" s="124">
        <f t="shared" si="14"/>
        <v>0</v>
      </c>
      <c r="CH5" s="124">
        <f t="shared" si="15"/>
        <v>0</v>
      </c>
      <c r="CI5" s="124">
        <f t="shared" si="16"/>
        <v>0</v>
      </c>
      <c r="CJ5" s="124">
        <f t="shared" si="17"/>
        <v>0</v>
      </c>
      <c r="CK5" s="124">
        <f t="shared" si="18"/>
        <v>0</v>
      </c>
      <c r="CL5" s="124">
        <f t="shared" si="19"/>
        <v>0</v>
      </c>
      <c r="CM5" s="124">
        <f t="shared" si="20"/>
        <v>0</v>
      </c>
      <c r="CN5" s="124">
        <f t="shared" si="21"/>
        <v>0</v>
      </c>
      <c r="CO5" s="124">
        <f t="shared" si="22"/>
        <v>0</v>
      </c>
      <c r="CP5" s="124">
        <f t="shared" si="23"/>
        <v>0</v>
      </c>
      <c r="CQ5" s="138">
        <f t="shared" si="24"/>
        <v>677.8106364197763</v>
      </c>
      <c r="CR5" s="138">
        <f t="shared" si="25"/>
        <v>2806.1299223049864</v>
      </c>
      <c r="CS5" s="138">
        <f t="shared" si="26"/>
        <v>58222.3680981242</v>
      </c>
    </row>
    <row r="6" spans="1:97" x14ac:dyDescent="0.2">
      <c r="A6" s="115">
        <v>40664</v>
      </c>
      <c r="B6">
        <f t="shared" si="1"/>
        <v>2011</v>
      </c>
      <c r="C6">
        <f t="shared" si="2"/>
        <v>5</v>
      </c>
      <c r="D6" s="131">
        <v>19219228.860000029</v>
      </c>
      <c r="E6" s="131">
        <f>VLOOKUP($B6,'Historic CDM'!$L$5:$R$17,2,FALSE)/12</f>
        <v>23207.745325324893</v>
      </c>
      <c r="F6" s="131">
        <f t="shared" si="4"/>
        <v>19242436.605325352</v>
      </c>
      <c r="G6" s="131">
        <v>6394046.8700000048</v>
      </c>
      <c r="H6" s="131">
        <f>VLOOKUP($B6,'Historic CDM'!$L$5:$R$17,3,FALSE)/12</f>
        <v>9467.620679902544</v>
      </c>
      <c r="I6" s="131">
        <f t="shared" si="5"/>
        <v>6403514.4906799076</v>
      </c>
      <c r="J6" s="131">
        <v>15387555.400000006</v>
      </c>
      <c r="K6" s="131">
        <f>VLOOKUP($B6,'Historic CDM'!$L$5:$R$17,4,FALSE)/12</f>
        <v>92782.771217919406</v>
      </c>
      <c r="L6" s="131">
        <f t="shared" si="6"/>
        <v>15480338.171217926</v>
      </c>
      <c r="N6" s="131">
        <f>VLOOKUP($B6,'Historic CDM'!$L$5:$R$17,5,FALSE)/12</f>
        <v>26940.854166666697</v>
      </c>
      <c r="Q6" s="131">
        <f>VLOOKUP($B6,'Historic CDM'!$L$5:$R$17,6,FALSE)/12</f>
        <v>3226.2539355113836</v>
      </c>
      <c r="AA6" s="41">
        <v>26969</v>
      </c>
      <c r="AB6" s="125">
        <v>2306</v>
      </c>
      <c r="AC6" s="125">
        <v>263</v>
      </c>
      <c r="AI6" s="104">
        <f>Weather!C114</f>
        <v>14.093548387096776</v>
      </c>
      <c r="AJ6" s="104">
        <f>Weather!D114</f>
        <v>246.40000000000003</v>
      </c>
      <c r="AK6" s="104">
        <f>Weather!E114</f>
        <v>1.3000000000000007</v>
      </c>
      <c r="AL6" s="104">
        <f>Weather!F114</f>
        <v>187.50000000000003</v>
      </c>
      <c r="AM6" s="104">
        <f>Weather!G114</f>
        <v>4.4000000000000021</v>
      </c>
      <c r="AN6" s="104">
        <f>Weather!H114</f>
        <v>134.10000000000002</v>
      </c>
      <c r="AO6" s="104">
        <f>Weather!I114</f>
        <v>13</v>
      </c>
      <c r="AP6" s="104">
        <f>Weather!J114</f>
        <v>87.4</v>
      </c>
      <c r="AQ6" s="104">
        <f>Weather!K114</f>
        <v>28.3</v>
      </c>
      <c r="AR6" s="104">
        <f>Weather!L114</f>
        <v>50.8</v>
      </c>
      <c r="AS6" s="104">
        <f>Weather!M114</f>
        <v>53.7</v>
      </c>
      <c r="AT6" s="104">
        <f>Weather!N114</f>
        <v>21.800000000000004</v>
      </c>
      <c r="AU6" s="104">
        <f>Weather!O114</f>
        <v>86.7</v>
      </c>
      <c r="AV6" s="104">
        <f>Weather!P114</f>
        <v>7.1</v>
      </c>
      <c r="AW6" s="104">
        <f>Weather!Q114</f>
        <v>134</v>
      </c>
      <c r="AX6" s="104">
        <f>Weather!R114</f>
        <v>2</v>
      </c>
      <c r="AY6" s="104">
        <f>Weather!S114</f>
        <v>190.89999999999998</v>
      </c>
      <c r="AZ6" s="119">
        <f>Economic!C6</f>
        <v>625936.9</v>
      </c>
      <c r="BA6" s="120">
        <f>Economic!D6</f>
        <v>6629.8</v>
      </c>
      <c r="BB6" s="120">
        <f>Economic!E6</f>
        <v>6596.7</v>
      </c>
      <c r="BC6" s="120">
        <f>Economic!F6</f>
        <v>2920.1</v>
      </c>
      <c r="BD6" s="120">
        <f>Economic!G6</f>
        <v>2907.4</v>
      </c>
      <c r="BE6" s="120">
        <f>Economic!H6</f>
        <v>372.3</v>
      </c>
      <c r="BF6" s="120">
        <f>Economic!I6</f>
        <v>373</v>
      </c>
      <c r="BG6" s="123">
        <v>31</v>
      </c>
      <c r="BH6" s="123">
        <v>20</v>
      </c>
      <c r="BI6" s="123">
        <f t="shared" si="7"/>
        <v>5</v>
      </c>
      <c r="BJ6" s="123">
        <v>0</v>
      </c>
      <c r="BK6" s="123">
        <v>0</v>
      </c>
      <c r="BL6" s="123">
        <v>0</v>
      </c>
      <c r="BM6" s="123">
        <v>0</v>
      </c>
      <c r="BN6" s="123">
        <v>1</v>
      </c>
      <c r="BO6" s="123">
        <v>0</v>
      </c>
      <c r="BP6" s="123">
        <v>0</v>
      </c>
      <c r="BQ6" s="123">
        <v>0</v>
      </c>
      <c r="BR6" s="123">
        <v>0</v>
      </c>
      <c r="BS6" s="123">
        <v>0</v>
      </c>
      <c r="BT6" s="123">
        <v>0</v>
      </c>
      <c r="BU6" s="123">
        <v>0</v>
      </c>
      <c r="BV6" s="123">
        <v>1</v>
      </c>
      <c r="BW6" s="123">
        <v>0</v>
      </c>
      <c r="BX6" s="123">
        <v>1</v>
      </c>
      <c r="BY6" s="124">
        <v>0</v>
      </c>
      <c r="BZ6" s="124">
        <v>0</v>
      </c>
      <c r="CA6" s="124">
        <f t="shared" si="8"/>
        <v>0</v>
      </c>
      <c r="CB6" s="124">
        <f t="shared" si="9"/>
        <v>0</v>
      </c>
      <c r="CC6" s="124">
        <f t="shared" si="10"/>
        <v>0</v>
      </c>
      <c r="CD6" s="124">
        <f t="shared" si="11"/>
        <v>0</v>
      </c>
      <c r="CE6" s="124">
        <f t="shared" si="12"/>
        <v>0</v>
      </c>
      <c r="CF6" s="124">
        <f t="shared" si="13"/>
        <v>0</v>
      </c>
      <c r="CG6" s="124">
        <f t="shared" si="14"/>
        <v>0</v>
      </c>
      <c r="CH6" s="124">
        <f t="shared" si="15"/>
        <v>0</v>
      </c>
      <c r="CI6" s="124">
        <f t="shared" si="16"/>
        <v>0</v>
      </c>
      <c r="CJ6" s="124">
        <f t="shared" si="17"/>
        <v>0</v>
      </c>
      <c r="CK6" s="124">
        <f t="shared" si="18"/>
        <v>0</v>
      </c>
      <c r="CL6" s="124">
        <f t="shared" si="19"/>
        <v>0</v>
      </c>
      <c r="CM6" s="124">
        <f t="shared" si="20"/>
        <v>0</v>
      </c>
      <c r="CN6" s="124">
        <f t="shared" si="21"/>
        <v>0</v>
      </c>
      <c r="CO6" s="124">
        <f t="shared" si="22"/>
        <v>0</v>
      </c>
      <c r="CP6" s="124">
        <f t="shared" si="23"/>
        <v>0</v>
      </c>
      <c r="CQ6" s="138">
        <f t="shared" si="24"/>
        <v>713.50204328396876</v>
      </c>
      <c r="CR6" s="138">
        <f t="shared" si="25"/>
        <v>2776.8926672506104</v>
      </c>
      <c r="CS6" s="138">
        <f t="shared" si="26"/>
        <v>58860.601411475</v>
      </c>
    </row>
    <row r="7" spans="1:97" x14ac:dyDescent="0.2">
      <c r="A7" s="114">
        <v>40695</v>
      </c>
      <c r="B7">
        <f t="shared" si="1"/>
        <v>2011</v>
      </c>
      <c r="C7">
        <f t="shared" si="2"/>
        <v>6</v>
      </c>
      <c r="D7" s="131">
        <v>23432000.140000012</v>
      </c>
      <c r="E7" s="131">
        <f>VLOOKUP($B7,'Historic CDM'!$L$5:$R$17,2,FALSE)/12</f>
        <v>23207.745325324893</v>
      </c>
      <c r="F7" s="131">
        <f t="shared" si="4"/>
        <v>23455207.885325335</v>
      </c>
      <c r="G7" s="131">
        <v>6868428.5200000014</v>
      </c>
      <c r="H7" s="131">
        <f>VLOOKUP($B7,'Historic CDM'!$L$5:$R$17,3,FALSE)/12</f>
        <v>9467.620679902544</v>
      </c>
      <c r="I7" s="131">
        <f t="shared" si="5"/>
        <v>6877896.1406799043</v>
      </c>
      <c r="J7" s="131">
        <v>16284746.789999999</v>
      </c>
      <c r="K7" s="131">
        <f>VLOOKUP($B7,'Historic CDM'!$L$5:$R$17,4,FALSE)/12</f>
        <v>92782.771217919406</v>
      </c>
      <c r="L7" s="131">
        <f t="shared" si="6"/>
        <v>16377529.561217919</v>
      </c>
      <c r="N7" s="131">
        <f>VLOOKUP($B7,'Historic CDM'!$L$5:$R$17,5,FALSE)/12</f>
        <v>26940.854166666697</v>
      </c>
      <c r="Q7" s="131">
        <f>VLOOKUP($B7,'Historic CDM'!$L$5:$R$17,6,FALSE)/12</f>
        <v>3226.2539355113836</v>
      </c>
      <c r="AA7" s="41">
        <v>27068</v>
      </c>
      <c r="AB7" s="125">
        <v>2316</v>
      </c>
      <c r="AC7" s="125">
        <v>263</v>
      </c>
      <c r="AI7" s="104">
        <f>Weather!C115</f>
        <v>19.106666666666666</v>
      </c>
      <c r="AJ7" s="104">
        <f>Weather!D115</f>
        <v>91.899999999999991</v>
      </c>
      <c r="AK7" s="104">
        <f>Weather!E115</f>
        <v>5.0999999999999979</v>
      </c>
      <c r="AL7" s="104">
        <f>Weather!F115</f>
        <v>44</v>
      </c>
      <c r="AM7" s="104">
        <f>Weather!G115</f>
        <v>17.199999999999996</v>
      </c>
      <c r="AN7" s="104">
        <f>Weather!H115</f>
        <v>19</v>
      </c>
      <c r="AO7" s="104">
        <f>Weather!I115</f>
        <v>52.2</v>
      </c>
      <c r="AP7" s="104">
        <f>Weather!J115</f>
        <v>4.7999999999999989</v>
      </c>
      <c r="AQ7" s="104">
        <f>Weather!K115</f>
        <v>97.999999999999986</v>
      </c>
      <c r="AR7" s="104">
        <f>Weather!L115</f>
        <v>0</v>
      </c>
      <c r="AS7" s="104">
        <f>Weather!M115</f>
        <v>153.20000000000002</v>
      </c>
      <c r="AT7" s="104">
        <f>Weather!N115</f>
        <v>0</v>
      </c>
      <c r="AU7" s="104">
        <f>Weather!O115</f>
        <v>213.20000000000002</v>
      </c>
      <c r="AV7" s="104">
        <f>Weather!P115</f>
        <v>0</v>
      </c>
      <c r="AW7" s="104">
        <f>Weather!Q115</f>
        <v>273.20000000000005</v>
      </c>
      <c r="AX7" s="104">
        <f>Weather!R115</f>
        <v>0</v>
      </c>
      <c r="AY7" s="104">
        <f>Weather!S115</f>
        <v>333.20000000000005</v>
      </c>
      <c r="AZ7" s="119">
        <f>Economic!C7</f>
        <v>625936.9</v>
      </c>
      <c r="BA7" s="120">
        <f>Economic!D7</f>
        <v>6647</v>
      </c>
      <c r="BB7" s="120">
        <f>Economic!E7</f>
        <v>6693.4</v>
      </c>
      <c r="BC7" s="120">
        <f>Economic!F7</f>
        <v>2927.5</v>
      </c>
      <c r="BD7" s="120">
        <f>Economic!G7</f>
        <v>2938.3</v>
      </c>
      <c r="BE7" s="120">
        <f>Economic!H7</f>
        <v>373.2</v>
      </c>
      <c r="BF7" s="120">
        <f>Economic!I7</f>
        <v>377.7</v>
      </c>
      <c r="BG7" s="123">
        <v>30</v>
      </c>
      <c r="BH7" s="123">
        <v>22</v>
      </c>
      <c r="BI7" s="123">
        <f t="shared" si="7"/>
        <v>6</v>
      </c>
      <c r="BJ7" s="123">
        <v>0</v>
      </c>
      <c r="BK7" s="123">
        <v>0</v>
      </c>
      <c r="BL7" s="123">
        <v>0</v>
      </c>
      <c r="BM7" s="123">
        <v>0</v>
      </c>
      <c r="BN7" s="123">
        <v>0</v>
      </c>
      <c r="BO7" s="123">
        <v>1</v>
      </c>
      <c r="BP7" s="123">
        <v>0</v>
      </c>
      <c r="BQ7" s="123">
        <v>0</v>
      </c>
      <c r="BR7" s="123">
        <v>0</v>
      </c>
      <c r="BS7" s="123">
        <v>0</v>
      </c>
      <c r="BT7" s="123">
        <v>0</v>
      </c>
      <c r="BU7" s="123">
        <v>0</v>
      </c>
      <c r="BV7" s="123">
        <v>0</v>
      </c>
      <c r="BW7" s="123">
        <v>0</v>
      </c>
      <c r="BX7" s="123">
        <v>0</v>
      </c>
      <c r="BY7" s="124">
        <v>0</v>
      </c>
      <c r="BZ7" s="124">
        <v>0</v>
      </c>
      <c r="CA7" s="124">
        <f t="shared" si="8"/>
        <v>0</v>
      </c>
      <c r="CB7" s="124">
        <f t="shared" si="9"/>
        <v>0</v>
      </c>
      <c r="CC7" s="124">
        <f t="shared" si="10"/>
        <v>0</v>
      </c>
      <c r="CD7" s="124">
        <f t="shared" si="11"/>
        <v>0</v>
      </c>
      <c r="CE7" s="124">
        <f t="shared" si="12"/>
        <v>0</v>
      </c>
      <c r="CF7" s="124">
        <f t="shared" si="13"/>
        <v>0</v>
      </c>
      <c r="CG7" s="124">
        <f t="shared" si="14"/>
        <v>0</v>
      </c>
      <c r="CH7" s="124">
        <f t="shared" si="15"/>
        <v>0</v>
      </c>
      <c r="CI7" s="124">
        <f t="shared" si="16"/>
        <v>0</v>
      </c>
      <c r="CJ7" s="124">
        <f t="shared" si="17"/>
        <v>0</v>
      </c>
      <c r="CK7" s="124">
        <f t="shared" si="18"/>
        <v>0</v>
      </c>
      <c r="CL7" s="124">
        <f t="shared" si="19"/>
        <v>0</v>
      </c>
      <c r="CM7" s="124">
        <f t="shared" si="20"/>
        <v>0</v>
      </c>
      <c r="CN7" s="124">
        <f t="shared" si="21"/>
        <v>0</v>
      </c>
      <c r="CO7" s="124">
        <f t="shared" si="22"/>
        <v>0</v>
      </c>
      <c r="CP7" s="124">
        <f t="shared" si="23"/>
        <v>0</v>
      </c>
      <c r="CQ7" s="138">
        <f t="shared" si="24"/>
        <v>866.52903374188475</v>
      </c>
      <c r="CR7" s="138">
        <f t="shared" si="25"/>
        <v>2969.7306306908049</v>
      </c>
      <c r="CS7" s="138">
        <f t="shared" si="26"/>
        <v>62271.975517938852</v>
      </c>
    </row>
    <row r="8" spans="1:97" x14ac:dyDescent="0.2">
      <c r="A8" s="115">
        <v>40725</v>
      </c>
      <c r="B8">
        <f t="shared" si="1"/>
        <v>2011</v>
      </c>
      <c r="C8">
        <f t="shared" si="2"/>
        <v>7</v>
      </c>
      <c r="D8" s="131">
        <v>29858048.27999996</v>
      </c>
      <c r="E8" s="131">
        <f>VLOOKUP($B8,'Historic CDM'!$L$5:$R$17,2,FALSE)/12</f>
        <v>23207.745325324893</v>
      </c>
      <c r="F8" s="131">
        <f t="shared" si="4"/>
        <v>29881256.025325283</v>
      </c>
      <c r="G8" s="131">
        <v>7225446.5600000024</v>
      </c>
      <c r="H8" s="131">
        <f>VLOOKUP($B8,'Historic CDM'!$L$5:$R$17,3,FALSE)/12</f>
        <v>9467.620679902544</v>
      </c>
      <c r="I8" s="131">
        <f t="shared" si="5"/>
        <v>7234914.1806799052</v>
      </c>
      <c r="J8" s="131">
        <v>16946151.27</v>
      </c>
      <c r="K8" s="131">
        <f>VLOOKUP($B8,'Historic CDM'!$L$5:$R$17,4,FALSE)/12</f>
        <v>92782.771217919406</v>
      </c>
      <c r="L8" s="131">
        <f t="shared" si="6"/>
        <v>17038934.041217919</v>
      </c>
      <c r="N8" s="131">
        <f>VLOOKUP($B8,'Historic CDM'!$L$5:$R$17,5,FALSE)/12</f>
        <v>26940.854166666697</v>
      </c>
      <c r="Q8" s="131">
        <f>VLOOKUP($B8,'Historic CDM'!$L$5:$R$17,6,FALSE)/12</f>
        <v>3226.2539355113836</v>
      </c>
      <c r="AA8" s="41">
        <v>27119</v>
      </c>
      <c r="AB8" s="125">
        <v>2335</v>
      </c>
      <c r="AC8" s="125">
        <v>265</v>
      </c>
      <c r="AI8" s="104">
        <f>Weather!C116</f>
        <v>24.396774193548385</v>
      </c>
      <c r="AJ8" s="104">
        <f>Weather!D116</f>
        <v>6.100000000000005</v>
      </c>
      <c r="AK8" s="104">
        <f>Weather!E116</f>
        <v>80.40000000000002</v>
      </c>
      <c r="AL8" s="104">
        <f>Weather!F116</f>
        <v>0.5</v>
      </c>
      <c r="AM8" s="104">
        <f>Weather!G116</f>
        <v>136.79999999999998</v>
      </c>
      <c r="AN8" s="104">
        <f>Weather!H116</f>
        <v>0</v>
      </c>
      <c r="AO8" s="104">
        <f>Weather!I116</f>
        <v>198.30000000000004</v>
      </c>
      <c r="AP8" s="104">
        <f>Weather!J116</f>
        <v>0</v>
      </c>
      <c r="AQ8" s="104">
        <f>Weather!K116</f>
        <v>260.30000000000007</v>
      </c>
      <c r="AR8" s="104">
        <f>Weather!L116</f>
        <v>0</v>
      </c>
      <c r="AS8" s="104">
        <f>Weather!M116</f>
        <v>322.29999999999995</v>
      </c>
      <c r="AT8" s="104">
        <f>Weather!N116</f>
        <v>0</v>
      </c>
      <c r="AU8" s="104">
        <f>Weather!O116</f>
        <v>384.2999999999999</v>
      </c>
      <c r="AV8" s="104">
        <f>Weather!P116</f>
        <v>0</v>
      </c>
      <c r="AW8" s="104">
        <f>Weather!Q116</f>
        <v>446.2999999999999</v>
      </c>
      <c r="AX8" s="104">
        <f>Weather!R116</f>
        <v>0</v>
      </c>
      <c r="AY8" s="104">
        <f>Weather!S116</f>
        <v>508.2999999999999</v>
      </c>
      <c r="AZ8" s="119">
        <f>Economic!C8</f>
        <v>625936.9</v>
      </c>
      <c r="BA8" s="120">
        <f>Economic!D8</f>
        <v>6648.8</v>
      </c>
      <c r="BB8" s="120">
        <f>Economic!E8</f>
        <v>6739.7</v>
      </c>
      <c r="BC8" s="120">
        <f>Economic!F8</f>
        <v>2923.6</v>
      </c>
      <c r="BD8" s="120">
        <f>Economic!G8</f>
        <v>2945.7</v>
      </c>
      <c r="BE8" s="120">
        <f>Economic!H8</f>
        <v>373.3</v>
      </c>
      <c r="BF8" s="120">
        <f>Economic!I8</f>
        <v>377.7</v>
      </c>
      <c r="BG8" s="123">
        <v>31</v>
      </c>
      <c r="BH8" s="123">
        <v>22</v>
      </c>
      <c r="BI8" s="123">
        <f t="shared" si="7"/>
        <v>7</v>
      </c>
      <c r="BJ8" s="123">
        <v>0</v>
      </c>
      <c r="BK8" s="123">
        <v>0</v>
      </c>
      <c r="BL8" s="123">
        <v>0</v>
      </c>
      <c r="BM8" s="123">
        <v>0</v>
      </c>
      <c r="BN8" s="123">
        <v>0</v>
      </c>
      <c r="BO8" s="123">
        <v>0</v>
      </c>
      <c r="BP8" s="123">
        <v>1</v>
      </c>
      <c r="BQ8" s="123">
        <v>0</v>
      </c>
      <c r="BR8" s="123">
        <v>0</v>
      </c>
      <c r="BS8" s="123">
        <v>0</v>
      </c>
      <c r="BT8" s="123">
        <v>0</v>
      </c>
      <c r="BU8" s="123">
        <v>0</v>
      </c>
      <c r="BV8" s="123">
        <v>0</v>
      </c>
      <c r="BW8" s="123">
        <v>0</v>
      </c>
      <c r="BX8" s="123">
        <v>0</v>
      </c>
      <c r="BY8" s="124">
        <v>0</v>
      </c>
      <c r="BZ8" s="124">
        <v>0</v>
      </c>
      <c r="CA8" s="124">
        <f t="shared" si="8"/>
        <v>0</v>
      </c>
      <c r="CB8" s="124">
        <f t="shared" si="9"/>
        <v>0</v>
      </c>
      <c r="CC8" s="124">
        <f t="shared" si="10"/>
        <v>0</v>
      </c>
      <c r="CD8" s="124">
        <f t="shared" si="11"/>
        <v>0</v>
      </c>
      <c r="CE8" s="124">
        <f t="shared" si="12"/>
        <v>0</v>
      </c>
      <c r="CF8" s="124">
        <f t="shared" si="13"/>
        <v>0</v>
      </c>
      <c r="CG8" s="124">
        <f t="shared" si="14"/>
        <v>0</v>
      </c>
      <c r="CH8" s="124">
        <f t="shared" si="15"/>
        <v>0</v>
      </c>
      <c r="CI8" s="124">
        <f t="shared" si="16"/>
        <v>0</v>
      </c>
      <c r="CJ8" s="124">
        <f t="shared" si="17"/>
        <v>0</v>
      </c>
      <c r="CK8" s="124">
        <f t="shared" si="18"/>
        <v>0</v>
      </c>
      <c r="CL8" s="124">
        <f t="shared" si="19"/>
        <v>0</v>
      </c>
      <c r="CM8" s="124">
        <f t="shared" si="20"/>
        <v>0</v>
      </c>
      <c r="CN8" s="124">
        <f t="shared" si="21"/>
        <v>0</v>
      </c>
      <c r="CO8" s="124">
        <f t="shared" si="22"/>
        <v>0</v>
      </c>
      <c r="CP8" s="124">
        <f t="shared" si="23"/>
        <v>0</v>
      </c>
      <c r="CQ8" s="138">
        <f t="shared" si="24"/>
        <v>1101.8568540626602</v>
      </c>
      <c r="CR8" s="138">
        <f t="shared" si="25"/>
        <v>3098.464317207668</v>
      </c>
      <c r="CS8" s="138">
        <f t="shared" si="26"/>
        <v>64297.864306482712</v>
      </c>
    </row>
    <row r="9" spans="1:97" x14ac:dyDescent="0.2">
      <c r="A9" s="114">
        <v>40756</v>
      </c>
      <c r="B9">
        <f t="shared" si="1"/>
        <v>2011</v>
      </c>
      <c r="C9">
        <f t="shared" si="2"/>
        <v>8</v>
      </c>
      <c r="D9" s="131">
        <v>28097294.710000008</v>
      </c>
      <c r="E9" s="131">
        <f>VLOOKUP($B9,'Historic CDM'!$L$5:$R$17,2,FALSE)/12</f>
        <v>23207.745325324893</v>
      </c>
      <c r="F9" s="131">
        <f t="shared" si="4"/>
        <v>28120502.455325332</v>
      </c>
      <c r="G9" s="131">
        <v>7335384.9100000048</v>
      </c>
      <c r="H9" s="131">
        <f>VLOOKUP($B9,'Historic CDM'!$L$5:$R$17,3,FALSE)/12</f>
        <v>9467.620679902544</v>
      </c>
      <c r="I9" s="131">
        <f t="shared" si="5"/>
        <v>7344852.5306799076</v>
      </c>
      <c r="J9" s="131">
        <v>16700144.319999998</v>
      </c>
      <c r="K9" s="131">
        <f>VLOOKUP($B9,'Historic CDM'!$L$5:$R$17,4,FALSE)/12</f>
        <v>92782.771217919406</v>
      </c>
      <c r="L9" s="131">
        <f t="shared" si="6"/>
        <v>16792927.091217916</v>
      </c>
      <c r="N9" s="131">
        <f>VLOOKUP($B9,'Historic CDM'!$L$5:$R$17,5,FALSE)/12</f>
        <v>26940.854166666697</v>
      </c>
      <c r="Q9" s="131">
        <f>VLOOKUP($B9,'Historic CDM'!$L$5:$R$17,6,FALSE)/12</f>
        <v>3226.2539355113836</v>
      </c>
      <c r="AA9" s="41">
        <v>27177</v>
      </c>
      <c r="AB9" s="125">
        <v>2354</v>
      </c>
      <c r="AC9" s="125">
        <v>267</v>
      </c>
      <c r="AI9" s="104">
        <f>Weather!C117</f>
        <v>21.941935483870971</v>
      </c>
      <c r="AJ9" s="104">
        <f>Weather!D117</f>
        <v>29.299999999999997</v>
      </c>
      <c r="AK9" s="104">
        <f>Weather!E117</f>
        <v>27.5</v>
      </c>
      <c r="AL9" s="104">
        <f>Weather!F117</f>
        <v>7.6999999999999993</v>
      </c>
      <c r="AM9" s="104">
        <f>Weather!G117</f>
        <v>67.900000000000006</v>
      </c>
      <c r="AN9" s="104">
        <f>Weather!H117</f>
        <v>0</v>
      </c>
      <c r="AO9" s="104">
        <f>Weather!I117</f>
        <v>122.2</v>
      </c>
      <c r="AP9" s="104">
        <f>Weather!J117</f>
        <v>0</v>
      </c>
      <c r="AQ9" s="104">
        <f>Weather!K117</f>
        <v>184.2</v>
      </c>
      <c r="AR9" s="104">
        <f>Weather!L117</f>
        <v>0</v>
      </c>
      <c r="AS9" s="104">
        <f>Weather!M117</f>
        <v>246.19999999999996</v>
      </c>
      <c r="AT9" s="104">
        <f>Weather!N117</f>
        <v>0</v>
      </c>
      <c r="AU9" s="104">
        <f>Weather!O117</f>
        <v>308.2</v>
      </c>
      <c r="AV9" s="104">
        <f>Weather!P117</f>
        <v>0</v>
      </c>
      <c r="AW9" s="104">
        <f>Weather!Q117</f>
        <v>370.20000000000005</v>
      </c>
      <c r="AX9" s="104">
        <f>Weather!R117</f>
        <v>0</v>
      </c>
      <c r="AY9" s="104">
        <f>Weather!S117</f>
        <v>432.20000000000005</v>
      </c>
      <c r="AZ9" s="119">
        <f>Economic!C9</f>
        <v>625936.9</v>
      </c>
      <c r="BA9" s="120">
        <f>Economic!D9</f>
        <v>6659</v>
      </c>
      <c r="BB9" s="120">
        <f>Economic!E9</f>
        <v>6759.5</v>
      </c>
      <c r="BC9" s="120">
        <f>Economic!F9</f>
        <v>2920.2</v>
      </c>
      <c r="BD9" s="120">
        <f>Economic!G9</f>
        <v>2952.8</v>
      </c>
      <c r="BE9" s="120">
        <f>Economic!H9</f>
        <v>370.4</v>
      </c>
      <c r="BF9" s="120">
        <f>Economic!I9</f>
        <v>371</v>
      </c>
      <c r="BG9" s="123">
        <v>31</v>
      </c>
      <c r="BH9" s="123">
        <v>20</v>
      </c>
      <c r="BI9" s="123">
        <f t="shared" si="7"/>
        <v>8</v>
      </c>
      <c r="BJ9" s="123">
        <v>0</v>
      </c>
      <c r="BK9" s="123">
        <v>0</v>
      </c>
      <c r="BL9" s="123">
        <v>0</v>
      </c>
      <c r="BM9" s="123">
        <v>0</v>
      </c>
      <c r="BN9" s="123">
        <v>0</v>
      </c>
      <c r="BO9" s="123">
        <v>0</v>
      </c>
      <c r="BP9" s="123">
        <v>0</v>
      </c>
      <c r="BQ9" s="123">
        <v>1</v>
      </c>
      <c r="BR9" s="123">
        <v>0</v>
      </c>
      <c r="BS9" s="123">
        <v>0</v>
      </c>
      <c r="BT9" s="123">
        <v>0</v>
      </c>
      <c r="BU9" s="123">
        <v>0</v>
      </c>
      <c r="BV9" s="123">
        <v>0</v>
      </c>
      <c r="BW9" s="123">
        <v>0</v>
      </c>
      <c r="BX9" s="123">
        <v>0</v>
      </c>
      <c r="BY9" s="124">
        <v>0</v>
      </c>
      <c r="BZ9" s="124">
        <v>0</v>
      </c>
      <c r="CA9" s="124">
        <f t="shared" si="8"/>
        <v>0</v>
      </c>
      <c r="CB9" s="124">
        <f t="shared" si="9"/>
        <v>0</v>
      </c>
      <c r="CC9" s="124">
        <f t="shared" si="10"/>
        <v>0</v>
      </c>
      <c r="CD9" s="124">
        <f t="shared" si="11"/>
        <v>0</v>
      </c>
      <c r="CE9" s="124">
        <f t="shared" si="12"/>
        <v>0</v>
      </c>
      <c r="CF9" s="124">
        <f t="shared" si="13"/>
        <v>0</v>
      </c>
      <c r="CG9" s="124">
        <f t="shared" si="14"/>
        <v>0</v>
      </c>
      <c r="CH9" s="124">
        <f t="shared" si="15"/>
        <v>0</v>
      </c>
      <c r="CI9" s="124">
        <f t="shared" si="16"/>
        <v>0</v>
      </c>
      <c r="CJ9" s="124">
        <f t="shared" si="17"/>
        <v>0</v>
      </c>
      <c r="CK9" s="124">
        <f t="shared" si="18"/>
        <v>0</v>
      </c>
      <c r="CL9" s="124">
        <f t="shared" si="19"/>
        <v>0</v>
      </c>
      <c r="CM9" s="124">
        <f t="shared" si="20"/>
        <v>0</v>
      </c>
      <c r="CN9" s="124">
        <f t="shared" si="21"/>
        <v>0</v>
      </c>
      <c r="CO9" s="124">
        <f t="shared" si="22"/>
        <v>0</v>
      </c>
      <c r="CP9" s="124">
        <f t="shared" si="23"/>
        <v>0</v>
      </c>
      <c r="CQ9" s="138">
        <f t="shared" si="24"/>
        <v>1034.7169465108486</v>
      </c>
      <c r="CR9" s="138">
        <f t="shared" si="25"/>
        <v>3120.1582543245149</v>
      </c>
      <c r="CS9" s="138">
        <f t="shared" si="26"/>
        <v>62894.858019542757</v>
      </c>
    </row>
    <row r="10" spans="1:97" x14ac:dyDescent="0.2">
      <c r="A10" s="115">
        <v>40787</v>
      </c>
      <c r="B10">
        <f t="shared" si="1"/>
        <v>2011</v>
      </c>
      <c r="C10">
        <f t="shared" si="2"/>
        <v>9</v>
      </c>
      <c r="D10" s="131">
        <v>19896374.790000003</v>
      </c>
      <c r="E10" s="131">
        <f>VLOOKUP($B10,'Historic CDM'!$L$5:$R$17,2,FALSE)/12</f>
        <v>23207.745325324893</v>
      </c>
      <c r="F10" s="131">
        <f t="shared" si="4"/>
        <v>19919582.535325326</v>
      </c>
      <c r="G10" s="131">
        <v>6365381.4099999992</v>
      </c>
      <c r="H10" s="131">
        <f>VLOOKUP($B10,'Historic CDM'!$L$5:$R$17,3,FALSE)/12</f>
        <v>9467.620679902544</v>
      </c>
      <c r="I10" s="131">
        <f t="shared" si="5"/>
        <v>6374849.0306799021</v>
      </c>
      <c r="J10" s="131">
        <v>15666778.779999997</v>
      </c>
      <c r="K10" s="131">
        <f>VLOOKUP($B10,'Historic CDM'!$L$5:$R$17,4,FALSE)/12</f>
        <v>92782.771217919406</v>
      </c>
      <c r="L10" s="131">
        <f t="shared" si="6"/>
        <v>15759561.551217917</v>
      </c>
      <c r="N10" s="131">
        <f>VLOOKUP($B10,'Historic CDM'!$L$5:$R$17,5,FALSE)/12</f>
        <v>26940.854166666697</v>
      </c>
      <c r="Q10" s="131">
        <f>VLOOKUP($B10,'Historic CDM'!$L$5:$R$17,6,FALSE)/12</f>
        <v>3226.2539355113836</v>
      </c>
      <c r="AA10" s="41">
        <v>27326</v>
      </c>
      <c r="AB10" s="125">
        <v>2360</v>
      </c>
      <c r="AC10" s="125">
        <v>268</v>
      </c>
      <c r="AI10" s="104">
        <f>Weather!C118</f>
        <v>17.709999999999997</v>
      </c>
      <c r="AJ10" s="104">
        <f>Weather!D118</f>
        <v>134.69999999999999</v>
      </c>
      <c r="AK10" s="104">
        <f>Weather!E118</f>
        <v>6.0000000000000036</v>
      </c>
      <c r="AL10" s="104">
        <f>Weather!F118</f>
        <v>85.8</v>
      </c>
      <c r="AM10" s="104">
        <f>Weather!G118</f>
        <v>17.100000000000005</v>
      </c>
      <c r="AN10" s="104">
        <f>Weather!H118</f>
        <v>47.999999999999993</v>
      </c>
      <c r="AO10" s="104">
        <f>Weather!I118</f>
        <v>39.300000000000004</v>
      </c>
      <c r="AP10" s="104">
        <f>Weather!J118</f>
        <v>22.400000000000006</v>
      </c>
      <c r="AQ10" s="104">
        <f>Weather!K118</f>
        <v>73.7</v>
      </c>
      <c r="AR10" s="104">
        <f>Weather!L118</f>
        <v>9</v>
      </c>
      <c r="AS10" s="104">
        <f>Weather!M118</f>
        <v>120.3</v>
      </c>
      <c r="AT10" s="104">
        <f>Weather!N118</f>
        <v>1.3000000000000007</v>
      </c>
      <c r="AU10" s="104">
        <f>Weather!O118</f>
        <v>172.60000000000002</v>
      </c>
      <c r="AV10" s="104">
        <f>Weather!P118</f>
        <v>0</v>
      </c>
      <c r="AW10" s="104">
        <f>Weather!Q118</f>
        <v>231.30000000000004</v>
      </c>
      <c r="AX10" s="104">
        <f>Weather!R118</f>
        <v>0</v>
      </c>
      <c r="AY10" s="104">
        <f>Weather!S118</f>
        <v>291.3</v>
      </c>
      <c r="AZ10" s="119">
        <f>Economic!C10</f>
        <v>625936.9</v>
      </c>
      <c r="BA10" s="120">
        <f>Economic!D10</f>
        <v>6653.4</v>
      </c>
      <c r="BB10" s="120">
        <f>Economic!E10</f>
        <v>6708.4</v>
      </c>
      <c r="BC10" s="120">
        <f>Economic!F10</f>
        <v>2915.3</v>
      </c>
      <c r="BD10" s="120">
        <f>Economic!G10</f>
        <v>2931.8</v>
      </c>
      <c r="BE10" s="120">
        <f>Economic!H10</f>
        <v>370.9</v>
      </c>
      <c r="BF10" s="120">
        <f>Economic!I10</f>
        <v>369</v>
      </c>
      <c r="BG10" s="123">
        <v>30</v>
      </c>
      <c r="BH10" s="123">
        <v>21</v>
      </c>
      <c r="BI10" s="123">
        <f t="shared" si="7"/>
        <v>9</v>
      </c>
      <c r="BJ10" s="123">
        <v>0</v>
      </c>
      <c r="BK10" s="123">
        <v>0</v>
      </c>
      <c r="BL10" s="123">
        <v>0</v>
      </c>
      <c r="BM10" s="123">
        <v>0</v>
      </c>
      <c r="BN10" s="123">
        <v>0</v>
      </c>
      <c r="BO10" s="123">
        <v>0</v>
      </c>
      <c r="BP10" s="123">
        <v>0</v>
      </c>
      <c r="BQ10" s="123">
        <v>0</v>
      </c>
      <c r="BR10" s="123">
        <v>1</v>
      </c>
      <c r="BS10" s="123">
        <v>0</v>
      </c>
      <c r="BT10" s="123">
        <v>0</v>
      </c>
      <c r="BU10" s="123">
        <v>0</v>
      </c>
      <c r="BV10" s="123">
        <v>0</v>
      </c>
      <c r="BW10" s="123">
        <v>1</v>
      </c>
      <c r="BX10" s="123">
        <v>1</v>
      </c>
      <c r="BY10" s="124">
        <v>0</v>
      </c>
      <c r="BZ10" s="124">
        <v>0</v>
      </c>
      <c r="CA10" s="124">
        <f t="shared" si="8"/>
        <v>0</v>
      </c>
      <c r="CB10" s="124">
        <f t="shared" si="9"/>
        <v>0</v>
      </c>
      <c r="CC10" s="124">
        <f t="shared" si="10"/>
        <v>0</v>
      </c>
      <c r="CD10" s="124">
        <f t="shared" si="11"/>
        <v>0</v>
      </c>
      <c r="CE10" s="124">
        <f t="shared" si="12"/>
        <v>0</v>
      </c>
      <c r="CF10" s="124">
        <f t="shared" si="13"/>
        <v>0</v>
      </c>
      <c r="CG10" s="124">
        <f t="shared" si="14"/>
        <v>0</v>
      </c>
      <c r="CH10" s="124">
        <f t="shared" si="15"/>
        <v>0</v>
      </c>
      <c r="CI10" s="124">
        <f t="shared" si="16"/>
        <v>0</v>
      </c>
      <c r="CJ10" s="124">
        <f t="shared" si="17"/>
        <v>0</v>
      </c>
      <c r="CK10" s="124">
        <f t="shared" si="18"/>
        <v>0</v>
      </c>
      <c r="CL10" s="124">
        <f t="shared" si="19"/>
        <v>0</v>
      </c>
      <c r="CM10" s="124">
        <f t="shared" si="20"/>
        <v>0</v>
      </c>
      <c r="CN10" s="124">
        <f t="shared" si="21"/>
        <v>0</v>
      </c>
      <c r="CO10" s="124">
        <f t="shared" si="22"/>
        <v>0</v>
      </c>
      <c r="CP10" s="124">
        <f t="shared" si="23"/>
        <v>0</v>
      </c>
      <c r="CQ10" s="138">
        <f t="shared" si="24"/>
        <v>728.96078955300175</v>
      </c>
      <c r="CR10" s="138">
        <f t="shared" si="25"/>
        <v>2701.2072163897892</v>
      </c>
      <c r="CS10" s="138">
        <f t="shared" si="26"/>
        <v>58804.33414633551</v>
      </c>
    </row>
    <row r="11" spans="1:97" x14ac:dyDescent="0.2">
      <c r="A11" s="114">
        <v>40817</v>
      </c>
      <c r="B11">
        <f t="shared" ref="B11:B74" si="27">YEAR(A11)</f>
        <v>2011</v>
      </c>
      <c r="C11">
        <f t="shared" ref="C11:C74" si="28">MONTH(A11)</f>
        <v>10</v>
      </c>
      <c r="D11" s="131">
        <v>18244566.349999983</v>
      </c>
      <c r="E11" s="131">
        <f>VLOOKUP($B11,'Historic CDM'!$L$5:$R$17,2,FALSE)/12</f>
        <v>23207.745325324893</v>
      </c>
      <c r="F11" s="131">
        <f t="shared" si="4"/>
        <v>18267774.095325306</v>
      </c>
      <c r="G11" s="131">
        <v>6187538.6099999947</v>
      </c>
      <c r="H11" s="131">
        <f>VLOOKUP($B11,'Historic CDM'!$L$5:$R$17,3,FALSE)/12</f>
        <v>9467.620679902544</v>
      </c>
      <c r="I11" s="131">
        <f t="shared" si="5"/>
        <v>6197006.2306798976</v>
      </c>
      <c r="J11" s="131">
        <v>15493508.160000006</v>
      </c>
      <c r="K11" s="131">
        <f>VLOOKUP($B11,'Historic CDM'!$L$5:$R$17,4,FALSE)/12</f>
        <v>92782.771217919406</v>
      </c>
      <c r="L11" s="131">
        <f t="shared" si="6"/>
        <v>15586290.931217926</v>
      </c>
      <c r="N11" s="131">
        <f>VLOOKUP($B11,'Historic CDM'!$L$5:$R$17,5,FALSE)/12</f>
        <v>26940.854166666697</v>
      </c>
      <c r="Q11" s="131">
        <f>VLOOKUP($B11,'Historic CDM'!$L$5:$R$17,6,FALSE)/12</f>
        <v>3226.2539355113836</v>
      </c>
      <c r="AA11" s="41">
        <v>27440</v>
      </c>
      <c r="AB11" s="125">
        <v>2364</v>
      </c>
      <c r="AC11" s="125">
        <v>270</v>
      </c>
      <c r="AI11" s="104">
        <f>Weather!C119</f>
        <v>10.483870967741938</v>
      </c>
      <c r="AJ11" s="104">
        <f>Weather!D119</f>
        <v>357</v>
      </c>
      <c r="AK11" s="104">
        <f>Weather!E119</f>
        <v>0</v>
      </c>
      <c r="AL11" s="104">
        <f>Weather!F119</f>
        <v>295</v>
      </c>
      <c r="AM11" s="104">
        <f>Weather!G119</f>
        <v>0</v>
      </c>
      <c r="AN11" s="104">
        <f>Weather!H119</f>
        <v>235.4</v>
      </c>
      <c r="AO11" s="104">
        <f>Weather!I119</f>
        <v>2.3999999999999986</v>
      </c>
      <c r="AP11" s="104">
        <f>Weather!J119</f>
        <v>180.70000000000002</v>
      </c>
      <c r="AQ11" s="104">
        <f>Weather!K119</f>
        <v>9.6999999999999957</v>
      </c>
      <c r="AR11" s="104">
        <f>Weather!L119</f>
        <v>131.60000000000002</v>
      </c>
      <c r="AS11" s="104">
        <f>Weather!M119</f>
        <v>22.599999999999994</v>
      </c>
      <c r="AT11" s="104">
        <f>Weather!N119</f>
        <v>88.5</v>
      </c>
      <c r="AU11" s="104">
        <f>Weather!O119</f>
        <v>41.5</v>
      </c>
      <c r="AV11" s="104">
        <f>Weather!P119</f>
        <v>49.800000000000004</v>
      </c>
      <c r="AW11" s="104">
        <f>Weather!Q119</f>
        <v>64.8</v>
      </c>
      <c r="AX11" s="104">
        <f>Weather!R119</f>
        <v>23.500000000000004</v>
      </c>
      <c r="AY11" s="104">
        <f>Weather!S119</f>
        <v>100.5</v>
      </c>
      <c r="AZ11" s="119">
        <f>Economic!C11</f>
        <v>625936.9</v>
      </c>
      <c r="BA11" s="120">
        <f>Economic!D11</f>
        <v>6647</v>
      </c>
      <c r="BB11" s="120">
        <f>Economic!E11</f>
        <v>6675.7</v>
      </c>
      <c r="BC11" s="120">
        <f>Economic!F11</f>
        <v>2906.1</v>
      </c>
      <c r="BD11" s="120">
        <f>Economic!G11</f>
        <v>2916</v>
      </c>
      <c r="BE11" s="120">
        <f>Economic!H11</f>
        <v>373.7</v>
      </c>
      <c r="BF11" s="120">
        <f>Economic!I11</f>
        <v>371.2</v>
      </c>
      <c r="BG11" s="123">
        <v>31</v>
      </c>
      <c r="BH11" s="123">
        <v>21</v>
      </c>
      <c r="BI11" s="123">
        <f t="shared" si="7"/>
        <v>10</v>
      </c>
      <c r="BJ11" s="123">
        <v>0</v>
      </c>
      <c r="BK11" s="123">
        <v>0</v>
      </c>
      <c r="BL11" s="123">
        <v>0</v>
      </c>
      <c r="BM11" s="123">
        <v>0</v>
      </c>
      <c r="BN11" s="123">
        <v>0</v>
      </c>
      <c r="BO11" s="123">
        <v>0</v>
      </c>
      <c r="BP11" s="123">
        <v>0</v>
      </c>
      <c r="BQ11" s="123">
        <v>0</v>
      </c>
      <c r="BR11" s="123">
        <v>0</v>
      </c>
      <c r="BS11" s="123">
        <v>1</v>
      </c>
      <c r="BT11" s="123">
        <v>0</v>
      </c>
      <c r="BU11" s="123">
        <v>0</v>
      </c>
      <c r="BV11" s="123">
        <v>0</v>
      </c>
      <c r="BW11" s="123">
        <v>1</v>
      </c>
      <c r="BX11" s="123">
        <v>1</v>
      </c>
      <c r="BY11" s="124">
        <v>0</v>
      </c>
      <c r="BZ11" s="124">
        <v>0</v>
      </c>
      <c r="CA11" s="124">
        <f t="shared" si="8"/>
        <v>0</v>
      </c>
      <c r="CB11" s="124">
        <f t="shared" si="9"/>
        <v>0</v>
      </c>
      <c r="CC11" s="124">
        <f t="shared" si="10"/>
        <v>0</v>
      </c>
      <c r="CD11" s="124">
        <f t="shared" si="11"/>
        <v>0</v>
      </c>
      <c r="CE11" s="124">
        <f t="shared" si="12"/>
        <v>0</v>
      </c>
      <c r="CF11" s="124">
        <f t="shared" si="13"/>
        <v>0</v>
      </c>
      <c r="CG11" s="124">
        <f t="shared" si="14"/>
        <v>0</v>
      </c>
      <c r="CH11" s="124">
        <f t="shared" si="15"/>
        <v>0</v>
      </c>
      <c r="CI11" s="124">
        <f t="shared" si="16"/>
        <v>0</v>
      </c>
      <c r="CJ11" s="124">
        <f t="shared" si="17"/>
        <v>0</v>
      </c>
      <c r="CK11" s="124">
        <f t="shared" si="18"/>
        <v>0</v>
      </c>
      <c r="CL11" s="124">
        <f t="shared" si="19"/>
        <v>0</v>
      </c>
      <c r="CM11" s="124">
        <f t="shared" si="20"/>
        <v>0</v>
      </c>
      <c r="CN11" s="124">
        <f t="shared" si="21"/>
        <v>0</v>
      </c>
      <c r="CO11" s="124">
        <f t="shared" si="22"/>
        <v>0</v>
      </c>
      <c r="CP11" s="124">
        <f t="shared" si="23"/>
        <v>0</v>
      </c>
      <c r="CQ11" s="138">
        <f t="shared" si="24"/>
        <v>665.73520755558695</v>
      </c>
      <c r="CR11" s="138">
        <f t="shared" si="25"/>
        <v>2621.4070349745762</v>
      </c>
      <c r="CS11" s="138">
        <f t="shared" si="26"/>
        <v>57727.003448955278</v>
      </c>
    </row>
    <row r="12" spans="1:97" x14ac:dyDescent="0.2">
      <c r="A12" s="115">
        <v>40848</v>
      </c>
      <c r="B12">
        <f t="shared" si="27"/>
        <v>2011</v>
      </c>
      <c r="C12">
        <f t="shared" si="28"/>
        <v>11</v>
      </c>
      <c r="D12" s="131">
        <v>20183725.750000019</v>
      </c>
      <c r="E12" s="131">
        <f>VLOOKUP($B12,'Historic CDM'!$L$5:$R$17,2,FALSE)/12</f>
        <v>23207.745325324893</v>
      </c>
      <c r="F12" s="131">
        <f t="shared" si="4"/>
        <v>20206933.495325342</v>
      </c>
      <c r="G12" s="131">
        <v>6503187.4399999985</v>
      </c>
      <c r="H12" s="131">
        <f>VLOOKUP($B12,'Historic CDM'!$L$5:$R$17,3,FALSE)/12</f>
        <v>9467.620679902544</v>
      </c>
      <c r="I12" s="131">
        <f t="shared" si="5"/>
        <v>6512655.0606799014</v>
      </c>
      <c r="J12" s="131">
        <v>15848617.690000003</v>
      </c>
      <c r="K12" s="131">
        <f>VLOOKUP($B12,'Historic CDM'!$L$5:$R$17,4,FALSE)/12</f>
        <v>92782.771217919406</v>
      </c>
      <c r="L12" s="131">
        <f t="shared" si="6"/>
        <v>15941400.461217923</v>
      </c>
      <c r="N12" s="131">
        <f>VLOOKUP($B12,'Historic CDM'!$L$5:$R$17,5,FALSE)/12</f>
        <v>26940.854166666697</v>
      </c>
      <c r="Q12" s="131">
        <f>VLOOKUP($B12,'Historic CDM'!$L$5:$R$17,6,FALSE)/12</f>
        <v>3226.2539355113836</v>
      </c>
      <c r="AA12" s="41">
        <v>27703</v>
      </c>
      <c r="AB12" s="125">
        <v>2368</v>
      </c>
      <c r="AC12" s="125">
        <v>271</v>
      </c>
      <c r="AI12" s="104">
        <f>Weather!C120</f>
        <v>6.6033333333333335</v>
      </c>
      <c r="AJ12" s="104">
        <f>Weather!D120</f>
        <v>461.89999999999992</v>
      </c>
      <c r="AK12" s="104">
        <f>Weather!E120</f>
        <v>0</v>
      </c>
      <c r="AL12" s="104">
        <f>Weather!F120</f>
        <v>401.89999999999992</v>
      </c>
      <c r="AM12" s="104">
        <f>Weather!G120</f>
        <v>0</v>
      </c>
      <c r="AN12" s="104">
        <f>Weather!H120</f>
        <v>341.89999999999992</v>
      </c>
      <c r="AO12" s="104">
        <f>Weather!I120</f>
        <v>0</v>
      </c>
      <c r="AP12" s="104">
        <f>Weather!J120</f>
        <v>281.89999999999998</v>
      </c>
      <c r="AQ12" s="104">
        <f>Weather!K120</f>
        <v>0</v>
      </c>
      <c r="AR12" s="104">
        <f>Weather!L120</f>
        <v>221.90000000000003</v>
      </c>
      <c r="AS12" s="104">
        <f>Weather!M120</f>
        <v>0</v>
      </c>
      <c r="AT12" s="104">
        <f>Weather!N120</f>
        <v>165.3</v>
      </c>
      <c r="AU12" s="104">
        <f>Weather!O120</f>
        <v>3.4000000000000004</v>
      </c>
      <c r="AV12" s="104">
        <f>Weather!P120</f>
        <v>115.8</v>
      </c>
      <c r="AW12" s="104">
        <f>Weather!Q120</f>
        <v>13.9</v>
      </c>
      <c r="AX12" s="104">
        <f>Weather!R120</f>
        <v>74.2</v>
      </c>
      <c r="AY12" s="104">
        <f>Weather!S120</f>
        <v>32.300000000000004</v>
      </c>
      <c r="AZ12" s="119">
        <f>Economic!C12</f>
        <v>625936.9</v>
      </c>
      <c r="BA12" s="120">
        <f>Economic!D12</f>
        <v>6642.9</v>
      </c>
      <c r="BB12" s="120">
        <f>Economic!E12</f>
        <v>6644.1</v>
      </c>
      <c r="BC12" s="120">
        <f>Economic!F12</f>
        <v>2901.5</v>
      </c>
      <c r="BD12" s="120">
        <f>Economic!G12</f>
        <v>2899.1</v>
      </c>
      <c r="BE12" s="120">
        <f>Economic!H12</f>
        <v>381.5</v>
      </c>
      <c r="BF12" s="120">
        <f>Economic!I12</f>
        <v>379.7</v>
      </c>
      <c r="BG12" s="123">
        <v>30</v>
      </c>
      <c r="BH12" s="123">
        <v>20</v>
      </c>
      <c r="BI12" s="123">
        <f t="shared" si="7"/>
        <v>11</v>
      </c>
      <c r="BJ12" s="123">
        <v>0</v>
      </c>
      <c r="BK12" s="123">
        <v>0</v>
      </c>
      <c r="BL12" s="123">
        <v>0</v>
      </c>
      <c r="BM12" s="123">
        <v>0</v>
      </c>
      <c r="BN12" s="123">
        <v>0</v>
      </c>
      <c r="BO12" s="123">
        <v>0</v>
      </c>
      <c r="BP12" s="123">
        <v>0</v>
      </c>
      <c r="BQ12" s="123">
        <v>0</v>
      </c>
      <c r="BR12" s="123">
        <v>0</v>
      </c>
      <c r="BS12" s="123">
        <v>0</v>
      </c>
      <c r="BT12" s="123">
        <v>1</v>
      </c>
      <c r="BU12" s="123">
        <v>0</v>
      </c>
      <c r="BV12" s="123">
        <v>0</v>
      </c>
      <c r="BW12" s="123">
        <v>1</v>
      </c>
      <c r="BX12" s="123">
        <v>1</v>
      </c>
      <c r="BY12" s="124">
        <v>0</v>
      </c>
      <c r="BZ12" s="124">
        <v>0</v>
      </c>
      <c r="CA12" s="124">
        <f t="shared" si="8"/>
        <v>0</v>
      </c>
      <c r="CB12" s="124">
        <f t="shared" si="9"/>
        <v>0</v>
      </c>
      <c r="CC12" s="124">
        <f t="shared" si="10"/>
        <v>0</v>
      </c>
      <c r="CD12" s="124">
        <f t="shared" si="11"/>
        <v>0</v>
      </c>
      <c r="CE12" s="124">
        <f t="shared" si="12"/>
        <v>0</v>
      </c>
      <c r="CF12" s="124">
        <f t="shared" si="13"/>
        <v>0</v>
      </c>
      <c r="CG12" s="124">
        <f t="shared" si="14"/>
        <v>0</v>
      </c>
      <c r="CH12" s="124">
        <f t="shared" si="15"/>
        <v>0</v>
      </c>
      <c r="CI12" s="124">
        <f t="shared" si="16"/>
        <v>0</v>
      </c>
      <c r="CJ12" s="124">
        <f t="shared" si="17"/>
        <v>0</v>
      </c>
      <c r="CK12" s="124">
        <f t="shared" si="18"/>
        <v>0</v>
      </c>
      <c r="CL12" s="124">
        <f t="shared" si="19"/>
        <v>0</v>
      </c>
      <c r="CM12" s="124">
        <f t="shared" si="20"/>
        <v>0</v>
      </c>
      <c r="CN12" s="124">
        <f t="shared" si="21"/>
        <v>0</v>
      </c>
      <c r="CO12" s="124">
        <f t="shared" si="22"/>
        <v>0</v>
      </c>
      <c r="CP12" s="124">
        <f t="shared" si="23"/>
        <v>0</v>
      </c>
      <c r="CQ12" s="138">
        <f t="shared" si="24"/>
        <v>729.41318612877092</v>
      </c>
      <c r="CR12" s="138">
        <f t="shared" si="25"/>
        <v>2750.2766303546882</v>
      </c>
      <c r="CS12" s="138">
        <f t="shared" si="26"/>
        <v>58824.355945453593</v>
      </c>
    </row>
    <row r="13" spans="1:97" x14ac:dyDescent="0.2">
      <c r="A13" s="114">
        <v>40878</v>
      </c>
      <c r="B13">
        <f t="shared" si="27"/>
        <v>2011</v>
      </c>
      <c r="C13">
        <f t="shared" si="28"/>
        <v>12</v>
      </c>
      <c r="D13" s="131">
        <v>25085188.549999982</v>
      </c>
      <c r="E13" s="131">
        <f>VLOOKUP($B13,'Historic CDM'!$L$5:$R$17,2,FALSE)/12</f>
        <v>23207.745325324893</v>
      </c>
      <c r="F13" s="131">
        <f t="shared" si="4"/>
        <v>25108396.295325305</v>
      </c>
      <c r="G13" s="131">
        <v>8506879.0700000003</v>
      </c>
      <c r="H13" s="131">
        <f>VLOOKUP($B13,'Historic CDM'!$L$5:$R$17,3,FALSE)/12</f>
        <v>9467.620679902544</v>
      </c>
      <c r="I13" s="131">
        <f t="shared" si="5"/>
        <v>8516346.6906799022</v>
      </c>
      <c r="J13" s="131">
        <v>16723848.409999998</v>
      </c>
      <c r="K13" s="131">
        <f>VLOOKUP($B13,'Historic CDM'!$L$5:$R$17,4,FALSE)/12</f>
        <v>92782.771217919406</v>
      </c>
      <c r="L13" s="131">
        <f t="shared" si="6"/>
        <v>16816631.181217916</v>
      </c>
      <c r="N13" s="131">
        <f>VLOOKUP($B13,'Historic CDM'!$L$5:$R$17,5,FALSE)/12</f>
        <v>26940.854166666697</v>
      </c>
      <c r="Q13" s="131">
        <f>VLOOKUP($B13,'Historic CDM'!$L$5:$R$17,6,FALSE)/12</f>
        <v>3226.2539355113836</v>
      </c>
      <c r="AA13" s="41">
        <v>27826</v>
      </c>
      <c r="AB13" s="125">
        <v>2374</v>
      </c>
      <c r="AC13" s="125">
        <v>271</v>
      </c>
      <c r="AI13" s="104">
        <f>Weather!C121</f>
        <v>0.77419354838709664</v>
      </c>
      <c r="AJ13" s="104">
        <f>Weather!D121</f>
        <v>658</v>
      </c>
      <c r="AK13" s="104">
        <f>Weather!E121</f>
        <v>0</v>
      </c>
      <c r="AL13" s="104">
        <f>Weather!F121</f>
        <v>596.00000000000011</v>
      </c>
      <c r="AM13" s="104">
        <f>Weather!G121</f>
        <v>0</v>
      </c>
      <c r="AN13" s="104">
        <f>Weather!H121</f>
        <v>534.00000000000011</v>
      </c>
      <c r="AO13" s="104">
        <f>Weather!I121</f>
        <v>0</v>
      </c>
      <c r="AP13" s="104">
        <f>Weather!J121</f>
        <v>472.00000000000006</v>
      </c>
      <c r="AQ13" s="104">
        <f>Weather!K121</f>
        <v>0</v>
      </c>
      <c r="AR13" s="104">
        <f>Weather!L121</f>
        <v>410</v>
      </c>
      <c r="AS13" s="104">
        <f>Weather!M121</f>
        <v>0</v>
      </c>
      <c r="AT13" s="104">
        <f>Weather!N121</f>
        <v>348.00000000000006</v>
      </c>
      <c r="AU13" s="104">
        <f>Weather!O121</f>
        <v>0</v>
      </c>
      <c r="AV13" s="104">
        <f>Weather!P121</f>
        <v>286</v>
      </c>
      <c r="AW13" s="104">
        <f>Weather!Q121</f>
        <v>0</v>
      </c>
      <c r="AX13" s="104">
        <f>Weather!R121</f>
        <v>224.09999999999997</v>
      </c>
      <c r="AY13" s="104">
        <f>Weather!S121</f>
        <v>9.9999999999999645E-2</v>
      </c>
      <c r="AZ13" s="119">
        <f>Economic!C13</f>
        <v>625936.9</v>
      </c>
      <c r="BA13" s="120">
        <f>Economic!D13</f>
        <v>6643.1</v>
      </c>
      <c r="BB13" s="120">
        <f>Economic!E13</f>
        <v>6644.7</v>
      </c>
      <c r="BC13" s="120">
        <f>Economic!F13</f>
        <v>2893.8</v>
      </c>
      <c r="BD13" s="120">
        <f>Economic!G13</f>
        <v>2900.6</v>
      </c>
      <c r="BE13" s="120">
        <f>Economic!H13</f>
        <v>385.5</v>
      </c>
      <c r="BF13" s="120">
        <f>Economic!I13</f>
        <v>384.2</v>
      </c>
      <c r="BG13" s="123">
        <v>31</v>
      </c>
      <c r="BH13" s="123">
        <v>22</v>
      </c>
      <c r="BI13" s="123">
        <f t="shared" si="7"/>
        <v>12</v>
      </c>
      <c r="BJ13" s="123">
        <v>0</v>
      </c>
      <c r="BK13" s="123">
        <v>0</v>
      </c>
      <c r="BL13" s="123">
        <v>0</v>
      </c>
      <c r="BM13" s="123">
        <v>0</v>
      </c>
      <c r="BN13" s="123">
        <v>0</v>
      </c>
      <c r="BO13" s="123">
        <v>0</v>
      </c>
      <c r="BP13" s="123">
        <v>0</v>
      </c>
      <c r="BQ13" s="123">
        <v>0</v>
      </c>
      <c r="BR13" s="123">
        <v>0</v>
      </c>
      <c r="BS13" s="123">
        <v>0</v>
      </c>
      <c r="BT13" s="123">
        <v>0</v>
      </c>
      <c r="BU13" s="123">
        <v>1</v>
      </c>
      <c r="BV13" s="123">
        <v>0</v>
      </c>
      <c r="BW13" s="123">
        <v>0</v>
      </c>
      <c r="BX13" s="123">
        <v>0</v>
      </c>
      <c r="BY13" s="124">
        <v>0</v>
      </c>
      <c r="BZ13" s="124">
        <v>0</v>
      </c>
      <c r="CA13" s="124">
        <f t="shared" si="8"/>
        <v>0</v>
      </c>
      <c r="CB13" s="124">
        <f t="shared" si="9"/>
        <v>0</v>
      </c>
      <c r="CC13" s="124">
        <f t="shared" si="10"/>
        <v>0</v>
      </c>
      <c r="CD13" s="124">
        <f t="shared" si="11"/>
        <v>0</v>
      </c>
      <c r="CE13" s="124">
        <f t="shared" si="12"/>
        <v>0</v>
      </c>
      <c r="CF13" s="124">
        <f t="shared" si="13"/>
        <v>0</v>
      </c>
      <c r="CG13" s="124">
        <f t="shared" si="14"/>
        <v>0</v>
      </c>
      <c r="CH13" s="124">
        <f t="shared" si="15"/>
        <v>0</v>
      </c>
      <c r="CI13" s="124">
        <f t="shared" si="16"/>
        <v>0</v>
      </c>
      <c r="CJ13" s="124">
        <f t="shared" si="17"/>
        <v>0</v>
      </c>
      <c r="CK13" s="124">
        <f t="shared" si="18"/>
        <v>0</v>
      </c>
      <c r="CL13" s="124">
        <f t="shared" si="19"/>
        <v>0</v>
      </c>
      <c r="CM13" s="124">
        <f t="shared" si="20"/>
        <v>0</v>
      </c>
      <c r="CN13" s="124">
        <f t="shared" si="21"/>
        <v>0</v>
      </c>
      <c r="CO13" s="124">
        <f t="shared" si="22"/>
        <v>0</v>
      </c>
      <c r="CP13" s="124">
        <f t="shared" si="23"/>
        <v>0</v>
      </c>
      <c r="CQ13" s="138">
        <f t="shared" si="24"/>
        <v>902.33581166266458</v>
      </c>
      <c r="CR13" s="138">
        <f t="shared" si="25"/>
        <v>3587.3406447682823</v>
      </c>
      <c r="CS13" s="138">
        <f t="shared" si="26"/>
        <v>62053.989598590095</v>
      </c>
    </row>
    <row r="14" spans="1:97" x14ac:dyDescent="0.2">
      <c r="A14" s="115">
        <v>40909</v>
      </c>
      <c r="B14">
        <f t="shared" si="27"/>
        <v>2012</v>
      </c>
      <c r="C14">
        <f t="shared" si="28"/>
        <v>1</v>
      </c>
      <c r="D14" s="131">
        <v>22605358.370000012</v>
      </c>
      <c r="E14" s="131">
        <f>VLOOKUP($B14,'Historic CDM'!$L$5:$R$17,2,FALSE)/12</f>
        <v>60152.639777244323</v>
      </c>
      <c r="F14" s="131">
        <f t="shared" si="4"/>
        <v>22665511.009777255</v>
      </c>
      <c r="G14" s="131">
        <v>6542070.0699999975</v>
      </c>
      <c r="H14" s="131">
        <f>VLOOKUP($B14,'Historic CDM'!$L$5:$R$17,3,FALSE)/12</f>
        <v>32139.174490377161</v>
      </c>
      <c r="I14" s="131">
        <f t="shared" si="5"/>
        <v>6574209.2444903748</v>
      </c>
      <c r="J14" s="131">
        <v>16556508.93</v>
      </c>
      <c r="K14" s="131">
        <f>VLOOKUP($B14,'Historic CDM'!$L$5:$R$17,4,FALSE)/12</f>
        <v>228757.53349089678</v>
      </c>
      <c r="L14" s="131">
        <f t="shared" si="6"/>
        <v>16785266.463490896</v>
      </c>
      <c r="N14" s="131">
        <f>VLOOKUP($B14,'Historic CDM'!$L$5:$R$17,5,FALSE)/12</f>
        <v>65174.236777059406</v>
      </c>
      <c r="Q14" s="131">
        <f>VLOOKUP($B14,'Historic CDM'!$L$5:$R$17,6,FALSE)/12</f>
        <v>7237.0243584002064</v>
      </c>
      <c r="AA14" s="41">
        <v>27984</v>
      </c>
      <c r="AB14" s="125">
        <v>2381</v>
      </c>
      <c r="AC14" s="125">
        <v>271</v>
      </c>
      <c r="AI14" s="104">
        <f>Weather!C122</f>
        <v>-1.7129032258064516</v>
      </c>
      <c r="AJ14" s="104">
        <f>Weather!D122</f>
        <v>735.1</v>
      </c>
      <c r="AK14" s="104">
        <f>Weather!E122</f>
        <v>0</v>
      </c>
      <c r="AL14" s="104">
        <f>Weather!F122</f>
        <v>673.1</v>
      </c>
      <c r="AM14" s="104">
        <f>Weather!G122</f>
        <v>0</v>
      </c>
      <c r="AN14" s="104">
        <f>Weather!H122</f>
        <v>611.1</v>
      </c>
      <c r="AO14" s="104">
        <f>Weather!I122</f>
        <v>0</v>
      </c>
      <c r="AP14" s="104">
        <f>Weather!J122</f>
        <v>549.1</v>
      </c>
      <c r="AQ14" s="104">
        <f>Weather!K122</f>
        <v>0</v>
      </c>
      <c r="AR14" s="104">
        <f>Weather!L122</f>
        <v>487.1</v>
      </c>
      <c r="AS14" s="104">
        <f>Weather!M122</f>
        <v>0</v>
      </c>
      <c r="AT14" s="104">
        <f>Weather!N122</f>
        <v>425.10000000000008</v>
      </c>
      <c r="AU14" s="104">
        <f>Weather!O122</f>
        <v>0</v>
      </c>
      <c r="AV14" s="104">
        <f>Weather!P122</f>
        <v>363.10000000000008</v>
      </c>
      <c r="AW14" s="104">
        <f>Weather!Q122</f>
        <v>0</v>
      </c>
      <c r="AX14" s="104">
        <f>Weather!R122</f>
        <v>301.10000000000008</v>
      </c>
      <c r="AY14" s="104">
        <f>Weather!S122</f>
        <v>0</v>
      </c>
      <c r="AZ14" s="119">
        <f>Economic!C14</f>
        <v>634944.30000000005</v>
      </c>
      <c r="BA14" s="120">
        <f>Economic!D14</f>
        <v>6646.5</v>
      </c>
      <c r="BB14" s="120">
        <f>Economic!E14</f>
        <v>6611.1</v>
      </c>
      <c r="BC14" s="120">
        <f>Economic!F14</f>
        <v>2892.7</v>
      </c>
      <c r="BD14" s="120">
        <f>Economic!G14</f>
        <v>2888.2</v>
      </c>
      <c r="BE14" s="120">
        <f>Economic!H14</f>
        <v>387.4</v>
      </c>
      <c r="BF14" s="120">
        <f>Economic!I14</f>
        <v>385.4</v>
      </c>
      <c r="BG14" s="123">
        <f>BG2</f>
        <v>31</v>
      </c>
      <c r="BH14" s="123">
        <v>20</v>
      </c>
      <c r="BI14" s="123">
        <f t="shared" si="7"/>
        <v>13</v>
      </c>
      <c r="BJ14" s="123">
        <f t="shared" ref="BJ14:BX14" si="29">BJ2</f>
        <v>1</v>
      </c>
      <c r="BK14" s="123">
        <f t="shared" si="29"/>
        <v>0</v>
      </c>
      <c r="BL14" s="123">
        <f t="shared" si="29"/>
        <v>0</v>
      </c>
      <c r="BM14" s="123">
        <f t="shared" si="29"/>
        <v>0</v>
      </c>
      <c r="BN14" s="123">
        <f t="shared" si="29"/>
        <v>0</v>
      </c>
      <c r="BO14" s="123">
        <f t="shared" si="29"/>
        <v>0</v>
      </c>
      <c r="BP14" s="123">
        <f t="shared" si="29"/>
        <v>0</v>
      </c>
      <c r="BQ14" s="123">
        <f t="shared" si="29"/>
        <v>0</v>
      </c>
      <c r="BR14" s="123">
        <f t="shared" si="29"/>
        <v>0</v>
      </c>
      <c r="BS14" s="123">
        <f t="shared" si="29"/>
        <v>0</v>
      </c>
      <c r="BT14" s="123">
        <f t="shared" si="29"/>
        <v>0</v>
      </c>
      <c r="BU14" s="123">
        <f t="shared" si="29"/>
        <v>0</v>
      </c>
      <c r="BV14" s="123">
        <f t="shared" si="29"/>
        <v>0</v>
      </c>
      <c r="BW14" s="123">
        <f t="shared" si="29"/>
        <v>0</v>
      </c>
      <c r="BX14" s="123">
        <f t="shared" si="29"/>
        <v>0</v>
      </c>
      <c r="BY14" s="124">
        <v>0</v>
      </c>
      <c r="BZ14" s="124">
        <v>0</v>
      </c>
      <c r="CA14" s="124">
        <f t="shared" si="8"/>
        <v>0</v>
      </c>
      <c r="CB14" s="124">
        <f t="shared" si="9"/>
        <v>0</v>
      </c>
      <c r="CC14" s="124">
        <f t="shared" si="10"/>
        <v>0</v>
      </c>
      <c r="CD14" s="124">
        <f t="shared" si="11"/>
        <v>0</v>
      </c>
      <c r="CE14" s="124">
        <f t="shared" si="12"/>
        <v>0</v>
      </c>
      <c r="CF14" s="124">
        <f t="shared" si="13"/>
        <v>0</v>
      </c>
      <c r="CG14" s="124">
        <f t="shared" si="14"/>
        <v>0</v>
      </c>
      <c r="CH14" s="124">
        <f t="shared" si="15"/>
        <v>0</v>
      </c>
      <c r="CI14" s="124">
        <f t="shared" si="16"/>
        <v>0</v>
      </c>
      <c r="CJ14" s="124">
        <f t="shared" si="17"/>
        <v>0</v>
      </c>
      <c r="CK14" s="124">
        <f t="shared" si="18"/>
        <v>0</v>
      </c>
      <c r="CL14" s="124">
        <f t="shared" si="19"/>
        <v>0</v>
      </c>
      <c r="CM14" s="124">
        <f t="shared" si="20"/>
        <v>0</v>
      </c>
      <c r="CN14" s="124">
        <f t="shared" si="21"/>
        <v>0</v>
      </c>
      <c r="CO14" s="124">
        <f t="shared" si="22"/>
        <v>0</v>
      </c>
      <c r="CP14" s="124">
        <f t="shared" si="23"/>
        <v>0</v>
      </c>
      <c r="CQ14" s="138">
        <f t="shared" si="24"/>
        <v>809.94536198460742</v>
      </c>
      <c r="CR14" s="138">
        <f t="shared" si="25"/>
        <v>2761.1126604327487</v>
      </c>
      <c r="CS14" s="138">
        <f t="shared" si="26"/>
        <v>61938.252632807737</v>
      </c>
    </row>
    <row r="15" spans="1:97" x14ac:dyDescent="0.2">
      <c r="A15" s="114">
        <v>40940</v>
      </c>
      <c r="B15">
        <f t="shared" si="27"/>
        <v>2012</v>
      </c>
      <c r="C15">
        <f t="shared" si="28"/>
        <v>2</v>
      </c>
      <c r="D15" s="131">
        <v>21671478.420000002</v>
      </c>
      <c r="E15" s="131">
        <f>VLOOKUP($B15,'Historic CDM'!$L$5:$R$17,2,FALSE)/12</f>
        <v>60152.639777244323</v>
      </c>
      <c r="F15" s="131">
        <f t="shared" si="4"/>
        <v>21731631.059777245</v>
      </c>
      <c r="G15" s="131">
        <v>7307980.3799999999</v>
      </c>
      <c r="H15" s="131">
        <f>VLOOKUP($B15,'Historic CDM'!$L$5:$R$17,3,FALSE)/12</f>
        <v>32139.174490377161</v>
      </c>
      <c r="I15" s="131">
        <f t="shared" si="5"/>
        <v>7340119.5544903772</v>
      </c>
      <c r="J15" s="131">
        <v>15850543.67</v>
      </c>
      <c r="K15" s="131">
        <f>VLOOKUP($B15,'Historic CDM'!$L$5:$R$17,4,FALSE)/12</f>
        <v>228757.53349089678</v>
      </c>
      <c r="L15" s="131">
        <f t="shared" si="6"/>
        <v>16079301.203490896</v>
      </c>
      <c r="N15" s="131">
        <f>VLOOKUP($B15,'Historic CDM'!$L$5:$R$17,5,FALSE)/12</f>
        <v>65174.236777059406</v>
      </c>
      <c r="Q15" s="131">
        <f>VLOOKUP($B15,'Historic CDM'!$L$5:$R$17,6,FALSE)/12</f>
        <v>7237.0243584002064</v>
      </c>
      <c r="AA15" s="41">
        <v>28152</v>
      </c>
      <c r="AB15" s="125">
        <v>2385</v>
      </c>
      <c r="AC15" s="125">
        <v>272</v>
      </c>
      <c r="AI15" s="104">
        <f>Weather!C123</f>
        <v>-0.33448275862068977</v>
      </c>
      <c r="AJ15" s="104">
        <f>Weather!D123</f>
        <v>647.70000000000005</v>
      </c>
      <c r="AK15" s="104">
        <f>Weather!E123</f>
        <v>0</v>
      </c>
      <c r="AL15" s="104">
        <f>Weather!F123</f>
        <v>589.69999999999993</v>
      </c>
      <c r="AM15" s="104">
        <f>Weather!G123</f>
        <v>0</v>
      </c>
      <c r="AN15" s="104">
        <f>Weather!H123</f>
        <v>531.70000000000005</v>
      </c>
      <c r="AO15" s="104">
        <f>Weather!I123</f>
        <v>0</v>
      </c>
      <c r="AP15" s="104">
        <f>Weather!J123</f>
        <v>473.70000000000005</v>
      </c>
      <c r="AQ15" s="104">
        <f>Weather!K123</f>
        <v>0</v>
      </c>
      <c r="AR15" s="104">
        <f>Weather!L123</f>
        <v>415.70000000000005</v>
      </c>
      <c r="AS15" s="104">
        <f>Weather!M123</f>
        <v>0</v>
      </c>
      <c r="AT15" s="104">
        <f>Weather!N123</f>
        <v>357.7</v>
      </c>
      <c r="AU15" s="104">
        <f>Weather!O123</f>
        <v>0</v>
      </c>
      <c r="AV15" s="104">
        <f>Weather!P123</f>
        <v>299.70000000000005</v>
      </c>
      <c r="AW15" s="104">
        <f>Weather!Q123</f>
        <v>0</v>
      </c>
      <c r="AX15" s="104">
        <f>Weather!R123</f>
        <v>241.70000000000005</v>
      </c>
      <c r="AY15" s="104">
        <f>Weather!S123</f>
        <v>0</v>
      </c>
      <c r="AZ15" s="119">
        <f>Economic!C15</f>
        <v>634944.30000000005</v>
      </c>
      <c r="BA15" s="120">
        <f>Economic!D15</f>
        <v>6641.1</v>
      </c>
      <c r="BB15" s="120">
        <f>Economic!E15</f>
        <v>6571.2</v>
      </c>
      <c r="BC15" s="120">
        <f>Economic!F15</f>
        <v>2889.3</v>
      </c>
      <c r="BD15" s="120">
        <f>Economic!G15</f>
        <v>2870.1</v>
      </c>
      <c r="BE15" s="120">
        <f>Economic!H15</f>
        <v>386</v>
      </c>
      <c r="BF15" s="120">
        <f>Economic!I15</f>
        <v>383.8</v>
      </c>
      <c r="BG15" s="123">
        <v>29</v>
      </c>
      <c r="BH15" s="123">
        <v>19</v>
      </c>
      <c r="BI15" s="123">
        <f t="shared" si="7"/>
        <v>14</v>
      </c>
      <c r="BJ15" s="123">
        <f t="shared" ref="BJ15:BX15" si="30">BJ3</f>
        <v>0</v>
      </c>
      <c r="BK15" s="123">
        <f t="shared" si="30"/>
        <v>1</v>
      </c>
      <c r="BL15" s="123">
        <f t="shared" si="30"/>
        <v>0</v>
      </c>
      <c r="BM15" s="123">
        <f t="shared" si="30"/>
        <v>0</v>
      </c>
      <c r="BN15" s="123">
        <f t="shared" si="30"/>
        <v>0</v>
      </c>
      <c r="BO15" s="123">
        <f t="shared" si="30"/>
        <v>0</v>
      </c>
      <c r="BP15" s="123">
        <f t="shared" si="30"/>
        <v>0</v>
      </c>
      <c r="BQ15" s="123">
        <f t="shared" si="30"/>
        <v>0</v>
      </c>
      <c r="BR15" s="123">
        <f t="shared" si="30"/>
        <v>0</v>
      </c>
      <c r="BS15" s="123">
        <f t="shared" si="30"/>
        <v>0</v>
      </c>
      <c r="BT15" s="123">
        <f t="shared" si="30"/>
        <v>0</v>
      </c>
      <c r="BU15" s="123">
        <f t="shared" si="30"/>
        <v>0</v>
      </c>
      <c r="BV15" s="123">
        <f t="shared" si="30"/>
        <v>0</v>
      </c>
      <c r="BW15" s="123">
        <f t="shared" si="30"/>
        <v>0</v>
      </c>
      <c r="BX15" s="123">
        <f t="shared" si="30"/>
        <v>0</v>
      </c>
      <c r="BY15" s="124">
        <v>0</v>
      </c>
      <c r="BZ15" s="124">
        <v>0</v>
      </c>
      <c r="CA15" s="124">
        <f t="shared" si="8"/>
        <v>0</v>
      </c>
      <c r="CB15" s="124">
        <f t="shared" si="9"/>
        <v>0</v>
      </c>
      <c r="CC15" s="124">
        <f t="shared" si="10"/>
        <v>0</v>
      </c>
      <c r="CD15" s="124">
        <f t="shared" si="11"/>
        <v>0</v>
      </c>
      <c r="CE15" s="124">
        <f t="shared" si="12"/>
        <v>0</v>
      </c>
      <c r="CF15" s="124">
        <f t="shared" si="13"/>
        <v>0</v>
      </c>
      <c r="CG15" s="124">
        <f t="shared" si="14"/>
        <v>0</v>
      </c>
      <c r="CH15" s="124">
        <f t="shared" si="15"/>
        <v>0</v>
      </c>
      <c r="CI15" s="124">
        <f t="shared" si="16"/>
        <v>0</v>
      </c>
      <c r="CJ15" s="124">
        <f t="shared" si="17"/>
        <v>0</v>
      </c>
      <c r="CK15" s="124">
        <f t="shared" si="18"/>
        <v>0</v>
      </c>
      <c r="CL15" s="124">
        <f t="shared" si="19"/>
        <v>0</v>
      </c>
      <c r="CM15" s="124">
        <f t="shared" si="20"/>
        <v>0</v>
      </c>
      <c r="CN15" s="124">
        <f t="shared" si="21"/>
        <v>0</v>
      </c>
      <c r="CO15" s="124">
        <f t="shared" si="22"/>
        <v>0</v>
      </c>
      <c r="CP15" s="124">
        <f t="shared" si="23"/>
        <v>0</v>
      </c>
      <c r="CQ15" s="138">
        <f t="shared" si="24"/>
        <v>771.93915387103027</v>
      </c>
      <c r="CR15" s="138">
        <f t="shared" si="25"/>
        <v>3077.6182618408288</v>
      </c>
      <c r="CS15" s="138">
        <f t="shared" si="26"/>
        <v>59115.077954010645</v>
      </c>
    </row>
    <row r="16" spans="1:97" x14ac:dyDescent="0.2">
      <c r="A16" s="115">
        <v>40969</v>
      </c>
      <c r="B16">
        <f t="shared" si="27"/>
        <v>2012</v>
      </c>
      <c r="C16">
        <f t="shared" si="28"/>
        <v>3</v>
      </c>
      <c r="D16" s="131">
        <v>19949861.740000002</v>
      </c>
      <c r="E16" s="131">
        <f>VLOOKUP($B16,'Historic CDM'!$L$5:$R$17,2,FALSE)/12</f>
        <v>60152.639777244323</v>
      </c>
      <c r="F16" s="131">
        <f t="shared" si="4"/>
        <v>20010014.379777245</v>
      </c>
      <c r="G16" s="131">
        <v>6926363.8199999947</v>
      </c>
      <c r="H16" s="131">
        <f>VLOOKUP($B16,'Historic CDM'!$L$5:$R$17,3,FALSE)/12</f>
        <v>32139.174490377161</v>
      </c>
      <c r="I16" s="131">
        <f t="shared" si="5"/>
        <v>6958502.994490372</v>
      </c>
      <c r="J16" s="131">
        <v>16308714.269999996</v>
      </c>
      <c r="K16" s="131">
        <f>VLOOKUP($B16,'Historic CDM'!$L$5:$R$17,4,FALSE)/12</f>
        <v>228757.53349089678</v>
      </c>
      <c r="L16" s="131">
        <f t="shared" si="6"/>
        <v>16537471.803490892</v>
      </c>
      <c r="N16" s="131">
        <f>VLOOKUP($B16,'Historic CDM'!$L$5:$R$17,5,FALSE)/12</f>
        <v>65174.236777059406</v>
      </c>
      <c r="Q16" s="131">
        <f>VLOOKUP($B16,'Historic CDM'!$L$5:$R$17,6,FALSE)/12</f>
        <v>7237.0243584002064</v>
      </c>
      <c r="AA16" s="41">
        <v>28320</v>
      </c>
      <c r="AB16" s="125">
        <v>2391</v>
      </c>
      <c r="AC16" s="125">
        <v>272</v>
      </c>
      <c r="AI16" s="104">
        <f>Weather!C124</f>
        <v>6.7354838709677418</v>
      </c>
      <c r="AJ16" s="104">
        <f>Weather!D124</f>
        <v>473.2000000000001</v>
      </c>
      <c r="AK16" s="104">
        <f>Weather!E124</f>
        <v>0</v>
      </c>
      <c r="AL16" s="104">
        <f>Weather!F124</f>
        <v>411.20000000000005</v>
      </c>
      <c r="AM16" s="104">
        <f>Weather!G124</f>
        <v>0</v>
      </c>
      <c r="AN16" s="104">
        <f>Weather!H124</f>
        <v>349.40000000000009</v>
      </c>
      <c r="AO16" s="104">
        <f>Weather!I124</f>
        <v>0.19999999999999929</v>
      </c>
      <c r="AP16" s="104">
        <f>Weather!J124</f>
        <v>290.2</v>
      </c>
      <c r="AQ16" s="104">
        <f>Weather!K124</f>
        <v>3</v>
      </c>
      <c r="AR16" s="104">
        <f>Weather!L124</f>
        <v>236.3</v>
      </c>
      <c r="AS16" s="104">
        <f>Weather!M124</f>
        <v>11.1</v>
      </c>
      <c r="AT16" s="104">
        <f>Weather!N124</f>
        <v>186.99999999999997</v>
      </c>
      <c r="AU16" s="104">
        <f>Weather!O124</f>
        <v>23.799999999999997</v>
      </c>
      <c r="AV16" s="104">
        <f>Weather!P124</f>
        <v>145</v>
      </c>
      <c r="AW16" s="104">
        <f>Weather!Q124</f>
        <v>43.800000000000004</v>
      </c>
      <c r="AX16" s="104">
        <f>Weather!R124</f>
        <v>111.49999999999999</v>
      </c>
      <c r="AY16" s="104">
        <f>Weather!S124</f>
        <v>72.300000000000011</v>
      </c>
      <c r="AZ16" s="119">
        <f>Economic!C16</f>
        <v>634944.30000000005</v>
      </c>
      <c r="BA16" s="120">
        <f>Economic!D16</f>
        <v>6644.1</v>
      </c>
      <c r="BB16" s="120">
        <f>Economic!E16</f>
        <v>6541.5</v>
      </c>
      <c r="BC16" s="120">
        <f>Economic!F16</f>
        <v>2893.8</v>
      </c>
      <c r="BD16" s="120">
        <f>Economic!G16</f>
        <v>2857.3</v>
      </c>
      <c r="BE16" s="120">
        <f>Economic!H16</f>
        <v>382.5</v>
      </c>
      <c r="BF16" s="120">
        <f>Economic!I16</f>
        <v>378.7</v>
      </c>
      <c r="BG16" s="123">
        <f t="shared" ref="BG16:BX16" si="31">BG4</f>
        <v>31</v>
      </c>
      <c r="BH16" s="123">
        <v>23</v>
      </c>
      <c r="BI16" s="123">
        <f t="shared" si="7"/>
        <v>15</v>
      </c>
      <c r="BJ16" s="123">
        <f t="shared" si="31"/>
        <v>0</v>
      </c>
      <c r="BK16" s="123">
        <f t="shared" si="31"/>
        <v>0</v>
      </c>
      <c r="BL16" s="123">
        <f t="shared" si="31"/>
        <v>1</v>
      </c>
      <c r="BM16" s="123">
        <f t="shared" si="31"/>
        <v>0</v>
      </c>
      <c r="BN16" s="123">
        <f t="shared" si="31"/>
        <v>0</v>
      </c>
      <c r="BO16" s="123">
        <f t="shared" si="31"/>
        <v>0</v>
      </c>
      <c r="BP16" s="123">
        <f t="shared" si="31"/>
        <v>0</v>
      </c>
      <c r="BQ16" s="123">
        <f t="shared" si="31"/>
        <v>0</v>
      </c>
      <c r="BR16" s="123">
        <f t="shared" si="31"/>
        <v>0</v>
      </c>
      <c r="BS16" s="123">
        <f t="shared" si="31"/>
        <v>0</v>
      </c>
      <c r="BT16" s="123">
        <f t="shared" si="31"/>
        <v>0</v>
      </c>
      <c r="BU16" s="123">
        <f t="shared" si="31"/>
        <v>0</v>
      </c>
      <c r="BV16" s="123">
        <f t="shared" si="31"/>
        <v>1</v>
      </c>
      <c r="BW16" s="123">
        <f t="shared" si="31"/>
        <v>0</v>
      </c>
      <c r="BX16" s="123">
        <f t="shared" si="31"/>
        <v>1</v>
      </c>
      <c r="BY16" s="124">
        <v>0</v>
      </c>
      <c r="BZ16" s="124">
        <v>0</v>
      </c>
      <c r="CA16" s="124">
        <f t="shared" si="8"/>
        <v>0</v>
      </c>
      <c r="CB16" s="124">
        <f t="shared" si="9"/>
        <v>0</v>
      </c>
      <c r="CC16" s="124">
        <f t="shared" si="10"/>
        <v>0</v>
      </c>
      <c r="CD16" s="124">
        <f t="shared" si="11"/>
        <v>0</v>
      </c>
      <c r="CE16" s="124">
        <f t="shared" si="12"/>
        <v>0</v>
      </c>
      <c r="CF16" s="124">
        <f t="shared" si="13"/>
        <v>0</v>
      </c>
      <c r="CG16" s="124">
        <f t="shared" si="14"/>
        <v>0</v>
      </c>
      <c r="CH16" s="124">
        <f t="shared" si="15"/>
        <v>0</v>
      </c>
      <c r="CI16" s="124">
        <f t="shared" si="16"/>
        <v>0</v>
      </c>
      <c r="CJ16" s="124">
        <f t="shared" si="17"/>
        <v>0</v>
      </c>
      <c r="CK16" s="124">
        <f t="shared" si="18"/>
        <v>0</v>
      </c>
      <c r="CL16" s="124">
        <f t="shared" si="19"/>
        <v>0</v>
      </c>
      <c r="CM16" s="124">
        <f t="shared" si="20"/>
        <v>0</v>
      </c>
      <c r="CN16" s="124">
        <f t="shared" si="21"/>
        <v>0</v>
      </c>
      <c r="CO16" s="124">
        <f t="shared" si="22"/>
        <v>0</v>
      </c>
      <c r="CP16" s="124">
        <f t="shared" si="23"/>
        <v>0</v>
      </c>
      <c r="CQ16" s="138">
        <f t="shared" si="24"/>
        <v>706.56830437066549</v>
      </c>
      <c r="CR16" s="138">
        <f t="shared" si="25"/>
        <v>2910.2898345840117</v>
      </c>
      <c r="CS16" s="138">
        <f t="shared" si="26"/>
        <v>60799.528689304752</v>
      </c>
    </row>
    <row r="17" spans="1:97" x14ac:dyDescent="0.2">
      <c r="A17" s="114">
        <v>41000</v>
      </c>
      <c r="B17">
        <f t="shared" si="27"/>
        <v>2012</v>
      </c>
      <c r="C17">
        <f t="shared" si="28"/>
        <v>4</v>
      </c>
      <c r="D17" s="131">
        <v>18851854.700000014</v>
      </c>
      <c r="E17" s="131">
        <f>VLOOKUP($B17,'Historic CDM'!$L$5:$R$17,2,FALSE)/12</f>
        <v>60152.639777244323</v>
      </c>
      <c r="F17" s="131">
        <f t="shared" si="4"/>
        <v>18912007.339777257</v>
      </c>
      <c r="G17" s="131">
        <v>6496796.9000000078</v>
      </c>
      <c r="H17" s="131">
        <f>VLOOKUP($B17,'Historic CDM'!$L$5:$R$17,3,FALSE)/12</f>
        <v>32139.174490377161</v>
      </c>
      <c r="I17" s="131">
        <f t="shared" si="5"/>
        <v>6528936.0744903851</v>
      </c>
      <c r="J17" s="131">
        <v>14651507.389999997</v>
      </c>
      <c r="K17" s="131">
        <f>VLOOKUP($B17,'Historic CDM'!$L$5:$R$17,4,FALSE)/12</f>
        <v>228757.53349089678</v>
      </c>
      <c r="L17" s="131">
        <f t="shared" si="6"/>
        <v>14880264.923490893</v>
      </c>
      <c r="N17" s="131">
        <f>VLOOKUP($B17,'Historic CDM'!$L$5:$R$17,5,FALSE)/12</f>
        <v>65174.236777059406</v>
      </c>
      <c r="Q17" s="131">
        <f>VLOOKUP($B17,'Historic CDM'!$L$5:$R$17,6,FALSE)/12</f>
        <v>7237.0243584002064</v>
      </c>
      <c r="AA17" s="41">
        <v>28570</v>
      </c>
      <c r="AB17" s="125">
        <v>2398</v>
      </c>
      <c r="AC17" s="125">
        <v>272</v>
      </c>
      <c r="AI17" s="104">
        <f>Weather!C125</f>
        <v>7.2766666666666673</v>
      </c>
      <c r="AJ17" s="104">
        <f>Weather!D125</f>
        <v>441.70000000000005</v>
      </c>
      <c r="AK17" s="104">
        <f>Weather!E125</f>
        <v>0</v>
      </c>
      <c r="AL17" s="104">
        <f>Weather!F125</f>
        <v>381.70000000000005</v>
      </c>
      <c r="AM17" s="104">
        <f>Weather!G125</f>
        <v>0</v>
      </c>
      <c r="AN17" s="104">
        <f>Weather!H125</f>
        <v>321.70000000000005</v>
      </c>
      <c r="AO17" s="104">
        <f>Weather!I125</f>
        <v>0</v>
      </c>
      <c r="AP17" s="104">
        <f>Weather!J125</f>
        <v>263.10000000000002</v>
      </c>
      <c r="AQ17" s="104">
        <f>Weather!K125</f>
        <v>1.3999999999999986</v>
      </c>
      <c r="AR17" s="104">
        <f>Weather!L125</f>
        <v>206.9</v>
      </c>
      <c r="AS17" s="104">
        <f>Weather!M125</f>
        <v>5.1999999999999975</v>
      </c>
      <c r="AT17" s="104">
        <f>Weather!N125</f>
        <v>152.9</v>
      </c>
      <c r="AU17" s="104">
        <f>Weather!O125</f>
        <v>11.199999999999998</v>
      </c>
      <c r="AV17" s="104">
        <f>Weather!P125</f>
        <v>100.89999999999999</v>
      </c>
      <c r="AW17" s="104">
        <f>Weather!Q125</f>
        <v>19.2</v>
      </c>
      <c r="AX17" s="104">
        <f>Weather!R125</f>
        <v>51.5</v>
      </c>
      <c r="AY17" s="104">
        <f>Weather!S125</f>
        <v>29.8</v>
      </c>
      <c r="AZ17" s="119">
        <f>Economic!C17</f>
        <v>634944.30000000005</v>
      </c>
      <c r="BA17" s="120">
        <f>Economic!D17</f>
        <v>6654.6</v>
      </c>
      <c r="BB17" s="120">
        <f>Economic!E17</f>
        <v>6574.2</v>
      </c>
      <c r="BC17" s="120">
        <f>Economic!F17</f>
        <v>2898.4</v>
      </c>
      <c r="BD17" s="120">
        <f>Economic!G17</f>
        <v>2870.4</v>
      </c>
      <c r="BE17" s="120">
        <f>Economic!H17</f>
        <v>380.5</v>
      </c>
      <c r="BF17" s="120">
        <f>Economic!I17</f>
        <v>376.5</v>
      </c>
      <c r="BG17" s="123">
        <f t="shared" ref="BG17:BX17" si="32">BG5</f>
        <v>30</v>
      </c>
      <c r="BH17" s="123">
        <v>20</v>
      </c>
      <c r="BI17" s="123">
        <f t="shared" si="7"/>
        <v>16</v>
      </c>
      <c r="BJ17" s="123">
        <f t="shared" si="32"/>
        <v>0</v>
      </c>
      <c r="BK17" s="123">
        <f t="shared" si="32"/>
        <v>0</v>
      </c>
      <c r="BL17" s="123">
        <f t="shared" si="32"/>
        <v>0</v>
      </c>
      <c r="BM17" s="123">
        <f t="shared" si="32"/>
        <v>1</v>
      </c>
      <c r="BN17" s="123">
        <f t="shared" si="32"/>
        <v>0</v>
      </c>
      <c r="BO17" s="123">
        <f t="shared" si="32"/>
        <v>0</v>
      </c>
      <c r="BP17" s="123">
        <f t="shared" si="32"/>
        <v>0</v>
      </c>
      <c r="BQ17" s="123">
        <f t="shared" si="32"/>
        <v>0</v>
      </c>
      <c r="BR17" s="123">
        <f t="shared" si="32"/>
        <v>0</v>
      </c>
      <c r="BS17" s="123">
        <f t="shared" si="32"/>
        <v>0</v>
      </c>
      <c r="BT17" s="123">
        <f t="shared" si="32"/>
        <v>0</v>
      </c>
      <c r="BU17" s="123">
        <f t="shared" si="32"/>
        <v>0</v>
      </c>
      <c r="BV17" s="123">
        <f t="shared" si="32"/>
        <v>1</v>
      </c>
      <c r="BW17" s="123">
        <f t="shared" si="32"/>
        <v>0</v>
      </c>
      <c r="BX17" s="123">
        <f t="shared" si="32"/>
        <v>1</v>
      </c>
      <c r="BY17" s="124">
        <v>0</v>
      </c>
      <c r="BZ17" s="124">
        <v>0</v>
      </c>
      <c r="CA17" s="124">
        <f t="shared" si="8"/>
        <v>0</v>
      </c>
      <c r="CB17" s="124">
        <f t="shared" si="9"/>
        <v>0</v>
      </c>
      <c r="CC17" s="124">
        <f t="shared" si="10"/>
        <v>0</v>
      </c>
      <c r="CD17" s="124">
        <f t="shared" si="11"/>
        <v>0</v>
      </c>
      <c r="CE17" s="124">
        <f t="shared" si="12"/>
        <v>0</v>
      </c>
      <c r="CF17" s="124">
        <f t="shared" si="13"/>
        <v>0</v>
      </c>
      <c r="CG17" s="124">
        <f t="shared" si="14"/>
        <v>0</v>
      </c>
      <c r="CH17" s="124">
        <f t="shared" si="15"/>
        <v>0</v>
      </c>
      <c r="CI17" s="124">
        <f t="shared" si="16"/>
        <v>0</v>
      </c>
      <c r="CJ17" s="124">
        <f t="shared" si="17"/>
        <v>0</v>
      </c>
      <c r="CK17" s="124">
        <f t="shared" si="18"/>
        <v>0</v>
      </c>
      <c r="CL17" s="124">
        <f t="shared" si="19"/>
        <v>0</v>
      </c>
      <c r="CM17" s="124">
        <f t="shared" si="20"/>
        <v>0</v>
      </c>
      <c r="CN17" s="124">
        <f t="shared" si="21"/>
        <v>0</v>
      </c>
      <c r="CO17" s="124">
        <f t="shared" si="22"/>
        <v>0</v>
      </c>
      <c r="CP17" s="124">
        <f t="shared" si="23"/>
        <v>0</v>
      </c>
      <c r="CQ17" s="138">
        <f t="shared" si="24"/>
        <v>661.953354559932</v>
      </c>
      <c r="CR17" s="138">
        <f t="shared" si="25"/>
        <v>2722.6589134655483</v>
      </c>
      <c r="CS17" s="138">
        <f t="shared" si="26"/>
        <v>54706.856336363577</v>
      </c>
    </row>
    <row r="18" spans="1:97" x14ac:dyDescent="0.2">
      <c r="A18" s="115">
        <v>41030</v>
      </c>
      <c r="B18">
        <f t="shared" si="27"/>
        <v>2012</v>
      </c>
      <c r="C18">
        <f t="shared" si="28"/>
        <v>5</v>
      </c>
      <c r="D18" s="131">
        <v>18991152.079999991</v>
      </c>
      <c r="E18" s="131">
        <f>VLOOKUP($B18,'Historic CDM'!$L$5:$R$17,2,FALSE)/12</f>
        <v>60152.639777244323</v>
      </c>
      <c r="F18" s="131">
        <f t="shared" si="4"/>
        <v>19051304.719777234</v>
      </c>
      <c r="G18" s="131">
        <v>6393894.2299999967</v>
      </c>
      <c r="H18" s="131">
        <f>VLOOKUP($B18,'Historic CDM'!$L$5:$R$17,3,FALSE)/12</f>
        <v>32139.174490377161</v>
      </c>
      <c r="I18" s="131">
        <f t="shared" si="5"/>
        <v>6426033.404490374</v>
      </c>
      <c r="J18" s="131">
        <v>16853445.379999999</v>
      </c>
      <c r="K18" s="131">
        <f>VLOOKUP($B18,'Historic CDM'!$L$5:$R$17,4,FALSE)/12</f>
        <v>228757.53349089678</v>
      </c>
      <c r="L18" s="131">
        <f t="shared" si="6"/>
        <v>17082202.913490895</v>
      </c>
      <c r="N18" s="131">
        <f>VLOOKUP($B18,'Historic CDM'!$L$5:$R$17,5,FALSE)/12</f>
        <v>65174.236777059406</v>
      </c>
      <c r="Q18" s="131">
        <f>VLOOKUP($B18,'Historic CDM'!$L$5:$R$17,6,FALSE)/12</f>
        <v>7237.0243584002064</v>
      </c>
      <c r="AA18" s="41">
        <v>28755</v>
      </c>
      <c r="AB18" s="125">
        <v>2400</v>
      </c>
      <c r="AC18" s="125">
        <v>273</v>
      </c>
      <c r="AI18" s="104">
        <f>Weather!C126</f>
        <v>16.58064516129032</v>
      </c>
      <c r="AJ18" s="104">
        <f>Weather!D126</f>
        <v>174.8</v>
      </c>
      <c r="AK18" s="104">
        <f>Weather!E126</f>
        <v>6.7999999999999972</v>
      </c>
      <c r="AL18" s="104">
        <f>Weather!F126</f>
        <v>123.00000000000001</v>
      </c>
      <c r="AM18" s="104">
        <f>Weather!G126</f>
        <v>16.999999999999996</v>
      </c>
      <c r="AN18" s="104">
        <f>Weather!H126</f>
        <v>80.7</v>
      </c>
      <c r="AO18" s="104">
        <f>Weather!I126</f>
        <v>36.699999999999996</v>
      </c>
      <c r="AP18" s="104">
        <f>Weather!J126</f>
        <v>46.199999999999989</v>
      </c>
      <c r="AQ18" s="104">
        <f>Weather!K126</f>
        <v>64.199999999999989</v>
      </c>
      <c r="AR18" s="104">
        <f>Weather!L126</f>
        <v>21.499999999999996</v>
      </c>
      <c r="AS18" s="104">
        <f>Weather!M126</f>
        <v>101.5</v>
      </c>
      <c r="AT18" s="104">
        <f>Weather!N126</f>
        <v>7.0999999999999979</v>
      </c>
      <c r="AU18" s="104">
        <f>Weather!O126</f>
        <v>149.10000000000002</v>
      </c>
      <c r="AV18" s="104">
        <f>Weather!P126</f>
        <v>0</v>
      </c>
      <c r="AW18" s="104">
        <f>Weather!Q126</f>
        <v>204</v>
      </c>
      <c r="AX18" s="104">
        <f>Weather!R126</f>
        <v>0</v>
      </c>
      <c r="AY18" s="104">
        <f>Weather!S126</f>
        <v>266</v>
      </c>
      <c r="AZ18" s="119">
        <f>Economic!C18</f>
        <v>634944.30000000005</v>
      </c>
      <c r="BA18" s="120">
        <f>Economic!D18</f>
        <v>6655.4</v>
      </c>
      <c r="BB18" s="120">
        <f>Economic!E18</f>
        <v>6626.1</v>
      </c>
      <c r="BC18" s="120">
        <f>Economic!F18</f>
        <v>2901.7</v>
      </c>
      <c r="BD18" s="120">
        <f>Economic!G18</f>
        <v>2889.4</v>
      </c>
      <c r="BE18" s="120">
        <f>Economic!H18</f>
        <v>373.7</v>
      </c>
      <c r="BF18" s="120">
        <f>Economic!I18</f>
        <v>372.6</v>
      </c>
      <c r="BG18" s="123">
        <f t="shared" ref="BG18:BX18" si="33">BG6</f>
        <v>31</v>
      </c>
      <c r="BH18" s="123">
        <v>20</v>
      </c>
      <c r="BI18" s="123">
        <f t="shared" si="7"/>
        <v>17</v>
      </c>
      <c r="BJ18" s="123">
        <f t="shared" si="33"/>
        <v>0</v>
      </c>
      <c r="BK18" s="123">
        <f t="shared" si="33"/>
        <v>0</v>
      </c>
      <c r="BL18" s="123">
        <f t="shared" si="33"/>
        <v>0</v>
      </c>
      <c r="BM18" s="123">
        <f t="shared" si="33"/>
        <v>0</v>
      </c>
      <c r="BN18" s="123">
        <f t="shared" si="33"/>
        <v>1</v>
      </c>
      <c r="BO18" s="123">
        <f t="shared" si="33"/>
        <v>0</v>
      </c>
      <c r="BP18" s="123">
        <f t="shared" si="33"/>
        <v>0</v>
      </c>
      <c r="BQ18" s="123">
        <f t="shared" si="33"/>
        <v>0</v>
      </c>
      <c r="BR18" s="123">
        <f t="shared" si="33"/>
        <v>0</v>
      </c>
      <c r="BS18" s="123">
        <f t="shared" si="33"/>
        <v>0</v>
      </c>
      <c r="BT18" s="123">
        <f t="shared" si="33"/>
        <v>0</v>
      </c>
      <c r="BU18" s="123">
        <f t="shared" si="33"/>
        <v>0</v>
      </c>
      <c r="BV18" s="123">
        <f t="shared" si="33"/>
        <v>1</v>
      </c>
      <c r="BW18" s="123">
        <f t="shared" si="33"/>
        <v>0</v>
      </c>
      <c r="BX18" s="123">
        <f t="shared" si="33"/>
        <v>1</v>
      </c>
      <c r="BY18" s="124">
        <v>0</v>
      </c>
      <c r="BZ18" s="124">
        <v>0</v>
      </c>
      <c r="CA18" s="124">
        <f t="shared" si="8"/>
        <v>0</v>
      </c>
      <c r="CB18" s="124">
        <f t="shared" si="9"/>
        <v>0</v>
      </c>
      <c r="CC18" s="124">
        <f t="shared" si="10"/>
        <v>0</v>
      </c>
      <c r="CD18" s="124">
        <f t="shared" si="11"/>
        <v>0</v>
      </c>
      <c r="CE18" s="124">
        <f t="shared" si="12"/>
        <v>0</v>
      </c>
      <c r="CF18" s="124">
        <f t="shared" si="13"/>
        <v>0</v>
      </c>
      <c r="CG18" s="124">
        <f t="shared" si="14"/>
        <v>0</v>
      </c>
      <c r="CH18" s="124">
        <f t="shared" si="15"/>
        <v>0</v>
      </c>
      <c r="CI18" s="124">
        <f t="shared" si="16"/>
        <v>0</v>
      </c>
      <c r="CJ18" s="124">
        <f t="shared" si="17"/>
        <v>0</v>
      </c>
      <c r="CK18" s="124">
        <f t="shared" si="18"/>
        <v>0</v>
      </c>
      <c r="CL18" s="124">
        <f t="shared" si="19"/>
        <v>0</v>
      </c>
      <c r="CM18" s="124">
        <f t="shared" si="20"/>
        <v>0</v>
      </c>
      <c r="CN18" s="124">
        <f t="shared" si="21"/>
        <v>0</v>
      </c>
      <c r="CO18" s="124">
        <f t="shared" si="22"/>
        <v>0</v>
      </c>
      <c r="CP18" s="124">
        <f t="shared" si="23"/>
        <v>0</v>
      </c>
      <c r="CQ18" s="138">
        <f t="shared" si="24"/>
        <v>662.53885306128439</v>
      </c>
      <c r="CR18" s="138">
        <f t="shared" si="25"/>
        <v>2677.5139185376556</v>
      </c>
      <c r="CS18" s="138">
        <f t="shared" si="26"/>
        <v>62572.171844288991</v>
      </c>
    </row>
    <row r="19" spans="1:97" x14ac:dyDescent="0.2">
      <c r="A19" s="114">
        <v>41061</v>
      </c>
      <c r="B19">
        <f t="shared" si="27"/>
        <v>2012</v>
      </c>
      <c r="C19">
        <f t="shared" si="28"/>
        <v>6</v>
      </c>
      <c r="D19" s="131">
        <v>27898710.519999996</v>
      </c>
      <c r="E19" s="131">
        <f>VLOOKUP($B19,'Historic CDM'!$L$5:$R$17,2,FALSE)/12</f>
        <v>60152.639777244323</v>
      </c>
      <c r="F19" s="131">
        <f t="shared" si="4"/>
        <v>27958863.159777239</v>
      </c>
      <c r="G19" s="131">
        <v>6938947.9299999932</v>
      </c>
      <c r="H19" s="131">
        <f>VLOOKUP($B19,'Historic CDM'!$L$5:$R$17,3,FALSE)/12</f>
        <v>32139.174490377161</v>
      </c>
      <c r="I19" s="131">
        <f t="shared" si="5"/>
        <v>6971087.1044903705</v>
      </c>
      <c r="J19" s="131">
        <v>16649642.679999992</v>
      </c>
      <c r="K19" s="131">
        <f>VLOOKUP($B19,'Historic CDM'!$L$5:$R$17,4,FALSE)/12</f>
        <v>228757.53349089678</v>
      </c>
      <c r="L19" s="131">
        <f t="shared" si="6"/>
        <v>16878400.213490888</v>
      </c>
      <c r="N19" s="131">
        <f>VLOOKUP($B19,'Historic CDM'!$L$5:$R$17,5,FALSE)/12</f>
        <v>65174.236777059406</v>
      </c>
      <c r="Q19" s="131">
        <f>VLOOKUP($B19,'Historic CDM'!$L$5:$R$17,6,FALSE)/12</f>
        <v>7237.0243584002064</v>
      </c>
      <c r="AA19" s="41">
        <v>28856</v>
      </c>
      <c r="AB19" s="125">
        <v>2403</v>
      </c>
      <c r="AC19" s="125">
        <v>271</v>
      </c>
      <c r="AI19" s="104">
        <f>Weather!C127</f>
        <v>20.613333333333333</v>
      </c>
      <c r="AJ19" s="104">
        <f>Weather!D127</f>
        <v>74.7</v>
      </c>
      <c r="AK19" s="104">
        <f>Weather!E127</f>
        <v>33.099999999999994</v>
      </c>
      <c r="AL19" s="104">
        <f>Weather!F127</f>
        <v>42.099999999999994</v>
      </c>
      <c r="AM19" s="104">
        <f>Weather!G127</f>
        <v>60.5</v>
      </c>
      <c r="AN19" s="104">
        <f>Weather!H127</f>
        <v>23.2</v>
      </c>
      <c r="AO19" s="104">
        <f>Weather!I127</f>
        <v>101.60000000000001</v>
      </c>
      <c r="AP19" s="104">
        <f>Weather!J127</f>
        <v>9.6</v>
      </c>
      <c r="AQ19" s="104">
        <f>Weather!K127</f>
        <v>148</v>
      </c>
      <c r="AR19" s="104">
        <f>Weather!L127</f>
        <v>1.0999999999999996</v>
      </c>
      <c r="AS19" s="104">
        <f>Weather!M127</f>
        <v>199.5</v>
      </c>
      <c r="AT19" s="104">
        <f>Weather!N127</f>
        <v>0</v>
      </c>
      <c r="AU19" s="104">
        <f>Weather!O127</f>
        <v>258.40000000000003</v>
      </c>
      <c r="AV19" s="104">
        <f>Weather!P127</f>
        <v>0</v>
      </c>
      <c r="AW19" s="104">
        <f>Weather!Q127</f>
        <v>318.40000000000003</v>
      </c>
      <c r="AX19" s="104">
        <f>Weather!R127</f>
        <v>0</v>
      </c>
      <c r="AY19" s="104">
        <f>Weather!S127</f>
        <v>378.40000000000003</v>
      </c>
      <c r="AZ19" s="119">
        <f>Economic!C19</f>
        <v>634944.30000000005</v>
      </c>
      <c r="BA19" s="120">
        <f>Economic!D19</f>
        <v>6655.3</v>
      </c>
      <c r="BB19" s="120">
        <f>Economic!E19</f>
        <v>6702</v>
      </c>
      <c r="BC19" s="120">
        <f>Economic!F19</f>
        <v>2910.2</v>
      </c>
      <c r="BD19" s="120">
        <f>Economic!G19</f>
        <v>2923.1</v>
      </c>
      <c r="BE19" s="120">
        <f>Economic!H19</f>
        <v>368.7</v>
      </c>
      <c r="BF19" s="120">
        <f>Economic!I19</f>
        <v>370.9</v>
      </c>
      <c r="BG19" s="123">
        <f t="shared" ref="BG19:BX19" si="34">BG7</f>
        <v>30</v>
      </c>
      <c r="BH19" s="123">
        <v>22</v>
      </c>
      <c r="BI19" s="123">
        <f t="shared" si="7"/>
        <v>18</v>
      </c>
      <c r="BJ19" s="123">
        <f t="shared" si="34"/>
        <v>0</v>
      </c>
      <c r="BK19" s="123">
        <f t="shared" si="34"/>
        <v>0</v>
      </c>
      <c r="BL19" s="123">
        <f t="shared" si="34"/>
        <v>0</v>
      </c>
      <c r="BM19" s="123">
        <f t="shared" si="34"/>
        <v>0</v>
      </c>
      <c r="BN19" s="123">
        <f t="shared" si="34"/>
        <v>0</v>
      </c>
      <c r="BO19" s="123">
        <f t="shared" si="34"/>
        <v>1</v>
      </c>
      <c r="BP19" s="123">
        <f t="shared" si="34"/>
        <v>0</v>
      </c>
      <c r="BQ19" s="123">
        <f t="shared" si="34"/>
        <v>0</v>
      </c>
      <c r="BR19" s="123">
        <f t="shared" si="34"/>
        <v>0</v>
      </c>
      <c r="BS19" s="123">
        <f t="shared" si="34"/>
        <v>0</v>
      </c>
      <c r="BT19" s="123">
        <f t="shared" si="34"/>
        <v>0</v>
      </c>
      <c r="BU19" s="123">
        <f t="shared" si="34"/>
        <v>0</v>
      </c>
      <c r="BV19" s="123">
        <f t="shared" si="34"/>
        <v>0</v>
      </c>
      <c r="BW19" s="123">
        <f t="shared" si="34"/>
        <v>0</v>
      </c>
      <c r="BX19" s="123">
        <f t="shared" si="34"/>
        <v>0</v>
      </c>
      <c r="BY19" s="124">
        <v>0</v>
      </c>
      <c r="BZ19" s="124">
        <v>0</v>
      </c>
      <c r="CA19" s="124">
        <f t="shared" si="8"/>
        <v>0</v>
      </c>
      <c r="CB19" s="124">
        <f t="shared" si="9"/>
        <v>0</v>
      </c>
      <c r="CC19" s="124">
        <f t="shared" si="10"/>
        <v>0</v>
      </c>
      <c r="CD19" s="124">
        <f t="shared" si="11"/>
        <v>0</v>
      </c>
      <c r="CE19" s="124">
        <f t="shared" si="12"/>
        <v>0</v>
      </c>
      <c r="CF19" s="124">
        <f t="shared" si="13"/>
        <v>0</v>
      </c>
      <c r="CG19" s="124">
        <f t="shared" si="14"/>
        <v>0</v>
      </c>
      <c r="CH19" s="124">
        <f t="shared" si="15"/>
        <v>0</v>
      </c>
      <c r="CI19" s="124">
        <f t="shared" si="16"/>
        <v>0</v>
      </c>
      <c r="CJ19" s="124">
        <f t="shared" si="17"/>
        <v>0</v>
      </c>
      <c r="CK19" s="124">
        <f t="shared" si="18"/>
        <v>0</v>
      </c>
      <c r="CL19" s="124">
        <f t="shared" si="19"/>
        <v>0</v>
      </c>
      <c r="CM19" s="124">
        <f t="shared" si="20"/>
        <v>0</v>
      </c>
      <c r="CN19" s="124">
        <f t="shared" si="21"/>
        <v>0</v>
      </c>
      <c r="CO19" s="124">
        <f t="shared" si="22"/>
        <v>0</v>
      </c>
      <c r="CP19" s="124">
        <f t="shared" si="23"/>
        <v>0</v>
      </c>
      <c r="CQ19" s="138">
        <f t="shared" si="24"/>
        <v>968.90986830389659</v>
      </c>
      <c r="CR19" s="138">
        <f t="shared" si="25"/>
        <v>2900.9933851395631</v>
      </c>
      <c r="CS19" s="138">
        <f t="shared" si="26"/>
        <v>62281.919606977448</v>
      </c>
    </row>
    <row r="20" spans="1:97" x14ac:dyDescent="0.2">
      <c r="A20" s="115">
        <v>41091</v>
      </c>
      <c r="B20">
        <f t="shared" si="27"/>
        <v>2012</v>
      </c>
      <c r="C20">
        <f t="shared" si="28"/>
        <v>7</v>
      </c>
      <c r="D20" s="131">
        <v>33515927.190000005</v>
      </c>
      <c r="E20" s="131">
        <f>VLOOKUP($B20,'Historic CDM'!$L$5:$R$17,2,FALSE)/12</f>
        <v>60152.639777244323</v>
      </c>
      <c r="F20" s="131">
        <f t="shared" si="4"/>
        <v>33576079.829777248</v>
      </c>
      <c r="G20" s="131">
        <v>7684381.6799999978</v>
      </c>
      <c r="H20" s="131">
        <f>VLOOKUP($B20,'Historic CDM'!$L$5:$R$17,3,FALSE)/12</f>
        <v>32139.174490377161</v>
      </c>
      <c r="I20" s="131">
        <f t="shared" si="5"/>
        <v>7716520.8544903751</v>
      </c>
      <c r="J20" s="131">
        <v>16931323.719999995</v>
      </c>
      <c r="K20" s="131">
        <f>VLOOKUP($B20,'Historic CDM'!$L$5:$R$17,4,FALSE)/12</f>
        <v>228757.53349089678</v>
      </c>
      <c r="L20" s="131">
        <f t="shared" si="6"/>
        <v>17160081.253490891</v>
      </c>
      <c r="N20" s="131">
        <f>VLOOKUP($B20,'Historic CDM'!$L$5:$R$17,5,FALSE)/12</f>
        <v>65174.236777059406</v>
      </c>
      <c r="Q20" s="131">
        <f>VLOOKUP($B20,'Historic CDM'!$L$5:$R$17,6,FALSE)/12</f>
        <v>7237.0243584002064</v>
      </c>
      <c r="AA20" s="41">
        <v>28963</v>
      </c>
      <c r="AB20" s="125">
        <v>2401</v>
      </c>
      <c r="AC20" s="125">
        <v>271</v>
      </c>
      <c r="AI20" s="104">
        <f>Weather!C128</f>
        <v>24.303225806451614</v>
      </c>
      <c r="AJ20" s="104">
        <f>Weather!D128</f>
        <v>2.3000000000000007</v>
      </c>
      <c r="AK20" s="104">
        <f>Weather!E128</f>
        <v>73.7</v>
      </c>
      <c r="AL20" s="104">
        <f>Weather!F128</f>
        <v>0</v>
      </c>
      <c r="AM20" s="104">
        <f>Weather!G128</f>
        <v>133.4</v>
      </c>
      <c r="AN20" s="104">
        <f>Weather!H128</f>
        <v>0</v>
      </c>
      <c r="AO20" s="104">
        <f>Weather!I128</f>
        <v>195.39999999999998</v>
      </c>
      <c r="AP20" s="104">
        <f>Weather!J128</f>
        <v>0</v>
      </c>
      <c r="AQ20" s="104">
        <f>Weather!K128</f>
        <v>257.39999999999998</v>
      </c>
      <c r="AR20" s="104">
        <f>Weather!L128</f>
        <v>0</v>
      </c>
      <c r="AS20" s="104">
        <f>Weather!M128</f>
        <v>319.39999999999998</v>
      </c>
      <c r="AT20" s="104">
        <f>Weather!N128</f>
        <v>0</v>
      </c>
      <c r="AU20" s="104">
        <f>Weather!O128</f>
        <v>381.40000000000003</v>
      </c>
      <c r="AV20" s="104">
        <f>Weather!P128</f>
        <v>0</v>
      </c>
      <c r="AW20" s="104">
        <f>Weather!Q128</f>
        <v>443.40000000000009</v>
      </c>
      <c r="AX20" s="104">
        <f>Weather!R128</f>
        <v>0</v>
      </c>
      <c r="AY20" s="104">
        <f>Weather!S128</f>
        <v>505.40000000000015</v>
      </c>
      <c r="AZ20" s="119">
        <f>Economic!C20</f>
        <v>634944.30000000005</v>
      </c>
      <c r="BA20" s="120">
        <f>Economic!D20</f>
        <v>6654</v>
      </c>
      <c r="BB20" s="120">
        <f>Economic!E20</f>
        <v>6741.1</v>
      </c>
      <c r="BC20" s="120">
        <f>Economic!F20</f>
        <v>2925.1</v>
      </c>
      <c r="BD20" s="120">
        <f>Economic!G20</f>
        <v>2948.9</v>
      </c>
      <c r="BE20" s="120">
        <f>Economic!H20</f>
        <v>365</v>
      </c>
      <c r="BF20" s="120">
        <f>Economic!I20</f>
        <v>369.8</v>
      </c>
      <c r="BG20" s="123">
        <f t="shared" ref="BG20:BX20" si="35">BG8</f>
        <v>31</v>
      </c>
      <c r="BH20" s="123">
        <v>21</v>
      </c>
      <c r="BI20" s="123">
        <f t="shared" si="7"/>
        <v>19</v>
      </c>
      <c r="BJ20" s="123">
        <f t="shared" si="35"/>
        <v>0</v>
      </c>
      <c r="BK20" s="123">
        <f t="shared" si="35"/>
        <v>0</v>
      </c>
      <c r="BL20" s="123">
        <f t="shared" si="35"/>
        <v>0</v>
      </c>
      <c r="BM20" s="123">
        <f t="shared" si="35"/>
        <v>0</v>
      </c>
      <c r="BN20" s="123">
        <f t="shared" si="35"/>
        <v>0</v>
      </c>
      <c r="BO20" s="123">
        <f t="shared" si="35"/>
        <v>0</v>
      </c>
      <c r="BP20" s="123">
        <f t="shared" si="35"/>
        <v>1</v>
      </c>
      <c r="BQ20" s="123">
        <f t="shared" si="35"/>
        <v>0</v>
      </c>
      <c r="BR20" s="123">
        <f t="shared" si="35"/>
        <v>0</v>
      </c>
      <c r="BS20" s="123">
        <f t="shared" si="35"/>
        <v>0</v>
      </c>
      <c r="BT20" s="123">
        <f t="shared" si="35"/>
        <v>0</v>
      </c>
      <c r="BU20" s="123">
        <f t="shared" si="35"/>
        <v>0</v>
      </c>
      <c r="BV20" s="123">
        <f t="shared" si="35"/>
        <v>0</v>
      </c>
      <c r="BW20" s="123">
        <f t="shared" si="35"/>
        <v>0</v>
      </c>
      <c r="BX20" s="123">
        <f t="shared" si="35"/>
        <v>0</v>
      </c>
      <c r="BY20" s="124">
        <v>0</v>
      </c>
      <c r="BZ20" s="124">
        <v>0</v>
      </c>
      <c r="CA20" s="124">
        <f t="shared" si="8"/>
        <v>0</v>
      </c>
      <c r="CB20" s="124">
        <f t="shared" si="9"/>
        <v>0</v>
      </c>
      <c r="CC20" s="124">
        <f t="shared" si="10"/>
        <v>0</v>
      </c>
      <c r="CD20" s="124">
        <f t="shared" si="11"/>
        <v>0</v>
      </c>
      <c r="CE20" s="124">
        <f t="shared" si="12"/>
        <v>0</v>
      </c>
      <c r="CF20" s="124">
        <f t="shared" si="13"/>
        <v>0</v>
      </c>
      <c r="CG20" s="124">
        <f t="shared" si="14"/>
        <v>0</v>
      </c>
      <c r="CH20" s="124">
        <f t="shared" si="15"/>
        <v>0</v>
      </c>
      <c r="CI20" s="124">
        <f t="shared" si="16"/>
        <v>0</v>
      </c>
      <c r="CJ20" s="124">
        <f t="shared" si="17"/>
        <v>0</v>
      </c>
      <c r="CK20" s="124">
        <f t="shared" si="18"/>
        <v>0</v>
      </c>
      <c r="CL20" s="124">
        <f t="shared" si="19"/>
        <v>0</v>
      </c>
      <c r="CM20" s="124">
        <f t="shared" si="20"/>
        <v>0</v>
      </c>
      <c r="CN20" s="124">
        <f t="shared" si="21"/>
        <v>0</v>
      </c>
      <c r="CO20" s="124">
        <f t="shared" si="22"/>
        <v>0</v>
      </c>
      <c r="CP20" s="124">
        <f t="shared" si="23"/>
        <v>0</v>
      </c>
      <c r="CQ20" s="138">
        <f t="shared" si="24"/>
        <v>1159.274931111323</v>
      </c>
      <c r="CR20" s="138">
        <f t="shared" si="25"/>
        <v>3213.8779069097773</v>
      </c>
      <c r="CS20" s="138">
        <f t="shared" si="26"/>
        <v>63321.333038711775</v>
      </c>
    </row>
    <row r="21" spans="1:97" x14ac:dyDescent="0.2">
      <c r="A21" s="114">
        <v>41122</v>
      </c>
      <c r="B21">
        <f t="shared" si="27"/>
        <v>2012</v>
      </c>
      <c r="C21">
        <f t="shared" si="28"/>
        <v>8</v>
      </c>
      <c r="D21" s="131">
        <v>29969286.820000008</v>
      </c>
      <c r="E21" s="131">
        <f>VLOOKUP($B21,'Historic CDM'!$L$5:$R$17,2,FALSE)/12</f>
        <v>60152.639777244323</v>
      </c>
      <c r="F21" s="131">
        <f t="shared" si="4"/>
        <v>30029439.459777251</v>
      </c>
      <c r="G21" s="131">
        <v>7811739.2400000021</v>
      </c>
      <c r="H21" s="131">
        <f>VLOOKUP($B21,'Historic CDM'!$L$5:$R$17,3,FALSE)/12</f>
        <v>32139.174490377161</v>
      </c>
      <c r="I21" s="131">
        <f t="shared" si="5"/>
        <v>7843878.4144903794</v>
      </c>
      <c r="J21" s="131">
        <v>16567283.779999997</v>
      </c>
      <c r="K21" s="131">
        <f>VLOOKUP($B21,'Historic CDM'!$L$5:$R$17,4,FALSE)/12</f>
        <v>228757.53349089678</v>
      </c>
      <c r="L21" s="131">
        <f t="shared" si="6"/>
        <v>16796041.313490894</v>
      </c>
      <c r="N21" s="131">
        <f>VLOOKUP($B21,'Historic CDM'!$L$5:$R$17,5,FALSE)/12</f>
        <v>65174.236777059406</v>
      </c>
      <c r="Q21" s="131">
        <f>VLOOKUP($B21,'Historic CDM'!$L$5:$R$17,6,FALSE)/12</f>
        <v>7237.0243584002064</v>
      </c>
      <c r="AA21" s="41">
        <v>29039</v>
      </c>
      <c r="AB21" s="125">
        <v>2402</v>
      </c>
      <c r="AC21" s="125">
        <v>270</v>
      </c>
      <c r="AI21" s="104">
        <f>Weather!C129</f>
        <v>21.551612903225806</v>
      </c>
      <c r="AJ21" s="104">
        <f>Weather!D129</f>
        <v>41.1</v>
      </c>
      <c r="AK21" s="104">
        <f>Weather!E129</f>
        <v>27.2</v>
      </c>
      <c r="AL21" s="104">
        <f>Weather!F129</f>
        <v>12.600000000000001</v>
      </c>
      <c r="AM21" s="104">
        <f>Weather!G129</f>
        <v>60.7</v>
      </c>
      <c r="AN21" s="104">
        <f>Weather!H129</f>
        <v>2</v>
      </c>
      <c r="AO21" s="104">
        <f>Weather!I129</f>
        <v>112.10000000000001</v>
      </c>
      <c r="AP21" s="104">
        <f>Weather!J129</f>
        <v>0</v>
      </c>
      <c r="AQ21" s="104">
        <f>Weather!K129</f>
        <v>172.1</v>
      </c>
      <c r="AR21" s="104">
        <f>Weather!L129</f>
        <v>0</v>
      </c>
      <c r="AS21" s="104">
        <f>Weather!M129</f>
        <v>234.09999999999997</v>
      </c>
      <c r="AT21" s="104">
        <f>Weather!N129</f>
        <v>0</v>
      </c>
      <c r="AU21" s="104">
        <f>Weather!O129</f>
        <v>296.10000000000002</v>
      </c>
      <c r="AV21" s="104">
        <f>Weather!P129</f>
        <v>0</v>
      </c>
      <c r="AW21" s="104">
        <f>Weather!Q129</f>
        <v>358.1</v>
      </c>
      <c r="AX21" s="104">
        <f>Weather!R129</f>
        <v>0</v>
      </c>
      <c r="AY21" s="104">
        <f>Weather!S129</f>
        <v>420.09999999999997</v>
      </c>
      <c r="AZ21" s="119">
        <f>Economic!C21</f>
        <v>634944.30000000005</v>
      </c>
      <c r="BA21" s="120">
        <f>Economic!D21</f>
        <v>6661.5</v>
      </c>
      <c r="BB21" s="120">
        <f>Economic!E21</f>
        <v>6758.8</v>
      </c>
      <c r="BC21" s="120">
        <f>Economic!F21</f>
        <v>2942.6</v>
      </c>
      <c r="BD21" s="120">
        <f>Economic!G21</f>
        <v>2978.6</v>
      </c>
      <c r="BE21" s="120">
        <f>Economic!H21</f>
        <v>368.9</v>
      </c>
      <c r="BF21" s="120">
        <f>Economic!I21</f>
        <v>371.1</v>
      </c>
      <c r="BG21" s="123">
        <f t="shared" ref="BG21:BX21" si="36">BG9</f>
        <v>31</v>
      </c>
      <c r="BH21" s="123">
        <v>21</v>
      </c>
      <c r="BI21" s="123">
        <f t="shared" si="7"/>
        <v>20</v>
      </c>
      <c r="BJ21" s="123">
        <f t="shared" si="36"/>
        <v>0</v>
      </c>
      <c r="BK21" s="123">
        <f t="shared" si="36"/>
        <v>0</v>
      </c>
      <c r="BL21" s="123">
        <f t="shared" si="36"/>
        <v>0</v>
      </c>
      <c r="BM21" s="123">
        <f t="shared" si="36"/>
        <v>0</v>
      </c>
      <c r="BN21" s="123">
        <f t="shared" si="36"/>
        <v>0</v>
      </c>
      <c r="BO21" s="123">
        <f t="shared" si="36"/>
        <v>0</v>
      </c>
      <c r="BP21" s="123">
        <f t="shared" si="36"/>
        <v>0</v>
      </c>
      <c r="BQ21" s="123">
        <f t="shared" si="36"/>
        <v>1</v>
      </c>
      <c r="BR21" s="123">
        <f t="shared" si="36"/>
        <v>0</v>
      </c>
      <c r="BS21" s="123">
        <f t="shared" si="36"/>
        <v>0</v>
      </c>
      <c r="BT21" s="123">
        <f t="shared" si="36"/>
        <v>0</v>
      </c>
      <c r="BU21" s="123">
        <f t="shared" si="36"/>
        <v>0</v>
      </c>
      <c r="BV21" s="123">
        <f t="shared" si="36"/>
        <v>0</v>
      </c>
      <c r="BW21" s="123">
        <f t="shared" si="36"/>
        <v>0</v>
      </c>
      <c r="BX21" s="123">
        <f t="shared" si="36"/>
        <v>0</v>
      </c>
      <c r="BY21" s="124">
        <v>0</v>
      </c>
      <c r="BZ21" s="124">
        <v>0</v>
      </c>
      <c r="CA21" s="124">
        <f t="shared" si="8"/>
        <v>0</v>
      </c>
      <c r="CB21" s="124">
        <f t="shared" si="9"/>
        <v>0</v>
      </c>
      <c r="CC21" s="124">
        <f t="shared" si="10"/>
        <v>0</v>
      </c>
      <c r="CD21" s="124">
        <f t="shared" si="11"/>
        <v>0</v>
      </c>
      <c r="CE21" s="124">
        <f t="shared" si="12"/>
        <v>0</v>
      </c>
      <c r="CF21" s="124">
        <f t="shared" si="13"/>
        <v>0</v>
      </c>
      <c r="CG21" s="124">
        <f t="shared" si="14"/>
        <v>0</v>
      </c>
      <c r="CH21" s="124">
        <f t="shared" si="15"/>
        <v>0</v>
      </c>
      <c r="CI21" s="124">
        <f t="shared" si="16"/>
        <v>0</v>
      </c>
      <c r="CJ21" s="124">
        <f t="shared" si="17"/>
        <v>0</v>
      </c>
      <c r="CK21" s="124">
        <f t="shared" si="18"/>
        <v>0</v>
      </c>
      <c r="CL21" s="124">
        <f t="shared" si="19"/>
        <v>0</v>
      </c>
      <c r="CM21" s="124">
        <f t="shared" si="20"/>
        <v>0</v>
      </c>
      <c r="CN21" s="124">
        <f t="shared" si="21"/>
        <v>0</v>
      </c>
      <c r="CO21" s="124">
        <f t="shared" si="22"/>
        <v>0</v>
      </c>
      <c r="CP21" s="124">
        <f t="shared" si="23"/>
        <v>0</v>
      </c>
      <c r="CQ21" s="138">
        <f t="shared" si="24"/>
        <v>1034.107216494275</v>
      </c>
      <c r="CR21" s="138">
        <f t="shared" si="25"/>
        <v>3265.5613715613567</v>
      </c>
      <c r="CS21" s="138">
        <f t="shared" si="26"/>
        <v>62207.560420336646</v>
      </c>
    </row>
    <row r="22" spans="1:97" x14ac:dyDescent="0.2">
      <c r="A22" s="115">
        <v>41153</v>
      </c>
      <c r="B22">
        <f t="shared" si="27"/>
        <v>2012</v>
      </c>
      <c r="C22">
        <f t="shared" si="28"/>
        <v>9</v>
      </c>
      <c r="D22" s="131">
        <v>21178062.030000005</v>
      </c>
      <c r="E22" s="131">
        <f>VLOOKUP($B22,'Historic CDM'!$L$5:$R$17,2,FALSE)/12</f>
        <v>60152.639777244323</v>
      </c>
      <c r="F22" s="131">
        <f t="shared" si="4"/>
        <v>21238214.669777248</v>
      </c>
      <c r="G22" s="131">
        <v>6409326.7700000005</v>
      </c>
      <c r="H22" s="131">
        <f>VLOOKUP($B22,'Historic CDM'!$L$5:$R$17,3,FALSE)/12</f>
        <v>32139.174490377161</v>
      </c>
      <c r="I22" s="131">
        <f t="shared" si="5"/>
        <v>6441465.9444903778</v>
      </c>
      <c r="J22" s="131">
        <v>15411421.599999998</v>
      </c>
      <c r="K22" s="131">
        <f>VLOOKUP($B22,'Historic CDM'!$L$5:$R$17,4,FALSE)/12</f>
        <v>228757.53349089678</v>
      </c>
      <c r="L22" s="131">
        <f t="shared" si="6"/>
        <v>15640179.133490894</v>
      </c>
      <c r="N22" s="131">
        <f>VLOOKUP($B22,'Historic CDM'!$L$5:$R$17,5,FALSE)/12</f>
        <v>65174.236777059406</v>
      </c>
      <c r="Q22" s="131">
        <f>VLOOKUP($B22,'Historic CDM'!$L$5:$R$17,6,FALSE)/12</f>
        <v>7237.0243584002064</v>
      </c>
      <c r="AA22" s="41">
        <v>29133</v>
      </c>
      <c r="AB22" s="125">
        <v>2404</v>
      </c>
      <c r="AC22" s="125">
        <v>271</v>
      </c>
      <c r="AI22" s="104">
        <f>Weather!C130</f>
        <v>16.353333333333335</v>
      </c>
      <c r="AJ22" s="104">
        <f>Weather!D130</f>
        <v>171.4</v>
      </c>
      <c r="AK22" s="104">
        <f>Weather!E130</f>
        <v>2</v>
      </c>
      <c r="AL22" s="104">
        <f>Weather!F130</f>
        <v>126.6</v>
      </c>
      <c r="AM22" s="104">
        <f>Weather!G130</f>
        <v>17.2</v>
      </c>
      <c r="AN22" s="104">
        <f>Weather!H130</f>
        <v>84.999999999999986</v>
      </c>
      <c r="AO22" s="104">
        <f>Weather!I130</f>
        <v>35.6</v>
      </c>
      <c r="AP22" s="104">
        <f>Weather!J130</f>
        <v>48.300000000000011</v>
      </c>
      <c r="AQ22" s="104">
        <f>Weather!K130</f>
        <v>58.899999999999991</v>
      </c>
      <c r="AR22" s="104">
        <f>Weather!L130</f>
        <v>21.500000000000004</v>
      </c>
      <c r="AS22" s="104">
        <f>Weather!M130</f>
        <v>92.09999999999998</v>
      </c>
      <c r="AT22" s="104">
        <f>Weather!N130</f>
        <v>6.4</v>
      </c>
      <c r="AU22" s="104">
        <f>Weather!O130</f>
        <v>136.99999999999997</v>
      </c>
      <c r="AV22" s="104">
        <f>Weather!P130</f>
        <v>0.5</v>
      </c>
      <c r="AW22" s="104">
        <f>Weather!Q130</f>
        <v>191.1</v>
      </c>
      <c r="AX22" s="104">
        <f>Weather!R130</f>
        <v>0</v>
      </c>
      <c r="AY22" s="104">
        <f>Weather!S130</f>
        <v>250.6</v>
      </c>
      <c r="AZ22" s="119">
        <f>Economic!C22</f>
        <v>634944.30000000005</v>
      </c>
      <c r="BA22" s="120">
        <f>Economic!D22</f>
        <v>6671.5</v>
      </c>
      <c r="BB22" s="120">
        <f>Economic!E22</f>
        <v>6722.8</v>
      </c>
      <c r="BC22" s="120">
        <f>Economic!F22</f>
        <v>2963.5</v>
      </c>
      <c r="BD22" s="120">
        <f>Economic!G22</f>
        <v>2981</v>
      </c>
      <c r="BE22" s="120">
        <f>Economic!H22</f>
        <v>374</v>
      </c>
      <c r="BF22" s="120">
        <f>Economic!I22</f>
        <v>373.1</v>
      </c>
      <c r="BG22" s="123">
        <f t="shared" ref="BG22:BX22" si="37">BG10</f>
        <v>30</v>
      </c>
      <c r="BH22" s="123">
        <v>21</v>
      </c>
      <c r="BI22" s="123">
        <f t="shared" si="7"/>
        <v>21</v>
      </c>
      <c r="BJ22" s="123">
        <f t="shared" si="37"/>
        <v>0</v>
      </c>
      <c r="BK22" s="123">
        <f t="shared" si="37"/>
        <v>0</v>
      </c>
      <c r="BL22" s="123">
        <f t="shared" si="37"/>
        <v>0</v>
      </c>
      <c r="BM22" s="123">
        <f t="shared" si="37"/>
        <v>0</v>
      </c>
      <c r="BN22" s="123">
        <f t="shared" si="37"/>
        <v>0</v>
      </c>
      <c r="BO22" s="123">
        <f t="shared" si="37"/>
        <v>0</v>
      </c>
      <c r="BP22" s="123">
        <f t="shared" si="37"/>
        <v>0</v>
      </c>
      <c r="BQ22" s="123">
        <f t="shared" si="37"/>
        <v>0</v>
      </c>
      <c r="BR22" s="123">
        <f t="shared" si="37"/>
        <v>1</v>
      </c>
      <c r="BS22" s="123">
        <f t="shared" si="37"/>
        <v>0</v>
      </c>
      <c r="BT22" s="123">
        <f t="shared" si="37"/>
        <v>0</v>
      </c>
      <c r="BU22" s="123">
        <f t="shared" si="37"/>
        <v>0</v>
      </c>
      <c r="BV22" s="123">
        <f t="shared" si="37"/>
        <v>0</v>
      </c>
      <c r="BW22" s="123">
        <f t="shared" si="37"/>
        <v>1</v>
      </c>
      <c r="BX22" s="123">
        <f t="shared" si="37"/>
        <v>1</v>
      </c>
      <c r="BY22" s="124">
        <v>0</v>
      </c>
      <c r="BZ22" s="124">
        <v>0</v>
      </c>
      <c r="CA22" s="124">
        <f t="shared" si="8"/>
        <v>0</v>
      </c>
      <c r="CB22" s="124">
        <f t="shared" si="9"/>
        <v>0</v>
      </c>
      <c r="CC22" s="124">
        <f t="shared" si="10"/>
        <v>0</v>
      </c>
      <c r="CD22" s="124">
        <f t="shared" si="11"/>
        <v>0</v>
      </c>
      <c r="CE22" s="124">
        <f t="shared" si="12"/>
        <v>0</v>
      </c>
      <c r="CF22" s="124">
        <f t="shared" si="13"/>
        <v>0</v>
      </c>
      <c r="CG22" s="124">
        <f t="shared" si="14"/>
        <v>0</v>
      </c>
      <c r="CH22" s="124">
        <f t="shared" si="15"/>
        <v>0</v>
      </c>
      <c r="CI22" s="124">
        <f t="shared" si="16"/>
        <v>0</v>
      </c>
      <c r="CJ22" s="124">
        <f t="shared" si="17"/>
        <v>0</v>
      </c>
      <c r="CK22" s="124">
        <f t="shared" si="18"/>
        <v>0</v>
      </c>
      <c r="CL22" s="124">
        <f t="shared" si="19"/>
        <v>0</v>
      </c>
      <c r="CM22" s="124">
        <f t="shared" si="20"/>
        <v>0</v>
      </c>
      <c r="CN22" s="124">
        <f t="shared" si="21"/>
        <v>0</v>
      </c>
      <c r="CO22" s="124">
        <f t="shared" si="22"/>
        <v>0</v>
      </c>
      <c r="CP22" s="124">
        <f t="shared" si="23"/>
        <v>0</v>
      </c>
      <c r="CQ22" s="138">
        <f t="shared" si="24"/>
        <v>729.00884460155999</v>
      </c>
      <c r="CR22" s="138">
        <f t="shared" si="25"/>
        <v>2679.4783462938344</v>
      </c>
      <c r="CS22" s="138">
        <f t="shared" si="26"/>
        <v>57712.838130962708</v>
      </c>
    </row>
    <row r="23" spans="1:97" x14ac:dyDescent="0.2">
      <c r="A23" s="114">
        <v>41183</v>
      </c>
      <c r="B23">
        <f t="shared" si="27"/>
        <v>2012</v>
      </c>
      <c r="C23">
        <f t="shared" si="28"/>
        <v>10</v>
      </c>
      <c r="D23" s="131">
        <v>19579886.000000007</v>
      </c>
      <c r="E23" s="131">
        <f>VLOOKUP($B23,'Historic CDM'!$L$5:$R$17,2,FALSE)/12</f>
        <v>60152.639777244323</v>
      </c>
      <c r="F23" s="131">
        <f t="shared" si="4"/>
        <v>19640038.639777251</v>
      </c>
      <c r="G23" s="131">
        <v>6318161.7399999937</v>
      </c>
      <c r="H23" s="131">
        <f>VLOOKUP($B23,'Historic CDM'!$L$5:$R$17,3,FALSE)/12</f>
        <v>32139.174490377161</v>
      </c>
      <c r="I23" s="131">
        <f t="shared" si="5"/>
        <v>6350300.914490371</v>
      </c>
      <c r="J23" s="131">
        <v>15760124.100000001</v>
      </c>
      <c r="K23" s="131">
        <f>VLOOKUP($B23,'Historic CDM'!$L$5:$R$17,4,FALSE)/12</f>
        <v>228757.53349089678</v>
      </c>
      <c r="L23" s="131">
        <f t="shared" si="6"/>
        <v>15988881.633490898</v>
      </c>
      <c r="N23" s="131">
        <f>VLOOKUP($B23,'Historic CDM'!$L$5:$R$17,5,FALSE)/12</f>
        <v>65174.236777059406</v>
      </c>
      <c r="Q23" s="131">
        <f>VLOOKUP($B23,'Historic CDM'!$L$5:$R$17,6,FALSE)/12</f>
        <v>7237.0243584002064</v>
      </c>
      <c r="AA23" s="41">
        <v>29289</v>
      </c>
      <c r="AB23" s="125">
        <v>2413</v>
      </c>
      <c r="AC23" s="125">
        <v>271</v>
      </c>
      <c r="AI23" s="104">
        <f>Weather!C131</f>
        <v>10.212903225806452</v>
      </c>
      <c r="AJ23" s="104">
        <f>Weather!D131</f>
        <v>365.4</v>
      </c>
      <c r="AK23" s="104">
        <f>Weather!E131</f>
        <v>0</v>
      </c>
      <c r="AL23" s="104">
        <f>Weather!F131</f>
        <v>303.40000000000003</v>
      </c>
      <c r="AM23" s="104">
        <f>Weather!G131</f>
        <v>0</v>
      </c>
      <c r="AN23" s="104">
        <f>Weather!H131</f>
        <v>242.50000000000003</v>
      </c>
      <c r="AO23" s="104">
        <f>Weather!I131</f>
        <v>1.1000000000000014</v>
      </c>
      <c r="AP23" s="104">
        <f>Weather!J131</f>
        <v>183.9</v>
      </c>
      <c r="AQ23" s="104">
        <f>Weather!K131</f>
        <v>4.5</v>
      </c>
      <c r="AR23" s="104">
        <f>Weather!L131</f>
        <v>130.50000000000003</v>
      </c>
      <c r="AS23" s="104">
        <f>Weather!M131</f>
        <v>13.1</v>
      </c>
      <c r="AT23" s="104">
        <f>Weather!N131</f>
        <v>84.299999999999983</v>
      </c>
      <c r="AU23" s="104">
        <f>Weather!O131</f>
        <v>28.9</v>
      </c>
      <c r="AV23" s="104">
        <f>Weather!P131</f>
        <v>48.9</v>
      </c>
      <c r="AW23" s="104">
        <f>Weather!Q131</f>
        <v>55.500000000000007</v>
      </c>
      <c r="AX23" s="104">
        <f>Weather!R131</f>
        <v>22.3</v>
      </c>
      <c r="AY23" s="104">
        <f>Weather!S131</f>
        <v>90.899999999999977</v>
      </c>
      <c r="AZ23" s="119">
        <f>Economic!C23</f>
        <v>634944.30000000005</v>
      </c>
      <c r="BA23" s="120">
        <f>Economic!D23</f>
        <v>6675.2</v>
      </c>
      <c r="BB23" s="120">
        <f>Economic!E23</f>
        <v>6699.2</v>
      </c>
      <c r="BC23" s="120">
        <f>Economic!F23</f>
        <v>2982.9</v>
      </c>
      <c r="BD23" s="120">
        <f>Economic!G23</f>
        <v>2990.7</v>
      </c>
      <c r="BE23" s="120">
        <f>Economic!H23</f>
        <v>376.1</v>
      </c>
      <c r="BF23" s="120">
        <f>Economic!I23</f>
        <v>372.4</v>
      </c>
      <c r="BG23" s="123">
        <f t="shared" ref="BG23:BX23" si="38">BG11</f>
        <v>31</v>
      </c>
      <c r="BH23" s="123">
        <v>20</v>
      </c>
      <c r="BI23" s="123">
        <f t="shared" si="7"/>
        <v>22</v>
      </c>
      <c r="BJ23" s="123">
        <f t="shared" si="38"/>
        <v>0</v>
      </c>
      <c r="BK23" s="123">
        <f t="shared" si="38"/>
        <v>0</v>
      </c>
      <c r="BL23" s="123">
        <f t="shared" si="38"/>
        <v>0</v>
      </c>
      <c r="BM23" s="123">
        <f t="shared" si="38"/>
        <v>0</v>
      </c>
      <c r="BN23" s="123">
        <f t="shared" si="38"/>
        <v>0</v>
      </c>
      <c r="BO23" s="123">
        <f t="shared" si="38"/>
        <v>0</v>
      </c>
      <c r="BP23" s="123">
        <f t="shared" si="38"/>
        <v>0</v>
      </c>
      <c r="BQ23" s="123">
        <f t="shared" si="38"/>
        <v>0</v>
      </c>
      <c r="BR23" s="123">
        <f t="shared" si="38"/>
        <v>0</v>
      </c>
      <c r="BS23" s="123">
        <f t="shared" si="38"/>
        <v>1</v>
      </c>
      <c r="BT23" s="123">
        <f t="shared" si="38"/>
        <v>0</v>
      </c>
      <c r="BU23" s="123">
        <f t="shared" si="38"/>
        <v>0</v>
      </c>
      <c r="BV23" s="123">
        <f t="shared" si="38"/>
        <v>0</v>
      </c>
      <c r="BW23" s="123">
        <f t="shared" si="38"/>
        <v>1</v>
      </c>
      <c r="BX23" s="123">
        <f t="shared" si="38"/>
        <v>1</v>
      </c>
      <c r="BY23" s="124">
        <v>0</v>
      </c>
      <c r="BZ23" s="124">
        <v>0</v>
      </c>
      <c r="CA23" s="124">
        <f t="shared" si="8"/>
        <v>0</v>
      </c>
      <c r="CB23" s="124">
        <f t="shared" si="9"/>
        <v>0</v>
      </c>
      <c r="CC23" s="124">
        <f t="shared" si="10"/>
        <v>0</v>
      </c>
      <c r="CD23" s="124">
        <f t="shared" si="11"/>
        <v>0</v>
      </c>
      <c r="CE23" s="124">
        <f t="shared" si="12"/>
        <v>0</v>
      </c>
      <c r="CF23" s="124">
        <f t="shared" si="13"/>
        <v>0</v>
      </c>
      <c r="CG23" s="124">
        <f t="shared" si="14"/>
        <v>0</v>
      </c>
      <c r="CH23" s="124">
        <f t="shared" si="15"/>
        <v>0</v>
      </c>
      <c r="CI23" s="124">
        <f t="shared" si="16"/>
        <v>0</v>
      </c>
      <c r="CJ23" s="124">
        <f t="shared" si="17"/>
        <v>0</v>
      </c>
      <c r="CK23" s="124">
        <f t="shared" si="18"/>
        <v>0</v>
      </c>
      <c r="CL23" s="124">
        <f t="shared" si="19"/>
        <v>0</v>
      </c>
      <c r="CM23" s="124">
        <f t="shared" si="20"/>
        <v>0</v>
      </c>
      <c r="CN23" s="124">
        <f t="shared" si="21"/>
        <v>0</v>
      </c>
      <c r="CO23" s="124">
        <f t="shared" si="22"/>
        <v>0</v>
      </c>
      <c r="CP23" s="124">
        <f t="shared" si="23"/>
        <v>0</v>
      </c>
      <c r="CQ23" s="138">
        <f t="shared" si="24"/>
        <v>670.56023216146843</v>
      </c>
      <c r="CR23" s="138">
        <f t="shared" si="25"/>
        <v>2631.7036529176839</v>
      </c>
      <c r="CS23" s="138">
        <f t="shared" si="26"/>
        <v>58999.563223213641</v>
      </c>
    </row>
    <row r="24" spans="1:97" x14ac:dyDescent="0.2">
      <c r="A24" s="115">
        <v>41214</v>
      </c>
      <c r="B24">
        <f t="shared" si="27"/>
        <v>2012</v>
      </c>
      <c r="C24">
        <f t="shared" si="28"/>
        <v>11</v>
      </c>
      <c r="D24" s="131">
        <v>21421956.510000002</v>
      </c>
      <c r="E24" s="131">
        <f>VLOOKUP($B24,'Historic CDM'!$L$5:$R$17,2,FALSE)/12</f>
        <v>60152.639777244323</v>
      </c>
      <c r="F24" s="131">
        <f t="shared" si="4"/>
        <v>21482109.149777245</v>
      </c>
      <c r="G24" s="131">
        <v>6992291.2000000067</v>
      </c>
      <c r="H24" s="131">
        <f>VLOOKUP($B24,'Historic CDM'!$L$5:$R$17,3,FALSE)/12</f>
        <v>32139.174490377161</v>
      </c>
      <c r="I24" s="131">
        <f t="shared" si="5"/>
        <v>7024430.374490384</v>
      </c>
      <c r="J24" s="131">
        <v>16203457.51</v>
      </c>
      <c r="K24" s="131">
        <f>VLOOKUP($B24,'Historic CDM'!$L$5:$R$17,4,FALSE)/12</f>
        <v>228757.53349089678</v>
      </c>
      <c r="L24" s="131">
        <f t="shared" si="6"/>
        <v>16432215.043490896</v>
      </c>
      <c r="N24" s="131">
        <f>VLOOKUP($B24,'Historic CDM'!$L$5:$R$17,5,FALSE)/12</f>
        <v>65174.236777059406</v>
      </c>
      <c r="Q24" s="131">
        <f>VLOOKUP($B24,'Historic CDM'!$L$5:$R$17,6,FALSE)/12</f>
        <v>7237.0243584002064</v>
      </c>
      <c r="AA24" s="41">
        <v>29378</v>
      </c>
      <c r="AB24" s="125">
        <v>2417</v>
      </c>
      <c r="AC24" s="125">
        <v>271</v>
      </c>
      <c r="AI24" s="104">
        <f>Weather!C132</f>
        <v>3.5333333333333332</v>
      </c>
      <c r="AJ24" s="104">
        <f>Weather!D132</f>
        <v>554</v>
      </c>
      <c r="AK24" s="104">
        <f>Weather!E132</f>
        <v>0</v>
      </c>
      <c r="AL24" s="104">
        <f>Weather!F132</f>
        <v>494</v>
      </c>
      <c r="AM24" s="104">
        <f>Weather!G132</f>
        <v>0</v>
      </c>
      <c r="AN24" s="104">
        <f>Weather!H132</f>
        <v>433.99999999999994</v>
      </c>
      <c r="AO24" s="104">
        <f>Weather!I132</f>
        <v>0</v>
      </c>
      <c r="AP24" s="104">
        <f>Weather!J132</f>
        <v>373.99999999999994</v>
      </c>
      <c r="AQ24" s="104">
        <f>Weather!K132</f>
        <v>0</v>
      </c>
      <c r="AR24" s="104">
        <f>Weather!L132</f>
        <v>313.99999999999994</v>
      </c>
      <c r="AS24" s="104">
        <f>Weather!M132</f>
        <v>0</v>
      </c>
      <c r="AT24" s="104">
        <f>Weather!N132</f>
        <v>254.5</v>
      </c>
      <c r="AU24" s="104">
        <f>Weather!O132</f>
        <v>0.5</v>
      </c>
      <c r="AV24" s="104">
        <f>Weather!P132</f>
        <v>197.7</v>
      </c>
      <c r="AW24" s="104">
        <f>Weather!Q132</f>
        <v>3.6999999999999993</v>
      </c>
      <c r="AX24" s="104">
        <f>Weather!R132</f>
        <v>142.6</v>
      </c>
      <c r="AY24" s="104">
        <f>Weather!S132</f>
        <v>8.6</v>
      </c>
      <c r="AZ24" s="119">
        <f>Economic!C24</f>
        <v>634944.30000000005</v>
      </c>
      <c r="BA24" s="120">
        <f>Economic!D24</f>
        <v>6686.6</v>
      </c>
      <c r="BB24" s="120">
        <f>Economic!E24</f>
        <v>6685.6</v>
      </c>
      <c r="BC24" s="120">
        <f>Economic!F24</f>
        <v>3000.2</v>
      </c>
      <c r="BD24" s="120">
        <f>Economic!G24</f>
        <v>2995.8</v>
      </c>
      <c r="BE24" s="120">
        <f>Economic!H24</f>
        <v>374.4</v>
      </c>
      <c r="BF24" s="120">
        <f>Economic!I24</f>
        <v>370</v>
      </c>
      <c r="BG24" s="123">
        <f t="shared" ref="BG24:BX24" si="39">BG12</f>
        <v>30</v>
      </c>
      <c r="BH24" s="123">
        <v>21</v>
      </c>
      <c r="BI24" s="123">
        <f t="shared" si="7"/>
        <v>23</v>
      </c>
      <c r="BJ24" s="123">
        <f t="shared" si="39"/>
        <v>0</v>
      </c>
      <c r="BK24" s="123">
        <f t="shared" si="39"/>
        <v>0</v>
      </c>
      <c r="BL24" s="123">
        <f t="shared" si="39"/>
        <v>0</v>
      </c>
      <c r="BM24" s="123">
        <f t="shared" si="39"/>
        <v>0</v>
      </c>
      <c r="BN24" s="123">
        <f t="shared" si="39"/>
        <v>0</v>
      </c>
      <c r="BO24" s="123">
        <f t="shared" si="39"/>
        <v>0</v>
      </c>
      <c r="BP24" s="123">
        <f t="shared" si="39"/>
        <v>0</v>
      </c>
      <c r="BQ24" s="123">
        <f t="shared" si="39"/>
        <v>0</v>
      </c>
      <c r="BR24" s="123">
        <f t="shared" si="39"/>
        <v>0</v>
      </c>
      <c r="BS24" s="123">
        <f t="shared" si="39"/>
        <v>0</v>
      </c>
      <c r="BT24" s="123">
        <f t="shared" si="39"/>
        <v>1</v>
      </c>
      <c r="BU24" s="123">
        <f t="shared" si="39"/>
        <v>0</v>
      </c>
      <c r="BV24" s="123">
        <f t="shared" si="39"/>
        <v>0</v>
      </c>
      <c r="BW24" s="123">
        <f t="shared" si="39"/>
        <v>1</v>
      </c>
      <c r="BX24" s="123">
        <f t="shared" si="39"/>
        <v>1</v>
      </c>
      <c r="BY24" s="124">
        <v>0</v>
      </c>
      <c r="BZ24" s="124">
        <v>0</v>
      </c>
      <c r="CA24" s="124">
        <f t="shared" si="8"/>
        <v>0</v>
      </c>
      <c r="CB24" s="124">
        <f t="shared" si="9"/>
        <v>0</v>
      </c>
      <c r="CC24" s="124">
        <f t="shared" si="10"/>
        <v>0</v>
      </c>
      <c r="CD24" s="124">
        <f t="shared" si="11"/>
        <v>0</v>
      </c>
      <c r="CE24" s="124">
        <f t="shared" si="12"/>
        <v>0</v>
      </c>
      <c r="CF24" s="124">
        <f t="shared" si="13"/>
        <v>0</v>
      </c>
      <c r="CG24" s="124">
        <f t="shared" si="14"/>
        <v>0</v>
      </c>
      <c r="CH24" s="124">
        <f t="shared" si="15"/>
        <v>0</v>
      </c>
      <c r="CI24" s="124">
        <f t="shared" si="16"/>
        <v>0</v>
      </c>
      <c r="CJ24" s="124">
        <f t="shared" si="17"/>
        <v>0</v>
      </c>
      <c r="CK24" s="124">
        <f t="shared" si="18"/>
        <v>0</v>
      </c>
      <c r="CL24" s="124">
        <f t="shared" si="19"/>
        <v>0</v>
      </c>
      <c r="CM24" s="124">
        <f t="shared" si="20"/>
        <v>0</v>
      </c>
      <c r="CN24" s="124">
        <f t="shared" si="21"/>
        <v>0</v>
      </c>
      <c r="CO24" s="124">
        <f t="shared" si="22"/>
        <v>0</v>
      </c>
      <c r="CP24" s="124">
        <f t="shared" si="23"/>
        <v>0</v>
      </c>
      <c r="CQ24" s="138">
        <f t="shared" si="24"/>
        <v>731.231164469237</v>
      </c>
      <c r="CR24" s="138">
        <f t="shared" si="25"/>
        <v>2906.259981171032</v>
      </c>
      <c r="CS24" s="138">
        <f t="shared" si="26"/>
        <v>60635.47986528006</v>
      </c>
    </row>
    <row r="25" spans="1:97" x14ac:dyDescent="0.2">
      <c r="A25" s="114">
        <v>41244</v>
      </c>
      <c r="B25">
        <f t="shared" si="27"/>
        <v>2012</v>
      </c>
      <c r="C25">
        <f t="shared" si="28"/>
        <v>12</v>
      </c>
      <c r="D25" s="131">
        <v>25587420.26999997</v>
      </c>
      <c r="E25" s="131">
        <f>VLOOKUP($B25,'Historic CDM'!$L$5:$R$17,2,FALSE)/12</f>
        <v>60152.639777244323</v>
      </c>
      <c r="F25" s="131">
        <f t="shared" si="4"/>
        <v>25647572.909777213</v>
      </c>
      <c r="G25" s="131">
        <v>8346319.1100000069</v>
      </c>
      <c r="H25" s="131">
        <f>VLOOKUP($B25,'Historic CDM'!$L$5:$R$17,3,FALSE)/12</f>
        <v>32139.174490377161</v>
      </c>
      <c r="I25" s="131">
        <f t="shared" si="5"/>
        <v>8378458.2844903842</v>
      </c>
      <c r="J25" s="131">
        <v>16462599.949999996</v>
      </c>
      <c r="K25" s="131">
        <f>VLOOKUP($B25,'Historic CDM'!$L$5:$R$17,4,FALSE)/12</f>
        <v>228757.53349089678</v>
      </c>
      <c r="L25" s="131">
        <f t="shared" si="6"/>
        <v>16691357.483490892</v>
      </c>
      <c r="N25" s="131">
        <f>VLOOKUP($B25,'Historic CDM'!$L$5:$R$17,5,FALSE)/12</f>
        <v>65174.236777059406</v>
      </c>
      <c r="Q25" s="131">
        <f>VLOOKUP($B25,'Historic CDM'!$L$5:$R$17,6,FALSE)/12</f>
        <v>7237.0243584002064</v>
      </c>
      <c r="AA25" s="41">
        <v>29614</v>
      </c>
      <c r="AB25" s="125">
        <v>2425</v>
      </c>
      <c r="AC25" s="125">
        <v>271</v>
      </c>
      <c r="AI25" s="104">
        <f>Weather!C133</f>
        <v>0.79032258064516181</v>
      </c>
      <c r="AJ25" s="104">
        <f>Weather!D133</f>
        <v>657.50000000000011</v>
      </c>
      <c r="AK25" s="104">
        <f>Weather!E133</f>
        <v>0</v>
      </c>
      <c r="AL25" s="104">
        <f>Weather!F133</f>
        <v>595.50000000000011</v>
      </c>
      <c r="AM25" s="104">
        <f>Weather!G133</f>
        <v>0</v>
      </c>
      <c r="AN25" s="104">
        <f>Weather!H133</f>
        <v>533.50000000000011</v>
      </c>
      <c r="AO25" s="104">
        <f>Weather!I133</f>
        <v>0</v>
      </c>
      <c r="AP25" s="104">
        <f>Weather!J133</f>
        <v>471.50000000000006</v>
      </c>
      <c r="AQ25" s="104">
        <f>Weather!K133</f>
        <v>0</v>
      </c>
      <c r="AR25" s="104">
        <f>Weather!L133</f>
        <v>409.50000000000006</v>
      </c>
      <c r="AS25" s="104">
        <f>Weather!M133</f>
        <v>0</v>
      </c>
      <c r="AT25" s="104">
        <f>Weather!N133</f>
        <v>347.50000000000011</v>
      </c>
      <c r="AU25" s="104">
        <f>Weather!O133</f>
        <v>0</v>
      </c>
      <c r="AV25" s="104">
        <f>Weather!P133</f>
        <v>286.00000000000006</v>
      </c>
      <c r="AW25" s="104">
        <f>Weather!Q133</f>
        <v>0.5</v>
      </c>
      <c r="AX25" s="104">
        <f>Weather!R133</f>
        <v>226</v>
      </c>
      <c r="AY25" s="104">
        <f>Weather!S133</f>
        <v>2.5</v>
      </c>
      <c r="AZ25" s="119">
        <f>Economic!C25</f>
        <v>634944.30000000005</v>
      </c>
      <c r="BA25" s="120">
        <f>Economic!D25</f>
        <v>6697</v>
      </c>
      <c r="BB25" s="120">
        <f>Economic!E25</f>
        <v>6700.5</v>
      </c>
      <c r="BC25" s="120">
        <f>Economic!F25</f>
        <v>3005.9</v>
      </c>
      <c r="BD25" s="120">
        <f>Economic!G25</f>
        <v>3010.4</v>
      </c>
      <c r="BE25" s="120">
        <f>Economic!H25</f>
        <v>375.3</v>
      </c>
      <c r="BF25" s="120">
        <f>Economic!I25</f>
        <v>372</v>
      </c>
      <c r="BG25" s="123">
        <f t="shared" ref="BG25:BX25" si="40">BG13</f>
        <v>31</v>
      </c>
      <c r="BH25" s="123">
        <v>23</v>
      </c>
      <c r="BI25" s="123">
        <f t="shared" ref="BI25:BI88" si="41">1+BI24</f>
        <v>24</v>
      </c>
      <c r="BJ25" s="123">
        <f t="shared" si="40"/>
        <v>0</v>
      </c>
      <c r="BK25" s="123">
        <f t="shared" si="40"/>
        <v>0</v>
      </c>
      <c r="BL25" s="123">
        <f t="shared" si="40"/>
        <v>0</v>
      </c>
      <c r="BM25" s="123">
        <f t="shared" si="40"/>
        <v>0</v>
      </c>
      <c r="BN25" s="123">
        <f t="shared" si="40"/>
        <v>0</v>
      </c>
      <c r="BO25" s="123">
        <f t="shared" si="40"/>
        <v>0</v>
      </c>
      <c r="BP25" s="123">
        <f t="shared" si="40"/>
        <v>0</v>
      </c>
      <c r="BQ25" s="123">
        <f t="shared" si="40"/>
        <v>0</v>
      </c>
      <c r="BR25" s="123">
        <f t="shared" si="40"/>
        <v>0</v>
      </c>
      <c r="BS25" s="123">
        <f t="shared" si="40"/>
        <v>0</v>
      </c>
      <c r="BT25" s="123">
        <f t="shared" si="40"/>
        <v>0</v>
      </c>
      <c r="BU25" s="123">
        <f t="shared" si="40"/>
        <v>1</v>
      </c>
      <c r="BV25" s="123">
        <f t="shared" si="40"/>
        <v>0</v>
      </c>
      <c r="BW25" s="123">
        <f t="shared" si="40"/>
        <v>0</v>
      </c>
      <c r="BX25" s="123">
        <f t="shared" si="40"/>
        <v>0</v>
      </c>
      <c r="BY25" s="124">
        <v>0</v>
      </c>
      <c r="BZ25" s="124">
        <v>0</v>
      </c>
      <c r="CA25" s="124">
        <f t="shared" si="8"/>
        <v>0</v>
      </c>
      <c r="CB25" s="124">
        <f t="shared" si="9"/>
        <v>0</v>
      </c>
      <c r="CC25" s="124">
        <f t="shared" si="10"/>
        <v>0</v>
      </c>
      <c r="CD25" s="124">
        <f t="shared" si="11"/>
        <v>0</v>
      </c>
      <c r="CE25" s="124">
        <f t="shared" si="12"/>
        <v>0</v>
      </c>
      <c r="CF25" s="124">
        <f t="shared" si="13"/>
        <v>0</v>
      </c>
      <c r="CG25" s="124">
        <f t="shared" si="14"/>
        <v>0</v>
      </c>
      <c r="CH25" s="124">
        <f t="shared" si="15"/>
        <v>0</v>
      </c>
      <c r="CI25" s="124">
        <f t="shared" si="16"/>
        <v>0</v>
      </c>
      <c r="CJ25" s="124">
        <f t="shared" si="17"/>
        <v>0</v>
      </c>
      <c r="CK25" s="124">
        <f t="shared" si="18"/>
        <v>0</v>
      </c>
      <c r="CL25" s="124">
        <f t="shared" si="19"/>
        <v>0</v>
      </c>
      <c r="CM25" s="124">
        <f t="shared" si="20"/>
        <v>0</v>
      </c>
      <c r="CN25" s="124">
        <f t="shared" si="21"/>
        <v>0</v>
      </c>
      <c r="CO25" s="124">
        <f t="shared" si="22"/>
        <v>0</v>
      </c>
      <c r="CP25" s="124">
        <f t="shared" si="23"/>
        <v>0</v>
      </c>
      <c r="CQ25" s="138">
        <f t="shared" si="24"/>
        <v>866.06243363872534</v>
      </c>
      <c r="CR25" s="138">
        <f t="shared" si="25"/>
        <v>3455.034344119746</v>
      </c>
      <c r="CS25" s="138">
        <f t="shared" si="26"/>
        <v>61591.725031331705</v>
      </c>
    </row>
    <row r="26" spans="1:97" x14ac:dyDescent="0.2">
      <c r="A26" s="115">
        <v>41275</v>
      </c>
      <c r="B26">
        <f t="shared" si="27"/>
        <v>2013</v>
      </c>
      <c r="C26">
        <f t="shared" si="28"/>
        <v>1</v>
      </c>
      <c r="D26" s="131">
        <v>24654099.019999988</v>
      </c>
      <c r="E26" s="131">
        <f>VLOOKUP($B26,'Historic CDM'!$L$5:$R$17,2,FALSE)/12</f>
        <v>89162.051531255813</v>
      </c>
      <c r="F26" s="131">
        <f t="shared" si="4"/>
        <v>24743261.071531244</v>
      </c>
      <c r="G26" s="131">
        <v>6992984.0799999973</v>
      </c>
      <c r="H26" s="131">
        <f>VLOOKUP($B26,'Historic CDM'!$L$5:$R$17,3,FALSE)/12</f>
        <v>64448.148935414909</v>
      </c>
      <c r="I26" s="131">
        <f t="shared" si="5"/>
        <v>7057432.2289354121</v>
      </c>
      <c r="J26" s="131">
        <v>16989455.739999998</v>
      </c>
      <c r="K26" s="131">
        <f>VLOOKUP($B26,'Historic CDM'!$L$5:$R$17,4,FALSE)/12</f>
        <v>344677.17204248341</v>
      </c>
      <c r="L26" s="131">
        <f t="shared" si="6"/>
        <v>17334132.91204248</v>
      </c>
      <c r="N26" s="131">
        <f>VLOOKUP($B26,'Historic CDM'!$L$5:$R$17,5,FALSE)/12</f>
        <v>83304.695113976763</v>
      </c>
      <c r="Q26" s="131">
        <f>VLOOKUP($B26,'Historic CDM'!$L$5:$R$17,6,FALSE)/12</f>
        <v>22332.548243552799</v>
      </c>
      <c r="AA26" s="41">
        <v>29835</v>
      </c>
      <c r="AB26" s="125">
        <v>2432</v>
      </c>
      <c r="AC26" s="125">
        <v>271</v>
      </c>
      <c r="AI26" s="104">
        <f>Weather!C134</f>
        <v>-2.1451612903225801</v>
      </c>
      <c r="AJ26" s="104">
        <f>Weather!D134</f>
        <v>748.50000000000011</v>
      </c>
      <c r="AK26" s="104">
        <f>Weather!E134</f>
        <v>0</v>
      </c>
      <c r="AL26" s="104">
        <f>Weather!F134</f>
        <v>686.50000000000011</v>
      </c>
      <c r="AM26" s="104">
        <f>Weather!G134</f>
        <v>0</v>
      </c>
      <c r="AN26" s="104">
        <f>Weather!H134</f>
        <v>624.50000000000011</v>
      </c>
      <c r="AO26" s="104">
        <f>Weather!I134</f>
        <v>0</v>
      </c>
      <c r="AP26" s="104">
        <f>Weather!J134</f>
        <v>562.50000000000011</v>
      </c>
      <c r="AQ26" s="104">
        <f>Weather!K134</f>
        <v>0</v>
      </c>
      <c r="AR26" s="104">
        <f>Weather!L134</f>
        <v>500.50000000000006</v>
      </c>
      <c r="AS26" s="104">
        <f>Weather!M134</f>
        <v>0</v>
      </c>
      <c r="AT26" s="104">
        <f>Weather!N134</f>
        <v>438.50000000000006</v>
      </c>
      <c r="AU26" s="104">
        <f>Weather!O134</f>
        <v>0</v>
      </c>
      <c r="AV26" s="104">
        <f>Weather!P134</f>
        <v>376.50000000000006</v>
      </c>
      <c r="AW26" s="104">
        <f>Weather!Q134</f>
        <v>0</v>
      </c>
      <c r="AX26" s="104">
        <f>Weather!R134</f>
        <v>319.70000000000005</v>
      </c>
      <c r="AY26" s="104">
        <f>Weather!S134</f>
        <v>5.1999999999999993</v>
      </c>
      <c r="AZ26" s="119">
        <f>Economic!C26</f>
        <v>643937</v>
      </c>
      <c r="BA26" s="120">
        <f>Economic!D26</f>
        <v>6711.6</v>
      </c>
      <c r="BB26" s="120">
        <f>Economic!E26</f>
        <v>6680.9</v>
      </c>
      <c r="BC26" s="120">
        <f>Economic!F26</f>
        <v>3014.1</v>
      </c>
      <c r="BD26" s="120">
        <f>Economic!G26</f>
        <v>3006.6</v>
      </c>
      <c r="BE26" s="120">
        <f>Economic!H26</f>
        <v>377</v>
      </c>
      <c r="BF26" s="120">
        <f>Economic!I26</f>
        <v>374.7</v>
      </c>
      <c r="BG26" s="123">
        <f t="shared" ref="BG26:BX26" si="42">BG14</f>
        <v>31</v>
      </c>
      <c r="BH26" s="123">
        <v>21</v>
      </c>
      <c r="BI26" s="123">
        <f t="shared" si="41"/>
        <v>25</v>
      </c>
      <c r="BJ26" s="123">
        <f t="shared" si="42"/>
        <v>1</v>
      </c>
      <c r="BK26" s="123">
        <f t="shared" si="42"/>
        <v>0</v>
      </c>
      <c r="BL26" s="123">
        <f t="shared" si="42"/>
        <v>0</v>
      </c>
      <c r="BM26" s="123">
        <f t="shared" si="42"/>
        <v>0</v>
      </c>
      <c r="BN26" s="123">
        <f t="shared" si="42"/>
        <v>0</v>
      </c>
      <c r="BO26" s="123">
        <f t="shared" si="42"/>
        <v>0</v>
      </c>
      <c r="BP26" s="123">
        <f t="shared" si="42"/>
        <v>0</v>
      </c>
      <c r="BQ26" s="123">
        <f t="shared" si="42"/>
        <v>0</v>
      </c>
      <c r="BR26" s="123">
        <f t="shared" si="42"/>
        <v>0</v>
      </c>
      <c r="BS26" s="123">
        <f t="shared" si="42"/>
        <v>0</v>
      </c>
      <c r="BT26" s="123">
        <f t="shared" si="42"/>
        <v>0</v>
      </c>
      <c r="BU26" s="123">
        <f t="shared" si="42"/>
        <v>0</v>
      </c>
      <c r="BV26" s="123">
        <f t="shared" si="42"/>
        <v>0</v>
      </c>
      <c r="BW26" s="123">
        <f t="shared" si="42"/>
        <v>0</v>
      </c>
      <c r="BX26" s="123">
        <f t="shared" si="42"/>
        <v>0</v>
      </c>
      <c r="BY26" s="124">
        <v>0</v>
      </c>
      <c r="BZ26" s="124">
        <v>0</v>
      </c>
      <c r="CA26" s="124">
        <f t="shared" si="8"/>
        <v>0</v>
      </c>
      <c r="CB26" s="124">
        <f t="shared" si="9"/>
        <v>0</v>
      </c>
      <c r="CC26" s="124">
        <f t="shared" si="10"/>
        <v>0</v>
      </c>
      <c r="CD26" s="124">
        <f t="shared" si="11"/>
        <v>0</v>
      </c>
      <c r="CE26" s="124">
        <f t="shared" si="12"/>
        <v>0</v>
      </c>
      <c r="CF26" s="124">
        <f t="shared" si="13"/>
        <v>0</v>
      </c>
      <c r="CG26" s="124">
        <f t="shared" si="14"/>
        <v>0</v>
      </c>
      <c r="CH26" s="124">
        <f t="shared" si="15"/>
        <v>0</v>
      </c>
      <c r="CI26" s="124">
        <f t="shared" si="16"/>
        <v>0</v>
      </c>
      <c r="CJ26" s="124">
        <f t="shared" si="17"/>
        <v>0</v>
      </c>
      <c r="CK26" s="124">
        <f t="shared" si="18"/>
        <v>0</v>
      </c>
      <c r="CL26" s="124">
        <f t="shared" si="19"/>
        <v>0</v>
      </c>
      <c r="CM26" s="124">
        <f t="shared" si="20"/>
        <v>0</v>
      </c>
      <c r="CN26" s="124">
        <f t="shared" si="21"/>
        <v>0</v>
      </c>
      <c r="CO26" s="124">
        <f t="shared" si="22"/>
        <v>0</v>
      </c>
      <c r="CP26" s="124">
        <f t="shared" si="23"/>
        <v>0</v>
      </c>
      <c r="CQ26" s="138">
        <f t="shared" si="24"/>
        <v>829.33672101663296</v>
      </c>
      <c r="CR26" s="138">
        <f t="shared" si="25"/>
        <v>2901.9046993977845</v>
      </c>
      <c r="CS26" s="138">
        <f t="shared" si="26"/>
        <v>63963.590081337563</v>
      </c>
    </row>
    <row r="27" spans="1:97" x14ac:dyDescent="0.2">
      <c r="A27" s="114">
        <v>41306</v>
      </c>
      <c r="B27">
        <f t="shared" si="27"/>
        <v>2013</v>
      </c>
      <c r="C27">
        <f t="shared" si="28"/>
        <v>2</v>
      </c>
      <c r="D27" s="131">
        <v>23135370.840000026</v>
      </c>
      <c r="E27" s="131">
        <f>VLOOKUP($B27,'Historic CDM'!$L$5:$R$17,2,FALSE)/12</f>
        <v>89162.051531255813</v>
      </c>
      <c r="F27" s="131">
        <f t="shared" si="4"/>
        <v>23224532.891531281</v>
      </c>
      <c r="G27" s="131">
        <v>7528794.9500000002</v>
      </c>
      <c r="H27" s="131">
        <f>VLOOKUP($B27,'Historic CDM'!$L$5:$R$17,3,FALSE)/12</f>
        <v>64448.148935414909</v>
      </c>
      <c r="I27" s="131">
        <f t="shared" si="5"/>
        <v>7593243.098935415</v>
      </c>
      <c r="J27" s="131">
        <v>16279005.990000002</v>
      </c>
      <c r="K27" s="131">
        <f>VLOOKUP($B27,'Historic CDM'!$L$5:$R$17,4,FALSE)/12</f>
        <v>344677.17204248341</v>
      </c>
      <c r="L27" s="131">
        <f t="shared" si="6"/>
        <v>16623683.162042486</v>
      </c>
      <c r="N27" s="131">
        <f>VLOOKUP($B27,'Historic CDM'!$L$5:$R$17,5,FALSE)/12</f>
        <v>83304.695113976763</v>
      </c>
      <c r="Q27" s="131">
        <f>VLOOKUP($B27,'Historic CDM'!$L$5:$R$17,6,FALSE)/12</f>
        <v>22332.548243552799</v>
      </c>
      <c r="AA27" s="41">
        <v>29989</v>
      </c>
      <c r="AB27" s="125">
        <v>2441</v>
      </c>
      <c r="AC27" s="125">
        <v>271</v>
      </c>
      <c r="AI27" s="104">
        <f>Weather!C135</f>
        <v>-4.5535714285714288</v>
      </c>
      <c r="AJ27" s="104">
        <f>Weather!D135</f>
        <v>743.49999999999989</v>
      </c>
      <c r="AK27" s="104">
        <f>Weather!E135</f>
        <v>0</v>
      </c>
      <c r="AL27" s="104">
        <f>Weather!F135</f>
        <v>687.49999999999989</v>
      </c>
      <c r="AM27" s="104">
        <f>Weather!G135</f>
        <v>0</v>
      </c>
      <c r="AN27" s="104">
        <f>Weather!H135</f>
        <v>631.49999999999989</v>
      </c>
      <c r="AO27" s="104">
        <f>Weather!I135</f>
        <v>0</v>
      </c>
      <c r="AP27" s="104">
        <f>Weather!J135</f>
        <v>575.5</v>
      </c>
      <c r="AQ27" s="104">
        <f>Weather!K135</f>
        <v>0</v>
      </c>
      <c r="AR27" s="104">
        <f>Weather!L135</f>
        <v>519.49999999999989</v>
      </c>
      <c r="AS27" s="104">
        <f>Weather!M135</f>
        <v>0</v>
      </c>
      <c r="AT27" s="104">
        <f>Weather!N135</f>
        <v>463.49999999999989</v>
      </c>
      <c r="AU27" s="104">
        <f>Weather!O135</f>
        <v>0</v>
      </c>
      <c r="AV27" s="104">
        <f>Weather!P135</f>
        <v>407.49999999999989</v>
      </c>
      <c r="AW27" s="104">
        <f>Weather!Q135</f>
        <v>0</v>
      </c>
      <c r="AX27" s="104">
        <f>Weather!R135</f>
        <v>351.49999999999994</v>
      </c>
      <c r="AY27" s="104">
        <f>Weather!S135</f>
        <v>0</v>
      </c>
      <c r="AZ27" s="119">
        <f>Economic!C27</f>
        <v>643937</v>
      </c>
      <c r="BA27" s="120">
        <f>Economic!D27</f>
        <v>6728.5</v>
      </c>
      <c r="BB27" s="120">
        <f>Economic!E27</f>
        <v>6660.8</v>
      </c>
      <c r="BC27" s="120">
        <f>Economic!F27</f>
        <v>3018.3</v>
      </c>
      <c r="BD27" s="120">
        <f>Economic!G27</f>
        <v>2995.1</v>
      </c>
      <c r="BE27" s="120">
        <f>Economic!H27</f>
        <v>378.9</v>
      </c>
      <c r="BF27" s="120">
        <f>Economic!I27</f>
        <v>378.6</v>
      </c>
      <c r="BG27" s="123">
        <v>28</v>
      </c>
      <c r="BH27" s="123">
        <v>19</v>
      </c>
      <c r="BI27" s="123">
        <f t="shared" si="41"/>
        <v>26</v>
      </c>
      <c r="BJ27" s="123">
        <f t="shared" ref="BJ27:BX27" si="43">BJ15</f>
        <v>0</v>
      </c>
      <c r="BK27" s="123">
        <f t="shared" si="43"/>
        <v>1</v>
      </c>
      <c r="BL27" s="123">
        <f t="shared" si="43"/>
        <v>0</v>
      </c>
      <c r="BM27" s="123">
        <f t="shared" si="43"/>
        <v>0</v>
      </c>
      <c r="BN27" s="123">
        <f t="shared" si="43"/>
        <v>0</v>
      </c>
      <c r="BO27" s="123">
        <f t="shared" si="43"/>
        <v>0</v>
      </c>
      <c r="BP27" s="123">
        <f t="shared" si="43"/>
        <v>0</v>
      </c>
      <c r="BQ27" s="123">
        <f t="shared" si="43"/>
        <v>0</v>
      </c>
      <c r="BR27" s="123">
        <f t="shared" si="43"/>
        <v>0</v>
      </c>
      <c r="BS27" s="123">
        <f t="shared" si="43"/>
        <v>0</v>
      </c>
      <c r="BT27" s="123">
        <f t="shared" si="43"/>
        <v>0</v>
      </c>
      <c r="BU27" s="123">
        <f t="shared" si="43"/>
        <v>0</v>
      </c>
      <c r="BV27" s="123">
        <f t="shared" si="43"/>
        <v>0</v>
      </c>
      <c r="BW27" s="123">
        <f t="shared" si="43"/>
        <v>0</v>
      </c>
      <c r="BX27" s="123">
        <f t="shared" si="43"/>
        <v>0</v>
      </c>
      <c r="BY27" s="124">
        <v>0</v>
      </c>
      <c r="BZ27" s="124">
        <v>0</v>
      </c>
      <c r="CA27" s="124">
        <f t="shared" si="8"/>
        <v>0</v>
      </c>
      <c r="CB27" s="124">
        <f t="shared" si="9"/>
        <v>0</v>
      </c>
      <c r="CC27" s="124">
        <f t="shared" si="10"/>
        <v>0</v>
      </c>
      <c r="CD27" s="124">
        <f t="shared" si="11"/>
        <v>0</v>
      </c>
      <c r="CE27" s="124">
        <f t="shared" si="12"/>
        <v>0</v>
      </c>
      <c r="CF27" s="124">
        <f t="shared" si="13"/>
        <v>0</v>
      </c>
      <c r="CG27" s="124">
        <f t="shared" si="14"/>
        <v>0</v>
      </c>
      <c r="CH27" s="124">
        <f t="shared" si="15"/>
        <v>0</v>
      </c>
      <c r="CI27" s="124">
        <f t="shared" si="16"/>
        <v>0</v>
      </c>
      <c r="CJ27" s="124">
        <f t="shared" si="17"/>
        <v>0</v>
      </c>
      <c r="CK27" s="124">
        <f t="shared" si="18"/>
        <v>0</v>
      </c>
      <c r="CL27" s="124">
        <f t="shared" si="19"/>
        <v>0</v>
      </c>
      <c r="CM27" s="124">
        <f t="shared" si="20"/>
        <v>0</v>
      </c>
      <c r="CN27" s="124">
        <f t="shared" si="21"/>
        <v>0</v>
      </c>
      <c r="CO27" s="124">
        <f t="shared" si="22"/>
        <v>0</v>
      </c>
      <c r="CP27" s="124">
        <f t="shared" si="23"/>
        <v>0</v>
      </c>
      <c r="CQ27" s="138">
        <f t="shared" si="24"/>
        <v>774.4350559048745</v>
      </c>
      <c r="CR27" s="138">
        <f t="shared" si="25"/>
        <v>3110.7099954671917</v>
      </c>
      <c r="CS27" s="138">
        <f t="shared" si="26"/>
        <v>61342.004287979653</v>
      </c>
    </row>
    <row r="28" spans="1:97" x14ac:dyDescent="0.2">
      <c r="A28" s="115">
        <v>41334</v>
      </c>
      <c r="B28">
        <f t="shared" si="27"/>
        <v>2013</v>
      </c>
      <c r="C28">
        <f t="shared" si="28"/>
        <v>3</v>
      </c>
      <c r="D28" s="131">
        <v>22963588.829999994</v>
      </c>
      <c r="E28" s="131">
        <f>VLOOKUP($B28,'Historic CDM'!$L$5:$R$17,2,FALSE)/12</f>
        <v>89162.051531255813</v>
      </c>
      <c r="F28" s="131">
        <f t="shared" si="4"/>
        <v>23052750.88153125</v>
      </c>
      <c r="G28" s="131">
        <v>7671019.2299999977</v>
      </c>
      <c r="H28" s="131">
        <f>VLOOKUP($B28,'Historic CDM'!$L$5:$R$17,3,FALSE)/12</f>
        <v>64448.148935414909</v>
      </c>
      <c r="I28" s="131">
        <f t="shared" si="5"/>
        <v>7735467.3789354125</v>
      </c>
      <c r="J28" s="131">
        <v>17118643.850000001</v>
      </c>
      <c r="K28" s="131">
        <f>VLOOKUP($B28,'Historic CDM'!$L$5:$R$17,4,FALSE)/12</f>
        <v>344677.17204248341</v>
      </c>
      <c r="L28" s="131">
        <f t="shared" si="6"/>
        <v>17463321.022042483</v>
      </c>
      <c r="N28" s="131">
        <f>VLOOKUP($B28,'Historic CDM'!$L$5:$R$17,5,FALSE)/12</f>
        <v>83304.695113976763</v>
      </c>
      <c r="Q28" s="131">
        <f>VLOOKUP($B28,'Historic CDM'!$L$5:$R$17,6,FALSE)/12</f>
        <v>22332.548243552799</v>
      </c>
      <c r="AA28" s="41">
        <v>30236</v>
      </c>
      <c r="AB28" s="125">
        <v>2459</v>
      </c>
      <c r="AC28" s="125">
        <v>272</v>
      </c>
      <c r="AI28" s="104">
        <f>Weather!C136</f>
        <v>0.10322580645161282</v>
      </c>
      <c r="AJ28" s="104">
        <f>Weather!D136</f>
        <v>678.8</v>
      </c>
      <c r="AK28" s="104">
        <f>Weather!E136</f>
        <v>0</v>
      </c>
      <c r="AL28" s="104">
        <f>Weather!F136</f>
        <v>616.79999999999984</v>
      </c>
      <c r="AM28" s="104">
        <f>Weather!G136</f>
        <v>0</v>
      </c>
      <c r="AN28" s="104">
        <f>Weather!H136</f>
        <v>554.79999999999995</v>
      </c>
      <c r="AO28" s="104">
        <f>Weather!I136</f>
        <v>0</v>
      </c>
      <c r="AP28" s="104">
        <f>Weather!J136</f>
        <v>492.79999999999995</v>
      </c>
      <c r="AQ28" s="104">
        <f>Weather!K136</f>
        <v>0</v>
      </c>
      <c r="AR28" s="104">
        <f>Weather!L136</f>
        <v>430.8</v>
      </c>
      <c r="AS28" s="104">
        <f>Weather!M136</f>
        <v>0</v>
      </c>
      <c r="AT28" s="104">
        <f>Weather!N136</f>
        <v>368.79999999999995</v>
      </c>
      <c r="AU28" s="104">
        <f>Weather!O136</f>
        <v>0</v>
      </c>
      <c r="AV28" s="104">
        <f>Weather!P136</f>
        <v>306.8</v>
      </c>
      <c r="AW28" s="104">
        <f>Weather!Q136</f>
        <v>0</v>
      </c>
      <c r="AX28" s="104">
        <f>Weather!R136</f>
        <v>244.79999999999995</v>
      </c>
      <c r="AY28" s="104">
        <f>Weather!S136</f>
        <v>0</v>
      </c>
      <c r="AZ28" s="119">
        <f>Economic!C28</f>
        <v>643937</v>
      </c>
      <c r="BA28" s="120">
        <f>Economic!D28</f>
        <v>6735.1</v>
      </c>
      <c r="BB28" s="120">
        <f>Economic!E28</f>
        <v>6634.8</v>
      </c>
      <c r="BC28" s="120">
        <f>Economic!F28</f>
        <v>3023.1</v>
      </c>
      <c r="BD28" s="120">
        <f>Economic!G28</f>
        <v>2983.8</v>
      </c>
      <c r="BE28" s="120">
        <f>Economic!H28</f>
        <v>377.1</v>
      </c>
      <c r="BF28" s="120">
        <f>Economic!I28</f>
        <v>375.3</v>
      </c>
      <c r="BG28" s="123">
        <f t="shared" ref="BG28:BX28" si="44">BG16</f>
        <v>31</v>
      </c>
      <c r="BH28" s="123">
        <v>23</v>
      </c>
      <c r="BI28" s="123">
        <f t="shared" si="41"/>
        <v>27</v>
      </c>
      <c r="BJ28" s="123">
        <f t="shared" si="44"/>
        <v>0</v>
      </c>
      <c r="BK28" s="123">
        <f t="shared" si="44"/>
        <v>0</v>
      </c>
      <c r="BL28" s="123">
        <f t="shared" si="44"/>
        <v>1</v>
      </c>
      <c r="BM28" s="123">
        <f t="shared" si="44"/>
        <v>0</v>
      </c>
      <c r="BN28" s="123">
        <f t="shared" si="44"/>
        <v>0</v>
      </c>
      <c r="BO28" s="123">
        <f t="shared" si="44"/>
        <v>0</v>
      </c>
      <c r="BP28" s="123">
        <f t="shared" si="44"/>
        <v>0</v>
      </c>
      <c r="BQ28" s="123">
        <f t="shared" si="44"/>
        <v>0</v>
      </c>
      <c r="BR28" s="123">
        <f t="shared" si="44"/>
        <v>0</v>
      </c>
      <c r="BS28" s="123">
        <f t="shared" si="44"/>
        <v>0</v>
      </c>
      <c r="BT28" s="123">
        <f t="shared" si="44"/>
        <v>0</v>
      </c>
      <c r="BU28" s="123">
        <f t="shared" si="44"/>
        <v>0</v>
      </c>
      <c r="BV28" s="123">
        <f t="shared" si="44"/>
        <v>1</v>
      </c>
      <c r="BW28" s="123">
        <f t="shared" si="44"/>
        <v>0</v>
      </c>
      <c r="BX28" s="123">
        <f t="shared" si="44"/>
        <v>1</v>
      </c>
      <c r="BY28" s="124">
        <v>0</v>
      </c>
      <c r="BZ28" s="124">
        <v>0</v>
      </c>
      <c r="CA28" s="124">
        <f t="shared" si="8"/>
        <v>0</v>
      </c>
      <c r="CB28" s="124">
        <f t="shared" si="9"/>
        <v>0</v>
      </c>
      <c r="CC28" s="124">
        <f t="shared" si="10"/>
        <v>0</v>
      </c>
      <c r="CD28" s="124">
        <f t="shared" si="11"/>
        <v>0</v>
      </c>
      <c r="CE28" s="124">
        <f t="shared" si="12"/>
        <v>0</v>
      </c>
      <c r="CF28" s="124">
        <f t="shared" si="13"/>
        <v>0</v>
      </c>
      <c r="CG28" s="124">
        <f t="shared" si="14"/>
        <v>0</v>
      </c>
      <c r="CH28" s="124">
        <f t="shared" si="15"/>
        <v>0</v>
      </c>
      <c r="CI28" s="124">
        <f t="shared" si="16"/>
        <v>0</v>
      </c>
      <c r="CJ28" s="124">
        <f t="shared" si="17"/>
        <v>0</v>
      </c>
      <c r="CK28" s="124">
        <f t="shared" si="18"/>
        <v>0</v>
      </c>
      <c r="CL28" s="124">
        <f t="shared" si="19"/>
        <v>0</v>
      </c>
      <c r="CM28" s="124">
        <f t="shared" si="20"/>
        <v>0</v>
      </c>
      <c r="CN28" s="124">
        <f t="shared" si="21"/>
        <v>0</v>
      </c>
      <c r="CO28" s="124">
        <f t="shared" si="22"/>
        <v>0</v>
      </c>
      <c r="CP28" s="124">
        <f t="shared" si="23"/>
        <v>0</v>
      </c>
      <c r="CQ28" s="138">
        <f t="shared" si="24"/>
        <v>762.42726820780695</v>
      </c>
      <c r="CR28" s="138">
        <f t="shared" si="25"/>
        <v>3145.7777059517739</v>
      </c>
      <c r="CS28" s="138">
        <f t="shared" si="26"/>
        <v>64203.386110450308</v>
      </c>
    </row>
    <row r="29" spans="1:97" x14ac:dyDescent="0.2">
      <c r="A29" s="114">
        <v>41365</v>
      </c>
      <c r="B29">
        <f t="shared" si="27"/>
        <v>2013</v>
      </c>
      <c r="C29">
        <f t="shared" si="28"/>
        <v>4</v>
      </c>
      <c r="D29" s="131">
        <v>19590025.609999973</v>
      </c>
      <c r="E29" s="131">
        <f>VLOOKUP($B29,'Historic CDM'!$L$5:$R$17,2,FALSE)/12</f>
        <v>89162.051531255813</v>
      </c>
      <c r="F29" s="131">
        <f t="shared" si="4"/>
        <v>19679187.661531229</v>
      </c>
      <c r="G29" s="131">
        <v>6871568.5999999996</v>
      </c>
      <c r="H29" s="131">
        <f>VLOOKUP($B29,'Historic CDM'!$L$5:$R$17,3,FALSE)/12</f>
        <v>64448.148935414909</v>
      </c>
      <c r="I29" s="131">
        <f t="shared" si="5"/>
        <v>6936016.7489354145</v>
      </c>
      <c r="J29" s="131">
        <v>16317712.539999994</v>
      </c>
      <c r="K29" s="131">
        <f>VLOOKUP($B29,'Historic CDM'!$L$5:$R$17,4,FALSE)/12</f>
        <v>344677.17204248341</v>
      </c>
      <c r="L29" s="131">
        <f t="shared" si="6"/>
        <v>16662389.712042477</v>
      </c>
      <c r="N29" s="131">
        <f>VLOOKUP($B29,'Historic CDM'!$L$5:$R$17,5,FALSE)/12</f>
        <v>83304.695113976763</v>
      </c>
      <c r="Q29" s="131">
        <f>VLOOKUP($B29,'Historic CDM'!$L$5:$R$17,6,FALSE)/12</f>
        <v>22332.548243552799</v>
      </c>
      <c r="AA29" s="41">
        <v>30511</v>
      </c>
      <c r="AB29" s="125">
        <v>2464</v>
      </c>
      <c r="AC29" s="125">
        <v>273</v>
      </c>
      <c r="AI29" s="104">
        <f>Weather!C137</f>
        <v>6.0466666666666669</v>
      </c>
      <c r="AJ29" s="104">
        <f>Weather!D137</f>
        <v>478.60000000000014</v>
      </c>
      <c r="AK29" s="104">
        <f>Weather!E137</f>
        <v>0</v>
      </c>
      <c r="AL29" s="104">
        <f>Weather!F137</f>
        <v>418.60000000000008</v>
      </c>
      <c r="AM29" s="104">
        <f>Weather!G137</f>
        <v>0</v>
      </c>
      <c r="AN29" s="104">
        <f>Weather!H137</f>
        <v>358.6</v>
      </c>
      <c r="AO29" s="104">
        <f>Weather!I137</f>
        <v>0</v>
      </c>
      <c r="AP29" s="104">
        <f>Weather!J137</f>
        <v>298.60000000000002</v>
      </c>
      <c r="AQ29" s="104">
        <f>Weather!K137</f>
        <v>0</v>
      </c>
      <c r="AR29" s="104">
        <f>Weather!L137</f>
        <v>239.99999999999997</v>
      </c>
      <c r="AS29" s="104">
        <f>Weather!M137</f>
        <v>1.4000000000000004</v>
      </c>
      <c r="AT29" s="104">
        <f>Weather!N137</f>
        <v>184.2</v>
      </c>
      <c r="AU29" s="104">
        <f>Weather!O137</f>
        <v>5.6000000000000014</v>
      </c>
      <c r="AV29" s="104">
        <f>Weather!P137</f>
        <v>135.19999999999999</v>
      </c>
      <c r="AW29" s="104">
        <f>Weather!Q137</f>
        <v>16.600000000000001</v>
      </c>
      <c r="AX29" s="104">
        <f>Weather!R137</f>
        <v>91.899999999999991</v>
      </c>
      <c r="AY29" s="104">
        <f>Weather!S137</f>
        <v>33.299999999999997</v>
      </c>
      <c r="AZ29" s="119">
        <f>Economic!C29</f>
        <v>643937</v>
      </c>
      <c r="BA29" s="120">
        <f>Economic!D29</f>
        <v>6742.7</v>
      </c>
      <c r="BB29" s="120">
        <f>Economic!E29</f>
        <v>6662.1</v>
      </c>
      <c r="BC29" s="120">
        <f>Economic!F29</f>
        <v>3031.4</v>
      </c>
      <c r="BD29" s="120">
        <f>Economic!G29</f>
        <v>3003</v>
      </c>
      <c r="BE29" s="120">
        <f>Economic!H29</f>
        <v>373.7</v>
      </c>
      <c r="BF29" s="120">
        <f>Economic!I29</f>
        <v>371.4</v>
      </c>
      <c r="BG29" s="123">
        <f t="shared" ref="BG29:BX29" si="45">BG17</f>
        <v>30</v>
      </c>
      <c r="BH29" s="123">
        <v>20</v>
      </c>
      <c r="BI29" s="123">
        <f t="shared" si="41"/>
        <v>28</v>
      </c>
      <c r="BJ29" s="123">
        <f t="shared" si="45"/>
        <v>0</v>
      </c>
      <c r="BK29" s="123">
        <f t="shared" si="45"/>
        <v>0</v>
      </c>
      <c r="BL29" s="123">
        <f t="shared" si="45"/>
        <v>0</v>
      </c>
      <c r="BM29" s="123">
        <f t="shared" si="45"/>
        <v>1</v>
      </c>
      <c r="BN29" s="123">
        <f t="shared" si="45"/>
        <v>0</v>
      </c>
      <c r="BO29" s="123">
        <f t="shared" si="45"/>
        <v>0</v>
      </c>
      <c r="BP29" s="123">
        <f t="shared" si="45"/>
        <v>0</v>
      </c>
      <c r="BQ29" s="123">
        <f t="shared" si="45"/>
        <v>0</v>
      </c>
      <c r="BR29" s="123">
        <f t="shared" si="45"/>
        <v>0</v>
      </c>
      <c r="BS29" s="123">
        <f t="shared" si="45"/>
        <v>0</v>
      </c>
      <c r="BT29" s="123">
        <f t="shared" si="45"/>
        <v>0</v>
      </c>
      <c r="BU29" s="123">
        <f t="shared" si="45"/>
        <v>0</v>
      </c>
      <c r="BV29" s="123">
        <f t="shared" si="45"/>
        <v>1</v>
      </c>
      <c r="BW29" s="123">
        <f t="shared" si="45"/>
        <v>0</v>
      </c>
      <c r="BX29" s="123">
        <f t="shared" si="45"/>
        <v>1</v>
      </c>
      <c r="BY29" s="124">
        <v>0</v>
      </c>
      <c r="BZ29" s="124">
        <v>0</v>
      </c>
      <c r="CA29" s="124">
        <f t="shared" si="8"/>
        <v>0</v>
      </c>
      <c r="CB29" s="124">
        <f t="shared" si="9"/>
        <v>0</v>
      </c>
      <c r="CC29" s="124">
        <f t="shared" si="10"/>
        <v>0</v>
      </c>
      <c r="CD29" s="124">
        <f t="shared" si="11"/>
        <v>0</v>
      </c>
      <c r="CE29" s="124">
        <f t="shared" si="12"/>
        <v>0</v>
      </c>
      <c r="CF29" s="124">
        <f t="shared" si="13"/>
        <v>0</v>
      </c>
      <c r="CG29" s="124">
        <f t="shared" si="14"/>
        <v>0</v>
      </c>
      <c r="CH29" s="124">
        <f t="shared" si="15"/>
        <v>0</v>
      </c>
      <c r="CI29" s="124">
        <f t="shared" si="16"/>
        <v>0</v>
      </c>
      <c r="CJ29" s="124">
        <f t="shared" si="17"/>
        <v>0</v>
      </c>
      <c r="CK29" s="124">
        <f t="shared" si="18"/>
        <v>0</v>
      </c>
      <c r="CL29" s="124">
        <f t="shared" si="19"/>
        <v>0</v>
      </c>
      <c r="CM29" s="124">
        <f t="shared" si="20"/>
        <v>0</v>
      </c>
      <c r="CN29" s="124">
        <f t="shared" si="21"/>
        <v>0</v>
      </c>
      <c r="CO29" s="124">
        <f t="shared" si="22"/>
        <v>0</v>
      </c>
      <c r="CP29" s="124">
        <f t="shared" si="23"/>
        <v>0</v>
      </c>
      <c r="CQ29" s="138">
        <f t="shared" si="24"/>
        <v>644.98664945531868</v>
      </c>
      <c r="CR29" s="138">
        <f t="shared" si="25"/>
        <v>2814.9418623926194</v>
      </c>
      <c r="CS29" s="138">
        <f t="shared" si="26"/>
        <v>61034.394549606142</v>
      </c>
    </row>
    <row r="30" spans="1:97" x14ac:dyDescent="0.2">
      <c r="A30" s="115">
        <v>41395</v>
      </c>
      <c r="B30">
        <f t="shared" si="27"/>
        <v>2013</v>
      </c>
      <c r="C30">
        <f t="shared" si="28"/>
        <v>5</v>
      </c>
      <c r="D30" s="131">
        <v>20707182.480000004</v>
      </c>
      <c r="E30" s="131">
        <f>VLOOKUP($B30,'Historic CDM'!$L$5:$R$17,2,FALSE)/12</f>
        <v>89162.051531255813</v>
      </c>
      <c r="F30" s="131">
        <f t="shared" si="4"/>
        <v>20796344.531531259</v>
      </c>
      <c r="G30" s="131">
        <v>6873417.9000000032</v>
      </c>
      <c r="H30" s="131">
        <f>VLOOKUP($B30,'Historic CDM'!$L$5:$R$17,3,FALSE)/12</f>
        <v>64448.148935414909</v>
      </c>
      <c r="I30" s="131">
        <f t="shared" si="5"/>
        <v>6937866.048935418</v>
      </c>
      <c r="J30" s="131">
        <v>16555856.940000001</v>
      </c>
      <c r="K30" s="131">
        <f>VLOOKUP($B30,'Historic CDM'!$L$5:$R$17,4,FALSE)/12</f>
        <v>344677.17204248341</v>
      </c>
      <c r="L30" s="131">
        <f t="shared" si="6"/>
        <v>16900534.112042483</v>
      </c>
      <c r="N30" s="131">
        <f>VLOOKUP($B30,'Historic CDM'!$L$5:$R$17,5,FALSE)/12</f>
        <v>83304.695113976763</v>
      </c>
      <c r="Q30" s="131">
        <f>VLOOKUP($B30,'Historic CDM'!$L$5:$R$17,6,FALSE)/12</f>
        <v>22332.548243552799</v>
      </c>
      <c r="AA30" s="41">
        <v>30723</v>
      </c>
      <c r="AB30" s="125">
        <v>2462</v>
      </c>
      <c r="AC30" s="125">
        <v>272</v>
      </c>
      <c r="AI30" s="104">
        <f>Weather!C138</f>
        <v>15.225806451612904</v>
      </c>
      <c r="AJ30" s="104">
        <f>Weather!D138</f>
        <v>215.70000000000002</v>
      </c>
      <c r="AK30" s="104">
        <f>Weather!E138</f>
        <v>5.6999999999999993</v>
      </c>
      <c r="AL30" s="104">
        <f>Weather!F138</f>
        <v>159.20000000000002</v>
      </c>
      <c r="AM30" s="104">
        <f>Weather!G138</f>
        <v>11.2</v>
      </c>
      <c r="AN30" s="104">
        <f>Weather!H138</f>
        <v>109.10000000000001</v>
      </c>
      <c r="AO30" s="104">
        <f>Weather!I138</f>
        <v>23.099999999999998</v>
      </c>
      <c r="AP30" s="104">
        <f>Weather!J138</f>
        <v>70.100000000000009</v>
      </c>
      <c r="AQ30" s="104">
        <f>Weather!K138</f>
        <v>46.1</v>
      </c>
      <c r="AR30" s="104">
        <f>Weather!L138</f>
        <v>45.1</v>
      </c>
      <c r="AS30" s="104">
        <f>Weather!M138</f>
        <v>83.1</v>
      </c>
      <c r="AT30" s="104">
        <f>Weather!N138</f>
        <v>26.3</v>
      </c>
      <c r="AU30" s="104">
        <f>Weather!O138</f>
        <v>126.3</v>
      </c>
      <c r="AV30" s="104">
        <f>Weather!P138</f>
        <v>14.4</v>
      </c>
      <c r="AW30" s="104">
        <f>Weather!Q138</f>
        <v>176.4</v>
      </c>
      <c r="AX30" s="104">
        <f>Weather!R138</f>
        <v>5.7000000000000011</v>
      </c>
      <c r="AY30" s="104">
        <f>Weather!S138</f>
        <v>229.7</v>
      </c>
      <c r="AZ30" s="119">
        <f>Economic!C30</f>
        <v>643937</v>
      </c>
      <c r="BA30" s="120">
        <f>Economic!D30</f>
        <v>6754.1</v>
      </c>
      <c r="BB30" s="120">
        <f>Economic!E30</f>
        <v>6726.6</v>
      </c>
      <c r="BC30" s="120">
        <f>Economic!F30</f>
        <v>3045.2</v>
      </c>
      <c r="BD30" s="120">
        <f>Economic!G30</f>
        <v>3033.5</v>
      </c>
      <c r="BE30" s="120">
        <f>Economic!H30</f>
        <v>374.2</v>
      </c>
      <c r="BF30" s="120">
        <f>Economic!I30</f>
        <v>372.4</v>
      </c>
      <c r="BG30" s="123">
        <f t="shared" ref="BG30:BX30" si="46">BG18</f>
        <v>31</v>
      </c>
      <c r="BH30" s="123">
        <v>21</v>
      </c>
      <c r="BI30" s="123">
        <f t="shared" si="41"/>
        <v>29</v>
      </c>
      <c r="BJ30" s="123">
        <f t="shared" si="46"/>
        <v>0</v>
      </c>
      <c r="BK30" s="123">
        <f t="shared" si="46"/>
        <v>0</v>
      </c>
      <c r="BL30" s="123">
        <f t="shared" si="46"/>
        <v>0</v>
      </c>
      <c r="BM30" s="123">
        <f t="shared" si="46"/>
        <v>0</v>
      </c>
      <c r="BN30" s="123">
        <f t="shared" si="46"/>
        <v>1</v>
      </c>
      <c r="BO30" s="123">
        <f t="shared" si="46"/>
        <v>0</v>
      </c>
      <c r="BP30" s="123">
        <f t="shared" si="46"/>
        <v>0</v>
      </c>
      <c r="BQ30" s="123">
        <f t="shared" si="46"/>
        <v>0</v>
      </c>
      <c r="BR30" s="123">
        <f t="shared" si="46"/>
        <v>0</v>
      </c>
      <c r="BS30" s="123">
        <f t="shared" si="46"/>
        <v>0</v>
      </c>
      <c r="BT30" s="123">
        <f t="shared" si="46"/>
        <v>0</v>
      </c>
      <c r="BU30" s="123">
        <f t="shared" si="46"/>
        <v>0</v>
      </c>
      <c r="BV30" s="123">
        <f t="shared" si="46"/>
        <v>1</v>
      </c>
      <c r="BW30" s="123">
        <f t="shared" si="46"/>
        <v>0</v>
      </c>
      <c r="BX30" s="123">
        <f t="shared" si="46"/>
        <v>1</v>
      </c>
      <c r="BY30" s="124">
        <v>0</v>
      </c>
      <c r="BZ30" s="124">
        <v>0</v>
      </c>
      <c r="CA30" s="124">
        <f t="shared" si="8"/>
        <v>0</v>
      </c>
      <c r="CB30" s="124">
        <f t="shared" si="9"/>
        <v>0</v>
      </c>
      <c r="CC30" s="124">
        <f t="shared" si="10"/>
        <v>0</v>
      </c>
      <c r="CD30" s="124">
        <f t="shared" si="11"/>
        <v>0</v>
      </c>
      <c r="CE30" s="124">
        <f t="shared" si="12"/>
        <v>0</v>
      </c>
      <c r="CF30" s="124">
        <f t="shared" si="13"/>
        <v>0</v>
      </c>
      <c r="CG30" s="124">
        <f t="shared" si="14"/>
        <v>0</v>
      </c>
      <c r="CH30" s="124">
        <f t="shared" si="15"/>
        <v>0</v>
      </c>
      <c r="CI30" s="124">
        <f t="shared" si="16"/>
        <v>0</v>
      </c>
      <c r="CJ30" s="124">
        <f t="shared" si="17"/>
        <v>0</v>
      </c>
      <c r="CK30" s="124">
        <f t="shared" si="18"/>
        <v>0</v>
      </c>
      <c r="CL30" s="124">
        <f t="shared" si="19"/>
        <v>0</v>
      </c>
      <c r="CM30" s="124">
        <f t="shared" si="20"/>
        <v>0</v>
      </c>
      <c r="CN30" s="124">
        <f t="shared" si="21"/>
        <v>0</v>
      </c>
      <c r="CO30" s="124">
        <f t="shared" si="22"/>
        <v>0</v>
      </c>
      <c r="CP30" s="124">
        <f t="shared" si="23"/>
        <v>0</v>
      </c>
      <c r="CQ30" s="138">
        <f t="shared" si="24"/>
        <v>676.89823687567161</v>
      </c>
      <c r="CR30" s="138">
        <f t="shared" si="25"/>
        <v>2817.9797111841667</v>
      </c>
      <c r="CS30" s="138">
        <f t="shared" si="26"/>
        <v>62134.316588391484</v>
      </c>
    </row>
    <row r="31" spans="1:97" x14ac:dyDescent="0.2">
      <c r="A31" s="114">
        <v>41426</v>
      </c>
      <c r="B31">
        <f t="shared" si="27"/>
        <v>2013</v>
      </c>
      <c r="C31">
        <f t="shared" si="28"/>
        <v>6</v>
      </c>
      <c r="D31" s="131">
        <v>24630971.620000005</v>
      </c>
      <c r="E31" s="131">
        <f>VLOOKUP($B31,'Historic CDM'!$L$5:$R$17,2,FALSE)/12</f>
        <v>89162.051531255813</v>
      </c>
      <c r="F31" s="131">
        <f t="shared" si="4"/>
        <v>24720133.67153126</v>
      </c>
      <c r="G31" s="131">
        <v>6715915.2699999977</v>
      </c>
      <c r="H31" s="131">
        <f>VLOOKUP($B31,'Historic CDM'!$L$5:$R$17,3,FALSE)/12</f>
        <v>64448.148935414909</v>
      </c>
      <c r="I31" s="131">
        <f t="shared" si="5"/>
        <v>6780363.4189354125</v>
      </c>
      <c r="J31" s="131">
        <v>16748419.359999999</v>
      </c>
      <c r="K31" s="131">
        <f>VLOOKUP($B31,'Historic CDM'!$L$5:$R$17,4,FALSE)/12</f>
        <v>344677.17204248341</v>
      </c>
      <c r="L31" s="131">
        <f t="shared" si="6"/>
        <v>17093096.532042481</v>
      </c>
      <c r="N31" s="131">
        <f>VLOOKUP($B31,'Historic CDM'!$L$5:$R$17,5,FALSE)/12</f>
        <v>83304.695113976763</v>
      </c>
      <c r="Q31" s="131">
        <f>VLOOKUP($B31,'Historic CDM'!$L$5:$R$17,6,FALSE)/12</f>
        <v>22332.548243552799</v>
      </c>
      <c r="AA31" s="41">
        <v>30825</v>
      </c>
      <c r="AB31" s="125">
        <v>2453</v>
      </c>
      <c r="AC31" s="125">
        <v>273</v>
      </c>
      <c r="AI31" s="104">
        <f>Weather!C139</f>
        <v>18.886666666666667</v>
      </c>
      <c r="AJ31" s="104">
        <f>Weather!D139</f>
        <v>108.39999999999998</v>
      </c>
      <c r="AK31" s="104">
        <f>Weather!E139</f>
        <v>15.000000000000004</v>
      </c>
      <c r="AL31" s="104">
        <f>Weather!F139</f>
        <v>64.599999999999994</v>
      </c>
      <c r="AM31" s="104">
        <f>Weather!G139</f>
        <v>31.200000000000006</v>
      </c>
      <c r="AN31" s="104">
        <f>Weather!H139</f>
        <v>32.999999999999993</v>
      </c>
      <c r="AO31" s="104">
        <f>Weather!I139</f>
        <v>59.6</v>
      </c>
      <c r="AP31" s="104">
        <f>Weather!J139</f>
        <v>12.7</v>
      </c>
      <c r="AQ31" s="104">
        <f>Weather!K139</f>
        <v>99.300000000000011</v>
      </c>
      <c r="AR31" s="104">
        <f>Weather!L139</f>
        <v>2.5999999999999996</v>
      </c>
      <c r="AS31" s="104">
        <f>Weather!M139</f>
        <v>149.19999999999999</v>
      </c>
      <c r="AT31" s="104">
        <f>Weather!N139</f>
        <v>0.40000000000000036</v>
      </c>
      <c r="AU31" s="104">
        <f>Weather!O139</f>
        <v>207.00000000000006</v>
      </c>
      <c r="AV31" s="104">
        <f>Weather!P139</f>
        <v>0</v>
      </c>
      <c r="AW31" s="104">
        <f>Weather!Q139</f>
        <v>266.60000000000002</v>
      </c>
      <c r="AX31" s="104">
        <f>Weather!R139</f>
        <v>0</v>
      </c>
      <c r="AY31" s="104">
        <f>Weather!S139</f>
        <v>326.60000000000002</v>
      </c>
      <c r="AZ31" s="119">
        <f>Economic!C31</f>
        <v>643937</v>
      </c>
      <c r="BA31" s="120">
        <f>Economic!D31</f>
        <v>6766.1</v>
      </c>
      <c r="BB31" s="120">
        <f>Economic!E31</f>
        <v>6812.7</v>
      </c>
      <c r="BC31" s="120">
        <f>Economic!F31</f>
        <v>3060.2</v>
      </c>
      <c r="BD31" s="120">
        <f>Economic!G31</f>
        <v>3075</v>
      </c>
      <c r="BE31" s="120">
        <f>Economic!H31</f>
        <v>372.8</v>
      </c>
      <c r="BF31" s="120">
        <f>Economic!I31</f>
        <v>374.3</v>
      </c>
      <c r="BG31" s="123">
        <f t="shared" ref="BG31:BX31" si="47">BG19</f>
        <v>30</v>
      </c>
      <c r="BH31" s="123">
        <v>22</v>
      </c>
      <c r="BI31" s="123">
        <f t="shared" si="41"/>
        <v>30</v>
      </c>
      <c r="BJ31" s="123">
        <f t="shared" si="47"/>
        <v>0</v>
      </c>
      <c r="BK31" s="123">
        <f t="shared" si="47"/>
        <v>0</v>
      </c>
      <c r="BL31" s="123">
        <f t="shared" si="47"/>
        <v>0</v>
      </c>
      <c r="BM31" s="123">
        <f t="shared" si="47"/>
        <v>0</v>
      </c>
      <c r="BN31" s="123">
        <f t="shared" si="47"/>
        <v>0</v>
      </c>
      <c r="BO31" s="123">
        <f t="shared" si="47"/>
        <v>1</v>
      </c>
      <c r="BP31" s="123">
        <f t="shared" si="47"/>
        <v>0</v>
      </c>
      <c r="BQ31" s="123">
        <f t="shared" si="47"/>
        <v>0</v>
      </c>
      <c r="BR31" s="123">
        <f t="shared" si="47"/>
        <v>0</v>
      </c>
      <c r="BS31" s="123">
        <f t="shared" si="47"/>
        <v>0</v>
      </c>
      <c r="BT31" s="123">
        <f t="shared" si="47"/>
        <v>0</v>
      </c>
      <c r="BU31" s="123">
        <f t="shared" si="47"/>
        <v>0</v>
      </c>
      <c r="BV31" s="123">
        <f t="shared" si="47"/>
        <v>0</v>
      </c>
      <c r="BW31" s="123">
        <f t="shared" si="47"/>
        <v>0</v>
      </c>
      <c r="BX31" s="123">
        <f t="shared" si="47"/>
        <v>0</v>
      </c>
      <c r="BY31" s="124">
        <v>0</v>
      </c>
      <c r="BZ31" s="124">
        <v>0</v>
      </c>
      <c r="CA31" s="124">
        <f t="shared" si="8"/>
        <v>0</v>
      </c>
      <c r="CB31" s="124">
        <f t="shared" si="9"/>
        <v>0</v>
      </c>
      <c r="CC31" s="124">
        <f t="shared" si="10"/>
        <v>0</v>
      </c>
      <c r="CD31" s="124">
        <f t="shared" si="11"/>
        <v>0</v>
      </c>
      <c r="CE31" s="124">
        <f t="shared" si="12"/>
        <v>0</v>
      </c>
      <c r="CF31" s="124">
        <f t="shared" si="13"/>
        <v>0</v>
      </c>
      <c r="CG31" s="124">
        <f t="shared" si="14"/>
        <v>0</v>
      </c>
      <c r="CH31" s="124">
        <f t="shared" si="15"/>
        <v>0</v>
      </c>
      <c r="CI31" s="124">
        <f t="shared" si="16"/>
        <v>0</v>
      </c>
      <c r="CJ31" s="124">
        <f t="shared" si="17"/>
        <v>0</v>
      </c>
      <c r="CK31" s="124">
        <f t="shared" si="18"/>
        <v>0</v>
      </c>
      <c r="CL31" s="124">
        <f t="shared" si="19"/>
        <v>0</v>
      </c>
      <c r="CM31" s="124">
        <f t="shared" si="20"/>
        <v>0</v>
      </c>
      <c r="CN31" s="124">
        <f t="shared" si="21"/>
        <v>0</v>
      </c>
      <c r="CO31" s="124">
        <f t="shared" si="22"/>
        <v>0</v>
      </c>
      <c r="CP31" s="124">
        <f t="shared" si="23"/>
        <v>0</v>
      </c>
      <c r="CQ31" s="138">
        <f t="shared" si="24"/>
        <v>801.95080848438795</v>
      </c>
      <c r="CR31" s="138">
        <f t="shared" si="25"/>
        <v>2764.1106477519006</v>
      </c>
      <c r="CS31" s="138">
        <f t="shared" si="26"/>
        <v>62612.075208946815</v>
      </c>
    </row>
    <row r="32" spans="1:97" x14ac:dyDescent="0.2">
      <c r="A32" s="115">
        <v>41456</v>
      </c>
      <c r="B32">
        <f t="shared" si="27"/>
        <v>2013</v>
      </c>
      <c r="C32">
        <f t="shared" si="28"/>
        <v>7</v>
      </c>
      <c r="D32" s="131">
        <v>30978235.180000015</v>
      </c>
      <c r="E32" s="131">
        <f>VLOOKUP($B32,'Historic CDM'!$L$5:$R$17,2,FALSE)/12</f>
        <v>89162.051531255813</v>
      </c>
      <c r="F32" s="131">
        <f t="shared" si="4"/>
        <v>31067397.23153127</v>
      </c>
      <c r="G32" s="131">
        <v>7529495.0199999996</v>
      </c>
      <c r="H32" s="131">
        <f>VLOOKUP($B32,'Historic CDM'!$L$5:$R$17,3,FALSE)/12</f>
        <v>64448.148935414909</v>
      </c>
      <c r="I32" s="131">
        <f t="shared" si="5"/>
        <v>7593943.1689354144</v>
      </c>
      <c r="J32" s="131">
        <v>17797829.260000005</v>
      </c>
      <c r="K32" s="131">
        <f>VLOOKUP($B32,'Historic CDM'!$L$5:$R$17,4,FALSE)/12</f>
        <v>344677.17204248341</v>
      </c>
      <c r="L32" s="131">
        <f t="shared" si="6"/>
        <v>18142506.432042487</v>
      </c>
      <c r="N32" s="131">
        <f>VLOOKUP($B32,'Historic CDM'!$L$5:$R$17,5,FALSE)/12</f>
        <v>83304.695113976763</v>
      </c>
      <c r="Q32" s="131">
        <f>VLOOKUP($B32,'Historic CDM'!$L$5:$R$17,6,FALSE)/12</f>
        <v>22332.548243552799</v>
      </c>
      <c r="AA32" s="41">
        <v>30936</v>
      </c>
      <c r="AB32" s="125">
        <v>2456</v>
      </c>
      <c r="AC32" s="125">
        <v>271</v>
      </c>
      <c r="AI32" s="104">
        <f>Weather!C140</f>
        <v>22.299999999999994</v>
      </c>
      <c r="AJ32" s="104">
        <f>Weather!D140</f>
        <v>40.599999999999994</v>
      </c>
      <c r="AK32" s="104">
        <f>Weather!E140</f>
        <v>49.9</v>
      </c>
      <c r="AL32" s="104">
        <f>Weather!F140</f>
        <v>13.399999999999999</v>
      </c>
      <c r="AM32" s="104">
        <f>Weather!G140</f>
        <v>84.699999999999989</v>
      </c>
      <c r="AN32" s="104">
        <f>Weather!H140</f>
        <v>1.3000000000000007</v>
      </c>
      <c r="AO32" s="104">
        <f>Weather!I140</f>
        <v>134.6</v>
      </c>
      <c r="AP32" s="104">
        <f>Weather!J140</f>
        <v>0</v>
      </c>
      <c r="AQ32" s="104">
        <f>Weather!K140</f>
        <v>195.3</v>
      </c>
      <c r="AR32" s="104">
        <f>Weather!L140</f>
        <v>0</v>
      </c>
      <c r="AS32" s="104">
        <f>Weather!M140</f>
        <v>257.30000000000007</v>
      </c>
      <c r="AT32" s="104">
        <f>Weather!N140</f>
        <v>0</v>
      </c>
      <c r="AU32" s="104">
        <f>Weather!O140</f>
        <v>319.3</v>
      </c>
      <c r="AV32" s="104">
        <f>Weather!P140</f>
        <v>0</v>
      </c>
      <c r="AW32" s="104">
        <f>Weather!Q140</f>
        <v>381.29999999999995</v>
      </c>
      <c r="AX32" s="104">
        <f>Weather!R140</f>
        <v>0</v>
      </c>
      <c r="AY32" s="104">
        <f>Weather!S140</f>
        <v>443.29999999999984</v>
      </c>
      <c r="AZ32" s="119">
        <f>Economic!C32</f>
        <v>643937</v>
      </c>
      <c r="BA32" s="120">
        <f>Economic!D32</f>
        <v>6774.7</v>
      </c>
      <c r="BB32" s="120">
        <f>Economic!E32</f>
        <v>6863.4</v>
      </c>
      <c r="BC32" s="120">
        <f>Economic!F32</f>
        <v>3066.1</v>
      </c>
      <c r="BD32" s="120">
        <f>Economic!G32</f>
        <v>3092</v>
      </c>
      <c r="BE32" s="120">
        <f>Economic!H32</f>
        <v>370.3</v>
      </c>
      <c r="BF32" s="120">
        <f>Economic!I32</f>
        <v>374.1</v>
      </c>
      <c r="BG32" s="123">
        <f t="shared" ref="BG32:BX32" si="48">BG20</f>
        <v>31</v>
      </c>
      <c r="BH32" s="123">
        <v>20</v>
      </c>
      <c r="BI32" s="123">
        <f t="shared" si="41"/>
        <v>31</v>
      </c>
      <c r="BJ32" s="123">
        <f t="shared" si="48"/>
        <v>0</v>
      </c>
      <c r="BK32" s="123">
        <f t="shared" si="48"/>
        <v>0</v>
      </c>
      <c r="BL32" s="123">
        <f t="shared" si="48"/>
        <v>0</v>
      </c>
      <c r="BM32" s="123">
        <f t="shared" si="48"/>
        <v>0</v>
      </c>
      <c r="BN32" s="123">
        <f t="shared" si="48"/>
        <v>0</v>
      </c>
      <c r="BO32" s="123">
        <f t="shared" si="48"/>
        <v>0</v>
      </c>
      <c r="BP32" s="123">
        <f t="shared" si="48"/>
        <v>1</v>
      </c>
      <c r="BQ32" s="123">
        <f t="shared" si="48"/>
        <v>0</v>
      </c>
      <c r="BR32" s="123">
        <f t="shared" si="48"/>
        <v>0</v>
      </c>
      <c r="BS32" s="123">
        <f t="shared" si="48"/>
        <v>0</v>
      </c>
      <c r="BT32" s="123">
        <f t="shared" si="48"/>
        <v>0</v>
      </c>
      <c r="BU32" s="123">
        <f t="shared" si="48"/>
        <v>0</v>
      </c>
      <c r="BV32" s="123">
        <f t="shared" si="48"/>
        <v>0</v>
      </c>
      <c r="BW32" s="123">
        <f t="shared" si="48"/>
        <v>0</v>
      </c>
      <c r="BX32" s="123">
        <f t="shared" si="48"/>
        <v>0</v>
      </c>
      <c r="BY32" s="124">
        <v>0</v>
      </c>
      <c r="BZ32" s="124">
        <v>0</v>
      </c>
      <c r="CA32" s="124">
        <f t="shared" si="8"/>
        <v>0</v>
      </c>
      <c r="CB32" s="124">
        <f t="shared" si="9"/>
        <v>0</v>
      </c>
      <c r="CC32" s="124">
        <f t="shared" si="10"/>
        <v>0</v>
      </c>
      <c r="CD32" s="124">
        <f t="shared" si="11"/>
        <v>0</v>
      </c>
      <c r="CE32" s="124">
        <f t="shared" si="12"/>
        <v>0</v>
      </c>
      <c r="CF32" s="124">
        <f t="shared" si="13"/>
        <v>0</v>
      </c>
      <c r="CG32" s="124">
        <f t="shared" si="14"/>
        <v>0</v>
      </c>
      <c r="CH32" s="124">
        <f t="shared" si="15"/>
        <v>0</v>
      </c>
      <c r="CI32" s="124">
        <f t="shared" si="16"/>
        <v>0</v>
      </c>
      <c r="CJ32" s="124">
        <f t="shared" si="17"/>
        <v>0</v>
      </c>
      <c r="CK32" s="124">
        <f t="shared" si="18"/>
        <v>0</v>
      </c>
      <c r="CL32" s="124">
        <f t="shared" si="19"/>
        <v>0</v>
      </c>
      <c r="CM32" s="124">
        <f t="shared" si="20"/>
        <v>0</v>
      </c>
      <c r="CN32" s="124">
        <f t="shared" si="21"/>
        <v>0</v>
      </c>
      <c r="CO32" s="124">
        <f t="shared" si="22"/>
        <v>0</v>
      </c>
      <c r="CP32" s="124">
        <f t="shared" si="23"/>
        <v>0</v>
      </c>
      <c r="CQ32" s="138">
        <f t="shared" si="24"/>
        <v>1004.2473891754354</v>
      </c>
      <c r="CR32" s="138">
        <f t="shared" si="25"/>
        <v>3091.996404289664</v>
      </c>
      <c r="CS32" s="138">
        <f t="shared" si="26"/>
        <v>66946.518199418773</v>
      </c>
    </row>
    <row r="33" spans="1:97" x14ac:dyDescent="0.2">
      <c r="A33" s="114">
        <v>41487</v>
      </c>
      <c r="B33">
        <f t="shared" si="27"/>
        <v>2013</v>
      </c>
      <c r="C33">
        <f t="shared" si="28"/>
        <v>8</v>
      </c>
      <c r="D33" s="131">
        <v>28353597.569999993</v>
      </c>
      <c r="E33" s="131">
        <f>VLOOKUP($B33,'Historic CDM'!$L$5:$R$17,2,FALSE)/12</f>
        <v>89162.051531255813</v>
      </c>
      <c r="F33" s="131">
        <f t="shared" si="4"/>
        <v>28442759.621531248</v>
      </c>
      <c r="G33" s="131">
        <v>7547300.5200000023</v>
      </c>
      <c r="H33" s="131">
        <f>VLOOKUP($B33,'Historic CDM'!$L$5:$R$17,3,FALSE)/12</f>
        <v>64448.148935414909</v>
      </c>
      <c r="I33" s="131">
        <f t="shared" si="5"/>
        <v>7611748.6689354172</v>
      </c>
      <c r="J33" s="131">
        <v>17433510.789999999</v>
      </c>
      <c r="K33" s="131">
        <f>VLOOKUP($B33,'Historic CDM'!$L$5:$R$17,4,FALSE)/12</f>
        <v>344677.17204248341</v>
      </c>
      <c r="L33" s="131">
        <f t="shared" si="6"/>
        <v>17778187.962042481</v>
      </c>
      <c r="N33" s="131">
        <f>VLOOKUP($B33,'Historic CDM'!$L$5:$R$17,5,FALSE)/12</f>
        <v>83304.695113976763</v>
      </c>
      <c r="Q33" s="131">
        <f>VLOOKUP($B33,'Historic CDM'!$L$5:$R$17,6,FALSE)/12</f>
        <v>22332.548243552799</v>
      </c>
      <c r="AA33" s="41">
        <v>30985</v>
      </c>
      <c r="AB33" s="125">
        <v>2459</v>
      </c>
      <c r="AC33" s="125">
        <v>271</v>
      </c>
      <c r="AI33" s="104">
        <f>Weather!C141</f>
        <v>20.883870967741935</v>
      </c>
      <c r="AJ33" s="104">
        <f>Weather!D141</f>
        <v>54.2</v>
      </c>
      <c r="AK33" s="104">
        <f>Weather!E141</f>
        <v>19.600000000000001</v>
      </c>
      <c r="AL33" s="104">
        <f>Weather!F141</f>
        <v>21.500000000000004</v>
      </c>
      <c r="AM33" s="104">
        <f>Weather!G141</f>
        <v>48.9</v>
      </c>
      <c r="AN33" s="104">
        <f>Weather!H141</f>
        <v>4.4000000000000021</v>
      </c>
      <c r="AO33" s="104">
        <f>Weather!I141</f>
        <v>93.800000000000011</v>
      </c>
      <c r="AP33" s="104">
        <f>Weather!J141</f>
        <v>0</v>
      </c>
      <c r="AQ33" s="104">
        <f>Weather!K141</f>
        <v>151.39999999999998</v>
      </c>
      <c r="AR33" s="104">
        <f>Weather!L141</f>
        <v>0</v>
      </c>
      <c r="AS33" s="104">
        <f>Weather!M141</f>
        <v>213.4</v>
      </c>
      <c r="AT33" s="104">
        <f>Weather!N141</f>
        <v>0</v>
      </c>
      <c r="AU33" s="104">
        <f>Weather!O141</f>
        <v>275.40000000000009</v>
      </c>
      <c r="AV33" s="104">
        <f>Weather!P141</f>
        <v>0</v>
      </c>
      <c r="AW33" s="104">
        <f>Weather!Q141</f>
        <v>337.40000000000003</v>
      </c>
      <c r="AX33" s="104">
        <f>Weather!R141</f>
        <v>0</v>
      </c>
      <c r="AY33" s="104">
        <f>Weather!S141</f>
        <v>399.40000000000009</v>
      </c>
      <c r="AZ33" s="119">
        <f>Economic!C33</f>
        <v>643937</v>
      </c>
      <c r="BA33" s="120">
        <f>Economic!D33</f>
        <v>6778.4</v>
      </c>
      <c r="BB33" s="120">
        <f>Economic!E33</f>
        <v>6876.4</v>
      </c>
      <c r="BC33" s="120">
        <f>Economic!F33</f>
        <v>3075.2</v>
      </c>
      <c r="BD33" s="120">
        <f>Economic!G33</f>
        <v>3112.6</v>
      </c>
      <c r="BE33" s="120">
        <f>Economic!H33</f>
        <v>360.8</v>
      </c>
      <c r="BF33" s="120">
        <f>Economic!I33</f>
        <v>363.5</v>
      </c>
      <c r="BG33" s="123">
        <f t="shared" ref="BG33:BX33" si="49">BG21</f>
        <v>31</v>
      </c>
      <c r="BH33" s="123">
        <v>22</v>
      </c>
      <c r="BI33" s="123">
        <f t="shared" si="41"/>
        <v>32</v>
      </c>
      <c r="BJ33" s="123">
        <f t="shared" si="49"/>
        <v>0</v>
      </c>
      <c r="BK33" s="123">
        <f t="shared" si="49"/>
        <v>0</v>
      </c>
      <c r="BL33" s="123">
        <f t="shared" si="49"/>
        <v>0</v>
      </c>
      <c r="BM33" s="123">
        <f t="shared" si="49"/>
        <v>0</v>
      </c>
      <c r="BN33" s="123">
        <f t="shared" si="49"/>
        <v>0</v>
      </c>
      <c r="BO33" s="123">
        <f t="shared" si="49"/>
        <v>0</v>
      </c>
      <c r="BP33" s="123">
        <f t="shared" si="49"/>
        <v>0</v>
      </c>
      <c r="BQ33" s="123">
        <f t="shared" si="49"/>
        <v>1</v>
      </c>
      <c r="BR33" s="123">
        <f t="shared" si="49"/>
        <v>0</v>
      </c>
      <c r="BS33" s="123">
        <f t="shared" si="49"/>
        <v>0</v>
      </c>
      <c r="BT33" s="123">
        <f t="shared" si="49"/>
        <v>0</v>
      </c>
      <c r="BU33" s="123">
        <f t="shared" si="49"/>
        <v>0</v>
      </c>
      <c r="BV33" s="123">
        <f t="shared" si="49"/>
        <v>0</v>
      </c>
      <c r="BW33" s="123">
        <f t="shared" si="49"/>
        <v>0</v>
      </c>
      <c r="BX33" s="123">
        <f t="shared" si="49"/>
        <v>0</v>
      </c>
      <c r="BY33" s="124">
        <v>0</v>
      </c>
      <c r="BZ33" s="124">
        <v>0</v>
      </c>
      <c r="CA33" s="124">
        <f t="shared" si="8"/>
        <v>0</v>
      </c>
      <c r="CB33" s="124">
        <f t="shared" si="9"/>
        <v>0</v>
      </c>
      <c r="CC33" s="124">
        <f t="shared" si="10"/>
        <v>0</v>
      </c>
      <c r="CD33" s="124">
        <f t="shared" si="11"/>
        <v>0</v>
      </c>
      <c r="CE33" s="124">
        <f t="shared" si="12"/>
        <v>0</v>
      </c>
      <c r="CF33" s="124">
        <f t="shared" si="13"/>
        <v>0</v>
      </c>
      <c r="CG33" s="124">
        <f t="shared" si="14"/>
        <v>0</v>
      </c>
      <c r="CH33" s="124">
        <f t="shared" si="15"/>
        <v>0</v>
      </c>
      <c r="CI33" s="124">
        <f t="shared" si="16"/>
        <v>0</v>
      </c>
      <c r="CJ33" s="124">
        <f t="shared" si="17"/>
        <v>0</v>
      </c>
      <c r="CK33" s="124">
        <f t="shared" si="18"/>
        <v>0</v>
      </c>
      <c r="CL33" s="124">
        <f t="shared" si="19"/>
        <v>0</v>
      </c>
      <c r="CM33" s="124">
        <f t="shared" si="20"/>
        <v>0</v>
      </c>
      <c r="CN33" s="124">
        <f t="shared" si="21"/>
        <v>0</v>
      </c>
      <c r="CO33" s="124">
        <f t="shared" si="22"/>
        <v>0</v>
      </c>
      <c r="CP33" s="124">
        <f t="shared" si="23"/>
        <v>0</v>
      </c>
      <c r="CQ33" s="138">
        <f t="shared" si="24"/>
        <v>917.9525454746248</v>
      </c>
      <c r="CR33" s="138">
        <f t="shared" si="25"/>
        <v>3095.4650951343706</v>
      </c>
      <c r="CS33" s="138">
        <f t="shared" si="26"/>
        <v>65602.169601632777</v>
      </c>
    </row>
    <row r="34" spans="1:97" x14ac:dyDescent="0.2">
      <c r="A34" s="115">
        <v>41518</v>
      </c>
      <c r="B34">
        <f t="shared" si="27"/>
        <v>2013</v>
      </c>
      <c r="C34">
        <f t="shared" si="28"/>
        <v>9</v>
      </c>
      <c r="D34" s="131">
        <v>20823560.830000009</v>
      </c>
      <c r="E34" s="131">
        <f>VLOOKUP($B34,'Historic CDM'!$L$5:$R$17,2,FALSE)/12</f>
        <v>89162.051531255813</v>
      </c>
      <c r="F34" s="131">
        <f t="shared" si="4"/>
        <v>20912722.881531265</v>
      </c>
      <c r="G34" s="131">
        <v>6186232.4199999981</v>
      </c>
      <c r="H34" s="131">
        <f>VLOOKUP($B34,'Historic CDM'!$L$5:$R$17,3,FALSE)/12</f>
        <v>64448.148935414909</v>
      </c>
      <c r="I34" s="131">
        <f t="shared" si="5"/>
        <v>6250680.5689354129</v>
      </c>
      <c r="J34" s="131">
        <v>16323800.050000003</v>
      </c>
      <c r="K34" s="131">
        <f>VLOOKUP($B34,'Historic CDM'!$L$5:$R$17,4,FALSE)/12</f>
        <v>344677.17204248341</v>
      </c>
      <c r="L34" s="131">
        <f t="shared" si="6"/>
        <v>16668477.222042486</v>
      </c>
      <c r="N34" s="131">
        <f>VLOOKUP($B34,'Historic CDM'!$L$5:$R$17,5,FALSE)/12</f>
        <v>83304.695113976763</v>
      </c>
      <c r="Q34" s="131">
        <f>VLOOKUP($B34,'Historic CDM'!$L$5:$R$17,6,FALSE)/12</f>
        <v>22332.548243552799</v>
      </c>
      <c r="AA34" s="41">
        <v>31028</v>
      </c>
      <c r="AB34" s="125">
        <v>2460</v>
      </c>
      <c r="AC34" s="125">
        <v>272</v>
      </c>
      <c r="AI34" s="104">
        <f>Weather!C142</f>
        <v>15.936666666666666</v>
      </c>
      <c r="AJ34" s="104">
        <f>Weather!D142</f>
        <v>190.49999999999997</v>
      </c>
      <c r="AK34" s="104">
        <f>Weather!E142</f>
        <v>8.6000000000000014</v>
      </c>
      <c r="AL34" s="104">
        <f>Weather!F142</f>
        <v>137.19999999999999</v>
      </c>
      <c r="AM34" s="104">
        <f>Weather!G142</f>
        <v>15.3</v>
      </c>
      <c r="AN34" s="104">
        <f>Weather!H142</f>
        <v>90</v>
      </c>
      <c r="AO34" s="104">
        <f>Weather!I142</f>
        <v>28.1</v>
      </c>
      <c r="AP34" s="104">
        <f>Weather!J142</f>
        <v>49.2</v>
      </c>
      <c r="AQ34" s="104">
        <f>Weather!K142</f>
        <v>47.3</v>
      </c>
      <c r="AR34" s="104">
        <f>Weather!L142</f>
        <v>22.099999999999998</v>
      </c>
      <c r="AS34" s="104">
        <f>Weather!M142</f>
        <v>80.200000000000017</v>
      </c>
      <c r="AT34" s="104">
        <f>Weather!N142</f>
        <v>7</v>
      </c>
      <c r="AU34" s="104">
        <f>Weather!O142</f>
        <v>125.1</v>
      </c>
      <c r="AV34" s="104">
        <f>Weather!P142</f>
        <v>0</v>
      </c>
      <c r="AW34" s="104">
        <f>Weather!Q142</f>
        <v>178.1</v>
      </c>
      <c r="AX34" s="104">
        <f>Weather!R142</f>
        <v>0</v>
      </c>
      <c r="AY34" s="104">
        <f>Weather!S142</f>
        <v>238.10000000000002</v>
      </c>
      <c r="AZ34" s="119">
        <f>Economic!C34</f>
        <v>643937</v>
      </c>
      <c r="BA34" s="120">
        <f>Economic!D34</f>
        <v>6782.1</v>
      </c>
      <c r="BB34" s="120">
        <f>Economic!E34</f>
        <v>6841.7</v>
      </c>
      <c r="BC34" s="120">
        <f>Economic!F34</f>
        <v>3080.1</v>
      </c>
      <c r="BD34" s="120">
        <f>Economic!G34</f>
        <v>3108.4</v>
      </c>
      <c r="BE34" s="120">
        <f>Economic!H34</f>
        <v>357.7</v>
      </c>
      <c r="BF34" s="120">
        <f>Economic!I34</f>
        <v>359.3</v>
      </c>
      <c r="BG34" s="123">
        <f t="shared" ref="BG34:BX34" si="50">BG22</f>
        <v>30</v>
      </c>
      <c r="BH34" s="123">
        <v>21</v>
      </c>
      <c r="BI34" s="123">
        <f t="shared" si="41"/>
        <v>33</v>
      </c>
      <c r="BJ34" s="123">
        <f t="shared" si="50"/>
        <v>0</v>
      </c>
      <c r="BK34" s="123">
        <f t="shared" si="50"/>
        <v>0</v>
      </c>
      <c r="BL34" s="123">
        <f t="shared" si="50"/>
        <v>0</v>
      </c>
      <c r="BM34" s="123">
        <f t="shared" si="50"/>
        <v>0</v>
      </c>
      <c r="BN34" s="123">
        <f t="shared" si="50"/>
        <v>0</v>
      </c>
      <c r="BO34" s="123">
        <f t="shared" si="50"/>
        <v>0</v>
      </c>
      <c r="BP34" s="123">
        <f t="shared" si="50"/>
        <v>0</v>
      </c>
      <c r="BQ34" s="123">
        <f t="shared" si="50"/>
        <v>0</v>
      </c>
      <c r="BR34" s="123">
        <f t="shared" si="50"/>
        <v>1</v>
      </c>
      <c r="BS34" s="123">
        <f t="shared" si="50"/>
        <v>0</v>
      </c>
      <c r="BT34" s="123">
        <f t="shared" si="50"/>
        <v>0</v>
      </c>
      <c r="BU34" s="123">
        <f t="shared" si="50"/>
        <v>0</v>
      </c>
      <c r="BV34" s="123">
        <f t="shared" si="50"/>
        <v>0</v>
      </c>
      <c r="BW34" s="123">
        <f t="shared" si="50"/>
        <v>1</v>
      </c>
      <c r="BX34" s="123">
        <f t="shared" si="50"/>
        <v>1</v>
      </c>
      <c r="BY34" s="124">
        <v>0</v>
      </c>
      <c r="BZ34" s="124">
        <v>0</v>
      </c>
      <c r="CA34" s="124">
        <f t="shared" si="8"/>
        <v>0</v>
      </c>
      <c r="CB34" s="124">
        <f t="shared" si="9"/>
        <v>0</v>
      </c>
      <c r="CC34" s="124">
        <f t="shared" si="10"/>
        <v>0</v>
      </c>
      <c r="CD34" s="124">
        <f t="shared" si="11"/>
        <v>0</v>
      </c>
      <c r="CE34" s="124">
        <f t="shared" si="12"/>
        <v>0</v>
      </c>
      <c r="CF34" s="124">
        <f t="shared" si="13"/>
        <v>0</v>
      </c>
      <c r="CG34" s="124">
        <f t="shared" si="14"/>
        <v>0</v>
      </c>
      <c r="CH34" s="124">
        <f t="shared" si="15"/>
        <v>0</v>
      </c>
      <c r="CI34" s="124">
        <f t="shared" si="16"/>
        <v>0</v>
      </c>
      <c r="CJ34" s="124">
        <f t="shared" si="17"/>
        <v>0</v>
      </c>
      <c r="CK34" s="124">
        <f t="shared" si="18"/>
        <v>0</v>
      </c>
      <c r="CL34" s="124">
        <f t="shared" si="19"/>
        <v>0</v>
      </c>
      <c r="CM34" s="124">
        <f t="shared" si="20"/>
        <v>0</v>
      </c>
      <c r="CN34" s="124">
        <f t="shared" si="21"/>
        <v>0</v>
      </c>
      <c r="CO34" s="124">
        <f t="shared" si="22"/>
        <v>0</v>
      </c>
      <c r="CP34" s="124">
        <f t="shared" si="23"/>
        <v>0</v>
      </c>
      <c r="CQ34" s="138">
        <f t="shared" si="24"/>
        <v>673.99519406765705</v>
      </c>
      <c r="CR34" s="138">
        <f t="shared" si="25"/>
        <v>2540.927060542851</v>
      </c>
      <c r="CS34" s="138">
        <f t="shared" si="26"/>
        <v>61281.16625750914</v>
      </c>
    </row>
    <row r="35" spans="1:97" x14ac:dyDescent="0.2">
      <c r="A35" s="114">
        <v>41548</v>
      </c>
      <c r="B35">
        <f t="shared" si="27"/>
        <v>2013</v>
      </c>
      <c r="C35">
        <f t="shared" si="28"/>
        <v>10</v>
      </c>
      <c r="D35" s="131">
        <v>20892190.989999991</v>
      </c>
      <c r="E35" s="131">
        <f>VLOOKUP($B35,'Historic CDM'!$L$5:$R$17,2,FALSE)/12</f>
        <v>89162.051531255813</v>
      </c>
      <c r="F35" s="131">
        <f t="shared" si="4"/>
        <v>20981353.041531246</v>
      </c>
      <c r="G35" s="131">
        <v>6762438.1099999994</v>
      </c>
      <c r="H35" s="131">
        <f>VLOOKUP($B35,'Historic CDM'!$L$5:$R$17,3,FALSE)/12</f>
        <v>64448.148935414909</v>
      </c>
      <c r="I35" s="131">
        <f t="shared" si="5"/>
        <v>6826886.2589354143</v>
      </c>
      <c r="J35" s="131">
        <v>16888949.909999996</v>
      </c>
      <c r="K35" s="131">
        <f>VLOOKUP($B35,'Historic CDM'!$L$5:$R$17,4,FALSE)/12</f>
        <v>344677.17204248341</v>
      </c>
      <c r="L35" s="131">
        <f t="shared" si="6"/>
        <v>17233627.082042478</v>
      </c>
      <c r="N35" s="131">
        <f>VLOOKUP($B35,'Historic CDM'!$L$5:$R$17,5,FALSE)/12</f>
        <v>83304.695113976763</v>
      </c>
      <c r="Q35" s="131">
        <f>VLOOKUP($B35,'Historic CDM'!$L$5:$R$17,6,FALSE)/12</f>
        <v>22332.548243552799</v>
      </c>
      <c r="AA35" s="41">
        <v>31160</v>
      </c>
      <c r="AB35" s="125">
        <v>2463</v>
      </c>
      <c r="AC35" s="125">
        <v>274</v>
      </c>
      <c r="AI35" s="104">
        <f>Weather!C143</f>
        <v>10.796774193548389</v>
      </c>
      <c r="AJ35" s="104">
        <f>Weather!D143</f>
        <v>347.3</v>
      </c>
      <c r="AK35" s="104">
        <f>Weather!E143</f>
        <v>0</v>
      </c>
      <c r="AL35" s="104">
        <f>Weather!F143</f>
        <v>285.3</v>
      </c>
      <c r="AM35" s="104">
        <f>Weather!G143</f>
        <v>0</v>
      </c>
      <c r="AN35" s="104">
        <f>Weather!H143</f>
        <v>223.7</v>
      </c>
      <c r="AO35" s="104">
        <f>Weather!I143</f>
        <v>0.39999999999999858</v>
      </c>
      <c r="AP35" s="104">
        <f>Weather!J143</f>
        <v>166</v>
      </c>
      <c r="AQ35" s="104">
        <f>Weather!K143</f>
        <v>4.6999999999999993</v>
      </c>
      <c r="AR35" s="104">
        <f>Weather!L143</f>
        <v>115.4</v>
      </c>
      <c r="AS35" s="104">
        <f>Weather!M143</f>
        <v>16.100000000000001</v>
      </c>
      <c r="AT35" s="104">
        <f>Weather!N143</f>
        <v>75.2</v>
      </c>
      <c r="AU35" s="104">
        <f>Weather!O143</f>
        <v>37.9</v>
      </c>
      <c r="AV35" s="104">
        <f>Weather!P143</f>
        <v>50.6</v>
      </c>
      <c r="AW35" s="104">
        <f>Weather!Q143</f>
        <v>75.3</v>
      </c>
      <c r="AX35" s="104">
        <f>Weather!R143</f>
        <v>28.700000000000003</v>
      </c>
      <c r="AY35" s="104">
        <f>Weather!S143</f>
        <v>115.39999999999999</v>
      </c>
      <c r="AZ35" s="119">
        <f>Economic!C35</f>
        <v>643937</v>
      </c>
      <c r="BA35" s="120">
        <f>Economic!D35</f>
        <v>6784.2</v>
      </c>
      <c r="BB35" s="120">
        <f>Economic!E35</f>
        <v>6821.6</v>
      </c>
      <c r="BC35" s="120">
        <f>Economic!F35</f>
        <v>3079.6</v>
      </c>
      <c r="BD35" s="120">
        <f>Economic!G35</f>
        <v>3099.3</v>
      </c>
      <c r="BE35" s="120">
        <f>Economic!H35</f>
        <v>358.7</v>
      </c>
      <c r="BF35" s="120">
        <f>Economic!I35</f>
        <v>360.9</v>
      </c>
      <c r="BG35" s="123">
        <f t="shared" ref="BG35:BX35" si="51">BG23</f>
        <v>31</v>
      </c>
      <c r="BH35" s="123">
        <v>20</v>
      </c>
      <c r="BI35" s="123">
        <f t="shared" si="41"/>
        <v>34</v>
      </c>
      <c r="BJ35" s="123">
        <f t="shared" si="51"/>
        <v>0</v>
      </c>
      <c r="BK35" s="123">
        <f t="shared" si="51"/>
        <v>0</v>
      </c>
      <c r="BL35" s="123">
        <f t="shared" si="51"/>
        <v>0</v>
      </c>
      <c r="BM35" s="123">
        <f t="shared" si="51"/>
        <v>0</v>
      </c>
      <c r="BN35" s="123">
        <f t="shared" si="51"/>
        <v>0</v>
      </c>
      <c r="BO35" s="123">
        <f t="shared" si="51"/>
        <v>0</v>
      </c>
      <c r="BP35" s="123">
        <f t="shared" si="51"/>
        <v>0</v>
      </c>
      <c r="BQ35" s="123">
        <f t="shared" si="51"/>
        <v>0</v>
      </c>
      <c r="BR35" s="123">
        <f t="shared" si="51"/>
        <v>0</v>
      </c>
      <c r="BS35" s="123">
        <f t="shared" si="51"/>
        <v>1</v>
      </c>
      <c r="BT35" s="123">
        <f t="shared" si="51"/>
        <v>0</v>
      </c>
      <c r="BU35" s="123">
        <f t="shared" si="51"/>
        <v>0</v>
      </c>
      <c r="BV35" s="123">
        <f t="shared" si="51"/>
        <v>0</v>
      </c>
      <c r="BW35" s="123">
        <f t="shared" si="51"/>
        <v>1</v>
      </c>
      <c r="BX35" s="123">
        <f t="shared" si="51"/>
        <v>1</v>
      </c>
      <c r="BY35" s="124">
        <v>0</v>
      </c>
      <c r="BZ35" s="124">
        <v>0</v>
      </c>
      <c r="CA35" s="124">
        <f t="shared" si="8"/>
        <v>0</v>
      </c>
      <c r="CB35" s="124">
        <f t="shared" si="9"/>
        <v>0</v>
      </c>
      <c r="CC35" s="124">
        <f t="shared" si="10"/>
        <v>0</v>
      </c>
      <c r="CD35" s="124">
        <f t="shared" si="11"/>
        <v>0</v>
      </c>
      <c r="CE35" s="124">
        <f t="shared" si="12"/>
        <v>0</v>
      </c>
      <c r="CF35" s="124">
        <f t="shared" si="13"/>
        <v>0</v>
      </c>
      <c r="CG35" s="124">
        <f t="shared" si="14"/>
        <v>0</v>
      </c>
      <c r="CH35" s="124">
        <f t="shared" si="15"/>
        <v>0</v>
      </c>
      <c r="CI35" s="124">
        <f t="shared" si="16"/>
        <v>0</v>
      </c>
      <c r="CJ35" s="124">
        <f t="shared" si="17"/>
        <v>0</v>
      </c>
      <c r="CK35" s="124">
        <f t="shared" si="18"/>
        <v>0</v>
      </c>
      <c r="CL35" s="124">
        <f t="shared" si="19"/>
        <v>0</v>
      </c>
      <c r="CM35" s="124">
        <f t="shared" si="20"/>
        <v>0</v>
      </c>
      <c r="CN35" s="124">
        <f t="shared" si="21"/>
        <v>0</v>
      </c>
      <c r="CO35" s="124">
        <f t="shared" si="22"/>
        <v>0</v>
      </c>
      <c r="CP35" s="124">
        <f t="shared" si="23"/>
        <v>0</v>
      </c>
      <c r="CQ35" s="138">
        <f t="shared" si="24"/>
        <v>673.34252379753673</v>
      </c>
      <c r="CR35" s="138">
        <f t="shared" si="25"/>
        <v>2771.776800217383</v>
      </c>
      <c r="CS35" s="138">
        <f t="shared" si="26"/>
        <v>62896.449204534591</v>
      </c>
    </row>
    <row r="36" spans="1:97" x14ac:dyDescent="0.2">
      <c r="A36" s="115">
        <v>41579</v>
      </c>
      <c r="B36">
        <f t="shared" si="27"/>
        <v>2013</v>
      </c>
      <c r="C36">
        <f t="shared" si="28"/>
        <v>11</v>
      </c>
      <c r="D36" s="131">
        <v>21740451.749999989</v>
      </c>
      <c r="E36" s="131">
        <f>VLOOKUP($B36,'Historic CDM'!$L$5:$R$17,2,FALSE)/12</f>
        <v>89162.051531255813</v>
      </c>
      <c r="F36" s="131">
        <f t="shared" si="4"/>
        <v>21829613.801531244</v>
      </c>
      <c r="G36" s="131">
        <v>6874649.0500000017</v>
      </c>
      <c r="H36" s="131">
        <f>VLOOKUP($B36,'Historic CDM'!$L$5:$R$17,3,FALSE)/12</f>
        <v>64448.148935414909</v>
      </c>
      <c r="I36" s="131">
        <f t="shared" si="5"/>
        <v>6939097.1989354165</v>
      </c>
      <c r="J36" s="131">
        <v>16378559.519999998</v>
      </c>
      <c r="K36" s="131">
        <f>VLOOKUP($B36,'Historic CDM'!$L$5:$R$17,4,FALSE)/12</f>
        <v>344677.17204248341</v>
      </c>
      <c r="L36" s="131">
        <f t="shared" si="6"/>
        <v>16723236.692042481</v>
      </c>
      <c r="N36" s="131">
        <f>VLOOKUP($B36,'Historic CDM'!$L$5:$R$17,5,FALSE)/12</f>
        <v>83304.695113976763</v>
      </c>
      <c r="Q36" s="131">
        <f>VLOOKUP($B36,'Historic CDM'!$L$5:$R$17,6,FALSE)/12</f>
        <v>22332.548243552799</v>
      </c>
      <c r="AA36" s="41">
        <v>31231</v>
      </c>
      <c r="AB36" s="125">
        <v>2472</v>
      </c>
      <c r="AC36" s="125">
        <v>273</v>
      </c>
      <c r="AI36" s="104">
        <f>Weather!C144</f>
        <v>2.06</v>
      </c>
      <c r="AJ36" s="104">
        <f>Weather!D144</f>
        <v>598.19999999999993</v>
      </c>
      <c r="AK36" s="104">
        <f>Weather!E144</f>
        <v>0</v>
      </c>
      <c r="AL36" s="104">
        <f>Weather!F144</f>
        <v>538.19999999999993</v>
      </c>
      <c r="AM36" s="104">
        <f>Weather!G144</f>
        <v>0</v>
      </c>
      <c r="AN36" s="104">
        <f>Weather!H144</f>
        <v>478.20000000000005</v>
      </c>
      <c r="AO36" s="104">
        <f>Weather!I144</f>
        <v>0</v>
      </c>
      <c r="AP36" s="104">
        <f>Weather!J144</f>
        <v>418.20000000000005</v>
      </c>
      <c r="AQ36" s="104">
        <f>Weather!K144</f>
        <v>0</v>
      </c>
      <c r="AR36" s="104">
        <f>Weather!L144</f>
        <v>358.20000000000005</v>
      </c>
      <c r="AS36" s="104">
        <f>Weather!M144</f>
        <v>0</v>
      </c>
      <c r="AT36" s="104">
        <f>Weather!N144</f>
        <v>298.20000000000005</v>
      </c>
      <c r="AU36" s="104">
        <f>Weather!O144</f>
        <v>0</v>
      </c>
      <c r="AV36" s="104">
        <f>Weather!P144</f>
        <v>243.5</v>
      </c>
      <c r="AW36" s="104">
        <f>Weather!Q144</f>
        <v>5.3000000000000007</v>
      </c>
      <c r="AX36" s="104">
        <f>Weather!R144</f>
        <v>190</v>
      </c>
      <c r="AY36" s="104">
        <f>Weather!S144</f>
        <v>11.8</v>
      </c>
      <c r="AZ36" s="119">
        <f>Economic!C36</f>
        <v>643937</v>
      </c>
      <c r="BA36" s="120">
        <f>Economic!D36</f>
        <v>6785.3</v>
      </c>
      <c r="BB36" s="120">
        <f>Economic!E36</f>
        <v>6794.8</v>
      </c>
      <c r="BC36" s="120">
        <f>Economic!F36</f>
        <v>3076.6</v>
      </c>
      <c r="BD36" s="120">
        <f>Economic!G36</f>
        <v>3082.1</v>
      </c>
      <c r="BE36" s="120">
        <f>Economic!H36</f>
        <v>362.6</v>
      </c>
      <c r="BF36" s="120">
        <f>Economic!I36</f>
        <v>365.8</v>
      </c>
      <c r="BG36" s="123">
        <f t="shared" ref="BG36:BX36" si="52">BG24</f>
        <v>30</v>
      </c>
      <c r="BH36" s="123">
        <v>22</v>
      </c>
      <c r="BI36" s="123">
        <f t="shared" si="41"/>
        <v>35</v>
      </c>
      <c r="BJ36" s="123">
        <f t="shared" si="52"/>
        <v>0</v>
      </c>
      <c r="BK36" s="123">
        <f t="shared" si="52"/>
        <v>0</v>
      </c>
      <c r="BL36" s="123">
        <f t="shared" si="52"/>
        <v>0</v>
      </c>
      <c r="BM36" s="123">
        <f t="shared" si="52"/>
        <v>0</v>
      </c>
      <c r="BN36" s="123">
        <f t="shared" si="52"/>
        <v>0</v>
      </c>
      <c r="BO36" s="123">
        <f t="shared" si="52"/>
        <v>0</v>
      </c>
      <c r="BP36" s="123">
        <f t="shared" si="52"/>
        <v>0</v>
      </c>
      <c r="BQ36" s="123">
        <f t="shared" si="52"/>
        <v>0</v>
      </c>
      <c r="BR36" s="123">
        <f t="shared" si="52"/>
        <v>0</v>
      </c>
      <c r="BS36" s="123">
        <f t="shared" si="52"/>
        <v>0</v>
      </c>
      <c r="BT36" s="123">
        <f t="shared" si="52"/>
        <v>1</v>
      </c>
      <c r="BU36" s="123">
        <f t="shared" si="52"/>
        <v>0</v>
      </c>
      <c r="BV36" s="123">
        <f t="shared" si="52"/>
        <v>0</v>
      </c>
      <c r="BW36" s="123">
        <f t="shared" si="52"/>
        <v>1</v>
      </c>
      <c r="BX36" s="123">
        <f t="shared" si="52"/>
        <v>1</v>
      </c>
      <c r="BY36" s="124">
        <v>0</v>
      </c>
      <c r="BZ36" s="124">
        <v>0</v>
      </c>
      <c r="CA36" s="124">
        <f t="shared" si="8"/>
        <v>0</v>
      </c>
      <c r="CB36" s="124">
        <f t="shared" si="9"/>
        <v>0</v>
      </c>
      <c r="CC36" s="124">
        <f t="shared" si="10"/>
        <v>0</v>
      </c>
      <c r="CD36" s="124">
        <f t="shared" si="11"/>
        <v>0</v>
      </c>
      <c r="CE36" s="124">
        <f t="shared" si="12"/>
        <v>0</v>
      </c>
      <c r="CF36" s="124">
        <f t="shared" si="13"/>
        <v>0</v>
      </c>
      <c r="CG36" s="124">
        <f t="shared" si="14"/>
        <v>0</v>
      </c>
      <c r="CH36" s="124">
        <f t="shared" si="15"/>
        <v>0</v>
      </c>
      <c r="CI36" s="124">
        <f t="shared" si="16"/>
        <v>0</v>
      </c>
      <c r="CJ36" s="124">
        <f t="shared" si="17"/>
        <v>0</v>
      </c>
      <c r="CK36" s="124">
        <f t="shared" si="18"/>
        <v>0</v>
      </c>
      <c r="CL36" s="124">
        <f t="shared" si="19"/>
        <v>0</v>
      </c>
      <c r="CM36" s="124">
        <f t="shared" si="20"/>
        <v>0</v>
      </c>
      <c r="CN36" s="124">
        <f t="shared" si="21"/>
        <v>0</v>
      </c>
      <c r="CO36" s="124">
        <f t="shared" si="22"/>
        <v>0</v>
      </c>
      <c r="CP36" s="124">
        <f t="shared" si="23"/>
        <v>0</v>
      </c>
      <c r="CQ36" s="138">
        <f t="shared" si="24"/>
        <v>698.97261700013587</v>
      </c>
      <c r="CR36" s="138">
        <f t="shared" si="25"/>
        <v>2807.0781549091489</v>
      </c>
      <c r="CS36" s="138">
        <f t="shared" si="26"/>
        <v>61257.277260228868</v>
      </c>
    </row>
    <row r="37" spans="1:97" x14ac:dyDescent="0.2">
      <c r="A37" s="114">
        <v>41609</v>
      </c>
      <c r="B37">
        <f t="shared" si="27"/>
        <v>2013</v>
      </c>
      <c r="C37">
        <f t="shared" si="28"/>
        <v>12</v>
      </c>
      <c r="D37" s="131">
        <v>28821858.809999991</v>
      </c>
      <c r="E37" s="131">
        <f>VLOOKUP($B37,'Historic CDM'!$L$5:$R$17,2,FALSE)/12</f>
        <v>89162.051531255813</v>
      </c>
      <c r="F37" s="131">
        <f t="shared" si="4"/>
        <v>28911020.861531246</v>
      </c>
      <c r="G37" s="131">
        <v>9468067.9800000042</v>
      </c>
      <c r="H37" s="131">
        <f>VLOOKUP($B37,'Historic CDM'!$L$5:$R$17,3,FALSE)/12</f>
        <v>64448.148935414909</v>
      </c>
      <c r="I37" s="131">
        <f t="shared" si="5"/>
        <v>9532516.128935419</v>
      </c>
      <c r="J37" s="131">
        <v>18347866.910000004</v>
      </c>
      <c r="K37" s="131">
        <f>VLOOKUP($B37,'Historic CDM'!$L$5:$R$17,4,FALSE)/12</f>
        <v>344677.17204248341</v>
      </c>
      <c r="L37" s="131">
        <f t="shared" si="6"/>
        <v>18692544.082042485</v>
      </c>
      <c r="N37" s="131">
        <f>VLOOKUP($B37,'Historic CDM'!$L$5:$R$17,5,FALSE)/12</f>
        <v>83304.695113976763</v>
      </c>
      <c r="Q37" s="131">
        <f>VLOOKUP($B37,'Historic CDM'!$L$5:$R$17,6,FALSE)/12</f>
        <v>22332.548243552799</v>
      </c>
      <c r="AA37" s="41">
        <v>31309</v>
      </c>
      <c r="AB37" s="125">
        <v>2477</v>
      </c>
      <c r="AC37" s="125">
        <v>273</v>
      </c>
      <c r="AI37" s="104">
        <f>Weather!C145</f>
        <v>-4.1903225806451623</v>
      </c>
      <c r="AJ37" s="104">
        <f>Weather!D145</f>
        <v>811.89999999999986</v>
      </c>
      <c r="AK37" s="104">
        <f>Weather!E145</f>
        <v>0</v>
      </c>
      <c r="AL37" s="104">
        <f>Weather!F145</f>
        <v>749.89999999999986</v>
      </c>
      <c r="AM37" s="104">
        <f>Weather!G145</f>
        <v>0</v>
      </c>
      <c r="AN37" s="104">
        <f>Weather!H145</f>
        <v>687.9</v>
      </c>
      <c r="AO37" s="104">
        <f>Weather!I145</f>
        <v>0</v>
      </c>
      <c r="AP37" s="104">
        <f>Weather!J145</f>
        <v>625.9</v>
      </c>
      <c r="AQ37" s="104">
        <f>Weather!K145</f>
        <v>0</v>
      </c>
      <c r="AR37" s="104">
        <f>Weather!L145</f>
        <v>563.9</v>
      </c>
      <c r="AS37" s="104">
        <f>Weather!M145</f>
        <v>0</v>
      </c>
      <c r="AT37" s="104">
        <f>Weather!N145</f>
        <v>501.89999999999992</v>
      </c>
      <c r="AU37" s="104">
        <f>Weather!O145</f>
        <v>0</v>
      </c>
      <c r="AV37" s="104">
        <f>Weather!P145</f>
        <v>439.89999999999992</v>
      </c>
      <c r="AW37" s="104">
        <f>Weather!Q145</f>
        <v>0</v>
      </c>
      <c r="AX37" s="104">
        <f>Weather!R145</f>
        <v>378.6</v>
      </c>
      <c r="AY37" s="104">
        <f>Weather!S145</f>
        <v>0.69999999999999929</v>
      </c>
      <c r="AZ37" s="119">
        <f>Economic!C37</f>
        <v>643937</v>
      </c>
      <c r="BA37" s="120">
        <f>Economic!D37</f>
        <v>6781.3</v>
      </c>
      <c r="BB37" s="120">
        <f>Economic!E37</f>
        <v>6783.1</v>
      </c>
      <c r="BC37" s="120">
        <f>Economic!F37</f>
        <v>3073.7</v>
      </c>
      <c r="BD37" s="120">
        <f>Economic!G37</f>
        <v>3077.1</v>
      </c>
      <c r="BE37" s="120">
        <f>Economic!H37</f>
        <v>366.3</v>
      </c>
      <c r="BF37" s="120">
        <f>Economic!I37</f>
        <v>370.5</v>
      </c>
      <c r="BG37" s="123">
        <f t="shared" ref="BG37:BX37" si="53">BG25</f>
        <v>31</v>
      </c>
      <c r="BH37" s="123">
        <v>21</v>
      </c>
      <c r="BI37" s="123">
        <f t="shared" si="41"/>
        <v>36</v>
      </c>
      <c r="BJ37" s="123">
        <f t="shared" si="53"/>
        <v>0</v>
      </c>
      <c r="BK37" s="123">
        <f t="shared" si="53"/>
        <v>0</v>
      </c>
      <c r="BL37" s="123">
        <f t="shared" si="53"/>
        <v>0</v>
      </c>
      <c r="BM37" s="123">
        <f t="shared" si="53"/>
        <v>0</v>
      </c>
      <c r="BN37" s="123">
        <f t="shared" si="53"/>
        <v>0</v>
      </c>
      <c r="BO37" s="123">
        <f t="shared" si="53"/>
        <v>0</v>
      </c>
      <c r="BP37" s="123">
        <f t="shared" si="53"/>
        <v>0</v>
      </c>
      <c r="BQ37" s="123">
        <f t="shared" si="53"/>
        <v>0</v>
      </c>
      <c r="BR37" s="123">
        <f t="shared" si="53"/>
        <v>0</v>
      </c>
      <c r="BS37" s="123">
        <f t="shared" si="53"/>
        <v>0</v>
      </c>
      <c r="BT37" s="123">
        <f t="shared" si="53"/>
        <v>0</v>
      </c>
      <c r="BU37" s="123">
        <f t="shared" si="53"/>
        <v>1</v>
      </c>
      <c r="BV37" s="123">
        <f t="shared" si="53"/>
        <v>0</v>
      </c>
      <c r="BW37" s="123">
        <f t="shared" si="53"/>
        <v>0</v>
      </c>
      <c r="BX37" s="123">
        <f t="shared" si="53"/>
        <v>0</v>
      </c>
      <c r="BY37" s="124">
        <v>0</v>
      </c>
      <c r="BZ37" s="124">
        <v>0</v>
      </c>
      <c r="CA37" s="124">
        <f t="shared" si="8"/>
        <v>0</v>
      </c>
      <c r="CB37" s="124">
        <f t="shared" si="9"/>
        <v>0</v>
      </c>
      <c r="CC37" s="124">
        <f t="shared" si="10"/>
        <v>0</v>
      </c>
      <c r="CD37" s="124">
        <f t="shared" si="11"/>
        <v>0</v>
      </c>
      <c r="CE37" s="124">
        <f t="shared" si="12"/>
        <v>0</v>
      </c>
      <c r="CF37" s="124">
        <f t="shared" si="13"/>
        <v>0</v>
      </c>
      <c r="CG37" s="124">
        <f t="shared" si="14"/>
        <v>0</v>
      </c>
      <c r="CH37" s="124">
        <f t="shared" si="15"/>
        <v>0</v>
      </c>
      <c r="CI37" s="124">
        <f t="shared" si="16"/>
        <v>0</v>
      </c>
      <c r="CJ37" s="124">
        <f t="shared" si="17"/>
        <v>0</v>
      </c>
      <c r="CK37" s="124">
        <f t="shared" si="18"/>
        <v>0</v>
      </c>
      <c r="CL37" s="124">
        <f t="shared" si="19"/>
        <v>0</v>
      </c>
      <c r="CM37" s="124">
        <f t="shared" si="20"/>
        <v>0</v>
      </c>
      <c r="CN37" s="124">
        <f t="shared" si="21"/>
        <v>0</v>
      </c>
      <c r="CO37" s="124">
        <f t="shared" si="22"/>
        <v>0</v>
      </c>
      <c r="CP37" s="124">
        <f t="shared" si="23"/>
        <v>0</v>
      </c>
      <c r="CQ37" s="138">
        <f t="shared" si="24"/>
        <v>923.40927086560566</v>
      </c>
      <c r="CR37" s="138">
        <f t="shared" si="25"/>
        <v>3848.4118405068302</v>
      </c>
      <c r="CS37" s="138">
        <f t="shared" si="26"/>
        <v>68470.857443379064</v>
      </c>
    </row>
    <row r="38" spans="1:97" x14ac:dyDescent="0.2">
      <c r="A38" s="115">
        <v>41640</v>
      </c>
      <c r="B38">
        <f t="shared" si="27"/>
        <v>2014</v>
      </c>
      <c r="C38">
        <f t="shared" si="28"/>
        <v>1</v>
      </c>
      <c r="D38" s="131">
        <v>26189486.200000007</v>
      </c>
      <c r="E38" s="131">
        <f>VLOOKUP($B38,'Historic CDM'!$L$5:$R$17,2,FALSE)/12</f>
        <v>170537.35727284456</v>
      </c>
      <c r="F38" s="131">
        <f t="shared" si="4"/>
        <v>26360023.557272851</v>
      </c>
      <c r="G38" s="131">
        <v>7382347.2899999991</v>
      </c>
      <c r="H38" s="131">
        <f>VLOOKUP($B38,'Historic CDM'!$L$5:$R$17,3,FALSE)/12</f>
        <v>105551.56172052656</v>
      </c>
      <c r="I38" s="131">
        <f t="shared" si="5"/>
        <v>7487898.8517205259</v>
      </c>
      <c r="J38" s="131">
        <v>18474770.990000002</v>
      </c>
      <c r="K38" s="131">
        <f>VLOOKUP($B38,'Historic CDM'!$L$5:$R$17,4,FALSE)/12</f>
        <v>480728.51896375552</v>
      </c>
      <c r="L38" s="131">
        <f t="shared" si="6"/>
        <v>18955499.508963756</v>
      </c>
      <c r="N38" s="131">
        <f>VLOOKUP($B38,'Historic CDM'!$L$5:$R$17,5,FALSE)/12</f>
        <v>98650.417758180745</v>
      </c>
      <c r="Q38" s="131">
        <f>VLOOKUP($B38,'Historic CDM'!$L$5:$R$17,6,FALSE)/12</f>
        <v>36610.45432242586</v>
      </c>
      <c r="AA38" s="41">
        <v>31327</v>
      </c>
      <c r="AB38" s="125">
        <v>2482</v>
      </c>
      <c r="AC38" s="125">
        <v>274</v>
      </c>
      <c r="AI38" s="104">
        <f>Weather!C146</f>
        <v>-8.6419354838709683</v>
      </c>
      <c r="AJ38" s="104">
        <f>Weather!D146</f>
        <v>949.90000000000009</v>
      </c>
      <c r="AK38" s="104">
        <f>Weather!E146</f>
        <v>0</v>
      </c>
      <c r="AL38" s="104">
        <f>Weather!F146</f>
        <v>887.9000000000002</v>
      </c>
      <c r="AM38" s="104">
        <f>Weather!G146</f>
        <v>0</v>
      </c>
      <c r="AN38" s="104">
        <f>Weather!H146</f>
        <v>825.90000000000009</v>
      </c>
      <c r="AO38" s="104">
        <f>Weather!I146</f>
        <v>0</v>
      </c>
      <c r="AP38" s="104">
        <f>Weather!J146</f>
        <v>763.9000000000002</v>
      </c>
      <c r="AQ38" s="104">
        <f>Weather!K146</f>
        <v>0</v>
      </c>
      <c r="AR38" s="104">
        <f>Weather!L146</f>
        <v>701.9000000000002</v>
      </c>
      <c r="AS38" s="104">
        <f>Weather!M146</f>
        <v>0</v>
      </c>
      <c r="AT38" s="104">
        <f>Weather!N146</f>
        <v>639.90000000000009</v>
      </c>
      <c r="AU38" s="104">
        <f>Weather!O146</f>
        <v>0</v>
      </c>
      <c r="AV38" s="104">
        <f>Weather!P146</f>
        <v>577.90000000000009</v>
      </c>
      <c r="AW38" s="104">
        <f>Weather!Q146</f>
        <v>0</v>
      </c>
      <c r="AX38" s="104">
        <f>Weather!R146</f>
        <v>515.9</v>
      </c>
      <c r="AY38" s="104">
        <f>Weather!S146</f>
        <v>0</v>
      </c>
      <c r="AZ38" s="119">
        <f>Economic!C38</f>
        <v>659861.19999999995</v>
      </c>
      <c r="BA38" s="120">
        <f>Economic!D38</f>
        <v>6780.9</v>
      </c>
      <c r="BB38" s="120">
        <f>Economic!E38</f>
        <v>6741.6</v>
      </c>
      <c r="BC38" s="120">
        <f>Economic!F38</f>
        <v>3070.8</v>
      </c>
      <c r="BD38" s="120">
        <f>Economic!G38</f>
        <v>3059.7</v>
      </c>
      <c r="BE38" s="120">
        <f>Economic!H38</f>
        <v>368.8</v>
      </c>
      <c r="BF38" s="120">
        <f>Economic!I38</f>
        <v>370.4</v>
      </c>
      <c r="BG38" s="123">
        <f t="shared" ref="BG38:BX38" si="54">BG26</f>
        <v>31</v>
      </c>
      <c r="BH38" s="123">
        <v>21</v>
      </c>
      <c r="BI38" s="123">
        <f t="shared" si="41"/>
        <v>37</v>
      </c>
      <c r="BJ38" s="123">
        <f t="shared" si="54"/>
        <v>1</v>
      </c>
      <c r="BK38" s="123">
        <f t="shared" si="54"/>
        <v>0</v>
      </c>
      <c r="BL38" s="123">
        <f t="shared" si="54"/>
        <v>0</v>
      </c>
      <c r="BM38" s="123">
        <f t="shared" si="54"/>
        <v>0</v>
      </c>
      <c r="BN38" s="123">
        <f t="shared" si="54"/>
        <v>0</v>
      </c>
      <c r="BO38" s="123">
        <f t="shared" si="54"/>
        <v>0</v>
      </c>
      <c r="BP38" s="123">
        <f t="shared" si="54"/>
        <v>0</v>
      </c>
      <c r="BQ38" s="123">
        <f t="shared" si="54"/>
        <v>0</v>
      </c>
      <c r="BR38" s="123">
        <f t="shared" si="54"/>
        <v>0</v>
      </c>
      <c r="BS38" s="123">
        <f t="shared" si="54"/>
        <v>0</v>
      </c>
      <c r="BT38" s="123">
        <f t="shared" si="54"/>
        <v>0</v>
      </c>
      <c r="BU38" s="123">
        <f t="shared" si="54"/>
        <v>0</v>
      </c>
      <c r="BV38" s="123">
        <f t="shared" si="54"/>
        <v>0</v>
      </c>
      <c r="BW38" s="123">
        <f t="shared" si="54"/>
        <v>0</v>
      </c>
      <c r="BX38" s="123">
        <f t="shared" si="54"/>
        <v>0</v>
      </c>
      <c r="BY38" s="124">
        <v>0</v>
      </c>
      <c r="BZ38" s="124">
        <v>0</v>
      </c>
      <c r="CA38" s="124">
        <f t="shared" si="8"/>
        <v>0</v>
      </c>
      <c r="CB38" s="124">
        <f t="shared" si="9"/>
        <v>0</v>
      </c>
      <c r="CC38" s="124">
        <f t="shared" si="10"/>
        <v>0</v>
      </c>
      <c r="CD38" s="124">
        <f t="shared" si="11"/>
        <v>0</v>
      </c>
      <c r="CE38" s="124">
        <f t="shared" si="12"/>
        <v>0</v>
      </c>
      <c r="CF38" s="124">
        <f t="shared" si="13"/>
        <v>0</v>
      </c>
      <c r="CG38" s="124">
        <f t="shared" si="14"/>
        <v>0</v>
      </c>
      <c r="CH38" s="124">
        <f t="shared" si="15"/>
        <v>0</v>
      </c>
      <c r="CI38" s="124">
        <f t="shared" si="16"/>
        <v>0</v>
      </c>
      <c r="CJ38" s="124">
        <f t="shared" si="17"/>
        <v>0</v>
      </c>
      <c r="CK38" s="124">
        <f t="shared" si="18"/>
        <v>0</v>
      </c>
      <c r="CL38" s="124">
        <f t="shared" si="19"/>
        <v>0</v>
      </c>
      <c r="CM38" s="124">
        <f t="shared" si="20"/>
        <v>0</v>
      </c>
      <c r="CN38" s="124">
        <f t="shared" si="21"/>
        <v>0</v>
      </c>
      <c r="CO38" s="124">
        <f t="shared" si="22"/>
        <v>0</v>
      </c>
      <c r="CP38" s="124">
        <f t="shared" si="23"/>
        <v>0</v>
      </c>
      <c r="CQ38" s="138">
        <f t="shared" si="24"/>
        <v>841.44742737168735</v>
      </c>
      <c r="CR38" s="138">
        <f t="shared" si="25"/>
        <v>3016.8810844965856</v>
      </c>
      <c r="CS38" s="138">
        <f t="shared" si="26"/>
        <v>69180.655142203497</v>
      </c>
    </row>
    <row r="39" spans="1:97" x14ac:dyDescent="0.2">
      <c r="A39" s="114">
        <v>41671</v>
      </c>
      <c r="B39">
        <f t="shared" si="27"/>
        <v>2014</v>
      </c>
      <c r="C39">
        <f t="shared" si="28"/>
        <v>2</v>
      </c>
      <c r="D39" s="131">
        <v>26203678.18999999</v>
      </c>
      <c r="E39" s="131">
        <f>VLOOKUP($B39,'Historic CDM'!$L$5:$R$17,2,FALSE)/12</f>
        <v>170537.35727284456</v>
      </c>
      <c r="F39" s="131">
        <f t="shared" si="4"/>
        <v>26374215.547272835</v>
      </c>
      <c r="G39" s="131">
        <v>8397444.3799999971</v>
      </c>
      <c r="H39" s="131">
        <f>VLOOKUP($B39,'Historic CDM'!$L$5:$R$17,3,FALSE)/12</f>
        <v>105551.56172052656</v>
      </c>
      <c r="I39" s="131">
        <f t="shared" si="5"/>
        <v>8502995.9417205229</v>
      </c>
      <c r="J39" s="131">
        <v>17309349.019999996</v>
      </c>
      <c r="K39" s="131">
        <f>VLOOKUP($B39,'Historic CDM'!$L$5:$R$17,4,FALSE)/12</f>
        <v>480728.51896375552</v>
      </c>
      <c r="L39" s="131">
        <f t="shared" si="6"/>
        <v>17790077.53896375</v>
      </c>
      <c r="N39" s="131">
        <f>VLOOKUP($B39,'Historic CDM'!$L$5:$R$17,5,FALSE)/12</f>
        <v>98650.417758180745</v>
      </c>
      <c r="Q39" s="131">
        <f>VLOOKUP($B39,'Historic CDM'!$L$5:$R$17,6,FALSE)/12</f>
        <v>36610.45432242586</v>
      </c>
      <c r="AA39" s="41">
        <v>31341</v>
      </c>
      <c r="AB39" s="125">
        <v>2488</v>
      </c>
      <c r="AC39" s="125">
        <v>274</v>
      </c>
      <c r="AI39" s="104">
        <f>Weather!C147</f>
        <v>-8.3250000000000011</v>
      </c>
      <c r="AJ39" s="104">
        <f>Weather!D147</f>
        <v>849.09999999999991</v>
      </c>
      <c r="AK39" s="104">
        <f>Weather!E147</f>
        <v>0</v>
      </c>
      <c r="AL39" s="104">
        <f>Weather!F147</f>
        <v>793.1</v>
      </c>
      <c r="AM39" s="104">
        <f>Weather!G147</f>
        <v>0</v>
      </c>
      <c r="AN39" s="104">
        <f>Weather!H147</f>
        <v>737.09999999999991</v>
      </c>
      <c r="AO39" s="104">
        <f>Weather!I147</f>
        <v>0</v>
      </c>
      <c r="AP39" s="104">
        <f>Weather!J147</f>
        <v>681.0999999999998</v>
      </c>
      <c r="AQ39" s="104">
        <f>Weather!K147</f>
        <v>0</v>
      </c>
      <c r="AR39" s="104">
        <f>Weather!L147</f>
        <v>625.09999999999991</v>
      </c>
      <c r="AS39" s="104">
        <f>Weather!M147</f>
        <v>0</v>
      </c>
      <c r="AT39" s="104">
        <f>Weather!N147</f>
        <v>569.09999999999991</v>
      </c>
      <c r="AU39" s="104">
        <f>Weather!O147</f>
        <v>0</v>
      </c>
      <c r="AV39" s="104">
        <f>Weather!P147</f>
        <v>513.09999999999991</v>
      </c>
      <c r="AW39" s="104">
        <f>Weather!Q147</f>
        <v>0</v>
      </c>
      <c r="AX39" s="104">
        <f>Weather!R147</f>
        <v>457.09999999999997</v>
      </c>
      <c r="AY39" s="104">
        <f>Weather!S147</f>
        <v>0</v>
      </c>
      <c r="AZ39" s="119">
        <f>Economic!C39</f>
        <v>659861.19999999995</v>
      </c>
      <c r="BA39" s="120">
        <f>Economic!D39</f>
        <v>6781.1</v>
      </c>
      <c r="BB39" s="120">
        <f>Economic!E39</f>
        <v>6707.8</v>
      </c>
      <c r="BC39" s="120">
        <f>Economic!F39</f>
        <v>3071.7</v>
      </c>
      <c r="BD39" s="120">
        <f>Economic!G39</f>
        <v>3046.7</v>
      </c>
      <c r="BE39" s="120">
        <f>Economic!H39</f>
        <v>374.4</v>
      </c>
      <c r="BF39" s="120">
        <f>Economic!I39</f>
        <v>376</v>
      </c>
      <c r="BG39" s="123">
        <f>BG27</f>
        <v>28</v>
      </c>
      <c r="BH39" s="123">
        <v>20</v>
      </c>
      <c r="BI39" s="123">
        <f t="shared" si="41"/>
        <v>38</v>
      </c>
      <c r="BJ39" s="123">
        <f t="shared" ref="BJ39:BX39" si="55">BJ27</f>
        <v>0</v>
      </c>
      <c r="BK39" s="123">
        <f t="shared" si="55"/>
        <v>1</v>
      </c>
      <c r="BL39" s="123">
        <f t="shared" si="55"/>
        <v>0</v>
      </c>
      <c r="BM39" s="123">
        <f t="shared" si="55"/>
        <v>0</v>
      </c>
      <c r="BN39" s="123">
        <f t="shared" si="55"/>
        <v>0</v>
      </c>
      <c r="BO39" s="123">
        <f t="shared" si="55"/>
        <v>0</v>
      </c>
      <c r="BP39" s="123">
        <f t="shared" si="55"/>
        <v>0</v>
      </c>
      <c r="BQ39" s="123">
        <f t="shared" si="55"/>
        <v>0</v>
      </c>
      <c r="BR39" s="123">
        <f t="shared" si="55"/>
        <v>0</v>
      </c>
      <c r="BS39" s="123">
        <f t="shared" si="55"/>
        <v>0</v>
      </c>
      <c r="BT39" s="123">
        <f t="shared" si="55"/>
        <v>0</v>
      </c>
      <c r="BU39" s="123">
        <f t="shared" si="55"/>
        <v>0</v>
      </c>
      <c r="BV39" s="123">
        <f t="shared" si="55"/>
        <v>0</v>
      </c>
      <c r="BW39" s="123">
        <f t="shared" si="55"/>
        <v>0</v>
      </c>
      <c r="BX39" s="123">
        <f t="shared" si="55"/>
        <v>0</v>
      </c>
      <c r="BY39" s="124">
        <v>0</v>
      </c>
      <c r="BZ39" s="124">
        <v>0</v>
      </c>
      <c r="CA39" s="124">
        <f t="shared" si="8"/>
        <v>0</v>
      </c>
      <c r="CB39" s="124">
        <f t="shared" si="9"/>
        <v>0</v>
      </c>
      <c r="CC39" s="124">
        <f t="shared" si="10"/>
        <v>0</v>
      </c>
      <c r="CD39" s="124">
        <f t="shared" si="11"/>
        <v>0</v>
      </c>
      <c r="CE39" s="124">
        <f t="shared" si="12"/>
        <v>0</v>
      </c>
      <c r="CF39" s="124">
        <f t="shared" si="13"/>
        <v>0</v>
      </c>
      <c r="CG39" s="124">
        <f t="shared" si="14"/>
        <v>0</v>
      </c>
      <c r="CH39" s="124">
        <f t="shared" si="15"/>
        <v>0</v>
      </c>
      <c r="CI39" s="124">
        <f t="shared" si="16"/>
        <v>0</v>
      </c>
      <c r="CJ39" s="124">
        <f t="shared" si="17"/>
        <v>0</v>
      </c>
      <c r="CK39" s="124">
        <f t="shared" si="18"/>
        <v>0</v>
      </c>
      <c r="CL39" s="124">
        <f t="shared" si="19"/>
        <v>0</v>
      </c>
      <c r="CM39" s="124">
        <f t="shared" si="20"/>
        <v>0</v>
      </c>
      <c r="CN39" s="124">
        <f t="shared" si="21"/>
        <v>0</v>
      </c>
      <c r="CO39" s="124">
        <f t="shared" si="22"/>
        <v>0</v>
      </c>
      <c r="CP39" s="124">
        <f t="shared" si="23"/>
        <v>0</v>
      </c>
      <c r="CQ39" s="138">
        <f t="shared" si="24"/>
        <v>841.52437852247328</v>
      </c>
      <c r="CR39" s="138">
        <f t="shared" si="25"/>
        <v>3417.6028704664482</v>
      </c>
      <c r="CS39" s="138">
        <f t="shared" si="26"/>
        <v>64927.290288188866</v>
      </c>
    </row>
    <row r="40" spans="1:97" x14ac:dyDescent="0.2">
      <c r="A40" s="115">
        <v>41699</v>
      </c>
      <c r="B40">
        <f t="shared" si="27"/>
        <v>2014</v>
      </c>
      <c r="C40">
        <f t="shared" si="28"/>
        <v>3</v>
      </c>
      <c r="D40" s="131">
        <v>23971257.690000013</v>
      </c>
      <c r="E40" s="131">
        <f>VLOOKUP($B40,'Historic CDM'!$L$5:$R$17,2,FALSE)/12</f>
        <v>170537.35727284456</v>
      </c>
      <c r="F40" s="131">
        <f t="shared" si="4"/>
        <v>24141795.047272857</v>
      </c>
      <c r="G40" s="131">
        <v>8130248.8600000041</v>
      </c>
      <c r="H40" s="131">
        <f>VLOOKUP($B40,'Historic CDM'!$L$5:$R$17,3,FALSE)/12</f>
        <v>105551.56172052656</v>
      </c>
      <c r="I40" s="131">
        <f t="shared" si="5"/>
        <v>8235800.4217205308</v>
      </c>
      <c r="J40" s="131">
        <v>18435424.780000001</v>
      </c>
      <c r="K40" s="131">
        <f>VLOOKUP($B40,'Historic CDM'!$L$5:$R$17,4,FALSE)/12</f>
        <v>480728.51896375552</v>
      </c>
      <c r="L40" s="131">
        <f t="shared" si="6"/>
        <v>18916153.298963755</v>
      </c>
      <c r="N40" s="131">
        <f>VLOOKUP($B40,'Historic CDM'!$L$5:$R$17,5,FALSE)/12</f>
        <v>98650.417758180745</v>
      </c>
      <c r="Q40" s="131">
        <f>VLOOKUP($B40,'Historic CDM'!$L$5:$R$17,6,FALSE)/12</f>
        <v>36610.45432242586</v>
      </c>
      <c r="AA40" s="41">
        <v>31333</v>
      </c>
      <c r="AB40" s="125">
        <v>2489</v>
      </c>
      <c r="AC40" s="125">
        <v>275</v>
      </c>
      <c r="AI40" s="104">
        <f>Weather!C148</f>
        <v>-4.2774193548387096</v>
      </c>
      <c r="AJ40" s="104">
        <f>Weather!D148</f>
        <v>814.60000000000014</v>
      </c>
      <c r="AK40" s="104">
        <f>Weather!E148</f>
        <v>0</v>
      </c>
      <c r="AL40" s="104">
        <f>Weather!F148</f>
        <v>752.60000000000014</v>
      </c>
      <c r="AM40" s="104">
        <f>Weather!G148</f>
        <v>0</v>
      </c>
      <c r="AN40" s="104">
        <f>Weather!H148</f>
        <v>690.6</v>
      </c>
      <c r="AO40" s="104">
        <f>Weather!I148</f>
        <v>0</v>
      </c>
      <c r="AP40" s="104">
        <f>Weather!J148</f>
        <v>628.6</v>
      </c>
      <c r="AQ40" s="104">
        <f>Weather!K148</f>
        <v>0</v>
      </c>
      <c r="AR40" s="104">
        <f>Weather!L148</f>
        <v>566.6</v>
      </c>
      <c r="AS40" s="104">
        <f>Weather!M148</f>
        <v>0</v>
      </c>
      <c r="AT40" s="104">
        <f>Weather!N148</f>
        <v>504.59999999999991</v>
      </c>
      <c r="AU40" s="104">
        <f>Weather!O148</f>
        <v>0</v>
      </c>
      <c r="AV40" s="104">
        <f>Weather!P148</f>
        <v>442.59999999999991</v>
      </c>
      <c r="AW40" s="104">
        <f>Weather!Q148</f>
        <v>0</v>
      </c>
      <c r="AX40" s="104">
        <f>Weather!R148</f>
        <v>380.59999999999991</v>
      </c>
      <c r="AY40" s="104">
        <f>Weather!S148</f>
        <v>0</v>
      </c>
      <c r="AZ40" s="119">
        <f>Economic!C40</f>
        <v>659861.19999999995</v>
      </c>
      <c r="BA40" s="120">
        <f>Economic!D40</f>
        <v>6786.1</v>
      </c>
      <c r="BB40" s="120">
        <f>Economic!E40</f>
        <v>6686.4</v>
      </c>
      <c r="BC40" s="120">
        <f>Economic!F40</f>
        <v>3074.2</v>
      </c>
      <c r="BD40" s="120">
        <f>Economic!G40</f>
        <v>3033.6</v>
      </c>
      <c r="BE40" s="120">
        <f>Economic!H40</f>
        <v>377.4</v>
      </c>
      <c r="BF40" s="120">
        <f>Economic!I40</f>
        <v>375.8</v>
      </c>
      <c r="BG40" s="123">
        <f t="shared" ref="BG40:BX40" si="56">BG28</f>
        <v>31</v>
      </c>
      <c r="BH40" s="123">
        <v>22</v>
      </c>
      <c r="BI40" s="123">
        <f t="shared" si="41"/>
        <v>39</v>
      </c>
      <c r="BJ40" s="123">
        <f t="shared" si="56"/>
        <v>0</v>
      </c>
      <c r="BK40" s="123">
        <f t="shared" si="56"/>
        <v>0</v>
      </c>
      <c r="BL40" s="123">
        <f t="shared" si="56"/>
        <v>1</v>
      </c>
      <c r="BM40" s="123">
        <f t="shared" si="56"/>
        <v>0</v>
      </c>
      <c r="BN40" s="123">
        <f t="shared" si="56"/>
        <v>0</v>
      </c>
      <c r="BO40" s="123">
        <f t="shared" si="56"/>
        <v>0</v>
      </c>
      <c r="BP40" s="123">
        <f t="shared" si="56"/>
        <v>0</v>
      </c>
      <c r="BQ40" s="123">
        <f t="shared" si="56"/>
        <v>0</v>
      </c>
      <c r="BR40" s="123">
        <f t="shared" si="56"/>
        <v>0</v>
      </c>
      <c r="BS40" s="123">
        <f t="shared" si="56"/>
        <v>0</v>
      </c>
      <c r="BT40" s="123">
        <f t="shared" si="56"/>
        <v>0</v>
      </c>
      <c r="BU40" s="123">
        <f t="shared" si="56"/>
        <v>0</v>
      </c>
      <c r="BV40" s="123">
        <f t="shared" si="56"/>
        <v>1</v>
      </c>
      <c r="BW40" s="123">
        <f t="shared" si="56"/>
        <v>0</v>
      </c>
      <c r="BX40" s="123">
        <f t="shared" si="56"/>
        <v>1</v>
      </c>
      <c r="BY40" s="124">
        <v>0</v>
      </c>
      <c r="BZ40" s="124">
        <v>0</v>
      </c>
      <c r="CA40" s="124">
        <f t="shared" si="8"/>
        <v>0</v>
      </c>
      <c r="CB40" s="124">
        <f t="shared" si="9"/>
        <v>0</v>
      </c>
      <c r="CC40" s="124">
        <f t="shared" si="10"/>
        <v>0</v>
      </c>
      <c r="CD40" s="124">
        <f t="shared" si="11"/>
        <v>0</v>
      </c>
      <c r="CE40" s="124">
        <f t="shared" si="12"/>
        <v>0</v>
      </c>
      <c r="CF40" s="124">
        <f t="shared" si="13"/>
        <v>0</v>
      </c>
      <c r="CG40" s="124">
        <f t="shared" si="14"/>
        <v>0</v>
      </c>
      <c r="CH40" s="124">
        <f t="shared" si="15"/>
        <v>0</v>
      </c>
      <c r="CI40" s="124">
        <f t="shared" si="16"/>
        <v>0</v>
      </c>
      <c r="CJ40" s="124">
        <f t="shared" si="17"/>
        <v>0</v>
      </c>
      <c r="CK40" s="124">
        <f t="shared" si="18"/>
        <v>0</v>
      </c>
      <c r="CL40" s="124">
        <f t="shared" si="19"/>
        <v>0</v>
      </c>
      <c r="CM40" s="124">
        <f t="shared" si="20"/>
        <v>0</v>
      </c>
      <c r="CN40" s="124">
        <f t="shared" si="21"/>
        <v>0</v>
      </c>
      <c r="CO40" s="124">
        <f t="shared" si="22"/>
        <v>0</v>
      </c>
      <c r="CP40" s="124">
        <f t="shared" si="23"/>
        <v>0</v>
      </c>
      <c r="CQ40" s="138">
        <f t="shared" si="24"/>
        <v>770.49101737059516</v>
      </c>
      <c r="CR40" s="138">
        <f t="shared" si="25"/>
        <v>3308.8792373324754</v>
      </c>
      <c r="CS40" s="138">
        <f t="shared" si="26"/>
        <v>68786.011996231842</v>
      </c>
    </row>
    <row r="41" spans="1:97" x14ac:dyDescent="0.2">
      <c r="A41" s="114">
        <v>41730</v>
      </c>
      <c r="B41">
        <f t="shared" si="27"/>
        <v>2014</v>
      </c>
      <c r="C41">
        <f t="shared" si="28"/>
        <v>4</v>
      </c>
      <c r="D41" s="131">
        <v>21900568.520000003</v>
      </c>
      <c r="E41" s="131">
        <f>VLOOKUP($B41,'Historic CDM'!$L$5:$R$17,2,FALSE)/12</f>
        <v>170537.35727284456</v>
      </c>
      <c r="F41" s="131">
        <f t="shared" si="4"/>
        <v>22071105.877272848</v>
      </c>
      <c r="G41" s="131">
        <v>7475909.6799999997</v>
      </c>
      <c r="H41" s="131">
        <f>VLOOKUP($B41,'Historic CDM'!$L$5:$R$17,3,FALSE)/12</f>
        <v>105551.56172052656</v>
      </c>
      <c r="I41" s="131">
        <f t="shared" si="5"/>
        <v>7581461.2417205265</v>
      </c>
      <c r="J41" s="131">
        <v>16625533.470000004</v>
      </c>
      <c r="K41" s="131">
        <f>VLOOKUP($B41,'Historic CDM'!$L$5:$R$17,4,FALSE)/12</f>
        <v>480728.51896375552</v>
      </c>
      <c r="L41" s="131">
        <f t="shared" si="6"/>
        <v>17106261.98896376</v>
      </c>
      <c r="N41" s="131">
        <f>VLOOKUP($B41,'Historic CDM'!$L$5:$R$17,5,FALSE)/12</f>
        <v>98650.417758180745</v>
      </c>
      <c r="Q41" s="131">
        <f>VLOOKUP($B41,'Historic CDM'!$L$5:$R$17,6,FALSE)/12</f>
        <v>36610.45432242586</v>
      </c>
      <c r="AA41" s="41">
        <v>31349</v>
      </c>
      <c r="AB41" s="125">
        <v>2491</v>
      </c>
      <c r="AC41" s="125">
        <v>276</v>
      </c>
      <c r="AI41" s="104">
        <f>Weather!C149</f>
        <v>6.1033333333333335</v>
      </c>
      <c r="AJ41" s="104">
        <f>Weather!D149</f>
        <v>476.9</v>
      </c>
      <c r="AK41" s="104">
        <f>Weather!E149</f>
        <v>0</v>
      </c>
      <c r="AL41" s="104">
        <f>Weather!F149</f>
        <v>416.90000000000003</v>
      </c>
      <c r="AM41" s="104">
        <f>Weather!G149</f>
        <v>0</v>
      </c>
      <c r="AN41" s="104">
        <f>Weather!H149</f>
        <v>356.90000000000003</v>
      </c>
      <c r="AO41" s="104">
        <f>Weather!I149</f>
        <v>0</v>
      </c>
      <c r="AP41" s="104">
        <f>Weather!J149</f>
        <v>296.90000000000003</v>
      </c>
      <c r="AQ41" s="104">
        <f>Weather!K149</f>
        <v>0</v>
      </c>
      <c r="AR41" s="104">
        <f>Weather!L149</f>
        <v>236.89999999999995</v>
      </c>
      <c r="AS41" s="104">
        <f>Weather!M149</f>
        <v>0</v>
      </c>
      <c r="AT41" s="104">
        <f>Weather!N149</f>
        <v>179.49999999999997</v>
      </c>
      <c r="AU41" s="104">
        <f>Weather!O149</f>
        <v>2.5999999999999996</v>
      </c>
      <c r="AV41" s="104">
        <f>Weather!P149</f>
        <v>126.49999999999997</v>
      </c>
      <c r="AW41" s="104">
        <f>Weather!Q149</f>
        <v>9.6</v>
      </c>
      <c r="AX41" s="104">
        <f>Weather!R149</f>
        <v>77.399999999999991</v>
      </c>
      <c r="AY41" s="104">
        <f>Weather!S149</f>
        <v>20.5</v>
      </c>
      <c r="AZ41" s="119">
        <f>Economic!C41</f>
        <v>659861.19999999995</v>
      </c>
      <c r="BA41" s="120">
        <f>Economic!D41</f>
        <v>6797.3</v>
      </c>
      <c r="BB41" s="120">
        <f>Economic!E41</f>
        <v>6715.8</v>
      </c>
      <c r="BC41" s="120">
        <f>Economic!F41</f>
        <v>3082.6</v>
      </c>
      <c r="BD41" s="120">
        <f>Economic!G41</f>
        <v>3053.9</v>
      </c>
      <c r="BE41" s="120">
        <f>Economic!H41</f>
        <v>376.9</v>
      </c>
      <c r="BF41" s="120">
        <f>Economic!I41</f>
        <v>375.4</v>
      </c>
      <c r="BG41" s="123">
        <f t="shared" ref="BG41:BX41" si="57">BG29</f>
        <v>30</v>
      </c>
      <c r="BH41" s="123">
        <v>20</v>
      </c>
      <c r="BI41" s="123">
        <f t="shared" si="41"/>
        <v>40</v>
      </c>
      <c r="BJ41" s="123">
        <f t="shared" si="57"/>
        <v>0</v>
      </c>
      <c r="BK41" s="123">
        <f t="shared" si="57"/>
        <v>0</v>
      </c>
      <c r="BL41" s="123">
        <f t="shared" si="57"/>
        <v>0</v>
      </c>
      <c r="BM41" s="123">
        <f t="shared" si="57"/>
        <v>1</v>
      </c>
      <c r="BN41" s="123">
        <f t="shared" si="57"/>
        <v>0</v>
      </c>
      <c r="BO41" s="123">
        <f t="shared" si="57"/>
        <v>0</v>
      </c>
      <c r="BP41" s="123">
        <f t="shared" si="57"/>
        <v>0</v>
      </c>
      <c r="BQ41" s="123">
        <f t="shared" si="57"/>
        <v>0</v>
      </c>
      <c r="BR41" s="123">
        <f t="shared" si="57"/>
        <v>0</v>
      </c>
      <c r="BS41" s="123">
        <f t="shared" si="57"/>
        <v>0</v>
      </c>
      <c r="BT41" s="123">
        <f t="shared" si="57"/>
        <v>0</v>
      </c>
      <c r="BU41" s="123">
        <f t="shared" si="57"/>
        <v>0</v>
      </c>
      <c r="BV41" s="123">
        <f t="shared" si="57"/>
        <v>1</v>
      </c>
      <c r="BW41" s="123">
        <f t="shared" si="57"/>
        <v>0</v>
      </c>
      <c r="BX41" s="123">
        <f t="shared" si="57"/>
        <v>1</v>
      </c>
      <c r="BY41" s="124">
        <v>0</v>
      </c>
      <c r="BZ41" s="124">
        <v>0</v>
      </c>
      <c r="CA41" s="124">
        <f t="shared" si="8"/>
        <v>0</v>
      </c>
      <c r="CB41" s="124">
        <f t="shared" si="9"/>
        <v>0</v>
      </c>
      <c r="CC41" s="124">
        <f t="shared" si="10"/>
        <v>0</v>
      </c>
      <c r="CD41" s="124">
        <f t="shared" si="11"/>
        <v>0</v>
      </c>
      <c r="CE41" s="124">
        <f t="shared" si="12"/>
        <v>0</v>
      </c>
      <c r="CF41" s="124">
        <f t="shared" si="13"/>
        <v>0</v>
      </c>
      <c r="CG41" s="124">
        <f t="shared" si="14"/>
        <v>0</v>
      </c>
      <c r="CH41" s="124">
        <f t="shared" si="15"/>
        <v>0</v>
      </c>
      <c r="CI41" s="124">
        <f t="shared" si="16"/>
        <v>0</v>
      </c>
      <c r="CJ41" s="124">
        <f t="shared" si="17"/>
        <v>0</v>
      </c>
      <c r="CK41" s="124">
        <f t="shared" si="18"/>
        <v>0</v>
      </c>
      <c r="CL41" s="124">
        <f t="shared" si="19"/>
        <v>0</v>
      </c>
      <c r="CM41" s="124">
        <f t="shared" si="20"/>
        <v>0</v>
      </c>
      <c r="CN41" s="124">
        <f t="shared" si="21"/>
        <v>0</v>
      </c>
      <c r="CO41" s="124">
        <f t="shared" si="22"/>
        <v>0</v>
      </c>
      <c r="CP41" s="124">
        <f t="shared" si="23"/>
        <v>0</v>
      </c>
      <c r="CQ41" s="138">
        <f t="shared" si="24"/>
        <v>704.04497359637776</v>
      </c>
      <c r="CR41" s="138">
        <f t="shared" si="25"/>
        <v>3043.5412451708257</v>
      </c>
      <c r="CS41" s="138">
        <f t="shared" si="26"/>
        <v>61979.210104941158</v>
      </c>
    </row>
    <row r="42" spans="1:97" x14ac:dyDescent="0.2">
      <c r="A42" s="115">
        <v>41760</v>
      </c>
      <c r="B42">
        <f t="shared" si="27"/>
        <v>2014</v>
      </c>
      <c r="C42">
        <f t="shared" si="28"/>
        <v>5</v>
      </c>
      <c r="D42" s="131">
        <v>20478356.049999967</v>
      </c>
      <c r="E42" s="131">
        <f>VLOOKUP($B42,'Historic CDM'!$L$5:$R$17,2,FALSE)/12</f>
        <v>170537.35727284456</v>
      </c>
      <c r="F42" s="131">
        <f t="shared" si="4"/>
        <v>20648893.407272812</v>
      </c>
      <c r="G42" s="131">
        <v>6796663.4799999958</v>
      </c>
      <c r="H42" s="131">
        <f>VLOOKUP($B42,'Historic CDM'!$L$5:$R$17,3,FALSE)/12</f>
        <v>105551.56172052656</v>
      </c>
      <c r="I42" s="131">
        <f t="shared" si="5"/>
        <v>6902215.0417205226</v>
      </c>
      <c r="J42" s="131">
        <v>16304922.880000003</v>
      </c>
      <c r="K42" s="131">
        <f>VLOOKUP($B42,'Historic CDM'!$L$5:$R$17,4,FALSE)/12</f>
        <v>480728.51896375552</v>
      </c>
      <c r="L42" s="131">
        <f t="shared" si="6"/>
        <v>16785651.398963757</v>
      </c>
      <c r="N42" s="131">
        <f>VLOOKUP($B42,'Historic CDM'!$L$5:$R$17,5,FALSE)/12</f>
        <v>98650.417758180745</v>
      </c>
      <c r="Q42" s="131">
        <f>VLOOKUP($B42,'Historic CDM'!$L$5:$R$17,6,FALSE)/12</f>
        <v>36610.45432242586</v>
      </c>
      <c r="AA42" s="41">
        <v>31435</v>
      </c>
      <c r="AB42" s="125">
        <v>2495</v>
      </c>
      <c r="AC42" s="125">
        <v>278</v>
      </c>
      <c r="AI42" s="104">
        <f>Weather!C150</f>
        <v>14.122580645161293</v>
      </c>
      <c r="AJ42" s="104">
        <f>Weather!D150</f>
        <v>246.90000000000006</v>
      </c>
      <c r="AK42" s="104">
        <f>Weather!E150</f>
        <v>2.6999999999999993</v>
      </c>
      <c r="AL42" s="104">
        <f>Weather!F150</f>
        <v>188.90000000000009</v>
      </c>
      <c r="AM42" s="104">
        <f>Weather!G150</f>
        <v>6.6999999999999993</v>
      </c>
      <c r="AN42" s="104">
        <f>Weather!H150</f>
        <v>132.10000000000002</v>
      </c>
      <c r="AO42" s="104">
        <f>Weather!I150</f>
        <v>11.900000000000002</v>
      </c>
      <c r="AP42" s="104">
        <f>Weather!J150</f>
        <v>81.700000000000031</v>
      </c>
      <c r="AQ42" s="104">
        <f>Weather!K150</f>
        <v>23.500000000000004</v>
      </c>
      <c r="AR42" s="104">
        <f>Weather!L150</f>
        <v>46.599999999999994</v>
      </c>
      <c r="AS42" s="104">
        <f>Weather!M150</f>
        <v>50.400000000000006</v>
      </c>
      <c r="AT42" s="104">
        <f>Weather!N150</f>
        <v>26.199999999999996</v>
      </c>
      <c r="AU42" s="104">
        <f>Weather!O150</f>
        <v>92</v>
      </c>
      <c r="AV42" s="104">
        <f>Weather!P150</f>
        <v>7.2000000000000011</v>
      </c>
      <c r="AW42" s="104">
        <f>Weather!Q150</f>
        <v>135</v>
      </c>
      <c r="AX42" s="104">
        <f>Weather!R150</f>
        <v>0</v>
      </c>
      <c r="AY42" s="104">
        <f>Weather!S150</f>
        <v>189.79999999999998</v>
      </c>
      <c r="AZ42" s="119">
        <f>Economic!C42</f>
        <v>659861.19999999995</v>
      </c>
      <c r="BA42" s="120">
        <f>Economic!D42</f>
        <v>6798</v>
      </c>
      <c r="BB42" s="120">
        <f>Economic!E42</f>
        <v>6770.1</v>
      </c>
      <c r="BC42" s="120">
        <f>Economic!F42</f>
        <v>3070.2</v>
      </c>
      <c r="BD42" s="120">
        <f>Economic!G42</f>
        <v>3060.3</v>
      </c>
      <c r="BE42" s="120">
        <f>Economic!H42</f>
        <v>374.4</v>
      </c>
      <c r="BF42" s="120">
        <f>Economic!I42</f>
        <v>372.6</v>
      </c>
      <c r="BG42" s="123">
        <f t="shared" ref="BG42:BX42" si="58">BG30</f>
        <v>31</v>
      </c>
      <c r="BH42" s="123">
        <v>22</v>
      </c>
      <c r="BI42" s="123">
        <f t="shared" si="41"/>
        <v>41</v>
      </c>
      <c r="BJ42" s="123">
        <f t="shared" si="58"/>
        <v>0</v>
      </c>
      <c r="BK42" s="123">
        <f t="shared" si="58"/>
        <v>0</v>
      </c>
      <c r="BL42" s="123">
        <f t="shared" si="58"/>
        <v>0</v>
      </c>
      <c r="BM42" s="123">
        <f t="shared" si="58"/>
        <v>0</v>
      </c>
      <c r="BN42" s="123">
        <f t="shared" si="58"/>
        <v>1</v>
      </c>
      <c r="BO42" s="123">
        <f t="shared" si="58"/>
        <v>0</v>
      </c>
      <c r="BP42" s="123">
        <f t="shared" si="58"/>
        <v>0</v>
      </c>
      <c r="BQ42" s="123">
        <f t="shared" si="58"/>
        <v>0</v>
      </c>
      <c r="BR42" s="123">
        <f t="shared" si="58"/>
        <v>0</v>
      </c>
      <c r="BS42" s="123">
        <f t="shared" si="58"/>
        <v>0</v>
      </c>
      <c r="BT42" s="123">
        <f t="shared" si="58"/>
        <v>0</v>
      </c>
      <c r="BU42" s="123">
        <f t="shared" si="58"/>
        <v>0</v>
      </c>
      <c r="BV42" s="123">
        <f t="shared" si="58"/>
        <v>1</v>
      </c>
      <c r="BW42" s="123">
        <f t="shared" si="58"/>
        <v>0</v>
      </c>
      <c r="BX42" s="123">
        <f t="shared" si="58"/>
        <v>1</v>
      </c>
      <c r="BY42" s="124">
        <v>0</v>
      </c>
      <c r="BZ42" s="124">
        <v>0</v>
      </c>
      <c r="CA42" s="124">
        <f t="shared" si="8"/>
        <v>0</v>
      </c>
      <c r="CB42" s="124">
        <f t="shared" si="9"/>
        <v>0</v>
      </c>
      <c r="CC42" s="124">
        <f t="shared" si="10"/>
        <v>0</v>
      </c>
      <c r="CD42" s="124">
        <f t="shared" si="11"/>
        <v>0</v>
      </c>
      <c r="CE42" s="124">
        <f t="shared" si="12"/>
        <v>0</v>
      </c>
      <c r="CF42" s="124">
        <f t="shared" si="13"/>
        <v>0</v>
      </c>
      <c r="CG42" s="124">
        <f t="shared" si="14"/>
        <v>0</v>
      </c>
      <c r="CH42" s="124">
        <f t="shared" si="15"/>
        <v>0</v>
      </c>
      <c r="CI42" s="124">
        <f t="shared" si="16"/>
        <v>0</v>
      </c>
      <c r="CJ42" s="124">
        <f t="shared" si="17"/>
        <v>0</v>
      </c>
      <c r="CK42" s="124">
        <f t="shared" si="18"/>
        <v>0</v>
      </c>
      <c r="CL42" s="124">
        <f t="shared" si="19"/>
        <v>0</v>
      </c>
      <c r="CM42" s="124">
        <f t="shared" si="20"/>
        <v>0</v>
      </c>
      <c r="CN42" s="124">
        <f t="shared" si="21"/>
        <v>0</v>
      </c>
      <c r="CO42" s="124">
        <f t="shared" si="22"/>
        <v>0</v>
      </c>
      <c r="CP42" s="124">
        <f t="shared" si="23"/>
        <v>0</v>
      </c>
      <c r="CQ42" s="138">
        <f t="shared" si="24"/>
        <v>656.87588380063028</v>
      </c>
      <c r="CR42" s="138">
        <f t="shared" si="25"/>
        <v>2766.4188543970031</v>
      </c>
      <c r="CS42" s="138">
        <f t="shared" si="26"/>
        <v>60380.041003466751</v>
      </c>
    </row>
    <row r="43" spans="1:97" x14ac:dyDescent="0.2">
      <c r="A43" s="114">
        <v>41791</v>
      </c>
      <c r="B43">
        <f t="shared" si="27"/>
        <v>2014</v>
      </c>
      <c r="C43">
        <f t="shared" si="28"/>
        <v>6</v>
      </c>
      <c r="D43" s="131">
        <v>24401887.909999993</v>
      </c>
      <c r="E43" s="131">
        <f>VLOOKUP($B43,'Historic CDM'!$L$5:$R$17,2,FALSE)/12</f>
        <v>170537.35727284456</v>
      </c>
      <c r="F43" s="131">
        <f t="shared" si="4"/>
        <v>24572425.267272837</v>
      </c>
      <c r="G43" s="131">
        <v>6448751.459999999</v>
      </c>
      <c r="H43" s="131">
        <f>VLOOKUP($B43,'Historic CDM'!$L$5:$R$17,3,FALSE)/12</f>
        <v>105551.56172052656</v>
      </c>
      <c r="I43" s="131">
        <f t="shared" si="5"/>
        <v>6554303.0217205258</v>
      </c>
      <c r="J43" s="131">
        <v>16672277.809999999</v>
      </c>
      <c r="K43" s="131">
        <f>VLOOKUP($B43,'Historic CDM'!$L$5:$R$17,4,FALSE)/12</f>
        <v>480728.51896375552</v>
      </c>
      <c r="L43" s="131">
        <f t="shared" si="6"/>
        <v>17153006.328963753</v>
      </c>
      <c r="N43" s="131">
        <f>VLOOKUP($B43,'Historic CDM'!$L$5:$R$17,5,FALSE)/12</f>
        <v>98650.417758180745</v>
      </c>
      <c r="Q43" s="131">
        <f>VLOOKUP($B43,'Historic CDM'!$L$5:$R$17,6,FALSE)/12</f>
        <v>36610.45432242586</v>
      </c>
      <c r="AA43" s="41">
        <v>31553</v>
      </c>
      <c r="AB43" s="125">
        <v>2502</v>
      </c>
      <c r="AC43" s="125">
        <v>279</v>
      </c>
      <c r="AI43" s="104">
        <f>Weather!C151</f>
        <v>19.8</v>
      </c>
      <c r="AJ43" s="104">
        <f>Weather!D151</f>
        <v>78.500000000000028</v>
      </c>
      <c r="AK43" s="104">
        <f>Weather!E151</f>
        <v>12.5</v>
      </c>
      <c r="AL43" s="104">
        <f>Weather!F151</f>
        <v>38.4</v>
      </c>
      <c r="AM43" s="104">
        <f>Weather!G151</f>
        <v>32.399999999999991</v>
      </c>
      <c r="AN43" s="104">
        <f>Weather!H151</f>
        <v>14.1</v>
      </c>
      <c r="AO43" s="104">
        <f>Weather!I151</f>
        <v>68.099999999999994</v>
      </c>
      <c r="AP43" s="104">
        <f>Weather!J151</f>
        <v>2.7999999999999989</v>
      </c>
      <c r="AQ43" s="104">
        <f>Weather!K151</f>
        <v>116.8</v>
      </c>
      <c r="AR43" s="104">
        <f>Weather!L151</f>
        <v>0</v>
      </c>
      <c r="AS43" s="104">
        <f>Weather!M151</f>
        <v>174</v>
      </c>
      <c r="AT43" s="104">
        <f>Weather!N151</f>
        <v>0</v>
      </c>
      <c r="AU43" s="104">
        <f>Weather!O151</f>
        <v>234</v>
      </c>
      <c r="AV43" s="104">
        <f>Weather!P151</f>
        <v>0</v>
      </c>
      <c r="AW43" s="104">
        <f>Weather!Q151</f>
        <v>294</v>
      </c>
      <c r="AX43" s="104">
        <f>Weather!R151</f>
        <v>0</v>
      </c>
      <c r="AY43" s="104">
        <f>Weather!S151</f>
        <v>354</v>
      </c>
      <c r="AZ43" s="119">
        <f>Economic!C43</f>
        <v>659861.19999999995</v>
      </c>
      <c r="BA43" s="120">
        <f>Economic!D43</f>
        <v>6790.7</v>
      </c>
      <c r="BB43" s="120">
        <f>Economic!E43</f>
        <v>6837.5</v>
      </c>
      <c r="BC43" s="120">
        <f>Economic!F43</f>
        <v>3046.3</v>
      </c>
      <c r="BD43" s="120">
        <f>Economic!G43</f>
        <v>3063.6</v>
      </c>
      <c r="BE43" s="120">
        <f>Economic!H43</f>
        <v>375.4</v>
      </c>
      <c r="BF43" s="120">
        <f>Economic!I43</f>
        <v>376</v>
      </c>
      <c r="BG43" s="123">
        <f t="shared" ref="BG43:BX43" si="59">BG31</f>
        <v>30</v>
      </c>
      <c r="BH43" s="123">
        <v>21</v>
      </c>
      <c r="BI43" s="123">
        <f t="shared" si="41"/>
        <v>42</v>
      </c>
      <c r="BJ43" s="123">
        <f t="shared" si="59"/>
        <v>0</v>
      </c>
      <c r="BK43" s="123">
        <f t="shared" si="59"/>
        <v>0</v>
      </c>
      <c r="BL43" s="123">
        <f t="shared" si="59"/>
        <v>0</v>
      </c>
      <c r="BM43" s="123">
        <f t="shared" si="59"/>
        <v>0</v>
      </c>
      <c r="BN43" s="123">
        <f t="shared" si="59"/>
        <v>0</v>
      </c>
      <c r="BO43" s="123">
        <f t="shared" si="59"/>
        <v>1</v>
      </c>
      <c r="BP43" s="123">
        <f t="shared" si="59"/>
        <v>0</v>
      </c>
      <c r="BQ43" s="123">
        <f t="shared" si="59"/>
        <v>0</v>
      </c>
      <c r="BR43" s="123">
        <f t="shared" si="59"/>
        <v>0</v>
      </c>
      <c r="BS43" s="123">
        <f t="shared" si="59"/>
        <v>0</v>
      </c>
      <c r="BT43" s="123">
        <f t="shared" si="59"/>
        <v>0</v>
      </c>
      <c r="BU43" s="123">
        <f t="shared" si="59"/>
        <v>0</v>
      </c>
      <c r="BV43" s="123">
        <f t="shared" si="59"/>
        <v>0</v>
      </c>
      <c r="BW43" s="123">
        <f t="shared" si="59"/>
        <v>0</v>
      </c>
      <c r="BX43" s="123">
        <f t="shared" si="59"/>
        <v>0</v>
      </c>
      <c r="BY43" s="124">
        <v>0</v>
      </c>
      <c r="BZ43" s="124">
        <v>0</v>
      </c>
      <c r="CA43" s="124">
        <f t="shared" si="8"/>
        <v>0</v>
      </c>
      <c r="CB43" s="124">
        <f t="shared" si="9"/>
        <v>0</v>
      </c>
      <c r="CC43" s="124">
        <f t="shared" si="10"/>
        <v>0</v>
      </c>
      <c r="CD43" s="124">
        <f t="shared" si="11"/>
        <v>0</v>
      </c>
      <c r="CE43" s="124">
        <f t="shared" si="12"/>
        <v>0</v>
      </c>
      <c r="CF43" s="124">
        <f t="shared" si="13"/>
        <v>0</v>
      </c>
      <c r="CG43" s="124">
        <f t="shared" si="14"/>
        <v>0</v>
      </c>
      <c r="CH43" s="124">
        <f t="shared" si="15"/>
        <v>0</v>
      </c>
      <c r="CI43" s="124">
        <f t="shared" si="16"/>
        <v>0</v>
      </c>
      <c r="CJ43" s="124">
        <f t="shared" si="17"/>
        <v>0</v>
      </c>
      <c r="CK43" s="124">
        <f t="shared" si="18"/>
        <v>0</v>
      </c>
      <c r="CL43" s="124">
        <f t="shared" si="19"/>
        <v>0</v>
      </c>
      <c r="CM43" s="124">
        <f t="shared" si="20"/>
        <v>0</v>
      </c>
      <c r="CN43" s="124">
        <f t="shared" si="21"/>
        <v>0</v>
      </c>
      <c r="CO43" s="124">
        <f t="shared" si="22"/>
        <v>0</v>
      </c>
      <c r="CP43" s="124">
        <f t="shared" si="23"/>
        <v>0</v>
      </c>
      <c r="CQ43" s="138">
        <f t="shared" si="24"/>
        <v>778.76668675792598</v>
      </c>
      <c r="CR43" s="138">
        <f t="shared" si="25"/>
        <v>2619.6255082815851</v>
      </c>
      <c r="CS43" s="138">
        <f t="shared" si="26"/>
        <v>61480.30942280915</v>
      </c>
    </row>
    <row r="44" spans="1:97" x14ac:dyDescent="0.2">
      <c r="A44" s="115">
        <v>41821</v>
      </c>
      <c r="B44">
        <f t="shared" si="27"/>
        <v>2014</v>
      </c>
      <c r="C44">
        <f t="shared" si="28"/>
        <v>7</v>
      </c>
      <c r="D44" s="131">
        <v>28438794.999999996</v>
      </c>
      <c r="E44" s="131">
        <f>VLOOKUP($B44,'Historic CDM'!$L$5:$R$17,2,FALSE)/12</f>
        <v>170537.35727284456</v>
      </c>
      <c r="F44" s="131">
        <f t="shared" si="4"/>
        <v>28609332.357272841</v>
      </c>
      <c r="G44" s="131">
        <v>7390493.370000002</v>
      </c>
      <c r="H44" s="131">
        <f>VLOOKUP($B44,'Historic CDM'!$L$5:$R$17,3,FALSE)/12</f>
        <v>105551.56172052656</v>
      </c>
      <c r="I44" s="131">
        <f t="shared" si="5"/>
        <v>7496044.9317205288</v>
      </c>
      <c r="J44" s="131">
        <v>16686928.109999999</v>
      </c>
      <c r="K44" s="131">
        <f>VLOOKUP($B44,'Historic CDM'!$L$5:$R$17,4,FALSE)/12</f>
        <v>480728.51896375552</v>
      </c>
      <c r="L44" s="131">
        <f t="shared" si="6"/>
        <v>17167656.628963754</v>
      </c>
      <c r="N44" s="131">
        <f>VLOOKUP($B44,'Historic CDM'!$L$5:$R$17,5,FALSE)/12</f>
        <v>98650.417758180745</v>
      </c>
      <c r="Q44" s="131">
        <f>VLOOKUP($B44,'Historic CDM'!$L$5:$R$17,6,FALSE)/12</f>
        <v>36610.45432242586</v>
      </c>
      <c r="AA44" s="41">
        <v>31756</v>
      </c>
      <c r="AB44" s="125">
        <v>2512</v>
      </c>
      <c r="AC44" s="125">
        <v>282</v>
      </c>
      <c r="AI44" s="104">
        <f>Weather!C152</f>
        <v>20.161290322580641</v>
      </c>
      <c r="AJ44" s="104">
        <f>Weather!D152</f>
        <v>70.599999999999994</v>
      </c>
      <c r="AK44" s="104">
        <f>Weather!E152</f>
        <v>13.600000000000001</v>
      </c>
      <c r="AL44" s="104">
        <f>Weather!F152</f>
        <v>28.3</v>
      </c>
      <c r="AM44" s="104">
        <f>Weather!G152</f>
        <v>33.299999999999997</v>
      </c>
      <c r="AN44" s="104">
        <f>Weather!H152</f>
        <v>4</v>
      </c>
      <c r="AO44" s="104">
        <f>Weather!I152</f>
        <v>71</v>
      </c>
      <c r="AP44" s="104">
        <f>Weather!J152</f>
        <v>0</v>
      </c>
      <c r="AQ44" s="104">
        <f>Weather!K152</f>
        <v>129</v>
      </c>
      <c r="AR44" s="104">
        <f>Weather!L152</f>
        <v>0</v>
      </c>
      <c r="AS44" s="104">
        <f>Weather!M152</f>
        <v>190.99999999999997</v>
      </c>
      <c r="AT44" s="104">
        <f>Weather!N152</f>
        <v>0</v>
      </c>
      <c r="AU44" s="104">
        <f>Weather!O152</f>
        <v>253</v>
      </c>
      <c r="AV44" s="104">
        <f>Weather!P152</f>
        <v>0</v>
      </c>
      <c r="AW44" s="104">
        <f>Weather!Q152</f>
        <v>315.00000000000006</v>
      </c>
      <c r="AX44" s="104">
        <f>Weather!R152</f>
        <v>0</v>
      </c>
      <c r="AY44" s="104">
        <f>Weather!S152</f>
        <v>377</v>
      </c>
      <c r="AZ44" s="119">
        <f>Economic!C44</f>
        <v>659861.19999999995</v>
      </c>
      <c r="BA44" s="120">
        <f>Economic!D44</f>
        <v>6792</v>
      </c>
      <c r="BB44" s="120">
        <f>Economic!E44</f>
        <v>6884</v>
      </c>
      <c r="BC44" s="120">
        <f>Economic!F44</f>
        <v>3021.9</v>
      </c>
      <c r="BD44" s="120">
        <f>Economic!G44</f>
        <v>3050.8</v>
      </c>
      <c r="BE44" s="120">
        <f>Economic!H44</f>
        <v>377</v>
      </c>
      <c r="BF44" s="120">
        <f>Economic!I44</f>
        <v>379.6</v>
      </c>
      <c r="BG44" s="123">
        <f t="shared" ref="BG44:BX44" si="60">BG32</f>
        <v>31</v>
      </c>
      <c r="BH44" s="123">
        <v>21</v>
      </c>
      <c r="BI44" s="123">
        <f t="shared" si="41"/>
        <v>43</v>
      </c>
      <c r="BJ44" s="123">
        <f t="shared" si="60"/>
        <v>0</v>
      </c>
      <c r="BK44" s="123">
        <f t="shared" si="60"/>
        <v>0</v>
      </c>
      <c r="BL44" s="123">
        <f t="shared" si="60"/>
        <v>0</v>
      </c>
      <c r="BM44" s="123">
        <f t="shared" si="60"/>
        <v>0</v>
      </c>
      <c r="BN44" s="123">
        <f t="shared" si="60"/>
        <v>0</v>
      </c>
      <c r="BO44" s="123">
        <f t="shared" si="60"/>
        <v>0</v>
      </c>
      <c r="BP44" s="123">
        <f t="shared" si="60"/>
        <v>1</v>
      </c>
      <c r="BQ44" s="123">
        <f t="shared" si="60"/>
        <v>0</v>
      </c>
      <c r="BR44" s="123">
        <f t="shared" si="60"/>
        <v>0</v>
      </c>
      <c r="BS44" s="123">
        <f t="shared" si="60"/>
        <v>0</v>
      </c>
      <c r="BT44" s="123">
        <f t="shared" si="60"/>
        <v>0</v>
      </c>
      <c r="BU44" s="123">
        <f t="shared" si="60"/>
        <v>0</v>
      </c>
      <c r="BV44" s="123">
        <f t="shared" si="60"/>
        <v>0</v>
      </c>
      <c r="BW44" s="123">
        <f t="shared" si="60"/>
        <v>0</v>
      </c>
      <c r="BX44" s="123">
        <f t="shared" si="60"/>
        <v>0</v>
      </c>
      <c r="BY44" s="124">
        <v>0</v>
      </c>
      <c r="BZ44" s="124">
        <v>0</v>
      </c>
      <c r="CA44" s="124">
        <f t="shared" si="8"/>
        <v>0</v>
      </c>
      <c r="CB44" s="124">
        <f t="shared" si="9"/>
        <v>0</v>
      </c>
      <c r="CC44" s="124">
        <f t="shared" si="10"/>
        <v>0</v>
      </c>
      <c r="CD44" s="124">
        <f t="shared" si="11"/>
        <v>0</v>
      </c>
      <c r="CE44" s="124">
        <f t="shared" si="12"/>
        <v>0</v>
      </c>
      <c r="CF44" s="124">
        <f t="shared" si="13"/>
        <v>0</v>
      </c>
      <c r="CG44" s="124">
        <f t="shared" si="14"/>
        <v>0</v>
      </c>
      <c r="CH44" s="124">
        <f t="shared" si="15"/>
        <v>0</v>
      </c>
      <c r="CI44" s="124">
        <f t="shared" si="16"/>
        <v>0</v>
      </c>
      <c r="CJ44" s="124">
        <f t="shared" si="17"/>
        <v>0</v>
      </c>
      <c r="CK44" s="124">
        <f t="shared" si="18"/>
        <v>0</v>
      </c>
      <c r="CL44" s="124">
        <f t="shared" si="19"/>
        <v>0</v>
      </c>
      <c r="CM44" s="124">
        <f t="shared" si="20"/>
        <v>0</v>
      </c>
      <c r="CN44" s="124">
        <f t="shared" si="21"/>
        <v>0</v>
      </c>
      <c r="CO44" s="124">
        <f t="shared" si="22"/>
        <v>0</v>
      </c>
      <c r="CP44" s="124">
        <f t="shared" si="23"/>
        <v>0</v>
      </c>
      <c r="CQ44" s="138">
        <f t="shared" si="24"/>
        <v>900.91108317397789</v>
      </c>
      <c r="CR44" s="138">
        <f t="shared" si="25"/>
        <v>2984.0943199524399</v>
      </c>
      <c r="CS44" s="138">
        <f t="shared" si="26"/>
        <v>60878.214996325369</v>
      </c>
    </row>
    <row r="45" spans="1:97" x14ac:dyDescent="0.2">
      <c r="A45" s="114">
        <v>41852</v>
      </c>
      <c r="B45">
        <f t="shared" si="27"/>
        <v>2014</v>
      </c>
      <c r="C45">
        <f t="shared" si="28"/>
        <v>8</v>
      </c>
      <c r="D45" s="131">
        <v>26308447.180000015</v>
      </c>
      <c r="E45" s="131">
        <f>VLOOKUP($B45,'Historic CDM'!$L$5:$R$17,2,FALSE)/12</f>
        <v>170537.35727284456</v>
      </c>
      <c r="F45" s="131">
        <f t="shared" si="4"/>
        <v>26478984.537272859</v>
      </c>
      <c r="G45" s="131">
        <v>6944132.1800000006</v>
      </c>
      <c r="H45" s="131">
        <f>VLOOKUP($B45,'Historic CDM'!$L$5:$R$17,3,FALSE)/12</f>
        <v>105551.56172052656</v>
      </c>
      <c r="I45" s="131">
        <f t="shared" si="5"/>
        <v>7049683.7417205274</v>
      </c>
      <c r="J45" s="131">
        <v>16611492.549999997</v>
      </c>
      <c r="K45" s="131">
        <f>VLOOKUP($B45,'Historic CDM'!$L$5:$R$17,4,FALSE)/12</f>
        <v>480728.51896375552</v>
      </c>
      <c r="L45" s="131">
        <f t="shared" si="6"/>
        <v>17092221.068963751</v>
      </c>
      <c r="N45" s="131">
        <f>VLOOKUP($B45,'Historic CDM'!$L$5:$R$17,5,FALSE)/12</f>
        <v>98650.417758180745</v>
      </c>
      <c r="Q45" s="131">
        <f>VLOOKUP($B45,'Historic CDM'!$L$5:$R$17,6,FALSE)/12</f>
        <v>36610.45432242586</v>
      </c>
      <c r="AA45" s="41">
        <v>31837</v>
      </c>
      <c r="AB45" s="125">
        <v>2521</v>
      </c>
      <c r="AC45" s="125">
        <v>283</v>
      </c>
      <c r="AI45" s="104">
        <f>Weather!C153</f>
        <v>20.35483870967742</v>
      </c>
      <c r="AJ45" s="104">
        <f>Weather!D153</f>
        <v>62.100000000000009</v>
      </c>
      <c r="AK45" s="104">
        <f>Weather!E153</f>
        <v>11.100000000000005</v>
      </c>
      <c r="AL45" s="104">
        <f>Weather!F153</f>
        <v>27.5</v>
      </c>
      <c r="AM45" s="104">
        <f>Weather!G153</f>
        <v>38.500000000000007</v>
      </c>
      <c r="AN45" s="104">
        <f>Weather!H153</f>
        <v>8.8000000000000007</v>
      </c>
      <c r="AO45" s="104">
        <f>Weather!I153</f>
        <v>81.800000000000011</v>
      </c>
      <c r="AP45" s="104">
        <f>Weather!J153</f>
        <v>1</v>
      </c>
      <c r="AQ45" s="104">
        <f>Weather!K153</f>
        <v>136</v>
      </c>
      <c r="AR45" s="104">
        <f>Weather!L153</f>
        <v>0</v>
      </c>
      <c r="AS45" s="104">
        <f>Weather!M153</f>
        <v>197</v>
      </c>
      <c r="AT45" s="104">
        <f>Weather!N153</f>
        <v>0</v>
      </c>
      <c r="AU45" s="104">
        <f>Weather!O153</f>
        <v>259</v>
      </c>
      <c r="AV45" s="104">
        <f>Weather!P153</f>
        <v>0</v>
      </c>
      <c r="AW45" s="104">
        <f>Weather!Q153</f>
        <v>321</v>
      </c>
      <c r="AX45" s="104">
        <f>Weather!R153</f>
        <v>0</v>
      </c>
      <c r="AY45" s="104">
        <f>Weather!S153</f>
        <v>383</v>
      </c>
      <c r="AZ45" s="119">
        <f>Economic!C45</f>
        <v>659861.19999999995</v>
      </c>
      <c r="BA45" s="120">
        <f>Economic!D45</f>
        <v>6796.3</v>
      </c>
      <c r="BB45" s="120">
        <f>Economic!E45</f>
        <v>6897.1</v>
      </c>
      <c r="BC45" s="120">
        <f>Economic!F45</f>
        <v>3010.9</v>
      </c>
      <c r="BD45" s="120">
        <f>Economic!G45</f>
        <v>3048.9</v>
      </c>
      <c r="BE45" s="120">
        <f>Economic!H45</f>
        <v>379.6</v>
      </c>
      <c r="BF45" s="120">
        <f>Economic!I45</f>
        <v>382.3</v>
      </c>
      <c r="BG45" s="123">
        <f t="shared" ref="BG45:BX45" si="61">BG33</f>
        <v>31</v>
      </c>
      <c r="BH45" s="123">
        <v>22</v>
      </c>
      <c r="BI45" s="123">
        <f t="shared" si="41"/>
        <v>44</v>
      </c>
      <c r="BJ45" s="123">
        <f t="shared" si="61"/>
        <v>0</v>
      </c>
      <c r="BK45" s="123">
        <f t="shared" si="61"/>
        <v>0</v>
      </c>
      <c r="BL45" s="123">
        <f t="shared" si="61"/>
        <v>0</v>
      </c>
      <c r="BM45" s="123">
        <f t="shared" si="61"/>
        <v>0</v>
      </c>
      <c r="BN45" s="123">
        <f t="shared" si="61"/>
        <v>0</v>
      </c>
      <c r="BO45" s="123">
        <f t="shared" si="61"/>
        <v>0</v>
      </c>
      <c r="BP45" s="123">
        <f t="shared" si="61"/>
        <v>0</v>
      </c>
      <c r="BQ45" s="123">
        <f t="shared" si="61"/>
        <v>1</v>
      </c>
      <c r="BR45" s="123">
        <f t="shared" si="61"/>
        <v>0</v>
      </c>
      <c r="BS45" s="123">
        <f t="shared" si="61"/>
        <v>0</v>
      </c>
      <c r="BT45" s="123">
        <f t="shared" si="61"/>
        <v>0</v>
      </c>
      <c r="BU45" s="123">
        <f t="shared" si="61"/>
        <v>0</v>
      </c>
      <c r="BV45" s="123">
        <f t="shared" si="61"/>
        <v>0</v>
      </c>
      <c r="BW45" s="123">
        <f t="shared" si="61"/>
        <v>0</v>
      </c>
      <c r="BX45" s="123">
        <f t="shared" si="61"/>
        <v>0</v>
      </c>
      <c r="BY45" s="124">
        <v>0</v>
      </c>
      <c r="BZ45" s="124">
        <v>0</v>
      </c>
      <c r="CA45" s="124">
        <f t="shared" si="8"/>
        <v>0</v>
      </c>
      <c r="CB45" s="124">
        <f t="shared" si="9"/>
        <v>0</v>
      </c>
      <c r="CC45" s="124">
        <f t="shared" si="10"/>
        <v>0</v>
      </c>
      <c r="CD45" s="124">
        <f t="shared" si="11"/>
        <v>0</v>
      </c>
      <c r="CE45" s="124">
        <f t="shared" si="12"/>
        <v>0</v>
      </c>
      <c r="CF45" s="124">
        <f t="shared" si="13"/>
        <v>0</v>
      </c>
      <c r="CG45" s="124">
        <f t="shared" si="14"/>
        <v>0</v>
      </c>
      <c r="CH45" s="124">
        <f t="shared" si="15"/>
        <v>0</v>
      </c>
      <c r="CI45" s="124">
        <f t="shared" si="16"/>
        <v>0</v>
      </c>
      <c r="CJ45" s="124">
        <f t="shared" si="17"/>
        <v>0</v>
      </c>
      <c r="CK45" s="124">
        <f t="shared" si="18"/>
        <v>0</v>
      </c>
      <c r="CL45" s="124">
        <f t="shared" si="19"/>
        <v>0</v>
      </c>
      <c r="CM45" s="124">
        <f t="shared" si="20"/>
        <v>0</v>
      </c>
      <c r="CN45" s="124">
        <f t="shared" si="21"/>
        <v>0</v>
      </c>
      <c r="CO45" s="124">
        <f t="shared" si="22"/>
        <v>0</v>
      </c>
      <c r="CP45" s="124">
        <f t="shared" si="23"/>
        <v>0</v>
      </c>
      <c r="CQ45" s="138">
        <f t="shared" si="24"/>
        <v>831.70476292593082</v>
      </c>
      <c r="CR45" s="138">
        <f t="shared" si="25"/>
        <v>2796.3838721620496</v>
      </c>
      <c r="CS45" s="138">
        <f t="shared" si="26"/>
        <v>60396.540879730572</v>
      </c>
    </row>
    <row r="46" spans="1:97" x14ac:dyDescent="0.2">
      <c r="A46" s="115">
        <v>41883</v>
      </c>
      <c r="B46">
        <f t="shared" si="27"/>
        <v>2014</v>
      </c>
      <c r="C46">
        <f t="shared" si="28"/>
        <v>9</v>
      </c>
      <c r="D46" s="131">
        <v>21592645.629999999</v>
      </c>
      <c r="E46" s="131">
        <f>VLOOKUP($B46,'Historic CDM'!$L$5:$R$17,2,FALSE)/12</f>
        <v>170537.35727284456</v>
      </c>
      <c r="F46" s="131">
        <f t="shared" si="4"/>
        <v>21763182.987272844</v>
      </c>
      <c r="G46" s="131">
        <v>6510451.410000002</v>
      </c>
      <c r="H46" s="131">
        <f>VLOOKUP($B46,'Historic CDM'!$L$5:$R$17,3,FALSE)/12</f>
        <v>105551.56172052656</v>
      </c>
      <c r="I46" s="131">
        <f t="shared" si="5"/>
        <v>6616002.9717205288</v>
      </c>
      <c r="J46" s="131">
        <v>16361292.15</v>
      </c>
      <c r="K46" s="131">
        <f>VLOOKUP($B46,'Historic CDM'!$L$5:$R$17,4,FALSE)/12</f>
        <v>480728.51896375552</v>
      </c>
      <c r="L46" s="131">
        <f t="shared" si="6"/>
        <v>16842020.668963756</v>
      </c>
      <c r="N46" s="131">
        <f>VLOOKUP($B46,'Historic CDM'!$L$5:$R$17,5,FALSE)/12</f>
        <v>98650.417758180745</v>
      </c>
      <c r="Q46" s="131">
        <f>VLOOKUP($B46,'Historic CDM'!$L$5:$R$17,6,FALSE)/12</f>
        <v>36610.45432242586</v>
      </c>
      <c r="AA46" s="41">
        <v>31970</v>
      </c>
      <c r="AB46" s="125">
        <v>2528</v>
      </c>
      <c r="AC46" s="125">
        <v>283</v>
      </c>
      <c r="AI46" s="104">
        <f>Weather!C154</f>
        <v>16.68</v>
      </c>
      <c r="AJ46" s="104">
        <f>Weather!D154</f>
        <v>165.99999999999997</v>
      </c>
      <c r="AK46" s="104">
        <f>Weather!E154</f>
        <v>6.4000000000000021</v>
      </c>
      <c r="AL46" s="104">
        <f>Weather!F154</f>
        <v>113.9</v>
      </c>
      <c r="AM46" s="104">
        <f>Weather!G154</f>
        <v>14.3</v>
      </c>
      <c r="AN46" s="104">
        <f>Weather!H154</f>
        <v>69.700000000000017</v>
      </c>
      <c r="AO46" s="104">
        <f>Weather!I154</f>
        <v>30.1</v>
      </c>
      <c r="AP46" s="104">
        <f>Weather!J154</f>
        <v>39.299999999999997</v>
      </c>
      <c r="AQ46" s="104">
        <f>Weather!K154</f>
        <v>59.70000000000001</v>
      </c>
      <c r="AR46" s="104">
        <f>Weather!L154</f>
        <v>20.5</v>
      </c>
      <c r="AS46" s="104">
        <f>Weather!M154</f>
        <v>100.89999999999998</v>
      </c>
      <c r="AT46" s="104">
        <f>Weather!N154</f>
        <v>8.2999999999999989</v>
      </c>
      <c r="AU46" s="104">
        <f>Weather!O154</f>
        <v>148.69999999999999</v>
      </c>
      <c r="AV46" s="104">
        <f>Weather!P154</f>
        <v>0.79999999999999893</v>
      </c>
      <c r="AW46" s="104">
        <f>Weather!Q154</f>
        <v>201.2</v>
      </c>
      <c r="AX46" s="104">
        <f>Weather!R154</f>
        <v>0</v>
      </c>
      <c r="AY46" s="104">
        <f>Weather!S154</f>
        <v>260.40000000000003</v>
      </c>
      <c r="AZ46" s="119">
        <f>Economic!C46</f>
        <v>659861.19999999995</v>
      </c>
      <c r="BA46" s="120">
        <f>Economic!D46</f>
        <v>6817.7</v>
      </c>
      <c r="BB46" s="120">
        <f>Economic!E46</f>
        <v>6875.4</v>
      </c>
      <c r="BC46" s="120">
        <f>Economic!F46</f>
        <v>3013.7</v>
      </c>
      <c r="BD46" s="120">
        <f>Economic!G46</f>
        <v>3040.3</v>
      </c>
      <c r="BE46" s="120">
        <f>Economic!H46</f>
        <v>378.3</v>
      </c>
      <c r="BF46" s="120">
        <f>Economic!I46</f>
        <v>380.5</v>
      </c>
      <c r="BG46" s="123">
        <f t="shared" ref="BG46:BX46" si="62">BG34</f>
        <v>30</v>
      </c>
      <c r="BH46" s="123">
        <v>19</v>
      </c>
      <c r="BI46" s="123">
        <f t="shared" si="41"/>
        <v>45</v>
      </c>
      <c r="BJ46" s="123">
        <f t="shared" si="62"/>
        <v>0</v>
      </c>
      <c r="BK46" s="123">
        <f t="shared" si="62"/>
        <v>0</v>
      </c>
      <c r="BL46" s="123">
        <f t="shared" si="62"/>
        <v>0</v>
      </c>
      <c r="BM46" s="123">
        <f t="shared" si="62"/>
        <v>0</v>
      </c>
      <c r="BN46" s="123">
        <f t="shared" si="62"/>
        <v>0</v>
      </c>
      <c r="BO46" s="123">
        <f t="shared" si="62"/>
        <v>0</v>
      </c>
      <c r="BP46" s="123">
        <f t="shared" si="62"/>
        <v>0</v>
      </c>
      <c r="BQ46" s="123">
        <f t="shared" si="62"/>
        <v>0</v>
      </c>
      <c r="BR46" s="123">
        <f t="shared" si="62"/>
        <v>1</v>
      </c>
      <c r="BS46" s="123">
        <f t="shared" si="62"/>
        <v>0</v>
      </c>
      <c r="BT46" s="123">
        <f t="shared" si="62"/>
        <v>0</v>
      </c>
      <c r="BU46" s="123">
        <f t="shared" si="62"/>
        <v>0</v>
      </c>
      <c r="BV46" s="123">
        <f t="shared" si="62"/>
        <v>0</v>
      </c>
      <c r="BW46" s="123">
        <f t="shared" si="62"/>
        <v>1</v>
      </c>
      <c r="BX46" s="123">
        <f t="shared" si="62"/>
        <v>1</v>
      </c>
      <c r="BY46" s="124">
        <v>0</v>
      </c>
      <c r="BZ46" s="124">
        <v>0</v>
      </c>
      <c r="CA46" s="124">
        <f t="shared" si="8"/>
        <v>0</v>
      </c>
      <c r="CB46" s="124">
        <f t="shared" si="9"/>
        <v>0</v>
      </c>
      <c r="CC46" s="124">
        <f t="shared" si="10"/>
        <v>0</v>
      </c>
      <c r="CD46" s="124">
        <f t="shared" si="11"/>
        <v>0</v>
      </c>
      <c r="CE46" s="124">
        <f t="shared" si="12"/>
        <v>0</v>
      </c>
      <c r="CF46" s="124">
        <f t="shared" si="13"/>
        <v>0</v>
      </c>
      <c r="CG46" s="124">
        <f t="shared" si="14"/>
        <v>0</v>
      </c>
      <c r="CH46" s="124">
        <f t="shared" si="15"/>
        <v>0</v>
      </c>
      <c r="CI46" s="124">
        <f t="shared" si="16"/>
        <v>0</v>
      </c>
      <c r="CJ46" s="124">
        <f t="shared" si="17"/>
        <v>0</v>
      </c>
      <c r="CK46" s="124">
        <f t="shared" si="18"/>
        <v>0</v>
      </c>
      <c r="CL46" s="124">
        <f t="shared" si="19"/>
        <v>0</v>
      </c>
      <c r="CM46" s="124">
        <f t="shared" si="20"/>
        <v>0</v>
      </c>
      <c r="CN46" s="124">
        <f t="shared" si="21"/>
        <v>0</v>
      </c>
      <c r="CO46" s="124">
        <f t="shared" si="22"/>
        <v>0</v>
      </c>
      <c r="CP46" s="124">
        <f t="shared" si="23"/>
        <v>0</v>
      </c>
      <c r="CQ46" s="138">
        <f t="shared" si="24"/>
        <v>680.73765990844049</v>
      </c>
      <c r="CR46" s="138">
        <f t="shared" si="25"/>
        <v>2617.0897831172979</v>
      </c>
      <c r="CS46" s="138">
        <f t="shared" si="26"/>
        <v>59512.440526373699</v>
      </c>
    </row>
    <row r="47" spans="1:97" x14ac:dyDescent="0.2">
      <c r="A47" s="114">
        <v>41913</v>
      </c>
      <c r="B47">
        <f t="shared" si="27"/>
        <v>2014</v>
      </c>
      <c r="C47">
        <f t="shared" si="28"/>
        <v>10</v>
      </c>
      <c r="D47" s="131">
        <v>21211727.290000003</v>
      </c>
      <c r="E47" s="131">
        <f>VLOOKUP($B47,'Historic CDM'!$L$5:$R$17,2,FALSE)/12</f>
        <v>170537.35727284456</v>
      </c>
      <c r="F47" s="131">
        <f t="shared" si="4"/>
        <v>21382264.647272848</v>
      </c>
      <c r="G47" s="131">
        <v>6792373.7300000032</v>
      </c>
      <c r="H47" s="131">
        <f>VLOOKUP($B47,'Historic CDM'!$L$5:$R$17,3,FALSE)/12</f>
        <v>105551.56172052656</v>
      </c>
      <c r="I47" s="131">
        <f t="shared" si="5"/>
        <v>6897925.29172053</v>
      </c>
      <c r="J47" s="131">
        <v>16487938.609999999</v>
      </c>
      <c r="K47" s="131">
        <f>VLOOKUP($B47,'Historic CDM'!$L$5:$R$17,4,FALSE)/12</f>
        <v>480728.51896375552</v>
      </c>
      <c r="L47" s="131">
        <f t="shared" si="6"/>
        <v>16968667.128963754</v>
      </c>
      <c r="N47" s="131">
        <f>VLOOKUP($B47,'Historic CDM'!$L$5:$R$17,5,FALSE)/12</f>
        <v>98650.417758180745</v>
      </c>
      <c r="Q47" s="131">
        <f>VLOOKUP($B47,'Historic CDM'!$L$5:$R$17,6,FALSE)/12</f>
        <v>36610.45432242586</v>
      </c>
      <c r="AA47" s="41">
        <v>32106</v>
      </c>
      <c r="AB47" s="125">
        <v>2530</v>
      </c>
      <c r="AC47" s="125">
        <v>282</v>
      </c>
      <c r="AI47" s="104">
        <f>Weather!C155</f>
        <v>10.806451612903228</v>
      </c>
      <c r="AJ47" s="104">
        <f>Weather!D155</f>
        <v>346.99999999999994</v>
      </c>
      <c r="AK47" s="104">
        <f>Weather!E155</f>
        <v>0</v>
      </c>
      <c r="AL47" s="104">
        <f>Weather!F155</f>
        <v>285</v>
      </c>
      <c r="AM47" s="104">
        <f>Weather!G155</f>
        <v>0</v>
      </c>
      <c r="AN47" s="104">
        <f>Weather!H155</f>
        <v>224.30000000000004</v>
      </c>
      <c r="AO47" s="104">
        <f>Weather!I155</f>
        <v>1.3000000000000007</v>
      </c>
      <c r="AP47" s="104">
        <f>Weather!J155</f>
        <v>167.3</v>
      </c>
      <c r="AQ47" s="104">
        <f>Weather!K155</f>
        <v>6.3000000000000007</v>
      </c>
      <c r="AR47" s="104">
        <f>Weather!L155</f>
        <v>117.8</v>
      </c>
      <c r="AS47" s="104">
        <f>Weather!M155</f>
        <v>18.800000000000004</v>
      </c>
      <c r="AT47" s="104">
        <f>Weather!N155</f>
        <v>75.099999999999994</v>
      </c>
      <c r="AU47" s="104">
        <f>Weather!O155</f>
        <v>38.1</v>
      </c>
      <c r="AV47" s="104">
        <f>Weather!P155</f>
        <v>36.099999999999994</v>
      </c>
      <c r="AW47" s="104">
        <f>Weather!Q155</f>
        <v>61.099999999999994</v>
      </c>
      <c r="AX47" s="104">
        <f>Weather!R155</f>
        <v>9.9</v>
      </c>
      <c r="AY47" s="104">
        <f>Weather!S155</f>
        <v>96.9</v>
      </c>
      <c r="AZ47" s="119">
        <f>Economic!C47</f>
        <v>659861.19999999995</v>
      </c>
      <c r="BA47" s="120">
        <f>Economic!D47</f>
        <v>6834</v>
      </c>
      <c r="BB47" s="120">
        <f>Economic!E47</f>
        <v>6869.1</v>
      </c>
      <c r="BC47" s="120">
        <f>Economic!F47</f>
        <v>3027.3</v>
      </c>
      <c r="BD47" s="120">
        <f>Economic!G47</f>
        <v>3043.7</v>
      </c>
      <c r="BE47" s="120">
        <f>Economic!H47</f>
        <v>378.4</v>
      </c>
      <c r="BF47" s="120">
        <f>Economic!I47</f>
        <v>380.7</v>
      </c>
      <c r="BG47" s="123">
        <f t="shared" ref="BG47:BX47" si="63">BG35</f>
        <v>31</v>
      </c>
      <c r="BH47" s="123">
        <v>22</v>
      </c>
      <c r="BI47" s="123">
        <f t="shared" si="41"/>
        <v>46</v>
      </c>
      <c r="BJ47" s="123">
        <f t="shared" si="63"/>
        <v>0</v>
      </c>
      <c r="BK47" s="123">
        <f t="shared" si="63"/>
        <v>0</v>
      </c>
      <c r="BL47" s="123">
        <f t="shared" si="63"/>
        <v>0</v>
      </c>
      <c r="BM47" s="123">
        <f t="shared" si="63"/>
        <v>0</v>
      </c>
      <c r="BN47" s="123">
        <f t="shared" si="63"/>
        <v>0</v>
      </c>
      <c r="BO47" s="123">
        <f t="shared" si="63"/>
        <v>0</v>
      </c>
      <c r="BP47" s="123">
        <f t="shared" si="63"/>
        <v>0</v>
      </c>
      <c r="BQ47" s="123">
        <f t="shared" si="63"/>
        <v>0</v>
      </c>
      <c r="BR47" s="123">
        <f t="shared" si="63"/>
        <v>0</v>
      </c>
      <c r="BS47" s="123">
        <f t="shared" si="63"/>
        <v>1</v>
      </c>
      <c r="BT47" s="123">
        <f t="shared" si="63"/>
        <v>0</v>
      </c>
      <c r="BU47" s="123">
        <f t="shared" si="63"/>
        <v>0</v>
      </c>
      <c r="BV47" s="123">
        <f t="shared" si="63"/>
        <v>0</v>
      </c>
      <c r="BW47" s="123">
        <f t="shared" si="63"/>
        <v>1</v>
      </c>
      <c r="BX47" s="123">
        <f t="shared" si="63"/>
        <v>1</v>
      </c>
      <c r="BY47" s="124">
        <v>0</v>
      </c>
      <c r="BZ47" s="124">
        <v>0</v>
      </c>
      <c r="CA47" s="124">
        <f t="shared" si="8"/>
        <v>0</v>
      </c>
      <c r="CB47" s="124">
        <f t="shared" si="9"/>
        <v>0</v>
      </c>
      <c r="CC47" s="124">
        <f t="shared" si="10"/>
        <v>0</v>
      </c>
      <c r="CD47" s="124">
        <f t="shared" si="11"/>
        <v>0</v>
      </c>
      <c r="CE47" s="124">
        <f t="shared" si="12"/>
        <v>0</v>
      </c>
      <c r="CF47" s="124">
        <f t="shared" si="13"/>
        <v>0</v>
      </c>
      <c r="CG47" s="124">
        <f t="shared" si="14"/>
        <v>0</v>
      </c>
      <c r="CH47" s="124">
        <f t="shared" si="15"/>
        <v>0</v>
      </c>
      <c r="CI47" s="124">
        <f t="shared" si="16"/>
        <v>0</v>
      </c>
      <c r="CJ47" s="124">
        <f t="shared" si="17"/>
        <v>0</v>
      </c>
      <c r="CK47" s="124">
        <f t="shared" si="18"/>
        <v>0</v>
      </c>
      <c r="CL47" s="124">
        <f t="shared" si="19"/>
        <v>0</v>
      </c>
      <c r="CM47" s="124">
        <f t="shared" si="20"/>
        <v>0</v>
      </c>
      <c r="CN47" s="124">
        <f t="shared" si="21"/>
        <v>0</v>
      </c>
      <c r="CO47" s="124">
        <f t="shared" si="22"/>
        <v>0</v>
      </c>
      <c r="CP47" s="124">
        <f t="shared" si="23"/>
        <v>0</v>
      </c>
      <c r="CQ47" s="138">
        <f t="shared" si="24"/>
        <v>665.98967941421688</v>
      </c>
      <c r="CR47" s="138">
        <f t="shared" si="25"/>
        <v>2726.4526844745178</v>
      </c>
      <c r="CS47" s="138">
        <f t="shared" si="26"/>
        <v>60172.578471502675</v>
      </c>
    </row>
    <row r="48" spans="1:97" x14ac:dyDescent="0.2">
      <c r="A48" s="115">
        <v>41944</v>
      </c>
      <c r="B48">
        <f t="shared" si="27"/>
        <v>2014</v>
      </c>
      <c r="C48">
        <f t="shared" si="28"/>
        <v>11</v>
      </c>
      <c r="D48" s="131">
        <v>22391892.130000006</v>
      </c>
      <c r="E48" s="131">
        <f>VLOOKUP($B48,'Historic CDM'!$L$5:$R$17,2,FALSE)/12</f>
        <v>170537.35727284456</v>
      </c>
      <c r="F48" s="131">
        <f t="shared" si="4"/>
        <v>22562429.487272851</v>
      </c>
      <c r="G48" s="131">
        <v>7187665.7199999969</v>
      </c>
      <c r="H48" s="131">
        <f>VLOOKUP($B48,'Historic CDM'!$L$5:$R$17,3,FALSE)/12</f>
        <v>105551.56172052656</v>
      </c>
      <c r="I48" s="131">
        <f t="shared" si="5"/>
        <v>7293217.2817205237</v>
      </c>
      <c r="J48" s="131">
        <v>17004284.760000002</v>
      </c>
      <c r="K48" s="131">
        <f>VLOOKUP($B48,'Historic CDM'!$L$5:$R$17,4,FALSE)/12</f>
        <v>480728.51896375552</v>
      </c>
      <c r="L48" s="131">
        <f t="shared" si="6"/>
        <v>17485013.278963756</v>
      </c>
      <c r="N48" s="131">
        <f>VLOOKUP($B48,'Historic CDM'!$L$5:$R$17,5,FALSE)/12</f>
        <v>98650.417758180745</v>
      </c>
      <c r="Q48" s="131">
        <f>VLOOKUP($B48,'Historic CDM'!$L$5:$R$17,6,FALSE)/12</f>
        <v>36610.45432242586</v>
      </c>
      <c r="AA48" s="41">
        <v>32208</v>
      </c>
      <c r="AB48" s="125">
        <v>2539</v>
      </c>
      <c r="AC48" s="125">
        <v>284</v>
      </c>
      <c r="AI48" s="104">
        <f>Weather!C156</f>
        <v>1.9300000000000002</v>
      </c>
      <c r="AJ48" s="104">
        <f>Weather!D156</f>
        <v>602.09999999999991</v>
      </c>
      <c r="AK48" s="104">
        <f>Weather!E156</f>
        <v>0</v>
      </c>
      <c r="AL48" s="104">
        <f>Weather!F156</f>
        <v>542.1</v>
      </c>
      <c r="AM48" s="104">
        <f>Weather!G156</f>
        <v>0</v>
      </c>
      <c r="AN48" s="104">
        <f>Weather!H156</f>
        <v>482.1</v>
      </c>
      <c r="AO48" s="104">
        <f>Weather!I156</f>
        <v>0</v>
      </c>
      <c r="AP48" s="104">
        <f>Weather!J156</f>
        <v>422.10000000000008</v>
      </c>
      <c r="AQ48" s="104">
        <f>Weather!K156</f>
        <v>0</v>
      </c>
      <c r="AR48" s="104">
        <f>Weather!L156</f>
        <v>362.10000000000008</v>
      </c>
      <c r="AS48" s="104">
        <f>Weather!M156</f>
        <v>0</v>
      </c>
      <c r="AT48" s="104">
        <f>Weather!N156</f>
        <v>302.10000000000002</v>
      </c>
      <c r="AU48" s="104">
        <f>Weather!O156</f>
        <v>0</v>
      </c>
      <c r="AV48" s="104">
        <f>Weather!P156</f>
        <v>244.20000000000002</v>
      </c>
      <c r="AW48" s="104">
        <f>Weather!Q156</f>
        <v>2.0999999999999996</v>
      </c>
      <c r="AX48" s="104">
        <f>Weather!R156</f>
        <v>189.70000000000005</v>
      </c>
      <c r="AY48" s="104">
        <f>Weather!S156</f>
        <v>7.6</v>
      </c>
      <c r="AZ48" s="119">
        <f>Economic!C48</f>
        <v>659861.19999999995</v>
      </c>
      <c r="BA48" s="120">
        <f>Economic!D48</f>
        <v>6842</v>
      </c>
      <c r="BB48" s="120">
        <f>Economic!E48</f>
        <v>6850</v>
      </c>
      <c r="BC48" s="120">
        <f>Economic!F48</f>
        <v>3036.7</v>
      </c>
      <c r="BD48" s="120">
        <f>Economic!G48</f>
        <v>3039.1</v>
      </c>
      <c r="BE48" s="120">
        <f>Economic!H48</f>
        <v>374.9</v>
      </c>
      <c r="BF48" s="120">
        <f>Economic!I48</f>
        <v>377.4</v>
      </c>
      <c r="BG48" s="123">
        <f t="shared" ref="BG48:BX48" si="64">BG36</f>
        <v>30</v>
      </c>
      <c r="BH48" s="123">
        <v>22</v>
      </c>
      <c r="BI48" s="123">
        <f t="shared" si="41"/>
        <v>47</v>
      </c>
      <c r="BJ48" s="123">
        <f t="shared" si="64"/>
        <v>0</v>
      </c>
      <c r="BK48" s="123">
        <f t="shared" si="64"/>
        <v>0</v>
      </c>
      <c r="BL48" s="123">
        <f t="shared" si="64"/>
        <v>0</v>
      </c>
      <c r="BM48" s="123">
        <f t="shared" si="64"/>
        <v>0</v>
      </c>
      <c r="BN48" s="123">
        <f t="shared" si="64"/>
        <v>0</v>
      </c>
      <c r="BO48" s="123">
        <f t="shared" si="64"/>
        <v>0</v>
      </c>
      <c r="BP48" s="123">
        <f t="shared" si="64"/>
        <v>0</v>
      </c>
      <c r="BQ48" s="123">
        <f t="shared" si="64"/>
        <v>0</v>
      </c>
      <c r="BR48" s="123">
        <f t="shared" si="64"/>
        <v>0</v>
      </c>
      <c r="BS48" s="123">
        <f t="shared" si="64"/>
        <v>0</v>
      </c>
      <c r="BT48" s="123">
        <f t="shared" si="64"/>
        <v>1</v>
      </c>
      <c r="BU48" s="123">
        <f t="shared" si="64"/>
        <v>0</v>
      </c>
      <c r="BV48" s="123">
        <f t="shared" si="64"/>
        <v>0</v>
      </c>
      <c r="BW48" s="123">
        <f t="shared" si="64"/>
        <v>1</v>
      </c>
      <c r="BX48" s="123">
        <f t="shared" si="64"/>
        <v>1</v>
      </c>
      <c r="BY48" s="124">
        <v>0</v>
      </c>
      <c r="BZ48" s="124">
        <v>0</v>
      </c>
      <c r="CA48" s="124">
        <f t="shared" si="8"/>
        <v>0</v>
      </c>
      <c r="CB48" s="124">
        <f t="shared" si="9"/>
        <v>0</v>
      </c>
      <c r="CC48" s="124">
        <f t="shared" si="10"/>
        <v>0</v>
      </c>
      <c r="CD48" s="124">
        <f t="shared" si="11"/>
        <v>0</v>
      </c>
      <c r="CE48" s="124">
        <f t="shared" si="12"/>
        <v>0</v>
      </c>
      <c r="CF48" s="124">
        <f t="shared" si="13"/>
        <v>0</v>
      </c>
      <c r="CG48" s="124">
        <f t="shared" si="14"/>
        <v>0</v>
      </c>
      <c r="CH48" s="124">
        <f t="shared" si="15"/>
        <v>0</v>
      </c>
      <c r="CI48" s="124">
        <f t="shared" si="16"/>
        <v>0</v>
      </c>
      <c r="CJ48" s="124">
        <f t="shared" si="17"/>
        <v>0</v>
      </c>
      <c r="CK48" s="124">
        <f t="shared" si="18"/>
        <v>0</v>
      </c>
      <c r="CL48" s="124">
        <f t="shared" si="19"/>
        <v>0</v>
      </c>
      <c r="CM48" s="124">
        <f t="shared" si="20"/>
        <v>0</v>
      </c>
      <c r="CN48" s="124">
        <f t="shared" si="21"/>
        <v>0</v>
      </c>
      <c r="CO48" s="124">
        <f t="shared" si="22"/>
        <v>0</v>
      </c>
      <c r="CP48" s="124">
        <f t="shared" si="23"/>
        <v>0</v>
      </c>
      <c r="CQ48" s="138">
        <f t="shared" si="24"/>
        <v>700.52252506435832</v>
      </c>
      <c r="CR48" s="138">
        <f t="shared" si="25"/>
        <v>2872.4762826784258</v>
      </c>
      <c r="CS48" s="138">
        <f t="shared" si="26"/>
        <v>61566.948165365335</v>
      </c>
    </row>
    <row r="49" spans="1:97" x14ac:dyDescent="0.2">
      <c r="A49" s="114">
        <v>41974</v>
      </c>
      <c r="B49">
        <f t="shared" si="27"/>
        <v>2014</v>
      </c>
      <c r="C49">
        <f t="shared" si="28"/>
        <v>12</v>
      </c>
      <c r="D49" s="131">
        <v>27503240.840000004</v>
      </c>
      <c r="E49" s="131">
        <f>VLOOKUP($B49,'Historic CDM'!$L$5:$R$17,2,FALSE)/12</f>
        <v>170537.35727284456</v>
      </c>
      <c r="F49" s="131">
        <f t="shared" si="4"/>
        <v>27673778.197272848</v>
      </c>
      <c r="G49" s="131">
        <v>8927945.1699999962</v>
      </c>
      <c r="H49" s="131">
        <f>VLOOKUP($B49,'Historic CDM'!$L$5:$R$17,3,FALSE)/12</f>
        <v>105551.56172052656</v>
      </c>
      <c r="I49" s="131">
        <f t="shared" si="5"/>
        <v>9033496.731720522</v>
      </c>
      <c r="J49" s="131">
        <v>17950454.600000001</v>
      </c>
      <c r="K49" s="131">
        <f>VLOOKUP($B49,'Historic CDM'!$L$5:$R$17,4,FALSE)/12</f>
        <v>480728.51896375552</v>
      </c>
      <c r="L49" s="131">
        <f t="shared" si="6"/>
        <v>18431183.118963756</v>
      </c>
      <c r="N49" s="131">
        <f>VLOOKUP($B49,'Historic CDM'!$L$5:$R$17,5,FALSE)/12</f>
        <v>98650.417758180745</v>
      </c>
      <c r="Q49" s="131">
        <f>VLOOKUP($B49,'Historic CDM'!$L$5:$R$17,6,FALSE)/12</f>
        <v>36610.45432242586</v>
      </c>
      <c r="AA49" s="41">
        <v>32268</v>
      </c>
      <c r="AB49" s="125">
        <v>2544</v>
      </c>
      <c r="AC49" s="125">
        <v>284</v>
      </c>
      <c r="AI49" s="104">
        <f>Weather!C157</f>
        <v>2.2580645161290443E-2</v>
      </c>
      <c r="AJ49" s="104">
        <f>Weather!D157</f>
        <v>681.29999999999984</v>
      </c>
      <c r="AK49" s="104">
        <f>Weather!E157</f>
        <v>0</v>
      </c>
      <c r="AL49" s="104">
        <f>Weather!F157</f>
        <v>619.29999999999995</v>
      </c>
      <c r="AM49" s="104">
        <f>Weather!G157</f>
        <v>0</v>
      </c>
      <c r="AN49" s="104">
        <f>Weather!H157</f>
        <v>557.29999999999995</v>
      </c>
      <c r="AO49" s="104">
        <f>Weather!I157</f>
        <v>0</v>
      </c>
      <c r="AP49" s="104">
        <f>Weather!J157</f>
        <v>495.30000000000007</v>
      </c>
      <c r="AQ49" s="104">
        <f>Weather!K157</f>
        <v>0</v>
      </c>
      <c r="AR49" s="104">
        <f>Weather!L157</f>
        <v>433.30000000000007</v>
      </c>
      <c r="AS49" s="104">
        <f>Weather!M157</f>
        <v>0</v>
      </c>
      <c r="AT49" s="104">
        <f>Weather!N157</f>
        <v>371.30000000000013</v>
      </c>
      <c r="AU49" s="104">
        <f>Weather!O157</f>
        <v>0</v>
      </c>
      <c r="AV49" s="104">
        <f>Weather!P157</f>
        <v>309.30000000000007</v>
      </c>
      <c r="AW49" s="104">
        <f>Weather!Q157</f>
        <v>0</v>
      </c>
      <c r="AX49" s="104">
        <f>Weather!R157</f>
        <v>247.30000000000004</v>
      </c>
      <c r="AY49" s="104">
        <f>Weather!S157</f>
        <v>0</v>
      </c>
      <c r="AZ49" s="119">
        <f>Economic!C49</f>
        <v>659861.19999999995</v>
      </c>
      <c r="BA49" s="120">
        <f>Economic!D49</f>
        <v>6833.4</v>
      </c>
      <c r="BB49" s="120">
        <f>Economic!E49</f>
        <v>6837.3</v>
      </c>
      <c r="BC49" s="120">
        <f>Economic!F49</f>
        <v>3034.6</v>
      </c>
      <c r="BD49" s="120">
        <f>Economic!G49</f>
        <v>3036.2</v>
      </c>
      <c r="BE49" s="120">
        <f>Economic!H49</f>
        <v>371.6</v>
      </c>
      <c r="BF49" s="120">
        <f>Economic!I49</f>
        <v>375.2</v>
      </c>
      <c r="BG49" s="123">
        <f t="shared" ref="BG49:BX49" si="65">BG37</f>
        <v>31</v>
      </c>
      <c r="BH49" s="123">
        <v>19</v>
      </c>
      <c r="BI49" s="123">
        <f t="shared" si="41"/>
        <v>48</v>
      </c>
      <c r="BJ49" s="123">
        <f t="shared" si="65"/>
        <v>0</v>
      </c>
      <c r="BK49" s="123">
        <f t="shared" si="65"/>
        <v>0</v>
      </c>
      <c r="BL49" s="123">
        <f t="shared" si="65"/>
        <v>0</v>
      </c>
      <c r="BM49" s="123">
        <f t="shared" si="65"/>
        <v>0</v>
      </c>
      <c r="BN49" s="123">
        <f t="shared" si="65"/>
        <v>0</v>
      </c>
      <c r="BO49" s="123">
        <f t="shared" si="65"/>
        <v>0</v>
      </c>
      <c r="BP49" s="123">
        <f t="shared" si="65"/>
        <v>0</v>
      </c>
      <c r="BQ49" s="123">
        <f t="shared" si="65"/>
        <v>0</v>
      </c>
      <c r="BR49" s="123">
        <f t="shared" si="65"/>
        <v>0</v>
      </c>
      <c r="BS49" s="123">
        <f t="shared" si="65"/>
        <v>0</v>
      </c>
      <c r="BT49" s="123">
        <f t="shared" si="65"/>
        <v>0</v>
      </c>
      <c r="BU49" s="123">
        <f t="shared" si="65"/>
        <v>1</v>
      </c>
      <c r="BV49" s="123">
        <f t="shared" si="65"/>
        <v>0</v>
      </c>
      <c r="BW49" s="123">
        <f t="shared" si="65"/>
        <v>0</v>
      </c>
      <c r="BX49" s="123">
        <f t="shared" si="65"/>
        <v>0</v>
      </c>
      <c r="BY49" s="124">
        <v>0</v>
      </c>
      <c r="BZ49" s="124">
        <v>0</v>
      </c>
      <c r="CA49" s="124">
        <f t="shared" si="8"/>
        <v>0</v>
      </c>
      <c r="CB49" s="124">
        <f t="shared" si="9"/>
        <v>0</v>
      </c>
      <c r="CC49" s="124">
        <f t="shared" si="10"/>
        <v>0</v>
      </c>
      <c r="CD49" s="124">
        <f t="shared" si="11"/>
        <v>0</v>
      </c>
      <c r="CE49" s="124">
        <f t="shared" si="12"/>
        <v>0</v>
      </c>
      <c r="CF49" s="124">
        <f t="shared" si="13"/>
        <v>0</v>
      </c>
      <c r="CG49" s="124">
        <f t="shared" si="14"/>
        <v>0</v>
      </c>
      <c r="CH49" s="124">
        <f t="shared" si="15"/>
        <v>0</v>
      </c>
      <c r="CI49" s="124">
        <f t="shared" si="16"/>
        <v>0</v>
      </c>
      <c r="CJ49" s="124">
        <f t="shared" si="17"/>
        <v>0</v>
      </c>
      <c r="CK49" s="124">
        <f t="shared" si="18"/>
        <v>0</v>
      </c>
      <c r="CL49" s="124">
        <f t="shared" si="19"/>
        <v>0</v>
      </c>
      <c r="CM49" s="124">
        <f t="shared" si="20"/>
        <v>0</v>
      </c>
      <c r="CN49" s="124">
        <f t="shared" si="21"/>
        <v>0</v>
      </c>
      <c r="CO49" s="124">
        <f t="shared" si="22"/>
        <v>0</v>
      </c>
      <c r="CP49" s="124">
        <f t="shared" si="23"/>
        <v>0</v>
      </c>
      <c r="CQ49" s="138">
        <f t="shared" si="24"/>
        <v>857.6229762387768</v>
      </c>
      <c r="CR49" s="138">
        <f t="shared" si="25"/>
        <v>3550.9028033492618</v>
      </c>
      <c r="CS49" s="138">
        <f t="shared" si="26"/>
        <v>64898.532109027306</v>
      </c>
    </row>
    <row r="50" spans="1:97" x14ac:dyDescent="0.2">
      <c r="A50" s="115">
        <v>42005</v>
      </c>
      <c r="B50">
        <f t="shared" si="27"/>
        <v>2015</v>
      </c>
      <c r="C50">
        <f t="shared" si="28"/>
        <v>1</v>
      </c>
      <c r="D50" s="131">
        <v>27752175.363855418</v>
      </c>
      <c r="E50" s="131">
        <f>VLOOKUP($B50,'Historic CDM'!$L$5:$R$17,2,FALSE)/12</f>
        <v>317002.07740110968</v>
      </c>
      <c r="F50" s="131">
        <f t="shared" si="4"/>
        <v>28069177.441256527</v>
      </c>
      <c r="G50" s="102">
        <v>8967430.3132530134</v>
      </c>
      <c r="H50" s="131">
        <f>VLOOKUP($B50,'Historic CDM'!$L$5:$R$17,3,FALSE)/12</f>
        <v>194937.46716045527</v>
      </c>
      <c r="I50" s="131">
        <f t="shared" si="5"/>
        <v>9162367.7804134693</v>
      </c>
      <c r="J50" s="102">
        <v>18875685.754216857</v>
      </c>
      <c r="K50" s="131">
        <f>VLOOKUP($B50,'Historic CDM'!$L$5:$R$17,4,FALSE)/12</f>
        <v>555044.66445330705</v>
      </c>
      <c r="L50" s="131">
        <f t="shared" si="6"/>
        <v>19430730.418670163</v>
      </c>
      <c r="M50" s="102">
        <v>8521937.2499636766</v>
      </c>
      <c r="N50" s="131">
        <f>VLOOKUP($B50,'Historic CDM'!$L$5:$R$17,5,FALSE)/12</f>
        <v>137183.8079628546</v>
      </c>
      <c r="O50" s="131">
        <f t="shared" ref="O50:O113" si="66">M50+N50</f>
        <v>8659121.0579265319</v>
      </c>
      <c r="P50" s="102">
        <v>11250166.152775016</v>
      </c>
      <c r="Q50" s="131">
        <f>VLOOKUP($B50,'Historic CDM'!$L$5:$R$17,6,FALSE)/12</f>
        <v>388174.22846577159</v>
      </c>
      <c r="R50" s="131">
        <f t="shared" ref="R50:R113" si="67">P50+Q50</f>
        <v>11638340.381240787</v>
      </c>
      <c r="S50" s="102">
        <v>110602.37108433733</v>
      </c>
      <c r="T50" s="102">
        <v>12187.164705882353</v>
      </c>
      <c r="U50" s="102">
        <v>799551.24819277111</v>
      </c>
      <c r="V50" s="102">
        <v>45309.880000000026</v>
      </c>
      <c r="W50" s="102">
        <v>22312.800000000003</v>
      </c>
      <c r="X50" s="102">
        <v>20793.16</v>
      </c>
      <c r="Y50" s="102">
        <v>1760.75</v>
      </c>
      <c r="Z50" s="102">
        <v>34.913926940639286</v>
      </c>
      <c r="AA50" s="41">
        <v>32346</v>
      </c>
      <c r="AB50" s="41">
        <v>2548</v>
      </c>
      <c r="AC50" s="41">
        <v>286</v>
      </c>
      <c r="AD50" s="41">
        <v>12</v>
      </c>
      <c r="AE50" s="41">
        <v>3</v>
      </c>
      <c r="AF50" s="41">
        <f>300+2564+246</f>
        <v>3110</v>
      </c>
      <c r="AG50" s="41">
        <v>250.76470588235293</v>
      </c>
      <c r="AH50" s="41">
        <v>195</v>
      </c>
      <c r="AI50" s="104">
        <f>Weather!C158</f>
        <v>-7.5612903225806471</v>
      </c>
      <c r="AJ50" s="104">
        <f>Weather!D158</f>
        <v>916.39999999999975</v>
      </c>
      <c r="AK50" s="104">
        <f>Weather!E158</f>
        <v>0</v>
      </c>
      <c r="AL50" s="104">
        <f>Weather!F158</f>
        <v>854.39999999999975</v>
      </c>
      <c r="AM50" s="104">
        <f>Weather!G158</f>
        <v>0</v>
      </c>
      <c r="AN50" s="104">
        <f>Weather!H158</f>
        <v>792.39999999999975</v>
      </c>
      <c r="AO50" s="104">
        <f>Weather!I158</f>
        <v>0</v>
      </c>
      <c r="AP50" s="104">
        <f>Weather!J158</f>
        <v>730.39999999999975</v>
      </c>
      <c r="AQ50" s="104">
        <f>Weather!K158</f>
        <v>0</v>
      </c>
      <c r="AR50" s="104">
        <f>Weather!L158</f>
        <v>668.39999999999986</v>
      </c>
      <c r="AS50" s="104">
        <f>Weather!M158</f>
        <v>0</v>
      </c>
      <c r="AT50" s="104">
        <f>Weather!N158</f>
        <v>606.39999999999986</v>
      </c>
      <c r="AU50" s="104">
        <f>Weather!O158</f>
        <v>0</v>
      </c>
      <c r="AV50" s="104">
        <f>Weather!P158</f>
        <v>544.4</v>
      </c>
      <c r="AW50" s="104">
        <f>Weather!Q158</f>
        <v>0</v>
      </c>
      <c r="AX50" s="104">
        <f>Weather!R158</f>
        <v>482.4</v>
      </c>
      <c r="AY50" s="104">
        <f>Weather!S158</f>
        <v>0</v>
      </c>
      <c r="AZ50" s="119">
        <f>Economic!C50</f>
        <v>677384</v>
      </c>
      <c r="BA50" s="120">
        <f>Economic!D50</f>
        <v>6815.7</v>
      </c>
      <c r="BB50" s="120">
        <f>Economic!E50</f>
        <v>6777.3</v>
      </c>
      <c r="BC50" s="120">
        <f>Economic!F50</f>
        <v>3029.1</v>
      </c>
      <c r="BD50" s="120">
        <f>Economic!G50</f>
        <v>3016.9</v>
      </c>
      <c r="BE50" s="120">
        <f>Economic!H50</f>
        <v>371</v>
      </c>
      <c r="BF50" s="120">
        <f>Economic!I50</f>
        <v>371.8</v>
      </c>
      <c r="BG50" s="123">
        <f t="shared" ref="BG50:BX50" si="68">BG38</f>
        <v>31</v>
      </c>
      <c r="BH50" s="123">
        <v>22</v>
      </c>
      <c r="BI50" s="123">
        <f t="shared" si="41"/>
        <v>49</v>
      </c>
      <c r="BJ50" s="123">
        <f t="shared" si="68"/>
        <v>1</v>
      </c>
      <c r="BK50" s="123">
        <f t="shared" si="68"/>
        <v>0</v>
      </c>
      <c r="BL50" s="123">
        <f t="shared" si="68"/>
        <v>0</v>
      </c>
      <c r="BM50" s="123">
        <f t="shared" si="68"/>
        <v>0</v>
      </c>
      <c r="BN50" s="123">
        <f t="shared" si="68"/>
        <v>0</v>
      </c>
      <c r="BO50" s="123">
        <f t="shared" si="68"/>
        <v>0</v>
      </c>
      <c r="BP50" s="123">
        <f t="shared" si="68"/>
        <v>0</v>
      </c>
      <c r="BQ50" s="123">
        <f t="shared" si="68"/>
        <v>0</v>
      </c>
      <c r="BR50" s="123">
        <f t="shared" si="68"/>
        <v>0</v>
      </c>
      <c r="BS50" s="123">
        <f t="shared" si="68"/>
        <v>0</v>
      </c>
      <c r="BT50" s="123">
        <f t="shared" si="68"/>
        <v>0</v>
      </c>
      <c r="BU50" s="123">
        <f t="shared" si="68"/>
        <v>0</v>
      </c>
      <c r="BV50" s="123">
        <f t="shared" si="68"/>
        <v>0</v>
      </c>
      <c r="BW50" s="123">
        <f t="shared" si="68"/>
        <v>0</v>
      </c>
      <c r="BX50" s="123">
        <f t="shared" si="68"/>
        <v>0</v>
      </c>
      <c r="BY50" s="124">
        <v>0</v>
      </c>
      <c r="BZ50" s="124">
        <v>0</v>
      </c>
      <c r="CA50" s="124">
        <f t="shared" si="8"/>
        <v>0</v>
      </c>
      <c r="CB50" s="124">
        <f t="shared" si="9"/>
        <v>0</v>
      </c>
      <c r="CC50" s="124">
        <f t="shared" si="10"/>
        <v>0</v>
      </c>
      <c r="CD50" s="124">
        <f t="shared" si="11"/>
        <v>0</v>
      </c>
      <c r="CE50" s="124">
        <f t="shared" si="12"/>
        <v>0</v>
      </c>
      <c r="CF50" s="124">
        <f t="shared" si="13"/>
        <v>0</v>
      </c>
      <c r="CG50" s="124">
        <f t="shared" si="14"/>
        <v>0</v>
      </c>
      <c r="CH50" s="124">
        <f t="shared" si="15"/>
        <v>0</v>
      </c>
      <c r="CI50" s="124">
        <f t="shared" si="16"/>
        <v>0</v>
      </c>
      <c r="CJ50" s="124">
        <f t="shared" si="17"/>
        <v>0</v>
      </c>
      <c r="CK50" s="124">
        <f t="shared" si="18"/>
        <v>0</v>
      </c>
      <c r="CL50" s="124">
        <f t="shared" si="19"/>
        <v>0</v>
      </c>
      <c r="CM50" s="124">
        <f t="shared" si="20"/>
        <v>0</v>
      </c>
      <c r="CN50" s="124">
        <f t="shared" si="21"/>
        <v>0</v>
      </c>
      <c r="CO50" s="124">
        <f t="shared" si="22"/>
        <v>0</v>
      </c>
      <c r="CP50" s="124">
        <f t="shared" si="23"/>
        <v>0</v>
      </c>
      <c r="CQ50" s="138">
        <f t="shared" si="24"/>
        <v>867.77893530132098</v>
      </c>
      <c r="CR50" s="138">
        <f t="shared" si="25"/>
        <v>3595.9057222972801</v>
      </c>
      <c r="CS50" s="138">
        <f t="shared" si="26"/>
        <v>67939.616848497069</v>
      </c>
    </row>
    <row r="51" spans="1:97" x14ac:dyDescent="0.2">
      <c r="A51" s="114">
        <v>42036</v>
      </c>
      <c r="B51">
        <f t="shared" si="27"/>
        <v>2015</v>
      </c>
      <c r="C51">
        <f t="shared" si="28"/>
        <v>2</v>
      </c>
      <c r="D51" s="102">
        <v>26390163.306024112</v>
      </c>
      <c r="E51" s="131">
        <f>VLOOKUP($B51,'Historic CDM'!$L$5:$R$17,2,FALSE)/12</f>
        <v>317002.07740110968</v>
      </c>
      <c r="F51" s="131">
        <f t="shared" si="4"/>
        <v>26707165.383425221</v>
      </c>
      <c r="G51" s="102">
        <v>8632890.5734939743</v>
      </c>
      <c r="H51" s="131">
        <f>VLOOKUP($B51,'Historic CDM'!$L$5:$R$17,3,FALSE)/12</f>
        <v>194937.46716045527</v>
      </c>
      <c r="I51" s="131">
        <f t="shared" si="5"/>
        <v>8827828.0406544302</v>
      </c>
      <c r="J51" s="102">
        <v>17783706.236144584</v>
      </c>
      <c r="K51" s="131">
        <f>VLOOKUP($B51,'Historic CDM'!$L$5:$R$17,4,FALSE)/12</f>
        <v>555044.66445330705</v>
      </c>
      <c r="L51" s="131">
        <f t="shared" si="6"/>
        <v>18338750.900597889</v>
      </c>
      <c r="M51" s="102">
        <v>11454344.117789507</v>
      </c>
      <c r="N51" s="131">
        <f>VLOOKUP($B51,'Historic CDM'!$L$5:$R$17,5,FALSE)/12</f>
        <v>137183.8079628546</v>
      </c>
      <c r="O51" s="131">
        <f t="shared" si="66"/>
        <v>11591527.925752362</v>
      </c>
      <c r="P51" s="102">
        <v>10901054.774219217</v>
      </c>
      <c r="Q51" s="131">
        <f>VLOOKUP($B51,'Historic CDM'!$L$5:$R$17,6,FALSE)/12</f>
        <v>388174.22846577159</v>
      </c>
      <c r="R51" s="131">
        <f t="shared" si="67"/>
        <v>11289229.002684988</v>
      </c>
      <c r="S51" s="102">
        <v>110602.15903614457</v>
      </c>
      <c r="T51" s="102">
        <v>12175.729411764705</v>
      </c>
      <c r="U51" s="102">
        <v>668832.83855421678</v>
      </c>
      <c r="V51" s="102">
        <v>45887.669999999991</v>
      </c>
      <c r="W51" s="102">
        <v>19371.98</v>
      </c>
      <c r="X51" s="102">
        <v>21071.62</v>
      </c>
      <c r="Y51" s="102">
        <v>1760.75</v>
      </c>
      <c r="Z51" s="102">
        <v>34.873455733130406</v>
      </c>
      <c r="AA51" s="41">
        <v>32433</v>
      </c>
      <c r="AB51" s="41">
        <v>2555</v>
      </c>
      <c r="AC51" s="41">
        <v>287</v>
      </c>
      <c r="AD51" s="41">
        <v>12</v>
      </c>
      <c r="AE51" s="41">
        <v>3</v>
      </c>
      <c r="AF51" s="41">
        <f>300+2564+246</f>
        <v>3110</v>
      </c>
      <c r="AG51" s="41">
        <v>250.52941176470586</v>
      </c>
      <c r="AH51" s="41">
        <v>195</v>
      </c>
      <c r="AI51" s="104">
        <f>Weather!C159</f>
        <v>-12.6</v>
      </c>
      <c r="AJ51" s="104">
        <f>Weather!D159</f>
        <v>968.8</v>
      </c>
      <c r="AK51" s="104">
        <f>Weather!E159</f>
        <v>0</v>
      </c>
      <c r="AL51" s="104">
        <f>Weather!F159</f>
        <v>912.79999999999984</v>
      </c>
      <c r="AM51" s="104">
        <f>Weather!G159</f>
        <v>0</v>
      </c>
      <c r="AN51" s="104">
        <f>Weather!H159</f>
        <v>856.8</v>
      </c>
      <c r="AO51" s="104">
        <f>Weather!I159</f>
        <v>0</v>
      </c>
      <c r="AP51" s="104">
        <f>Weather!J159</f>
        <v>800.8</v>
      </c>
      <c r="AQ51" s="104">
        <f>Weather!K159</f>
        <v>0</v>
      </c>
      <c r="AR51" s="104">
        <f>Weather!L159</f>
        <v>744.79999999999984</v>
      </c>
      <c r="AS51" s="104">
        <f>Weather!M159</f>
        <v>0</v>
      </c>
      <c r="AT51" s="104">
        <f>Weather!N159</f>
        <v>688.8</v>
      </c>
      <c r="AU51" s="104">
        <f>Weather!O159</f>
        <v>0</v>
      </c>
      <c r="AV51" s="104">
        <f>Weather!P159</f>
        <v>632.80000000000007</v>
      </c>
      <c r="AW51" s="104">
        <f>Weather!Q159</f>
        <v>0</v>
      </c>
      <c r="AX51" s="104">
        <f>Weather!R159</f>
        <v>576.79999999999995</v>
      </c>
      <c r="AY51" s="104">
        <f>Weather!S159</f>
        <v>0</v>
      </c>
      <c r="AZ51" s="119">
        <f>Economic!C51</f>
        <v>677384</v>
      </c>
      <c r="BA51" s="120">
        <f>Economic!D51</f>
        <v>6814.3</v>
      </c>
      <c r="BB51" s="120">
        <f>Economic!E51</f>
        <v>6740.1</v>
      </c>
      <c r="BC51" s="120">
        <f>Economic!F51</f>
        <v>3035.1</v>
      </c>
      <c r="BD51" s="120">
        <f>Economic!G51</f>
        <v>3006.7</v>
      </c>
      <c r="BE51" s="120">
        <f>Economic!H51</f>
        <v>370.3</v>
      </c>
      <c r="BF51" s="120">
        <f>Economic!I51</f>
        <v>368.3</v>
      </c>
      <c r="BG51" s="123">
        <f t="shared" ref="BG51:BX51" si="69">BG39</f>
        <v>28</v>
      </c>
      <c r="BH51" s="123">
        <v>19</v>
      </c>
      <c r="BI51" s="123">
        <f t="shared" si="41"/>
        <v>50</v>
      </c>
      <c r="BJ51" s="123">
        <f t="shared" si="69"/>
        <v>0</v>
      </c>
      <c r="BK51" s="123">
        <f t="shared" si="69"/>
        <v>1</v>
      </c>
      <c r="BL51" s="123">
        <f t="shared" si="69"/>
        <v>0</v>
      </c>
      <c r="BM51" s="123">
        <f t="shared" si="69"/>
        <v>0</v>
      </c>
      <c r="BN51" s="123">
        <f t="shared" si="69"/>
        <v>0</v>
      </c>
      <c r="BO51" s="123">
        <f t="shared" si="69"/>
        <v>0</v>
      </c>
      <c r="BP51" s="123">
        <f t="shared" si="69"/>
        <v>0</v>
      </c>
      <c r="BQ51" s="123">
        <f t="shared" si="69"/>
        <v>0</v>
      </c>
      <c r="BR51" s="123">
        <f t="shared" si="69"/>
        <v>0</v>
      </c>
      <c r="BS51" s="123">
        <f t="shared" si="69"/>
        <v>0</v>
      </c>
      <c r="BT51" s="123">
        <f t="shared" si="69"/>
        <v>0</v>
      </c>
      <c r="BU51" s="123">
        <f t="shared" si="69"/>
        <v>0</v>
      </c>
      <c r="BV51" s="123">
        <f t="shared" si="69"/>
        <v>0</v>
      </c>
      <c r="BW51" s="123">
        <f t="shared" si="69"/>
        <v>0</v>
      </c>
      <c r="BX51" s="123">
        <f t="shared" si="69"/>
        <v>0</v>
      </c>
      <c r="BY51" s="124">
        <v>0</v>
      </c>
      <c r="BZ51" s="124">
        <v>0</v>
      </c>
      <c r="CA51" s="124">
        <f t="shared" si="8"/>
        <v>0</v>
      </c>
      <c r="CB51" s="124">
        <f t="shared" si="9"/>
        <v>0</v>
      </c>
      <c r="CC51" s="124">
        <f t="shared" si="10"/>
        <v>0</v>
      </c>
      <c r="CD51" s="124">
        <f t="shared" si="11"/>
        <v>0</v>
      </c>
      <c r="CE51" s="124">
        <f t="shared" si="12"/>
        <v>0</v>
      </c>
      <c r="CF51" s="124">
        <f t="shared" si="13"/>
        <v>0</v>
      </c>
      <c r="CG51" s="124">
        <f t="shared" si="14"/>
        <v>0</v>
      </c>
      <c r="CH51" s="124">
        <f t="shared" si="15"/>
        <v>0</v>
      </c>
      <c r="CI51" s="124">
        <f t="shared" si="16"/>
        <v>0</v>
      </c>
      <c r="CJ51" s="124">
        <f t="shared" si="17"/>
        <v>0</v>
      </c>
      <c r="CK51" s="124">
        <f t="shared" si="18"/>
        <v>0</v>
      </c>
      <c r="CL51" s="124">
        <f t="shared" si="19"/>
        <v>0</v>
      </c>
      <c r="CM51" s="124">
        <f t="shared" si="20"/>
        <v>0</v>
      </c>
      <c r="CN51" s="124">
        <f t="shared" si="21"/>
        <v>0</v>
      </c>
      <c r="CO51" s="124">
        <f t="shared" si="22"/>
        <v>0</v>
      </c>
      <c r="CP51" s="124">
        <f t="shared" si="23"/>
        <v>0</v>
      </c>
      <c r="CQ51" s="138">
        <f t="shared" si="24"/>
        <v>823.45652216647306</v>
      </c>
      <c r="CR51" s="138">
        <f t="shared" si="25"/>
        <v>3455.1186069097575</v>
      </c>
      <c r="CS51" s="138">
        <f t="shared" si="26"/>
        <v>63898.086761665116</v>
      </c>
    </row>
    <row r="52" spans="1:97" x14ac:dyDescent="0.2">
      <c r="A52" s="115">
        <v>42064</v>
      </c>
      <c r="B52">
        <f t="shared" si="27"/>
        <v>2015</v>
      </c>
      <c r="C52">
        <f t="shared" si="28"/>
        <v>3</v>
      </c>
      <c r="D52" s="102">
        <v>24161080.125301201</v>
      </c>
      <c r="E52" s="131">
        <f>VLOOKUP($B52,'Historic CDM'!$L$5:$R$17,2,FALSE)/12</f>
        <v>317002.07740110968</v>
      </c>
      <c r="F52" s="131">
        <f t="shared" si="4"/>
        <v>24478082.20270231</v>
      </c>
      <c r="G52" s="102">
        <v>8240875.3638554187</v>
      </c>
      <c r="H52" s="131">
        <f>VLOOKUP($B52,'Historic CDM'!$L$5:$R$17,3,FALSE)/12</f>
        <v>194937.46716045527</v>
      </c>
      <c r="I52" s="131">
        <f t="shared" si="5"/>
        <v>8435812.8310158737</v>
      </c>
      <c r="J52" s="102">
        <v>18252320.722891562</v>
      </c>
      <c r="K52" s="131">
        <f>VLOOKUP($B52,'Historic CDM'!$L$5:$R$17,4,FALSE)/12</f>
        <v>555044.66445330705</v>
      </c>
      <c r="L52" s="131">
        <f t="shared" si="6"/>
        <v>18807365.387344867</v>
      </c>
      <c r="M52" s="102">
        <v>9206172.8774156049</v>
      </c>
      <c r="N52" s="131">
        <f>VLOOKUP($B52,'Historic CDM'!$L$5:$R$17,5,FALSE)/12</f>
        <v>137183.8079628546</v>
      </c>
      <c r="O52" s="131">
        <f t="shared" si="66"/>
        <v>9343356.6853784602</v>
      </c>
      <c r="P52" s="102">
        <v>12097791.903719911</v>
      </c>
      <c r="Q52" s="131">
        <f>VLOOKUP($B52,'Historic CDM'!$L$5:$R$17,6,FALSE)/12</f>
        <v>388174.22846577159</v>
      </c>
      <c r="R52" s="131">
        <f t="shared" si="67"/>
        <v>12485966.132185683</v>
      </c>
      <c r="S52" s="102">
        <v>105413.67710843372</v>
      </c>
      <c r="T52" s="102">
        <v>12164.294117647058</v>
      </c>
      <c r="U52" s="102">
        <v>659843.55662650592</v>
      </c>
      <c r="V52" s="102">
        <v>44963.760000000017</v>
      </c>
      <c r="W52" s="102">
        <v>20433.54</v>
      </c>
      <c r="X52" s="102">
        <v>21009.13</v>
      </c>
      <c r="Y52" s="102">
        <v>1763.75</v>
      </c>
      <c r="Z52" s="102">
        <v>34.832984525621526</v>
      </c>
      <c r="AA52" s="41">
        <v>32524</v>
      </c>
      <c r="AB52" s="41">
        <v>2553</v>
      </c>
      <c r="AC52" s="41">
        <v>288</v>
      </c>
      <c r="AD52" s="41">
        <v>12</v>
      </c>
      <c r="AE52" s="41">
        <v>3</v>
      </c>
      <c r="AF52" s="41">
        <f>301+2567+246</f>
        <v>3114</v>
      </c>
      <c r="AG52" s="41">
        <v>250.29411764705878</v>
      </c>
      <c r="AH52" s="41">
        <v>195</v>
      </c>
      <c r="AI52" s="104">
        <f>Weather!C160</f>
        <v>-1.8548387096774195</v>
      </c>
      <c r="AJ52" s="104">
        <f>Weather!D160</f>
        <v>739.49999999999989</v>
      </c>
      <c r="AK52" s="104">
        <f>Weather!E160</f>
        <v>0</v>
      </c>
      <c r="AL52" s="104">
        <f>Weather!F160</f>
        <v>677.5</v>
      </c>
      <c r="AM52" s="104">
        <f>Weather!G160</f>
        <v>0</v>
      </c>
      <c r="AN52" s="104">
        <f>Weather!H160</f>
        <v>615.49999999999989</v>
      </c>
      <c r="AO52" s="104">
        <f>Weather!I160</f>
        <v>0</v>
      </c>
      <c r="AP52" s="104">
        <f>Weather!J160</f>
        <v>553.5</v>
      </c>
      <c r="AQ52" s="104">
        <f>Weather!K160</f>
        <v>0</v>
      </c>
      <c r="AR52" s="104">
        <f>Weather!L160</f>
        <v>491.5</v>
      </c>
      <c r="AS52" s="104">
        <f>Weather!M160</f>
        <v>0</v>
      </c>
      <c r="AT52" s="104">
        <f>Weather!N160</f>
        <v>429.5</v>
      </c>
      <c r="AU52" s="104">
        <f>Weather!O160</f>
        <v>0</v>
      </c>
      <c r="AV52" s="104">
        <f>Weather!P160</f>
        <v>367.49999999999994</v>
      </c>
      <c r="AW52" s="104">
        <f>Weather!Q160</f>
        <v>0</v>
      </c>
      <c r="AX52" s="104">
        <f>Weather!R160</f>
        <v>305.49999999999994</v>
      </c>
      <c r="AY52" s="104">
        <f>Weather!S160</f>
        <v>0</v>
      </c>
      <c r="AZ52" s="119">
        <f>Economic!C52</f>
        <v>677384</v>
      </c>
      <c r="BA52" s="120">
        <f>Economic!D52</f>
        <v>6821.3</v>
      </c>
      <c r="BB52" s="120">
        <f>Economic!E52</f>
        <v>6712.3</v>
      </c>
      <c r="BC52" s="120">
        <f>Economic!F52</f>
        <v>3054.2</v>
      </c>
      <c r="BD52" s="120">
        <f>Economic!G52</f>
        <v>3008</v>
      </c>
      <c r="BE52" s="120">
        <f>Economic!H52</f>
        <v>371.2</v>
      </c>
      <c r="BF52" s="120">
        <f>Economic!I52</f>
        <v>365.3</v>
      </c>
      <c r="BG52" s="123">
        <f t="shared" ref="BG52:BX52" si="70">BG40</f>
        <v>31</v>
      </c>
      <c r="BH52" s="123">
        <v>20</v>
      </c>
      <c r="BI52" s="123">
        <f t="shared" si="41"/>
        <v>51</v>
      </c>
      <c r="BJ52" s="123">
        <f t="shared" si="70"/>
        <v>0</v>
      </c>
      <c r="BK52" s="123">
        <f t="shared" si="70"/>
        <v>0</v>
      </c>
      <c r="BL52" s="123">
        <f t="shared" si="70"/>
        <v>1</v>
      </c>
      <c r="BM52" s="123">
        <f t="shared" si="70"/>
        <v>0</v>
      </c>
      <c r="BN52" s="123">
        <f t="shared" si="70"/>
        <v>0</v>
      </c>
      <c r="BO52" s="123">
        <f t="shared" si="70"/>
        <v>0</v>
      </c>
      <c r="BP52" s="123">
        <f t="shared" si="70"/>
        <v>0</v>
      </c>
      <c r="BQ52" s="123">
        <f t="shared" si="70"/>
        <v>0</v>
      </c>
      <c r="BR52" s="123">
        <f t="shared" si="70"/>
        <v>0</v>
      </c>
      <c r="BS52" s="123">
        <f t="shared" si="70"/>
        <v>0</v>
      </c>
      <c r="BT52" s="123">
        <f t="shared" si="70"/>
        <v>0</v>
      </c>
      <c r="BU52" s="123">
        <f t="shared" si="70"/>
        <v>0</v>
      </c>
      <c r="BV52" s="123">
        <f t="shared" si="70"/>
        <v>1</v>
      </c>
      <c r="BW52" s="123">
        <f t="shared" si="70"/>
        <v>0</v>
      </c>
      <c r="BX52" s="123">
        <f t="shared" si="70"/>
        <v>1</v>
      </c>
      <c r="BY52" s="124">
        <v>0</v>
      </c>
      <c r="BZ52" s="124">
        <v>0</v>
      </c>
      <c r="CA52" s="124">
        <f t="shared" si="8"/>
        <v>0</v>
      </c>
      <c r="CB52" s="124">
        <f t="shared" si="9"/>
        <v>0</v>
      </c>
      <c r="CC52" s="124">
        <f t="shared" si="10"/>
        <v>0</v>
      </c>
      <c r="CD52" s="124">
        <f t="shared" si="11"/>
        <v>0</v>
      </c>
      <c r="CE52" s="124">
        <f t="shared" si="12"/>
        <v>0</v>
      </c>
      <c r="CF52" s="124">
        <f t="shared" si="13"/>
        <v>0</v>
      </c>
      <c r="CG52" s="124">
        <f t="shared" si="14"/>
        <v>0</v>
      </c>
      <c r="CH52" s="124">
        <f t="shared" si="15"/>
        <v>0</v>
      </c>
      <c r="CI52" s="124">
        <f t="shared" si="16"/>
        <v>0</v>
      </c>
      <c r="CJ52" s="124">
        <f t="shared" si="17"/>
        <v>0</v>
      </c>
      <c r="CK52" s="124">
        <f t="shared" si="18"/>
        <v>0</v>
      </c>
      <c r="CL52" s="124">
        <f t="shared" si="19"/>
        <v>0</v>
      </c>
      <c r="CM52" s="124">
        <f t="shared" si="20"/>
        <v>0</v>
      </c>
      <c r="CN52" s="124">
        <f t="shared" si="21"/>
        <v>0</v>
      </c>
      <c r="CO52" s="124">
        <f t="shared" si="22"/>
        <v>0</v>
      </c>
      <c r="CP52" s="124">
        <f t="shared" si="23"/>
        <v>0</v>
      </c>
      <c r="CQ52" s="138">
        <f t="shared" si="24"/>
        <v>752.61598212711567</v>
      </c>
      <c r="CR52" s="138">
        <f t="shared" si="25"/>
        <v>3304.2745127363391</v>
      </c>
      <c r="CS52" s="138">
        <f t="shared" si="26"/>
        <v>65303.352039391903</v>
      </c>
    </row>
    <row r="53" spans="1:97" x14ac:dyDescent="0.2">
      <c r="A53" s="114">
        <v>42095</v>
      </c>
      <c r="B53">
        <f t="shared" si="27"/>
        <v>2015</v>
      </c>
      <c r="C53">
        <f t="shared" si="28"/>
        <v>4</v>
      </c>
      <c r="D53" s="102">
        <v>20359667.007228933</v>
      </c>
      <c r="E53" s="131">
        <f>VLOOKUP($B53,'Historic CDM'!$L$5:$R$17,2,FALSE)/12</f>
        <v>317002.07740110968</v>
      </c>
      <c r="F53" s="131">
        <f t="shared" si="4"/>
        <v>20676669.084630042</v>
      </c>
      <c r="G53" s="102">
        <v>7175293.9469879493</v>
      </c>
      <c r="H53" s="131">
        <f>VLOOKUP($B53,'Historic CDM'!$L$5:$R$17,3,FALSE)/12</f>
        <v>194937.46716045527</v>
      </c>
      <c r="I53" s="131">
        <f t="shared" si="5"/>
        <v>7370231.4141484043</v>
      </c>
      <c r="J53" s="102">
        <v>16479411.932530126</v>
      </c>
      <c r="K53" s="131">
        <f>VLOOKUP($B53,'Historic CDM'!$L$5:$R$17,4,FALSE)/12</f>
        <v>555044.66445330705</v>
      </c>
      <c r="L53" s="131">
        <f t="shared" si="6"/>
        <v>17034456.596983433</v>
      </c>
      <c r="M53" s="102">
        <v>8033927.7473724987</v>
      </c>
      <c r="N53" s="131">
        <f>VLOOKUP($B53,'Historic CDM'!$L$5:$R$17,5,FALSE)/12</f>
        <v>137183.8079628546</v>
      </c>
      <c r="O53" s="131">
        <f t="shared" si="66"/>
        <v>8171111.5553353531</v>
      </c>
      <c r="P53" s="102">
        <v>11465390.163119156</v>
      </c>
      <c r="Q53" s="131">
        <f>VLOOKUP($B53,'Historic CDM'!$L$5:$R$17,6,FALSE)/12</f>
        <v>388174.22846577159</v>
      </c>
      <c r="R53" s="131">
        <f t="shared" si="67"/>
        <v>11853564.391584927</v>
      </c>
      <c r="S53" s="102">
        <v>106442.39036144577</v>
      </c>
      <c r="T53" s="102">
        <v>12152.85882352941</v>
      </c>
      <c r="U53" s="102">
        <v>559288.98313253</v>
      </c>
      <c r="V53" s="102">
        <v>44791.170000000013</v>
      </c>
      <c r="W53" s="102">
        <v>19512.71</v>
      </c>
      <c r="X53" s="102">
        <v>21233.43</v>
      </c>
      <c r="Y53" s="102">
        <v>1763.75</v>
      </c>
      <c r="Z53" s="102">
        <v>34.792513318112647</v>
      </c>
      <c r="AA53" s="41">
        <v>32605</v>
      </c>
      <c r="AB53" s="41">
        <v>2549</v>
      </c>
      <c r="AC53" s="41">
        <v>290</v>
      </c>
      <c r="AD53" s="41">
        <v>12</v>
      </c>
      <c r="AE53" s="41">
        <v>3</v>
      </c>
      <c r="AF53" s="41">
        <f>AF52</f>
        <v>3114</v>
      </c>
      <c r="AG53" s="41">
        <v>250.05882352941171</v>
      </c>
      <c r="AH53" s="41">
        <v>186</v>
      </c>
      <c r="AI53" s="104">
        <f>Weather!C161</f>
        <v>7.543333333333333</v>
      </c>
      <c r="AJ53" s="104">
        <f>Weather!D161</f>
        <v>433.7</v>
      </c>
      <c r="AK53" s="104">
        <f>Weather!E161</f>
        <v>0</v>
      </c>
      <c r="AL53" s="104">
        <f>Weather!F161</f>
        <v>373.69999999999993</v>
      </c>
      <c r="AM53" s="104">
        <f>Weather!G161</f>
        <v>0</v>
      </c>
      <c r="AN53" s="104">
        <f>Weather!H161</f>
        <v>313.7</v>
      </c>
      <c r="AO53" s="104">
        <f>Weather!I161</f>
        <v>0</v>
      </c>
      <c r="AP53" s="104">
        <f>Weather!J161</f>
        <v>253.70000000000002</v>
      </c>
      <c r="AQ53" s="104">
        <f>Weather!K161</f>
        <v>0</v>
      </c>
      <c r="AR53" s="104">
        <f>Weather!L161</f>
        <v>195.89999999999998</v>
      </c>
      <c r="AS53" s="104">
        <f>Weather!M161</f>
        <v>2.1999999999999993</v>
      </c>
      <c r="AT53" s="104">
        <f>Weather!N161</f>
        <v>140.9</v>
      </c>
      <c r="AU53" s="104">
        <f>Weather!O161</f>
        <v>7.1999999999999993</v>
      </c>
      <c r="AV53" s="104">
        <f>Weather!P161</f>
        <v>94.399999999999991</v>
      </c>
      <c r="AW53" s="104">
        <f>Weather!Q161</f>
        <v>20.7</v>
      </c>
      <c r="AX53" s="104">
        <f>Weather!R161</f>
        <v>59.3</v>
      </c>
      <c r="AY53" s="104">
        <f>Weather!S161</f>
        <v>45.599999999999994</v>
      </c>
      <c r="AZ53" s="119">
        <f>Economic!C53</f>
        <v>677384</v>
      </c>
      <c r="BA53" s="120">
        <f>Economic!D53</f>
        <v>6825</v>
      </c>
      <c r="BB53" s="120">
        <f>Economic!E53</f>
        <v>6733.1</v>
      </c>
      <c r="BC53" s="120">
        <f>Economic!F53</f>
        <v>3066.7</v>
      </c>
      <c r="BD53" s="120">
        <f>Economic!G53</f>
        <v>3032.3</v>
      </c>
      <c r="BE53" s="120">
        <f>Economic!H53</f>
        <v>371.8</v>
      </c>
      <c r="BF53" s="120">
        <f>Economic!I53</f>
        <v>366.8</v>
      </c>
      <c r="BG53" s="123">
        <f t="shared" ref="BG53:BX53" si="71">BG41</f>
        <v>30</v>
      </c>
      <c r="BH53" s="123">
        <v>22</v>
      </c>
      <c r="BI53" s="123">
        <f t="shared" si="41"/>
        <v>52</v>
      </c>
      <c r="BJ53" s="123">
        <f t="shared" si="71"/>
        <v>0</v>
      </c>
      <c r="BK53" s="123">
        <f t="shared" si="71"/>
        <v>0</v>
      </c>
      <c r="BL53" s="123">
        <f t="shared" si="71"/>
        <v>0</v>
      </c>
      <c r="BM53" s="123">
        <f t="shared" si="71"/>
        <v>1</v>
      </c>
      <c r="BN53" s="123">
        <f t="shared" si="71"/>
        <v>0</v>
      </c>
      <c r="BO53" s="123">
        <f t="shared" si="71"/>
        <v>0</v>
      </c>
      <c r="BP53" s="123">
        <f t="shared" si="71"/>
        <v>0</v>
      </c>
      <c r="BQ53" s="123">
        <f t="shared" si="71"/>
        <v>0</v>
      </c>
      <c r="BR53" s="123">
        <f t="shared" si="71"/>
        <v>0</v>
      </c>
      <c r="BS53" s="123">
        <f t="shared" si="71"/>
        <v>0</v>
      </c>
      <c r="BT53" s="123">
        <f t="shared" si="71"/>
        <v>0</v>
      </c>
      <c r="BU53" s="123">
        <f t="shared" si="71"/>
        <v>0</v>
      </c>
      <c r="BV53" s="123">
        <f t="shared" si="71"/>
        <v>1</v>
      </c>
      <c r="BW53" s="123">
        <f t="shared" si="71"/>
        <v>0</v>
      </c>
      <c r="BX53" s="123">
        <f t="shared" si="71"/>
        <v>1</v>
      </c>
      <c r="BY53" s="124">
        <v>0</v>
      </c>
      <c r="BZ53" s="124">
        <v>0</v>
      </c>
      <c r="CA53" s="124">
        <f t="shared" si="8"/>
        <v>0</v>
      </c>
      <c r="CB53" s="124">
        <f t="shared" si="9"/>
        <v>0</v>
      </c>
      <c r="CC53" s="124">
        <f t="shared" si="10"/>
        <v>0</v>
      </c>
      <c r="CD53" s="124">
        <f t="shared" si="11"/>
        <v>0</v>
      </c>
      <c r="CE53" s="124">
        <f t="shared" si="12"/>
        <v>0</v>
      </c>
      <c r="CF53" s="124">
        <f t="shared" si="13"/>
        <v>0</v>
      </c>
      <c r="CG53" s="124">
        <f t="shared" si="14"/>
        <v>0</v>
      </c>
      <c r="CH53" s="124">
        <f t="shared" si="15"/>
        <v>0</v>
      </c>
      <c r="CI53" s="124">
        <f t="shared" si="16"/>
        <v>0</v>
      </c>
      <c r="CJ53" s="124">
        <f t="shared" si="17"/>
        <v>0</v>
      </c>
      <c r="CK53" s="124">
        <f t="shared" si="18"/>
        <v>0</v>
      </c>
      <c r="CL53" s="124">
        <f t="shared" si="19"/>
        <v>0</v>
      </c>
      <c r="CM53" s="124">
        <f t="shared" si="20"/>
        <v>0</v>
      </c>
      <c r="CN53" s="124">
        <f t="shared" si="21"/>
        <v>0</v>
      </c>
      <c r="CO53" s="124">
        <f t="shared" si="22"/>
        <v>0</v>
      </c>
      <c r="CP53" s="124">
        <f t="shared" si="23"/>
        <v>0</v>
      </c>
      <c r="CQ53" s="138">
        <f t="shared" si="24"/>
        <v>634.15638965281528</v>
      </c>
      <c r="CR53" s="138">
        <f t="shared" si="25"/>
        <v>2891.420719556063</v>
      </c>
      <c r="CS53" s="138">
        <f t="shared" si="26"/>
        <v>58739.505506839421</v>
      </c>
    </row>
    <row r="54" spans="1:97" x14ac:dyDescent="0.2">
      <c r="A54" s="115">
        <v>42125</v>
      </c>
      <c r="B54">
        <f t="shared" si="27"/>
        <v>2015</v>
      </c>
      <c r="C54">
        <f t="shared" si="28"/>
        <v>5</v>
      </c>
      <c r="D54" s="102">
        <v>21429091.180722896</v>
      </c>
      <c r="E54" s="131">
        <f>VLOOKUP($B54,'Historic CDM'!$L$5:$R$17,2,FALSE)/12</f>
        <v>317002.07740110968</v>
      </c>
      <c r="F54" s="131">
        <f t="shared" si="4"/>
        <v>21746093.258124005</v>
      </c>
      <c r="G54" s="102">
        <v>6882245.3012048155</v>
      </c>
      <c r="H54" s="131">
        <f>VLOOKUP($B54,'Historic CDM'!$L$5:$R$17,3,FALSE)/12</f>
        <v>194937.46716045527</v>
      </c>
      <c r="I54" s="131">
        <f t="shared" si="5"/>
        <v>7077182.7683652705</v>
      </c>
      <c r="J54" s="102">
        <v>16982291.479518067</v>
      </c>
      <c r="K54" s="131">
        <f>VLOOKUP($B54,'Historic CDM'!$L$5:$R$17,4,FALSE)/12</f>
        <v>555044.66445330705</v>
      </c>
      <c r="L54" s="131">
        <f t="shared" si="6"/>
        <v>17537336.143971372</v>
      </c>
      <c r="M54" s="102">
        <v>8663005.7538625468</v>
      </c>
      <c r="N54" s="131">
        <f>VLOOKUP($B54,'Historic CDM'!$L$5:$R$17,5,FALSE)/12</f>
        <v>137183.8079628546</v>
      </c>
      <c r="O54" s="131">
        <f t="shared" si="66"/>
        <v>8800189.5618254021</v>
      </c>
      <c r="P54" s="102">
        <v>11810397.772031032</v>
      </c>
      <c r="Q54" s="131">
        <f>VLOOKUP($B54,'Historic CDM'!$L$5:$R$17,6,FALSE)/12</f>
        <v>388174.22846577159</v>
      </c>
      <c r="R54" s="131">
        <f t="shared" si="67"/>
        <v>12198572.000496803</v>
      </c>
      <c r="S54" s="102">
        <v>108764.72289156626</v>
      </c>
      <c r="T54" s="102">
        <v>12141.423529411763</v>
      </c>
      <c r="U54" s="102">
        <v>500570.97831325297</v>
      </c>
      <c r="V54" s="102">
        <v>48645.549999999996</v>
      </c>
      <c r="W54" s="102">
        <v>20741.050000000003</v>
      </c>
      <c r="X54" s="102">
        <v>21530.36</v>
      </c>
      <c r="Y54" s="102">
        <v>1763.75</v>
      </c>
      <c r="Z54" s="102">
        <v>34.752042110603767</v>
      </c>
      <c r="AA54" s="41">
        <v>32646</v>
      </c>
      <c r="AB54" s="41">
        <v>2546</v>
      </c>
      <c r="AC54" s="41">
        <v>291</v>
      </c>
      <c r="AD54" s="41">
        <v>12</v>
      </c>
      <c r="AE54" s="41">
        <v>3</v>
      </c>
      <c r="AF54" s="41">
        <f>AF53</f>
        <v>3114</v>
      </c>
      <c r="AG54" s="41">
        <v>249.82352941176464</v>
      </c>
      <c r="AH54" s="41">
        <v>186</v>
      </c>
      <c r="AI54" s="104">
        <f>Weather!C162</f>
        <v>16.21935483870968</v>
      </c>
      <c r="AJ54" s="104">
        <f>Weather!D162</f>
        <v>182.5</v>
      </c>
      <c r="AK54" s="104">
        <f>Weather!E162</f>
        <v>3.3000000000000007</v>
      </c>
      <c r="AL54" s="104">
        <f>Weather!F162</f>
        <v>130.19999999999999</v>
      </c>
      <c r="AM54" s="104">
        <f>Weather!G162</f>
        <v>13.000000000000004</v>
      </c>
      <c r="AN54" s="104">
        <f>Weather!H162</f>
        <v>89.3</v>
      </c>
      <c r="AO54" s="104">
        <f>Weather!I162</f>
        <v>34.100000000000009</v>
      </c>
      <c r="AP54" s="104">
        <f>Weather!J162</f>
        <v>56.900000000000006</v>
      </c>
      <c r="AQ54" s="104">
        <f>Weather!K162</f>
        <v>63.7</v>
      </c>
      <c r="AR54" s="104">
        <f>Weather!L162</f>
        <v>31.1</v>
      </c>
      <c r="AS54" s="104">
        <f>Weather!M162</f>
        <v>99.9</v>
      </c>
      <c r="AT54" s="104">
        <f>Weather!N162</f>
        <v>11.3</v>
      </c>
      <c r="AU54" s="104">
        <f>Weather!O162</f>
        <v>142.1</v>
      </c>
      <c r="AV54" s="104">
        <f>Weather!P162</f>
        <v>1.5</v>
      </c>
      <c r="AW54" s="104">
        <f>Weather!Q162</f>
        <v>194.29999999999995</v>
      </c>
      <c r="AX54" s="104">
        <f>Weather!R162</f>
        <v>0</v>
      </c>
      <c r="AY54" s="104">
        <f>Weather!S162</f>
        <v>254.79999999999995</v>
      </c>
      <c r="AZ54" s="119">
        <f>Economic!C54</f>
        <v>677384</v>
      </c>
      <c r="BA54" s="120">
        <f>Economic!D54</f>
        <v>6830.5</v>
      </c>
      <c r="BB54" s="120">
        <f>Economic!E54</f>
        <v>6793.2</v>
      </c>
      <c r="BC54" s="120">
        <f>Economic!F54</f>
        <v>3084</v>
      </c>
      <c r="BD54" s="120">
        <f>Economic!G54</f>
        <v>3072.7</v>
      </c>
      <c r="BE54" s="120">
        <f>Economic!H54</f>
        <v>377.4</v>
      </c>
      <c r="BF54" s="120">
        <f>Economic!I54</f>
        <v>374.3</v>
      </c>
      <c r="BG54" s="123">
        <f t="shared" ref="BG54:BX54" si="72">BG42</f>
        <v>31</v>
      </c>
      <c r="BH54" s="123">
        <v>22</v>
      </c>
      <c r="BI54" s="123">
        <f t="shared" si="41"/>
        <v>53</v>
      </c>
      <c r="BJ54" s="123">
        <f t="shared" si="72"/>
        <v>0</v>
      </c>
      <c r="BK54" s="123">
        <f t="shared" si="72"/>
        <v>0</v>
      </c>
      <c r="BL54" s="123">
        <f t="shared" si="72"/>
        <v>0</v>
      </c>
      <c r="BM54" s="123">
        <f t="shared" si="72"/>
        <v>0</v>
      </c>
      <c r="BN54" s="123">
        <f t="shared" si="72"/>
        <v>1</v>
      </c>
      <c r="BO54" s="123">
        <f t="shared" si="72"/>
        <v>0</v>
      </c>
      <c r="BP54" s="123">
        <f t="shared" si="72"/>
        <v>0</v>
      </c>
      <c r="BQ54" s="123">
        <f t="shared" si="72"/>
        <v>0</v>
      </c>
      <c r="BR54" s="123">
        <f t="shared" si="72"/>
        <v>0</v>
      </c>
      <c r="BS54" s="123">
        <f t="shared" si="72"/>
        <v>0</v>
      </c>
      <c r="BT54" s="123">
        <f t="shared" si="72"/>
        <v>0</v>
      </c>
      <c r="BU54" s="123">
        <f t="shared" si="72"/>
        <v>0</v>
      </c>
      <c r="BV54" s="123">
        <f t="shared" si="72"/>
        <v>1</v>
      </c>
      <c r="BW54" s="123">
        <f t="shared" si="72"/>
        <v>0</v>
      </c>
      <c r="BX54" s="123">
        <f t="shared" si="72"/>
        <v>1</v>
      </c>
      <c r="BY54" s="124">
        <v>0</v>
      </c>
      <c r="BZ54" s="124">
        <v>0</v>
      </c>
      <c r="CA54" s="124">
        <f t="shared" si="8"/>
        <v>0</v>
      </c>
      <c r="CB54" s="124">
        <f t="shared" si="9"/>
        <v>0</v>
      </c>
      <c r="CC54" s="124">
        <f t="shared" si="10"/>
        <v>0</v>
      </c>
      <c r="CD54" s="124">
        <f t="shared" si="11"/>
        <v>0</v>
      </c>
      <c r="CE54" s="124">
        <f t="shared" si="12"/>
        <v>0</v>
      </c>
      <c r="CF54" s="124">
        <f t="shared" si="13"/>
        <v>0</v>
      </c>
      <c r="CG54" s="124">
        <f t="shared" si="14"/>
        <v>0</v>
      </c>
      <c r="CH54" s="124">
        <f t="shared" si="15"/>
        <v>0</v>
      </c>
      <c r="CI54" s="124">
        <f t="shared" si="16"/>
        <v>0</v>
      </c>
      <c r="CJ54" s="124">
        <f t="shared" si="17"/>
        <v>0</v>
      </c>
      <c r="CK54" s="124">
        <f t="shared" si="18"/>
        <v>0</v>
      </c>
      <c r="CL54" s="124">
        <f t="shared" si="19"/>
        <v>0</v>
      </c>
      <c r="CM54" s="124">
        <f t="shared" si="20"/>
        <v>0</v>
      </c>
      <c r="CN54" s="124">
        <f t="shared" si="21"/>
        <v>0</v>
      </c>
      <c r="CO54" s="124">
        <f t="shared" si="22"/>
        <v>0</v>
      </c>
      <c r="CP54" s="124">
        <f t="shared" si="23"/>
        <v>0</v>
      </c>
      <c r="CQ54" s="138">
        <f t="shared" si="24"/>
        <v>666.11815408086761</v>
      </c>
      <c r="CR54" s="138">
        <f t="shared" si="25"/>
        <v>2779.7261462550159</v>
      </c>
      <c r="CS54" s="138">
        <f t="shared" si="26"/>
        <v>60265.759944918806</v>
      </c>
    </row>
    <row r="55" spans="1:97" x14ac:dyDescent="0.2">
      <c r="A55" s="114">
        <v>42156</v>
      </c>
      <c r="B55">
        <f t="shared" si="27"/>
        <v>2015</v>
      </c>
      <c r="C55">
        <f t="shared" si="28"/>
        <v>6</v>
      </c>
      <c r="D55" s="102">
        <v>24790300.809638564</v>
      </c>
      <c r="E55" s="131">
        <f>VLOOKUP($B55,'Historic CDM'!$L$5:$R$17,2,FALSE)/12</f>
        <v>317002.07740110968</v>
      </c>
      <c r="F55" s="131">
        <f t="shared" si="4"/>
        <v>25107302.887039673</v>
      </c>
      <c r="G55" s="102">
        <v>6719082.4385542162</v>
      </c>
      <c r="H55" s="131">
        <f>VLOOKUP($B55,'Historic CDM'!$L$5:$R$17,3,FALSE)/12</f>
        <v>194937.46716045527</v>
      </c>
      <c r="I55" s="131">
        <f t="shared" si="5"/>
        <v>6914019.9057146711</v>
      </c>
      <c r="J55" s="102">
        <v>16646153.06024096</v>
      </c>
      <c r="K55" s="131">
        <f>VLOOKUP($B55,'Historic CDM'!$L$5:$R$17,4,FALSE)/12</f>
        <v>555044.66445330705</v>
      </c>
      <c r="L55" s="131">
        <f t="shared" si="6"/>
        <v>17201197.724694267</v>
      </c>
      <c r="M55" s="102">
        <v>9191510.4857848585</v>
      </c>
      <c r="N55" s="131">
        <f>VLOOKUP($B55,'Historic CDM'!$L$5:$R$17,5,FALSE)/12</f>
        <v>137183.8079628546</v>
      </c>
      <c r="O55" s="131">
        <f t="shared" si="66"/>
        <v>9328694.2937477138</v>
      </c>
      <c r="P55" s="102">
        <v>10865003.709966183</v>
      </c>
      <c r="Q55" s="131">
        <f>VLOOKUP($B55,'Historic CDM'!$L$5:$R$17,6,FALSE)/12</f>
        <v>388174.22846577159</v>
      </c>
      <c r="R55" s="131">
        <f t="shared" si="67"/>
        <v>11253177.938431954</v>
      </c>
      <c r="S55" s="102">
        <v>105789.2048192771</v>
      </c>
      <c r="T55" s="102">
        <v>12129.988235294115</v>
      </c>
      <c r="U55" s="102">
        <v>457157.19518072286</v>
      </c>
      <c r="V55" s="102">
        <v>47182.359999999993</v>
      </c>
      <c r="W55" s="102">
        <v>20554.89</v>
      </c>
      <c r="X55" s="102">
        <v>20979.51</v>
      </c>
      <c r="Y55" s="102">
        <v>1777.6</v>
      </c>
      <c r="Z55" s="102">
        <v>34.711570903094888</v>
      </c>
      <c r="AA55" s="41">
        <v>32729</v>
      </c>
      <c r="AB55" s="41">
        <v>2547</v>
      </c>
      <c r="AC55" s="41">
        <v>291</v>
      </c>
      <c r="AD55" s="41">
        <v>13</v>
      </c>
      <c r="AE55" s="41">
        <v>3</v>
      </c>
      <c r="AF55" s="41">
        <f>AF54+12</f>
        <v>3126</v>
      </c>
      <c r="AG55" s="41">
        <v>249.58823529411757</v>
      </c>
      <c r="AH55" s="41">
        <v>189</v>
      </c>
      <c r="AI55" s="104">
        <f>Weather!C163</f>
        <v>17.95</v>
      </c>
      <c r="AJ55" s="104">
        <f>Weather!D163</f>
        <v>121.79999999999995</v>
      </c>
      <c r="AK55" s="104">
        <f>Weather!E163</f>
        <v>0.30000000000000071</v>
      </c>
      <c r="AL55" s="104">
        <f>Weather!F163</f>
        <v>69.700000000000017</v>
      </c>
      <c r="AM55" s="104">
        <f>Weather!G163</f>
        <v>8.1999999999999957</v>
      </c>
      <c r="AN55" s="104">
        <f>Weather!H163</f>
        <v>33.800000000000004</v>
      </c>
      <c r="AO55" s="104">
        <f>Weather!I163</f>
        <v>32.299999999999997</v>
      </c>
      <c r="AP55" s="104">
        <f>Weather!J163</f>
        <v>14.299999999999999</v>
      </c>
      <c r="AQ55" s="104">
        <f>Weather!K163</f>
        <v>72.800000000000011</v>
      </c>
      <c r="AR55" s="104">
        <f>Weather!L163</f>
        <v>2.9999999999999982</v>
      </c>
      <c r="AS55" s="104">
        <f>Weather!M163</f>
        <v>121.5</v>
      </c>
      <c r="AT55" s="104">
        <f>Weather!N163</f>
        <v>0.19999999999999929</v>
      </c>
      <c r="AU55" s="104">
        <f>Weather!O163</f>
        <v>178.69999999999996</v>
      </c>
      <c r="AV55" s="104">
        <f>Weather!P163</f>
        <v>0</v>
      </c>
      <c r="AW55" s="104">
        <f>Weather!Q163</f>
        <v>238.50000000000003</v>
      </c>
      <c r="AX55" s="104">
        <f>Weather!R163</f>
        <v>0</v>
      </c>
      <c r="AY55" s="104">
        <f>Weather!S163</f>
        <v>298.50000000000006</v>
      </c>
      <c r="AZ55" s="119">
        <f>Economic!C55</f>
        <v>677384</v>
      </c>
      <c r="BA55" s="120">
        <f>Economic!D55</f>
        <v>6841.5</v>
      </c>
      <c r="BB55" s="120">
        <f>Economic!E55</f>
        <v>6885.3</v>
      </c>
      <c r="BC55" s="120">
        <f>Economic!F55</f>
        <v>3102.9</v>
      </c>
      <c r="BD55" s="120">
        <f>Economic!G55</f>
        <v>3122</v>
      </c>
      <c r="BE55" s="120">
        <f>Economic!H55</f>
        <v>380.9</v>
      </c>
      <c r="BF55" s="120">
        <f>Economic!I55</f>
        <v>381</v>
      </c>
      <c r="BG55" s="123">
        <f t="shared" ref="BG55:BX55" si="73">BG43</f>
        <v>30</v>
      </c>
      <c r="BH55" s="123">
        <v>20</v>
      </c>
      <c r="BI55" s="123">
        <f t="shared" si="41"/>
        <v>54</v>
      </c>
      <c r="BJ55" s="123">
        <f t="shared" si="73"/>
        <v>0</v>
      </c>
      <c r="BK55" s="123">
        <f t="shared" si="73"/>
        <v>0</v>
      </c>
      <c r="BL55" s="123">
        <f t="shared" si="73"/>
        <v>0</v>
      </c>
      <c r="BM55" s="123">
        <f t="shared" si="73"/>
        <v>0</v>
      </c>
      <c r="BN55" s="123">
        <f t="shared" si="73"/>
        <v>0</v>
      </c>
      <c r="BO55" s="123">
        <f t="shared" si="73"/>
        <v>1</v>
      </c>
      <c r="BP55" s="123">
        <f t="shared" si="73"/>
        <v>0</v>
      </c>
      <c r="BQ55" s="123">
        <f t="shared" si="73"/>
        <v>0</v>
      </c>
      <c r="BR55" s="123">
        <f t="shared" si="73"/>
        <v>0</v>
      </c>
      <c r="BS55" s="123">
        <f t="shared" si="73"/>
        <v>0</v>
      </c>
      <c r="BT55" s="123">
        <f t="shared" si="73"/>
        <v>0</v>
      </c>
      <c r="BU55" s="123">
        <f t="shared" si="73"/>
        <v>0</v>
      </c>
      <c r="BV55" s="123">
        <f t="shared" si="73"/>
        <v>0</v>
      </c>
      <c r="BW55" s="123">
        <f t="shared" si="73"/>
        <v>0</v>
      </c>
      <c r="BX55" s="123">
        <f t="shared" si="73"/>
        <v>0</v>
      </c>
      <c r="BY55" s="124">
        <v>0</v>
      </c>
      <c r="BZ55" s="124">
        <v>0</v>
      </c>
      <c r="CA55" s="124">
        <f t="shared" si="8"/>
        <v>0</v>
      </c>
      <c r="CB55" s="124">
        <f t="shared" si="9"/>
        <v>0</v>
      </c>
      <c r="CC55" s="124">
        <f t="shared" si="10"/>
        <v>0</v>
      </c>
      <c r="CD55" s="124">
        <f t="shared" si="11"/>
        <v>0</v>
      </c>
      <c r="CE55" s="124">
        <f t="shared" si="12"/>
        <v>0</v>
      </c>
      <c r="CF55" s="124">
        <f t="shared" si="13"/>
        <v>0</v>
      </c>
      <c r="CG55" s="124">
        <f t="shared" si="14"/>
        <v>0</v>
      </c>
      <c r="CH55" s="124">
        <f t="shared" si="15"/>
        <v>0</v>
      </c>
      <c r="CI55" s="124">
        <f t="shared" si="16"/>
        <v>0</v>
      </c>
      <c r="CJ55" s="124">
        <f t="shared" si="17"/>
        <v>0</v>
      </c>
      <c r="CK55" s="124">
        <f t="shared" si="18"/>
        <v>0</v>
      </c>
      <c r="CL55" s="124">
        <f t="shared" si="19"/>
        <v>0</v>
      </c>
      <c r="CM55" s="124">
        <f t="shared" si="20"/>
        <v>0</v>
      </c>
      <c r="CN55" s="124">
        <f t="shared" si="21"/>
        <v>0</v>
      </c>
      <c r="CO55" s="124">
        <f t="shared" si="22"/>
        <v>0</v>
      </c>
      <c r="CP55" s="124">
        <f t="shared" si="23"/>
        <v>0</v>
      </c>
      <c r="CQ55" s="138">
        <f t="shared" si="24"/>
        <v>767.12710095143973</v>
      </c>
      <c r="CR55" s="138">
        <f t="shared" si="25"/>
        <v>2714.5739716194234</v>
      </c>
      <c r="CS55" s="138">
        <f t="shared" si="26"/>
        <v>59110.645102042152</v>
      </c>
    </row>
    <row r="56" spans="1:97" x14ac:dyDescent="0.2">
      <c r="A56" s="115">
        <v>42186</v>
      </c>
      <c r="B56">
        <f t="shared" si="27"/>
        <v>2015</v>
      </c>
      <c r="C56">
        <f t="shared" si="28"/>
        <v>7</v>
      </c>
      <c r="D56" s="102">
        <v>31635963.15180723</v>
      </c>
      <c r="E56" s="131">
        <f>VLOOKUP($B56,'Historic CDM'!$L$5:$R$17,2,FALSE)/12</f>
        <v>317002.07740110968</v>
      </c>
      <c r="F56" s="131">
        <f t="shared" si="4"/>
        <v>31952965.229208339</v>
      </c>
      <c r="G56" s="102">
        <v>7642373.2048192788</v>
      </c>
      <c r="H56" s="131">
        <f>VLOOKUP($B56,'Historic CDM'!$L$5:$R$17,3,FALSE)/12</f>
        <v>194937.46716045527</v>
      </c>
      <c r="I56" s="131">
        <f t="shared" si="5"/>
        <v>7837310.6719797337</v>
      </c>
      <c r="J56" s="102">
        <v>17538166.997590359</v>
      </c>
      <c r="K56" s="131">
        <f>VLOOKUP($B56,'Historic CDM'!$L$5:$R$17,4,FALSE)/12</f>
        <v>555044.66445330705</v>
      </c>
      <c r="L56" s="131">
        <f t="shared" si="6"/>
        <v>18093211.662043665</v>
      </c>
      <c r="M56" s="102">
        <v>10474095.529616892</v>
      </c>
      <c r="N56" s="131">
        <f>VLOOKUP($B56,'Historic CDM'!$L$5:$R$17,5,FALSE)/12</f>
        <v>137183.8079628546</v>
      </c>
      <c r="O56" s="131">
        <f t="shared" si="66"/>
        <v>10611279.337579748</v>
      </c>
      <c r="P56" s="102">
        <v>10440016.699820967</v>
      </c>
      <c r="Q56" s="131">
        <f>VLOOKUP($B56,'Historic CDM'!$L$5:$R$17,6,FALSE)/12</f>
        <v>388174.22846577159</v>
      </c>
      <c r="R56" s="131">
        <f t="shared" si="67"/>
        <v>10828190.928286739</v>
      </c>
      <c r="S56" s="102">
        <v>92898.409638554222</v>
      </c>
      <c r="T56" s="102">
        <v>12118.552941176466</v>
      </c>
      <c r="U56" s="102">
        <v>493273.64819277101</v>
      </c>
      <c r="V56" s="102">
        <v>47382.149999999994</v>
      </c>
      <c r="W56" s="102">
        <v>22558.15</v>
      </c>
      <c r="X56" s="102">
        <v>19697.509999999998</v>
      </c>
      <c r="Y56" s="102">
        <v>1786.77</v>
      </c>
      <c r="Z56" s="102">
        <v>34.671099695586008</v>
      </c>
      <c r="AA56" s="41">
        <v>32779</v>
      </c>
      <c r="AB56" s="41">
        <v>2538</v>
      </c>
      <c r="AC56" s="41">
        <v>292</v>
      </c>
      <c r="AD56" s="41">
        <v>13</v>
      </c>
      <c r="AE56" s="41">
        <v>3</v>
      </c>
      <c r="AF56" s="41">
        <f>AF55+4</f>
        <v>3130</v>
      </c>
      <c r="AG56" s="41">
        <v>249.35294117647049</v>
      </c>
      <c r="AH56" s="41">
        <v>224</v>
      </c>
      <c r="AI56" s="104">
        <f>Weather!C164</f>
        <v>21.558064516129033</v>
      </c>
      <c r="AJ56" s="104">
        <f>Weather!D164</f>
        <v>44.8</v>
      </c>
      <c r="AK56" s="104">
        <f>Weather!E164</f>
        <v>31.100000000000005</v>
      </c>
      <c r="AL56" s="104">
        <f>Weather!F164</f>
        <v>17.799999999999997</v>
      </c>
      <c r="AM56" s="104">
        <f>Weather!G164</f>
        <v>66.099999999999994</v>
      </c>
      <c r="AN56" s="104">
        <f>Weather!H164</f>
        <v>3.9999999999999964</v>
      </c>
      <c r="AO56" s="104">
        <f>Weather!I164</f>
        <v>114.30000000000001</v>
      </c>
      <c r="AP56" s="104">
        <f>Weather!J164</f>
        <v>0</v>
      </c>
      <c r="AQ56" s="104">
        <f>Weather!K164</f>
        <v>172.30000000000004</v>
      </c>
      <c r="AR56" s="104">
        <f>Weather!L164</f>
        <v>0</v>
      </c>
      <c r="AS56" s="104">
        <f>Weather!M164</f>
        <v>234.3</v>
      </c>
      <c r="AT56" s="104">
        <f>Weather!N164</f>
        <v>0</v>
      </c>
      <c r="AU56" s="104">
        <f>Weather!O164</f>
        <v>296.3</v>
      </c>
      <c r="AV56" s="104">
        <f>Weather!P164</f>
        <v>0</v>
      </c>
      <c r="AW56" s="104">
        <f>Weather!Q164</f>
        <v>358.30000000000007</v>
      </c>
      <c r="AX56" s="104">
        <f>Weather!R164</f>
        <v>0</v>
      </c>
      <c r="AY56" s="104">
        <f>Weather!S164</f>
        <v>420.30000000000007</v>
      </c>
      <c r="AZ56" s="119">
        <f>Economic!C56</f>
        <v>677384</v>
      </c>
      <c r="BA56" s="120">
        <f>Economic!D56</f>
        <v>6859.4</v>
      </c>
      <c r="BB56" s="120">
        <f>Economic!E56</f>
        <v>6951.4</v>
      </c>
      <c r="BC56" s="120">
        <f>Economic!F56</f>
        <v>3132</v>
      </c>
      <c r="BD56" s="120">
        <f>Economic!G56</f>
        <v>3164.4</v>
      </c>
      <c r="BE56" s="120">
        <f>Economic!H56</f>
        <v>384.9</v>
      </c>
      <c r="BF56" s="120">
        <f>Economic!I56</f>
        <v>386.7</v>
      </c>
      <c r="BG56" s="123">
        <f t="shared" ref="BG56:BX56" si="74">BG44</f>
        <v>31</v>
      </c>
      <c r="BH56" s="123">
        <v>22</v>
      </c>
      <c r="BI56" s="123">
        <f t="shared" si="41"/>
        <v>55</v>
      </c>
      <c r="BJ56" s="123">
        <f t="shared" si="74"/>
        <v>0</v>
      </c>
      <c r="BK56" s="123">
        <f t="shared" si="74"/>
        <v>0</v>
      </c>
      <c r="BL56" s="123">
        <f t="shared" si="74"/>
        <v>0</v>
      </c>
      <c r="BM56" s="123">
        <f t="shared" si="74"/>
        <v>0</v>
      </c>
      <c r="BN56" s="123">
        <f t="shared" si="74"/>
        <v>0</v>
      </c>
      <c r="BO56" s="123">
        <f t="shared" si="74"/>
        <v>0</v>
      </c>
      <c r="BP56" s="123">
        <f t="shared" si="74"/>
        <v>1</v>
      </c>
      <c r="BQ56" s="123">
        <f t="shared" si="74"/>
        <v>0</v>
      </c>
      <c r="BR56" s="123">
        <f t="shared" si="74"/>
        <v>0</v>
      </c>
      <c r="BS56" s="123">
        <f t="shared" si="74"/>
        <v>0</v>
      </c>
      <c r="BT56" s="123">
        <f t="shared" si="74"/>
        <v>0</v>
      </c>
      <c r="BU56" s="123">
        <f t="shared" si="74"/>
        <v>0</v>
      </c>
      <c r="BV56" s="123">
        <f t="shared" si="74"/>
        <v>0</v>
      </c>
      <c r="BW56" s="123">
        <f t="shared" si="74"/>
        <v>0</v>
      </c>
      <c r="BX56" s="123">
        <f t="shared" si="74"/>
        <v>0</v>
      </c>
      <c r="BY56" s="124">
        <v>0</v>
      </c>
      <c r="BZ56" s="124">
        <v>0</v>
      </c>
      <c r="CA56" s="124">
        <f t="shared" si="8"/>
        <v>0</v>
      </c>
      <c r="CB56" s="124">
        <f t="shared" si="9"/>
        <v>0</v>
      </c>
      <c r="CC56" s="124">
        <f t="shared" si="10"/>
        <v>0</v>
      </c>
      <c r="CD56" s="124">
        <f t="shared" si="11"/>
        <v>0</v>
      </c>
      <c r="CE56" s="124">
        <f t="shared" si="12"/>
        <v>0</v>
      </c>
      <c r="CF56" s="124">
        <f t="shared" si="13"/>
        <v>0</v>
      </c>
      <c r="CG56" s="124">
        <f t="shared" si="14"/>
        <v>0</v>
      </c>
      <c r="CH56" s="124">
        <f t="shared" si="15"/>
        <v>0</v>
      </c>
      <c r="CI56" s="124">
        <f t="shared" si="16"/>
        <v>0</v>
      </c>
      <c r="CJ56" s="124">
        <f t="shared" si="17"/>
        <v>0</v>
      </c>
      <c r="CK56" s="124">
        <f t="shared" si="18"/>
        <v>0</v>
      </c>
      <c r="CL56" s="124">
        <f t="shared" si="19"/>
        <v>0</v>
      </c>
      <c r="CM56" s="124">
        <f t="shared" si="20"/>
        <v>0</v>
      </c>
      <c r="CN56" s="124">
        <f t="shared" si="21"/>
        <v>0</v>
      </c>
      <c r="CO56" s="124">
        <f t="shared" si="22"/>
        <v>0</v>
      </c>
      <c r="CP56" s="124">
        <f t="shared" si="23"/>
        <v>0</v>
      </c>
      <c r="CQ56" s="138">
        <f t="shared" si="24"/>
        <v>974.79987886172057</v>
      </c>
      <c r="CR56" s="138">
        <f t="shared" si="25"/>
        <v>3087.9868683923301</v>
      </c>
      <c r="CS56" s="138">
        <f t="shared" si="26"/>
        <v>61963.053637135839</v>
      </c>
    </row>
    <row r="57" spans="1:97" x14ac:dyDescent="0.2">
      <c r="A57" s="114">
        <v>42217</v>
      </c>
      <c r="B57">
        <f t="shared" si="27"/>
        <v>2015</v>
      </c>
      <c r="C57">
        <f t="shared" si="28"/>
        <v>8</v>
      </c>
      <c r="D57" s="102">
        <v>29263075.190361433</v>
      </c>
      <c r="E57" s="131">
        <f>VLOOKUP($B57,'Historic CDM'!$L$5:$R$17,2,FALSE)/12</f>
        <v>317002.07740110968</v>
      </c>
      <c r="F57" s="131">
        <f t="shared" si="4"/>
        <v>29580077.267762542</v>
      </c>
      <c r="G57" s="102">
        <v>7190501.1855421662</v>
      </c>
      <c r="H57" s="131">
        <f>VLOOKUP($B57,'Historic CDM'!$L$5:$R$17,3,FALSE)/12</f>
        <v>194937.46716045527</v>
      </c>
      <c r="I57" s="131">
        <f t="shared" si="5"/>
        <v>7385438.6527026212</v>
      </c>
      <c r="J57" s="102">
        <v>17093829.031325299</v>
      </c>
      <c r="K57" s="131">
        <f>VLOOKUP($B57,'Historic CDM'!$L$5:$R$17,4,FALSE)/12</f>
        <v>555044.66445330705</v>
      </c>
      <c r="L57" s="131">
        <f t="shared" si="6"/>
        <v>17648873.695778605</v>
      </c>
      <c r="M57" s="102">
        <v>10355426.027994381</v>
      </c>
      <c r="N57" s="131">
        <f>VLOOKUP($B57,'Historic CDM'!$L$5:$R$17,5,FALSE)/12</f>
        <v>137183.8079628546</v>
      </c>
      <c r="O57" s="131">
        <f t="shared" si="66"/>
        <v>10492609.835957237</v>
      </c>
      <c r="P57" s="102">
        <v>11579809.687686492</v>
      </c>
      <c r="Q57" s="131">
        <f>VLOOKUP($B57,'Historic CDM'!$L$5:$R$17,6,FALSE)/12</f>
        <v>388174.22846577159</v>
      </c>
      <c r="R57" s="131">
        <f t="shared" si="67"/>
        <v>11967983.916152263</v>
      </c>
      <c r="S57" s="102">
        <v>93448.713253012043</v>
      </c>
      <c r="T57" s="102">
        <v>12107.117647058818</v>
      </c>
      <c r="U57" s="102">
        <v>513054.07228915655</v>
      </c>
      <c r="V57" s="102">
        <v>47842.07</v>
      </c>
      <c r="W57" s="102">
        <v>22621.74</v>
      </c>
      <c r="X57" s="102">
        <v>21289.06</v>
      </c>
      <c r="Y57" s="102">
        <v>1791.45</v>
      </c>
      <c r="Z57" s="102">
        <v>34.630628488077129</v>
      </c>
      <c r="AA57" s="41">
        <v>32817</v>
      </c>
      <c r="AB57" s="41">
        <v>2537</v>
      </c>
      <c r="AC57" s="41">
        <v>292</v>
      </c>
      <c r="AD57" s="41">
        <v>13</v>
      </c>
      <c r="AE57" s="41">
        <v>3</v>
      </c>
      <c r="AF57" s="41">
        <f>AF56+4</f>
        <v>3134</v>
      </c>
      <c r="AG57" s="41">
        <v>249.11764705882342</v>
      </c>
      <c r="AH57" s="41">
        <v>224</v>
      </c>
      <c r="AI57" s="104">
        <f>Weather!C165</f>
        <v>20.716129032258063</v>
      </c>
      <c r="AJ57" s="104">
        <f>Weather!D165</f>
        <v>58.599999999999994</v>
      </c>
      <c r="AK57" s="104">
        <f>Weather!E165</f>
        <v>18.8</v>
      </c>
      <c r="AL57" s="104">
        <f>Weather!F165</f>
        <v>23.499999999999993</v>
      </c>
      <c r="AM57" s="104">
        <f>Weather!G165</f>
        <v>45.699999999999996</v>
      </c>
      <c r="AN57" s="104">
        <f>Weather!H165</f>
        <v>4.3999999999999986</v>
      </c>
      <c r="AO57" s="104">
        <f>Weather!I165</f>
        <v>88.6</v>
      </c>
      <c r="AP57" s="104">
        <f>Weather!J165</f>
        <v>0</v>
      </c>
      <c r="AQ57" s="104">
        <f>Weather!K165</f>
        <v>146.20000000000002</v>
      </c>
      <c r="AR57" s="104">
        <f>Weather!L165</f>
        <v>0</v>
      </c>
      <c r="AS57" s="104">
        <f>Weather!M165</f>
        <v>208.20000000000002</v>
      </c>
      <c r="AT57" s="104">
        <f>Weather!N165</f>
        <v>0</v>
      </c>
      <c r="AU57" s="104">
        <f>Weather!O165</f>
        <v>270.19999999999993</v>
      </c>
      <c r="AV57" s="104">
        <f>Weather!P165</f>
        <v>0</v>
      </c>
      <c r="AW57" s="104">
        <f>Weather!Q165</f>
        <v>332.2</v>
      </c>
      <c r="AX57" s="104">
        <f>Weather!R165</f>
        <v>0</v>
      </c>
      <c r="AY57" s="104">
        <f>Weather!S165</f>
        <v>394.2</v>
      </c>
      <c r="AZ57" s="119">
        <f>Economic!C57</f>
        <v>677384</v>
      </c>
      <c r="BA57" s="120">
        <f>Economic!D57</f>
        <v>6869.1</v>
      </c>
      <c r="BB57" s="120">
        <f>Economic!E57</f>
        <v>6969.1</v>
      </c>
      <c r="BC57" s="120">
        <f>Economic!F57</f>
        <v>3151.5</v>
      </c>
      <c r="BD57" s="120">
        <f>Economic!G57</f>
        <v>3189.4</v>
      </c>
      <c r="BE57" s="120">
        <f>Economic!H57</f>
        <v>385.1</v>
      </c>
      <c r="BF57" s="120">
        <f>Economic!I57</f>
        <v>388.8</v>
      </c>
      <c r="BG57" s="123">
        <f t="shared" ref="BG57:BX57" si="75">BG45</f>
        <v>31</v>
      </c>
      <c r="BH57" s="123">
        <v>21</v>
      </c>
      <c r="BI57" s="123">
        <f t="shared" si="41"/>
        <v>56</v>
      </c>
      <c r="BJ57" s="123">
        <f t="shared" si="75"/>
        <v>0</v>
      </c>
      <c r="BK57" s="123">
        <f t="shared" si="75"/>
        <v>0</v>
      </c>
      <c r="BL57" s="123">
        <f t="shared" si="75"/>
        <v>0</v>
      </c>
      <c r="BM57" s="123">
        <f t="shared" si="75"/>
        <v>0</v>
      </c>
      <c r="BN57" s="123">
        <f t="shared" si="75"/>
        <v>0</v>
      </c>
      <c r="BO57" s="123">
        <f t="shared" si="75"/>
        <v>0</v>
      </c>
      <c r="BP57" s="123">
        <f t="shared" si="75"/>
        <v>0</v>
      </c>
      <c r="BQ57" s="123">
        <f t="shared" si="75"/>
        <v>1</v>
      </c>
      <c r="BR57" s="123">
        <f t="shared" si="75"/>
        <v>0</v>
      </c>
      <c r="BS57" s="123">
        <f t="shared" si="75"/>
        <v>0</v>
      </c>
      <c r="BT57" s="123">
        <f t="shared" si="75"/>
        <v>0</v>
      </c>
      <c r="BU57" s="123">
        <f t="shared" si="75"/>
        <v>0</v>
      </c>
      <c r="BV57" s="123">
        <f t="shared" si="75"/>
        <v>0</v>
      </c>
      <c r="BW57" s="123">
        <f t="shared" si="75"/>
        <v>0</v>
      </c>
      <c r="BX57" s="123">
        <f t="shared" si="75"/>
        <v>0</v>
      </c>
      <c r="BY57" s="124">
        <v>0</v>
      </c>
      <c r="BZ57" s="124">
        <v>0</v>
      </c>
      <c r="CA57" s="124">
        <f t="shared" si="8"/>
        <v>0</v>
      </c>
      <c r="CB57" s="124">
        <f t="shared" si="9"/>
        <v>0</v>
      </c>
      <c r="CC57" s="124">
        <f t="shared" si="10"/>
        <v>0</v>
      </c>
      <c r="CD57" s="124">
        <f t="shared" si="11"/>
        <v>0</v>
      </c>
      <c r="CE57" s="124">
        <f t="shared" si="12"/>
        <v>0</v>
      </c>
      <c r="CF57" s="124">
        <f t="shared" si="13"/>
        <v>0</v>
      </c>
      <c r="CG57" s="124">
        <f t="shared" si="14"/>
        <v>0</v>
      </c>
      <c r="CH57" s="124">
        <f t="shared" si="15"/>
        <v>0</v>
      </c>
      <c r="CI57" s="124">
        <f t="shared" si="16"/>
        <v>0</v>
      </c>
      <c r="CJ57" s="124">
        <f t="shared" si="17"/>
        <v>0</v>
      </c>
      <c r="CK57" s="124">
        <f t="shared" si="18"/>
        <v>0</v>
      </c>
      <c r="CL57" s="124">
        <f t="shared" si="19"/>
        <v>0</v>
      </c>
      <c r="CM57" s="124">
        <f t="shared" si="20"/>
        <v>0</v>
      </c>
      <c r="CN57" s="124">
        <f t="shared" si="21"/>
        <v>0</v>
      </c>
      <c r="CO57" s="124">
        <f t="shared" si="22"/>
        <v>0</v>
      </c>
      <c r="CP57" s="124">
        <f t="shared" si="23"/>
        <v>0</v>
      </c>
      <c r="CQ57" s="138">
        <f t="shared" si="24"/>
        <v>901.36445341629462</v>
      </c>
      <c r="CR57" s="138">
        <f t="shared" si="25"/>
        <v>2911.091309697525</v>
      </c>
      <c r="CS57" s="138">
        <f t="shared" si="26"/>
        <v>60441.348273214397</v>
      </c>
    </row>
    <row r="58" spans="1:97" x14ac:dyDescent="0.2">
      <c r="A58" s="115">
        <v>42248</v>
      </c>
      <c r="B58">
        <f t="shared" si="27"/>
        <v>2015</v>
      </c>
      <c r="C58">
        <f t="shared" si="28"/>
        <v>9</v>
      </c>
      <c r="D58" s="102">
        <v>26291769.465060253</v>
      </c>
      <c r="E58" s="131">
        <f>VLOOKUP($B58,'Historic CDM'!$L$5:$R$17,2,FALSE)/12</f>
        <v>317002.07740110968</v>
      </c>
      <c r="F58" s="131">
        <f t="shared" si="4"/>
        <v>26608771.542461362</v>
      </c>
      <c r="G58" s="102">
        <v>7066672.2313253004</v>
      </c>
      <c r="H58" s="131">
        <f>VLOOKUP($B58,'Historic CDM'!$L$5:$R$17,3,FALSE)/12</f>
        <v>194937.46716045527</v>
      </c>
      <c r="I58" s="131">
        <f t="shared" si="5"/>
        <v>7261609.6984857554</v>
      </c>
      <c r="J58" s="102">
        <v>17292395.55662651</v>
      </c>
      <c r="K58" s="131">
        <f>VLOOKUP($B58,'Historic CDM'!$L$5:$R$17,4,FALSE)/12</f>
        <v>555044.66445330705</v>
      </c>
      <c r="L58" s="131">
        <f t="shared" si="6"/>
        <v>17847440.221079815</v>
      </c>
      <c r="M58" s="102">
        <v>9833059.3112800885</v>
      </c>
      <c r="N58" s="131">
        <f>VLOOKUP($B58,'Historic CDM'!$L$5:$R$17,5,FALSE)/12</f>
        <v>137183.8079628546</v>
      </c>
      <c r="O58" s="131">
        <f t="shared" si="66"/>
        <v>9970243.1192429438</v>
      </c>
      <c r="P58" s="102">
        <v>11641006.813208673</v>
      </c>
      <c r="Q58" s="131">
        <f>VLOOKUP($B58,'Historic CDM'!$L$5:$R$17,6,FALSE)/12</f>
        <v>388174.22846577159</v>
      </c>
      <c r="R58" s="131">
        <f t="shared" si="67"/>
        <v>12029181.041674444</v>
      </c>
      <c r="S58" s="102">
        <v>91397.291566265048</v>
      </c>
      <c r="T58" s="102">
        <v>12095.68235294117</v>
      </c>
      <c r="U58" s="102">
        <v>612802.14939759031</v>
      </c>
      <c r="V58" s="102">
        <v>50693.040000000008</v>
      </c>
      <c r="W58" s="102">
        <v>22349.719999999998</v>
      </c>
      <c r="X58" s="102">
        <v>21729.06</v>
      </c>
      <c r="Y58" s="102">
        <v>1791.45</v>
      </c>
      <c r="Z58" s="102">
        <v>34.590157280568249</v>
      </c>
      <c r="AA58" s="41">
        <v>32876</v>
      </c>
      <c r="AB58" s="41">
        <v>2544</v>
      </c>
      <c r="AC58" s="41">
        <v>292</v>
      </c>
      <c r="AD58" s="41">
        <v>13</v>
      </c>
      <c r="AE58" s="41">
        <v>3</v>
      </c>
      <c r="AF58" s="41">
        <f>AF57</f>
        <v>3134</v>
      </c>
      <c r="AG58" s="41">
        <v>248.88235294117635</v>
      </c>
      <c r="AH58" s="41">
        <v>223</v>
      </c>
      <c r="AI58" s="104">
        <f>Weather!C166</f>
        <v>19.693333333333332</v>
      </c>
      <c r="AJ58" s="104">
        <f>Weather!D166</f>
        <v>97.000000000000028</v>
      </c>
      <c r="AK58" s="104">
        <f>Weather!E166</f>
        <v>27.800000000000004</v>
      </c>
      <c r="AL58" s="104">
        <f>Weather!F166</f>
        <v>60.100000000000016</v>
      </c>
      <c r="AM58" s="104">
        <f>Weather!G166</f>
        <v>50.899999999999991</v>
      </c>
      <c r="AN58" s="104">
        <f>Weather!H166</f>
        <v>31.099999999999994</v>
      </c>
      <c r="AO58" s="104">
        <f>Weather!I166</f>
        <v>81.900000000000006</v>
      </c>
      <c r="AP58" s="104">
        <f>Weather!J166</f>
        <v>12.9</v>
      </c>
      <c r="AQ58" s="104">
        <f>Weather!K166</f>
        <v>123.69999999999999</v>
      </c>
      <c r="AR58" s="104">
        <f>Weather!L166</f>
        <v>3.2999999999999989</v>
      </c>
      <c r="AS58" s="104">
        <f>Weather!M166</f>
        <v>174.09999999999997</v>
      </c>
      <c r="AT58" s="104">
        <f>Weather!N166</f>
        <v>0</v>
      </c>
      <c r="AU58" s="104">
        <f>Weather!O166</f>
        <v>230.8</v>
      </c>
      <c r="AV58" s="104">
        <f>Weather!P166</f>
        <v>0</v>
      </c>
      <c r="AW58" s="104">
        <f>Weather!Q166</f>
        <v>290.80000000000007</v>
      </c>
      <c r="AX58" s="104">
        <f>Weather!R166</f>
        <v>0</v>
      </c>
      <c r="AY58" s="104">
        <f>Weather!S166</f>
        <v>350.80000000000007</v>
      </c>
      <c r="AZ58" s="119">
        <f>Economic!C58</f>
        <v>677384</v>
      </c>
      <c r="BA58" s="120">
        <f>Economic!D58</f>
        <v>6860.5</v>
      </c>
      <c r="BB58" s="120">
        <f>Economic!E58</f>
        <v>6917.2</v>
      </c>
      <c r="BC58" s="120">
        <f>Economic!F58</f>
        <v>3155.1</v>
      </c>
      <c r="BD58" s="120">
        <f>Economic!G58</f>
        <v>3178.3</v>
      </c>
      <c r="BE58" s="120">
        <f>Economic!H58</f>
        <v>382.5</v>
      </c>
      <c r="BF58" s="120">
        <f>Economic!I58</f>
        <v>385.6</v>
      </c>
      <c r="BG58" s="123">
        <f t="shared" ref="BG58:BX58" si="76">BG46</f>
        <v>30</v>
      </c>
      <c r="BH58" s="123">
        <v>20</v>
      </c>
      <c r="BI58" s="123">
        <f t="shared" si="41"/>
        <v>57</v>
      </c>
      <c r="BJ58" s="123">
        <f t="shared" si="76"/>
        <v>0</v>
      </c>
      <c r="BK58" s="123">
        <f t="shared" si="76"/>
        <v>0</v>
      </c>
      <c r="BL58" s="123">
        <f t="shared" si="76"/>
        <v>0</v>
      </c>
      <c r="BM58" s="123">
        <f t="shared" si="76"/>
        <v>0</v>
      </c>
      <c r="BN58" s="123">
        <f t="shared" si="76"/>
        <v>0</v>
      </c>
      <c r="BO58" s="123">
        <f t="shared" si="76"/>
        <v>0</v>
      </c>
      <c r="BP58" s="123">
        <f t="shared" si="76"/>
        <v>0</v>
      </c>
      <c r="BQ58" s="123">
        <f t="shared" si="76"/>
        <v>0</v>
      </c>
      <c r="BR58" s="123">
        <f t="shared" si="76"/>
        <v>1</v>
      </c>
      <c r="BS58" s="123">
        <f t="shared" si="76"/>
        <v>0</v>
      </c>
      <c r="BT58" s="123">
        <f t="shared" si="76"/>
        <v>0</v>
      </c>
      <c r="BU58" s="123">
        <f t="shared" si="76"/>
        <v>0</v>
      </c>
      <c r="BV58" s="123">
        <f t="shared" si="76"/>
        <v>0</v>
      </c>
      <c r="BW58" s="123">
        <f t="shared" si="76"/>
        <v>1</v>
      </c>
      <c r="BX58" s="123">
        <f t="shared" si="76"/>
        <v>1</v>
      </c>
      <c r="BY58" s="124">
        <v>0</v>
      </c>
      <c r="BZ58" s="124">
        <v>0</v>
      </c>
      <c r="CA58" s="124">
        <f t="shared" si="8"/>
        <v>0</v>
      </c>
      <c r="CB58" s="124">
        <f t="shared" si="9"/>
        <v>0</v>
      </c>
      <c r="CC58" s="124">
        <f t="shared" si="10"/>
        <v>0</v>
      </c>
      <c r="CD58" s="124">
        <f t="shared" si="11"/>
        <v>0</v>
      </c>
      <c r="CE58" s="124">
        <f t="shared" si="12"/>
        <v>0</v>
      </c>
      <c r="CF58" s="124">
        <f t="shared" si="13"/>
        <v>0</v>
      </c>
      <c r="CG58" s="124">
        <f t="shared" si="14"/>
        <v>0</v>
      </c>
      <c r="CH58" s="124">
        <f t="shared" si="15"/>
        <v>0</v>
      </c>
      <c r="CI58" s="124">
        <f t="shared" si="16"/>
        <v>0</v>
      </c>
      <c r="CJ58" s="124">
        <f t="shared" si="17"/>
        <v>0</v>
      </c>
      <c r="CK58" s="124">
        <f t="shared" si="18"/>
        <v>0</v>
      </c>
      <c r="CL58" s="124">
        <f t="shared" si="19"/>
        <v>0</v>
      </c>
      <c r="CM58" s="124">
        <f t="shared" si="20"/>
        <v>0</v>
      </c>
      <c r="CN58" s="124">
        <f t="shared" si="21"/>
        <v>0</v>
      </c>
      <c r="CO58" s="124">
        <f t="shared" si="22"/>
        <v>0</v>
      </c>
      <c r="CP58" s="124">
        <f t="shared" si="23"/>
        <v>0</v>
      </c>
      <c r="CQ58" s="138">
        <f t="shared" si="24"/>
        <v>809.36767071606528</v>
      </c>
      <c r="CR58" s="138">
        <f t="shared" si="25"/>
        <v>2854.4063280211303</v>
      </c>
      <c r="CS58" s="138">
        <f t="shared" si="26"/>
        <v>61121.370620136353</v>
      </c>
    </row>
    <row r="59" spans="1:97" x14ac:dyDescent="0.2">
      <c r="A59" s="114">
        <v>42278</v>
      </c>
      <c r="B59">
        <f t="shared" si="27"/>
        <v>2015</v>
      </c>
      <c r="C59">
        <f t="shared" si="28"/>
        <v>10</v>
      </c>
      <c r="D59" s="102">
        <v>21166911.199999988</v>
      </c>
      <c r="E59" s="131">
        <f>VLOOKUP($B59,'Historic CDM'!$L$5:$R$17,2,FALSE)/12</f>
        <v>317002.07740110968</v>
      </c>
      <c r="F59" s="131">
        <f t="shared" si="4"/>
        <v>21483913.277401097</v>
      </c>
      <c r="G59" s="102">
        <v>6796226.5349397603</v>
      </c>
      <c r="H59" s="131">
        <f>VLOOKUP($B59,'Historic CDM'!$L$5:$R$17,3,FALSE)/12</f>
        <v>194937.46716045527</v>
      </c>
      <c r="I59" s="131">
        <f t="shared" si="5"/>
        <v>6991164.0021002153</v>
      </c>
      <c r="J59" s="102">
        <v>16272895.431325302</v>
      </c>
      <c r="K59" s="131">
        <f>VLOOKUP($B59,'Historic CDM'!$L$5:$R$17,4,FALSE)/12</f>
        <v>555044.66445330705</v>
      </c>
      <c r="L59" s="131">
        <f t="shared" si="6"/>
        <v>16827940.095778607</v>
      </c>
      <c r="M59" s="102">
        <v>9165677.6965176519</v>
      </c>
      <c r="N59" s="131">
        <f>VLOOKUP($B59,'Historic CDM'!$L$5:$R$17,5,FALSE)/12</f>
        <v>137183.8079628546</v>
      </c>
      <c r="O59" s="131">
        <f t="shared" si="66"/>
        <v>9302861.5044805072</v>
      </c>
      <c r="P59" s="102">
        <v>12323568.788541874</v>
      </c>
      <c r="Q59" s="131">
        <f>VLOOKUP($B59,'Historic CDM'!$L$5:$R$17,6,FALSE)/12</f>
        <v>388174.22846577159</v>
      </c>
      <c r="R59" s="131">
        <f t="shared" si="67"/>
        <v>12711743.017007645</v>
      </c>
      <c r="S59" s="102">
        <v>91397.368674698795</v>
      </c>
      <c r="T59" s="102">
        <v>12084.247058823523</v>
      </c>
      <c r="U59" s="102">
        <v>724325.2433734939</v>
      </c>
      <c r="V59" s="102">
        <v>43626.44</v>
      </c>
      <c r="W59" s="102">
        <v>19836.16</v>
      </c>
      <c r="X59" s="102">
        <v>21180.67</v>
      </c>
      <c r="Y59" s="102">
        <v>1799.59</v>
      </c>
      <c r="Z59" s="102">
        <v>34.54968607305937</v>
      </c>
      <c r="AA59" s="41">
        <v>32908</v>
      </c>
      <c r="AB59" s="41">
        <v>2557</v>
      </c>
      <c r="AC59" s="41">
        <v>292</v>
      </c>
      <c r="AD59" s="41">
        <v>13</v>
      </c>
      <c r="AE59" s="41">
        <v>3</v>
      </c>
      <c r="AF59" s="41">
        <f>AF58</f>
        <v>3134</v>
      </c>
      <c r="AG59" s="41">
        <v>248.64705882352928</v>
      </c>
      <c r="AH59" s="41">
        <v>223</v>
      </c>
      <c r="AI59" s="104">
        <f>Weather!C167</f>
        <v>9.9419354838709673</v>
      </c>
      <c r="AJ59" s="104">
        <f>Weather!D167</f>
        <v>373.8</v>
      </c>
      <c r="AK59" s="104">
        <f>Weather!E167</f>
        <v>0</v>
      </c>
      <c r="AL59" s="104">
        <f>Weather!F167</f>
        <v>311.8</v>
      </c>
      <c r="AM59" s="104">
        <f>Weather!G167</f>
        <v>0</v>
      </c>
      <c r="AN59" s="104">
        <f>Weather!H167</f>
        <v>249.8</v>
      </c>
      <c r="AO59" s="104">
        <f>Weather!I167</f>
        <v>0</v>
      </c>
      <c r="AP59" s="104">
        <f>Weather!J167</f>
        <v>190.60000000000002</v>
      </c>
      <c r="AQ59" s="104">
        <f>Weather!K167</f>
        <v>2.7999999999999972</v>
      </c>
      <c r="AR59" s="104">
        <f>Weather!L167</f>
        <v>135.30000000000001</v>
      </c>
      <c r="AS59" s="104">
        <f>Weather!M167</f>
        <v>9.4999999999999982</v>
      </c>
      <c r="AT59" s="104">
        <f>Weather!N167</f>
        <v>85.1</v>
      </c>
      <c r="AU59" s="104">
        <f>Weather!O167</f>
        <v>21.3</v>
      </c>
      <c r="AV59" s="104">
        <f>Weather!P167</f>
        <v>48.199999999999989</v>
      </c>
      <c r="AW59" s="104">
        <f>Weather!Q167</f>
        <v>46.400000000000006</v>
      </c>
      <c r="AX59" s="104">
        <f>Weather!R167</f>
        <v>24.900000000000002</v>
      </c>
      <c r="AY59" s="104">
        <f>Weather!S167</f>
        <v>85.1</v>
      </c>
      <c r="AZ59" s="119">
        <f>Economic!C59</f>
        <v>677384</v>
      </c>
      <c r="BA59" s="120">
        <f>Economic!D59</f>
        <v>6852.7</v>
      </c>
      <c r="BB59" s="120">
        <f>Economic!E59</f>
        <v>6887.9</v>
      </c>
      <c r="BC59" s="120">
        <f>Economic!F59</f>
        <v>3149.2</v>
      </c>
      <c r="BD59" s="120">
        <f>Economic!G59</f>
        <v>3160.3</v>
      </c>
      <c r="BE59" s="120">
        <f>Economic!H59</f>
        <v>377.4</v>
      </c>
      <c r="BF59" s="120">
        <f>Economic!I59</f>
        <v>380.3</v>
      </c>
      <c r="BG59" s="123">
        <f t="shared" ref="BG59:BX59" si="77">BG47</f>
        <v>31</v>
      </c>
      <c r="BH59" s="123">
        <v>22</v>
      </c>
      <c r="BI59" s="123">
        <f t="shared" si="41"/>
        <v>58</v>
      </c>
      <c r="BJ59" s="123">
        <f t="shared" si="77"/>
        <v>0</v>
      </c>
      <c r="BK59" s="123">
        <f t="shared" si="77"/>
        <v>0</v>
      </c>
      <c r="BL59" s="123">
        <f t="shared" si="77"/>
        <v>0</v>
      </c>
      <c r="BM59" s="123">
        <f t="shared" si="77"/>
        <v>0</v>
      </c>
      <c r="BN59" s="123">
        <f t="shared" si="77"/>
        <v>0</v>
      </c>
      <c r="BO59" s="123">
        <f t="shared" si="77"/>
        <v>0</v>
      </c>
      <c r="BP59" s="123">
        <f t="shared" si="77"/>
        <v>0</v>
      </c>
      <c r="BQ59" s="123">
        <f t="shared" si="77"/>
        <v>0</v>
      </c>
      <c r="BR59" s="123">
        <f t="shared" si="77"/>
        <v>0</v>
      </c>
      <c r="BS59" s="123">
        <f t="shared" si="77"/>
        <v>1</v>
      </c>
      <c r="BT59" s="123">
        <f t="shared" si="77"/>
        <v>0</v>
      </c>
      <c r="BU59" s="123">
        <f t="shared" si="77"/>
        <v>0</v>
      </c>
      <c r="BV59" s="123">
        <f t="shared" si="77"/>
        <v>0</v>
      </c>
      <c r="BW59" s="123">
        <f t="shared" si="77"/>
        <v>1</v>
      </c>
      <c r="BX59" s="123">
        <f t="shared" si="77"/>
        <v>1</v>
      </c>
      <c r="BY59" s="124">
        <v>0</v>
      </c>
      <c r="BZ59" s="124">
        <v>0</v>
      </c>
      <c r="CA59" s="124">
        <f t="shared" si="8"/>
        <v>0</v>
      </c>
      <c r="CB59" s="124">
        <f t="shared" si="9"/>
        <v>0</v>
      </c>
      <c r="CC59" s="124">
        <f t="shared" si="10"/>
        <v>0</v>
      </c>
      <c r="CD59" s="124">
        <f t="shared" si="11"/>
        <v>0</v>
      </c>
      <c r="CE59" s="124">
        <f t="shared" si="12"/>
        <v>0</v>
      </c>
      <c r="CF59" s="124">
        <f t="shared" si="13"/>
        <v>0</v>
      </c>
      <c r="CG59" s="124">
        <f t="shared" si="14"/>
        <v>0</v>
      </c>
      <c r="CH59" s="124">
        <f t="shared" si="15"/>
        <v>0</v>
      </c>
      <c r="CI59" s="124">
        <f t="shared" si="16"/>
        <v>0</v>
      </c>
      <c r="CJ59" s="124">
        <f t="shared" si="17"/>
        <v>0</v>
      </c>
      <c r="CK59" s="124">
        <f t="shared" si="18"/>
        <v>0</v>
      </c>
      <c r="CL59" s="124">
        <f t="shared" si="19"/>
        <v>0</v>
      </c>
      <c r="CM59" s="124">
        <f t="shared" si="20"/>
        <v>0</v>
      </c>
      <c r="CN59" s="124">
        <f t="shared" si="21"/>
        <v>0</v>
      </c>
      <c r="CO59" s="124">
        <f t="shared" si="22"/>
        <v>0</v>
      </c>
      <c r="CP59" s="124">
        <f t="shared" si="23"/>
        <v>0</v>
      </c>
      <c r="CQ59" s="138">
        <f t="shared" si="24"/>
        <v>652.84773542606956</v>
      </c>
      <c r="CR59" s="138">
        <f t="shared" si="25"/>
        <v>2734.1274939774012</v>
      </c>
      <c r="CS59" s="138">
        <f t="shared" si="26"/>
        <v>57629.931834858246</v>
      </c>
    </row>
    <row r="60" spans="1:97" x14ac:dyDescent="0.2">
      <c r="A60" s="115">
        <v>42309</v>
      </c>
      <c r="B60">
        <f t="shared" si="27"/>
        <v>2015</v>
      </c>
      <c r="C60">
        <f t="shared" si="28"/>
        <v>11</v>
      </c>
      <c r="D60" s="102">
        <v>19417085.089156609</v>
      </c>
      <c r="E60" s="131">
        <f>VLOOKUP($B60,'Historic CDM'!$L$5:$R$17,2,FALSE)/12</f>
        <v>317002.07740110968</v>
      </c>
      <c r="F60" s="131">
        <f t="shared" si="4"/>
        <v>19734087.166557718</v>
      </c>
      <c r="G60" s="102">
        <v>6323671.9614457851</v>
      </c>
      <c r="H60" s="131">
        <f>VLOOKUP($B60,'Historic CDM'!$L$5:$R$17,3,FALSE)/12</f>
        <v>194937.46716045527</v>
      </c>
      <c r="I60" s="131">
        <f t="shared" si="5"/>
        <v>6518609.4286062401</v>
      </c>
      <c r="J60" s="102">
        <v>16129527.980722889</v>
      </c>
      <c r="K60" s="131">
        <f>VLOOKUP($B60,'Historic CDM'!$L$5:$R$17,4,FALSE)/12</f>
        <v>555044.66445330705</v>
      </c>
      <c r="L60" s="131">
        <f t="shared" si="6"/>
        <v>16684572.645176196</v>
      </c>
      <c r="M60" s="102">
        <v>8972163.5007507131</v>
      </c>
      <c r="N60" s="131">
        <f>VLOOKUP($B60,'Historic CDM'!$L$5:$R$17,5,FALSE)/12</f>
        <v>137183.8079628546</v>
      </c>
      <c r="O60" s="131">
        <f t="shared" si="66"/>
        <v>9109347.3087135684</v>
      </c>
      <c r="P60" s="102">
        <v>11655971.295006962</v>
      </c>
      <c r="Q60" s="131">
        <f>VLOOKUP($B60,'Historic CDM'!$L$5:$R$17,6,FALSE)/12</f>
        <v>388174.22846577159</v>
      </c>
      <c r="R60" s="131">
        <f t="shared" si="67"/>
        <v>12044145.523472734</v>
      </c>
      <c r="S60" s="102">
        <v>91801.783132530123</v>
      </c>
      <c r="T60" s="102">
        <v>12072.811764705875</v>
      </c>
      <c r="U60" s="102">
        <v>775764.53975903604</v>
      </c>
      <c r="V60" s="102">
        <v>44192.360000000008</v>
      </c>
      <c r="W60" s="102">
        <v>22660.010000000002</v>
      </c>
      <c r="X60" s="102">
        <v>21469.95</v>
      </c>
      <c r="Y60" s="102">
        <v>1806.36</v>
      </c>
      <c r="Z60" s="102">
        <v>34.50921486555049</v>
      </c>
      <c r="AA60" s="41">
        <v>32947</v>
      </c>
      <c r="AB60" s="41">
        <v>2574</v>
      </c>
      <c r="AC60" s="41">
        <v>293</v>
      </c>
      <c r="AD60" s="41">
        <v>13</v>
      </c>
      <c r="AE60" s="41">
        <v>3</v>
      </c>
      <c r="AF60" s="41">
        <f>AF59+22</f>
        <v>3156</v>
      </c>
      <c r="AG60" s="41">
        <v>248.41176470588221</v>
      </c>
      <c r="AH60" s="41">
        <v>223</v>
      </c>
      <c r="AI60" s="104">
        <f>Weather!C168</f>
        <v>6.5000000000000009</v>
      </c>
      <c r="AJ60" s="104">
        <f>Weather!D168</f>
        <v>465</v>
      </c>
      <c r="AK60" s="104">
        <f>Weather!E168</f>
        <v>0</v>
      </c>
      <c r="AL60" s="104">
        <f>Weather!F168</f>
        <v>404.99999999999994</v>
      </c>
      <c r="AM60" s="104">
        <f>Weather!G168</f>
        <v>0</v>
      </c>
      <c r="AN60" s="104">
        <f>Weather!H168</f>
        <v>345</v>
      </c>
      <c r="AO60" s="104">
        <f>Weather!I168</f>
        <v>0</v>
      </c>
      <c r="AP60" s="104">
        <f>Weather!J168</f>
        <v>285</v>
      </c>
      <c r="AQ60" s="104">
        <f>Weather!K168</f>
        <v>0</v>
      </c>
      <c r="AR60" s="104">
        <f>Weather!L168</f>
        <v>227.2</v>
      </c>
      <c r="AS60" s="104">
        <f>Weather!M168</f>
        <v>2.1999999999999993</v>
      </c>
      <c r="AT60" s="104">
        <f>Weather!N168</f>
        <v>172.39999999999995</v>
      </c>
      <c r="AU60" s="104">
        <f>Weather!O168</f>
        <v>7.3999999999999986</v>
      </c>
      <c r="AV60" s="104">
        <f>Weather!P168</f>
        <v>121.9</v>
      </c>
      <c r="AW60" s="104">
        <f>Weather!Q168</f>
        <v>16.899999999999999</v>
      </c>
      <c r="AX60" s="104">
        <f>Weather!R168</f>
        <v>82.8</v>
      </c>
      <c r="AY60" s="104">
        <f>Weather!S168</f>
        <v>37.800000000000004</v>
      </c>
      <c r="AZ60" s="119">
        <f>Economic!C60</f>
        <v>677384</v>
      </c>
      <c r="BA60" s="120">
        <f>Economic!D60</f>
        <v>6843.8</v>
      </c>
      <c r="BB60" s="120">
        <f>Economic!E60</f>
        <v>6853.9</v>
      </c>
      <c r="BC60" s="120">
        <f>Economic!F60</f>
        <v>3140.6</v>
      </c>
      <c r="BD60" s="120">
        <f>Economic!G60</f>
        <v>3139.2</v>
      </c>
      <c r="BE60" s="120">
        <f>Economic!H60</f>
        <v>375.8</v>
      </c>
      <c r="BF60" s="120">
        <f>Economic!I60</f>
        <v>377.8</v>
      </c>
      <c r="BG60" s="123">
        <f t="shared" ref="BG60:BX60" si="78">BG48</f>
        <v>30</v>
      </c>
      <c r="BH60" s="123">
        <v>21</v>
      </c>
      <c r="BI60" s="123">
        <f t="shared" si="41"/>
        <v>59</v>
      </c>
      <c r="BJ60" s="123">
        <f t="shared" si="78"/>
        <v>0</v>
      </c>
      <c r="BK60" s="123">
        <f t="shared" si="78"/>
        <v>0</v>
      </c>
      <c r="BL60" s="123">
        <f t="shared" si="78"/>
        <v>0</v>
      </c>
      <c r="BM60" s="123">
        <f t="shared" si="78"/>
        <v>0</v>
      </c>
      <c r="BN60" s="123">
        <f t="shared" si="78"/>
        <v>0</v>
      </c>
      <c r="BO60" s="123">
        <f t="shared" si="78"/>
        <v>0</v>
      </c>
      <c r="BP60" s="123">
        <f t="shared" si="78"/>
        <v>0</v>
      </c>
      <c r="BQ60" s="123">
        <f t="shared" si="78"/>
        <v>0</v>
      </c>
      <c r="BR60" s="123">
        <f t="shared" si="78"/>
        <v>0</v>
      </c>
      <c r="BS60" s="123">
        <f t="shared" si="78"/>
        <v>0</v>
      </c>
      <c r="BT60" s="123">
        <f t="shared" si="78"/>
        <v>1</v>
      </c>
      <c r="BU60" s="123">
        <f t="shared" si="78"/>
        <v>0</v>
      </c>
      <c r="BV60" s="123">
        <f t="shared" si="78"/>
        <v>0</v>
      </c>
      <c r="BW60" s="123">
        <f t="shared" si="78"/>
        <v>1</v>
      </c>
      <c r="BX60" s="123">
        <f t="shared" si="78"/>
        <v>1</v>
      </c>
      <c r="BY60" s="124">
        <v>0</v>
      </c>
      <c r="BZ60" s="124">
        <v>0</v>
      </c>
      <c r="CA60" s="124">
        <f t="shared" si="8"/>
        <v>0</v>
      </c>
      <c r="CB60" s="124">
        <f t="shared" si="9"/>
        <v>0</v>
      </c>
      <c r="CC60" s="124">
        <f t="shared" si="10"/>
        <v>0</v>
      </c>
      <c r="CD60" s="124">
        <f t="shared" si="11"/>
        <v>0</v>
      </c>
      <c r="CE60" s="124">
        <f t="shared" si="12"/>
        <v>0</v>
      </c>
      <c r="CF60" s="124">
        <f t="shared" si="13"/>
        <v>0</v>
      </c>
      <c r="CG60" s="124">
        <f t="shared" si="14"/>
        <v>0</v>
      </c>
      <c r="CH60" s="124">
        <f t="shared" si="15"/>
        <v>0</v>
      </c>
      <c r="CI60" s="124">
        <f t="shared" si="16"/>
        <v>0</v>
      </c>
      <c r="CJ60" s="124">
        <f t="shared" si="17"/>
        <v>0</v>
      </c>
      <c r="CK60" s="124">
        <f t="shared" si="18"/>
        <v>0</v>
      </c>
      <c r="CL60" s="124">
        <f t="shared" si="19"/>
        <v>0</v>
      </c>
      <c r="CM60" s="124">
        <f t="shared" si="20"/>
        <v>0</v>
      </c>
      <c r="CN60" s="124">
        <f t="shared" si="21"/>
        <v>0</v>
      </c>
      <c r="CO60" s="124">
        <f t="shared" si="22"/>
        <v>0</v>
      </c>
      <c r="CP60" s="124">
        <f t="shared" si="23"/>
        <v>0</v>
      </c>
      <c r="CQ60" s="138">
        <f t="shared" si="24"/>
        <v>598.96461488322814</v>
      </c>
      <c r="CR60" s="138">
        <f t="shared" si="25"/>
        <v>2532.4822954958199</v>
      </c>
      <c r="CS60" s="138">
        <f t="shared" si="26"/>
        <v>56943.933942580872</v>
      </c>
    </row>
    <row r="61" spans="1:97" x14ac:dyDescent="0.2">
      <c r="A61" s="114">
        <v>42339</v>
      </c>
      <c r="B61">
        <f t="shared" si="27"/>
        <v>2015</v>
      </c>
      <c r="C61">
        <f t="shared" si="28"/>
        <v>12</v>
      </c>
      <c r="D61" s="102">
        <v>23283597.985542178</v>
      </c>
      <c r="E61" s="131">
        <f>VLOOKUP($B61,'Historic CDM'!$L$5:$R$17,2,FALSE)/12</f>
        <v>317002.07740110968</v>
      </c>
      <c r="F61" s="131">
        <f t="shared" si="4"/>
        <v>23600600.062943287</v>
      </c>
      <c r="G61" s="102">
        <v>6695925.5710843336</v>
      </c>
      <c r="H61" s="131">
        <f>VLOOKUP($B61,'Historic CDM'!$L$5:$R$17,3,FALSE)/12</f>
        <v>194937.46716045527</v>
      </c>
      <c r="I61" s="131">
        <f t="shared" si="5"/>
        <v>6890863.0382447885</v>
      </c>
      <c r="J61" s="102">
        <v>16103160.144578312</v>
      </c>
      <c r="K61" s="131">
        <f>VLOOKUP($B61,'Historic CDM'!$L$5:$R$17,4,FALSE)/12</f>
        <v>555044.66445330705</v>
      </c>
      <c r="L61" s="131">
        <f t="shared" si="6"/>
        <v>16658204.809031619</v>
      </c>
      <c r="M61" s="102">
        <v>9103337.7439821772</v>
      </c>
      <c r="N61" s="131">
        <f>VLOOKUP($B61,'Historic CDM'!$L$5:$R$17,5,FALSE)/12</f>
        <v>137183.8079628546</v>
      </c>
      <c r="O61" s="131">
        <f t="shared" si="66"/>
        <v>9240521.5519450326</v>
      </c>
      <c r="P61" s="102">
        <v>10576118.927789934</v>
      </c>
      <c r="Q61" s="131">
        <f>VLOOKUP($B61,'Historic CDM'!$L$5:$R$17,6,FALSE)/12</f>
        <v>388174.22846577159</v>
      </c>
      <c r="R61" s="131">
        <f t="shared" si="67"/>
        <v>10964293.156255705</v>
      </c>
      <c r="S61" s="102">
        <v>91934.515662650592</v>
      </c>
      <c r="T61" s="102">
        <v>12061.376470588228</v>
      </c>
      <c r="U61" s="102">
        <v>843568.80963855411</v>
      </c>
      <c r="V61" s="102">
        <v>42671.000000000015</v>
      </c>
      <c r="W61" s="102">
        <v>21978.789999999997</v>
      </c>
      <c r="X61" s="102">
        <v>21402.34</v>
      </c>
      <c r="Y61" s="102">
        <v>1806.36</v>
      </c>
      <c r="Z61" s="102">
        <v>34.46874365804161</v>
      </c>
      <c r="AA61" s="41">
        <v>33001</v>
      </c>
      <c r="AB61" s="41">
        <v>2574</v>
      </c>
      <c r="AC61" s="41">
        <v>293</v>
      </c>
      <c r="AD61" s="41">
        <v>13</v>
      </c>
      <c r="AE61" s="41">
        <v>3</v>
      </c>
      <c r="AF61" s="41">
        <f>AF60</f>
        <v>3156</v>
      </c>
      <c r="AG61" s="41">
        <v>248.17647058823513</v>
      </c>
      <c r="AH61" s="41">
        <v>223</v>
      </c>
      <c r="AI61" s="104">
        <f>Weather!C169</f>
        <v>4.1387096774193548</v>
      </c>
      <c r="AJ61" s="104">
        <f>Weather!D169</f>
        <v>553.70000000000016</v>
      </c>
      <c r="AK61" s="104">
        <f>Weather!E169</f>
        <v>0</v>
      </c>
      <c r="AL61" s="104">
        <f>Weather!F169</f>
        <v>491.7000000000001</v>
      </c>
      <c r="AM61" s="104">
        <f>Weather!G169</f>
        <v>0</v>
      </c>
      <c r="AN61" s="104">
        <f>Weather!H169</f>
        <v>429.70000000000005</v>
      </c>
      <c r="AO61" s="104">
        <f>Weather!I169</f>
        <v>0</v>
      </c>
      <c r="AP61" s="104">
        <f>Weather!J169</f>
        <v>367.70000000000005</v>
      </c>
      <c r="AQ61" s="104">
        <f>Weather!K169</f>
        <v>0</v>
      </c>
      <c r="AR61" s="104">
        <f>Weather!L169</f>
        <v>305.7</v>
      </c>
      <c r="AS61" s="104">
        <f>Weather!M169</f>
        <v>0</v>
      </c>
      <c r="AT61" s="104">
        <f>Weather!N169</f>
        <v>243.70000000000002</v>
      </c>
      <c r="AU61" s="104">
        <f>Weather!O169</f>
        <v>0</v>
      </c>
      <c r="AV61" s="104">
        <f>Weather!P169</f>
        <v>182</v>
      </c>
      <c r="AW61" s="104">
        <f>Weather!Q169</f>
        <v>0.30000000000000071</v>
      </c>
      <c r="AX61" s="104">
        <f>Weather!R169</f>
        <v>126.19999999999999</v>
      </c>
      <c r="AY61" s="104">
        <f>Weather!S169</f>
        <v>6.5</v>
      </c>
      <c r="AZ61" s="119">
        <f>Economic!C61</f>
        <v>677384</v>
      </c>
      <c r="BA61" s="120">
        <f>Economic!D61</f>
        <v>6858.1</v>
      </c>
      <c r="BB61" s="120">
        <f>Economic!E61</f>
        <v>6866.6</v>
      </c>
      <c r="BC61" s="120">
        <f>Economic!F61</f>
        <v>3147.5</v>
      </c>
      <c r="BD61" s="120">
        <f>Economic!G61</f>
        <v>3148</v>
      </c>
      <c r="BE61" s="120">
        <f>Economic!H61</f>
        <v>374.6</v>
      </c>
      <c r="BF61" s="120">
        <f>Economic!I61</f>
        <v>377.8</v>
      </c>
      <c r="BG61" s="123">
        <f t="shared" ref="BG61:BX61" si="79">BG49</f>
        <v>31</v>
      </c>
      <c r="BH61" s="123">
        <v>20</v>
      </c>
      <c r="BI61" s="123">
        <f t="shared" si="41"/>
        <v>60</v>
      </c>
      <c r="BJ61" s="123">
        <f t="shared" si="79"/>
        <v>0</v>
      </c>
      <c r="BK61" s="123">
        <f t="shared" si="79"/>
        <v>0</v>
      </c>
      <c r="BL61" s="123">
        <f t="shared" si="79"/>
        <v>0</v>
      </c>
      <c r="BM61" s="123">
        <f t="shared" si="79"/>
        <v>0</v>
      </c>
      <c r="BN61" s="123">
        <f t="shared" si="79"/>
        <v>0</v>
      </c>
      <c r="BO61" s="123">
        <f t="shared" si="79"/>
        <v>0</v>
      </c>
      <c r="BP61" s="123">
        <f t="shared" si="79"/>
        <v>0</v>
      </c>
      <c r="BQ61" s="123">
        <f t="shared" si="79"/>
        <v>0</v>
      </c>
      <c r="BR61" s="123">
        <f t="shared" si="79"/>
        <v>0</v>
      </c>
      <c r="BS61" s="123">
        <f t="shared" si="79"/>
        <v>0</v>
      </c>
      <c r="BT61" s="123">
        <f t="shared" si="79"/>
        <v>0</v>
      </c>
      <c r="BU61" s="123">
        <f t="shared" si="79"/>
        <v>1</v>
      </c>
      <c r="BV61" s="123">
        <f t="shared" si="79"/>
        <v>0</v>
      </c>
      <c r="BW61" s="123">
        <f t="shared" si="79"/>
        <v>0</v>
      </c>
      <c r="BX61" s="123">
        <f t="shared" si="79"/>
        <v>0</v>
      </c>
      <c r="BY61" s="124">
        <v>0</v>
      </c>
      <c r="BZ61" s="124">
        <v>0</v>
      </c>
      <c r="CA61" s="124">
        <f t="shared" si="8"/>
        <v>0</v>
      </c>
      <c r="CB61" s="124">
        <f t="shared" si="9"/>
        <v>0</v>
      </c>
      <c r="CC61" s="124">
        <f t="shared" si="10"/>
        <v>0</v>
      </c>
      <c r="CD61" s="124">
        <f t="shared" si="11"/>
        <v>0</v>
      </c>
      <c r="CE61" s="124">
        <f t="shared" si="12"/>
        <v>0</v>
      </c>
      <c r="CF61" s="124">
        <f t="shared" si="13"/>
        <v>0</v>
      </c>
      <c r="CG61" s="124">
        <f t="shared" si="14"/>
        <v>0</v>
      </c>
      <c r="CH61" s="124">
        <f t="shared" si="15"/>
        <v>0</v>
      </c>
      <c r="CI61" s="124">
        <f t="shared" si="16"/>
        <v>0</v>
      </c>
      <c r="CJ61" s="124">
        <f t="shared" si="17"/>
        <v>0</v>
      </c>
      <c r="CK61" s="124">
        <f t="shared" si="18"/>
        <v>0</v>
      </c>
      <c r="CL61" s="124">
        <f t="shared" si="19"/>
        <v>0</v>
      </c>
      <c r="CM61" s="124">
        <f t="shared" si="20"/>
        <v>0</v>
      </c>
      <c r="CN61" s="124">
        <f t="shared" si="21"/>
        <v>0</v>
      </c>
      <c r="CO61" s="124">
        <f t="shared" si="22"/>
        <v>0</v>
      </c>
      <c r="CP61" s="124">
        <f t="shared" si="23"/>
        <v>0</v>
      </c>
      <c r="CQ61" s="138">
        <f t="shared" si="24"/>
        <v>715.14802772471398</v>
      </c>
      <c r="CR61" s="138">
        <f t="shared" si="25"/>
        <v>2677.1029674610677</v>
      </c>
      <c r="CS61" s="138">
        <f t="shared" si="26"/>
        <v>56853.941327752967</v>
      </c>
    </row>
    <row r="62" spans="1:97" x14ac:dyDescent="0.2">
      <c r="A62" s="115">
        <v>42370</v>
      </c>
      <c r="B62">
        <f t="shared" si="27"/>
        <v>2016</v>
      </c>
      <c r="C62">
        <f t="shared" si="28"/>
        <v>1</v>
      </c>
      <c r="D62" s="102">
        <v>25985111.093975894</v>
      </c>
      <c r="E62" s="131">
        <f>VLOOKUP($B62,'Historic CDM'!$L$5:$R$17,2,FALSE)/12</f>
        <v>503439.62575630058</v>
      </c>
      <c r="F62" s="131">
        <f t="shared" si="4"/>
        <v>26488550.719732195</v>
      </c>
      <c r="G62" s="102">
        <v>8357389.1277108472</v>
      </c>
      <c r="H62" s="131">
        <f>VLOOKUP($B62,'Historic CDM'!$L$5:$R$17,3,FALSE)/12</f>
        <v>331866.97414415696</v>
      </c>
      <c r="I62" s="131">
        <f t="shared" si="5"/>
        <v>8689256.1018550042</v>
      </c>
      <c r="J62" s="102">
        <v>17735240.327710841</v>
      </c>
      <c r="K62" s="131">
        <f>VLOOKUP($B62,'Historic CDM'!$L$5:$R$17,4,FALSE)/12</f>
        <v>657746.90431909065</v>
      </c>
      <c r="L62" s="131">
        <f t="shared" si="6"/>
        <v>18392987.23202993</v>
      </c>
      <c r="M62" s="102">
        <v>10087440.44171066</v>
      </c>
      <c r="N62" s="131">
        <f>VLOOKUP($B62,'Historic CDM'!$L$5:$R$17,5,FALSE)/12</f>
        <v>199259.22590218965</v>
      </c>
      <c r="O62" s="131">
        <f t="shared" si="66"/>
        <v>10286699.667612851</v>
      </c>
      <c r="P62" s="102">
        <v>11376321.623234533</v>
      </c>
      <c r="Q62" s="131">
        <f>VLOOKUP($B62,'Historic CDM'!$L$5:$R$17,6,FALSE)/12</f>
        <v>739889.48034361785</v>
      </c>
      <c r="R62" s="131">
        <f t="shared" si="67"/>
        <v>12116211.10357815</v>
      </c>
      <c r="S62" s="102">
        <v>91835.739759036136</v>
      </c>
      <c r="T62" s="102">
        <v>12049.94117647058</v>
      </c>
      <c r="U62" s="102">
        <v>820265.78313253005</v>
      </c>
      <c r="V62" s="102">
        <v>43264.80000000001</v>
      </c>
      <c r="W62" s="102">
        <v>22141.56</v>
      </c>
      <c r="X62" s="102">
        <v>21031.58</v>
      </c>
      <c r="Y62" s="102">
        <v>1806.36</v>
      </c>
      <c r="Z62" s="102">
        <v>34.428272450532731</v>
      </c>
      <c r="AA62" s="41">
        <v>33068</v>
      </c>
      <c r="AB62" s="41">
        <v>2571</v>
      </c>
      <c r="AC62" s="41">
        <v>292</v>
      </c>
      <c r="AD62" s="41">
        <v>13</v>
      </c>
      <c r="AE62" s="41">
        <v>3</v>
      </c>
      <c r="AF62" s="41">
        <f>307+2603+246</f>
        <v>3156</v>
      </c>
      <c r="AG62" s="41">
        <v>247.94117647058806</v>
      </c>
      <c r="AH62" s="41">
        <v>224</v>
      </c>
      <c r="AI62" s="104">
        <f>Weather!C170</f>
        <v>-3.6258064516129025</v>
      </c>
      <c r="AJ62" s="104">
        <f>Weather!D170</f>
        <v>794.4</v>
      </c>
      <c r="AK62" s="104">
        <f>Weather!E170</f>
        <v>0</v>
      </c>
      <c r="AL62" s="104">
        <f>Weather!F170</f>
        <v>732.4</v>
      </c>
      <c r="AM62" s="104">
        <f>Weather!G170</f>
        <v>0</v>
      </c>
      <c r="AN62" s="104">
        <f>Weather!H170</f>
        <v>670.4</v>
      </c>
      <c r="AO62" s="104">
        <f>Weather!I170</f>
        <v>0</v>
      </c>
      <c r="AP62" s="104">
        <f>Weather!J170</f>
        <v>608.4</v>
      </c>
      <c r="AQ62" s="104">
        <f>Weather!K170</f>
        <v>0</v>
      </c>
      <c r="AR62" s="104">
        <f>Weather!L170</f>
        <v>546.4</v>
      </c>
      <c r="AS62" s="104">
        <f>Weather!M170</f>
        <v>0</v>
      </c>
      <c r="AT62" s="104">
        <f>Weather!N170</f>
        <v>484.40000000000009</v>
      </c>
      <c r="AU62" s="104">
        <f>Weather!O170</f>
        <v>0</v>
      </c>
      <c r="AV62" s="104">
        <f>Weather!P170</f>
        <v>422.40000000000009</v>
      </c>
      <c r="AW62" s="104">
        <f>Weather!Q170</f>
        <v>0</v>
      </c>
      <c r="AX62" s="104">
        <f>Weather!R170</f>
        <v>360.40000000000009</v>
      </c>
      <c r="AY62" s="104">
        <f>Weather!S170</f>
        <v>0</v>
      </c>
      <c r="AZ62" s="119">
        <f>Economic!C62</f>
        <v>692620.80000000005</v>
      </c>
      <c r="BA62" s="120">
        <f>Economic!D62</f>
        <v>6871.7</v>
      </c>
      <c r="BB62" s="120">
        <f>Economic!E62</f>
        <v>6837.4</v>
      </c>
      <c r="BC62" s="120">
        <f>Economic!F62</f>
        <v>3154.2</v>
      </c>
      <c r="BD62" s="120">
        <f>Economic!G62</f>
        <v>3142.4</v>
      </c>
      <c r="BE62" s="120">
        <f>Economic!H62</f>
        <v>373.7</v>
      </c>
      <c r="BF62" s="120">
        <f>Economic!I62</f>
        <v>374</v>
      </c>
      <c r="BG62" s="123">
        <f>BG14</f>
        <v>31</v>
      </c>
      <c r="BH62" s="123">
        <v>22</v>
      </c>
      <c r="BI62" s="123">
        <f t="shared" si="41"/>
        <v>61</v>
      </c>
      <c r="BJ62" s="123">
        <f t="shared" ref="BJ62:BX62" si="80">BJ50</f>
        <v>1</v>
      </c>
      <c r="BK62" s="123">
        <f t="shared" si="80"/>
        <v>0</v>
      </c>
      <c r="BL62" s="123">
        <f t="shared" si="80"/>
        <v>0</v>
      </c>
      <c r="BM62" s="123">
        <f t="shared" si="80"/>
        <v>0</v>
      </c>
      <c r="BN62" s="123">
        <f t="shared" si="80"/>
        <v>0</v>
      </c>
      <c r="BO62" s="123">
        <f t="shared" si="80"/>
        <v>0</v>
      </c>
      <c r="BP62" s="123">
        <f t="shared" si="80"/>
        <v>0</v>
      </c>
      <c r="BQ62" s="123">
        <f t="shared" si="80"/>
        <v>0</v>
      </c>
      <c r="BR62" s="123">
        <f t="shared" si="80"/>
        <v>0</v>
      </c>
      <c r="BS62" s="123">
        <f t="shared" si="80"/>
        <v>0</v>
      </c>
      <c r="BT62" s="123">
        <f t="shared" si="80"/>
        <v>0</v>
      </c>
      <c r="BU62" s="123">
        <f t="shared" si="80"/>
        <v>0</v>
      </c>
      <c r="BV62" s="123">
        <f t="shared" si="80"/>
        <v>0</v>
      </c>
      <c r="BW62" s="123">
        <f t="shared" si="80"/>
        <v>0</v>
      </c>
      <c r="BX62" s="123">
        <f t="shared" si="80"/>
        <v>0</v>
      </c>
      <c r="BY62" s="124">
        <v>0</v>
      </c>
      <c r="BZ62" s="124">
        <v>0</v>
      </c>
      <c r="CA62" s="124">
        <f t="shared" si="8"/>
        <v>0</v>
      </c>
      <c r="CB62" s="124">
        <f t="shared" si="9"/>
        <v>0</v>
      </c>
      <c r="CC62" s="124">
        <f t="shared" si="10"/>
        <v>0</v>
      </c>
      <c r="CD62" s="124">
        <f t="shared" si="11"/>
        <v>0</v>
      </c>
      <c r="CE62" s="124">
        <f t="shared" si="12"/>
        <v>0</v>
      </c>
      <c r="CF62" s="124">
        <f t="shared" si="13"/>
        <v>0</v>
      </c>
      <c r="CG62" s="124">
        <f t="shared" si="14"/>
        <v>0</v>
      </c>
      <c r="CH62" s="124">
        <f t="shared" si="15"/>
        <v>0</v>
      </c>
      <c r="CI62" s="124">
        <f t="shared" si="16"/>
        <v>0</v>
      </c>
      <c r="CJ62" s="124">
        <f t="shared" si="17"/>
        <v>0</v>
      </c>
      <c r="CK62" s="124">
        <f t="shared" si="18"/>
        <v>0</v>
      </c>
      <c r="CL62" s="124">
        <f t="shared" si="19"/>
        <v>0</v>
      </c>
      <c r="CM62" s="124">
        <f t="shared" si="20"/>
        <v>0</v>
      </c>
      <c r="CN62" s="124">
        <f t="shared" si="21"/>
        <v>0</v>
      </c>
      <c r="CO62" s="124">
        <f t="shared" si="22"/>
        <v>0</v>
      </c>
      <c r="CP62" s="124">
        <f t="shared" si="23"/>
        <v>0</v>
      </c>
      <c r="CQ62" s="138">
        <f t="shared" si="24"/>
        <v>801.03274222003733</v>
      </c>
      <c r="CR62" s="138">
        <f t="shared" si="25"/>
        <v>3379.7184371275785</v>
      </c>
      <c r="CS62" s="138">
        <f t="shared" si="26"/>
        <v>62989.682301472363</v>
      </c>
    </row>
    <row r="63" spans="1:97" x14ac:dyDescent="0.2">
      <c r="A63" s="114">
        <v>42401</v>
      </c>
      <c r="B63">
        <f t="shared" si="27"/>
        <v>2016</v>
      </c>
      <c r="C63">
        <f t="shared" si="28"/>
        <v>2</v>
      </c>
      <c r="D63" s="102">
        <v>24520177.522891562</v>
      </c>
      <c r="E63" s="131">
        <f>VLOOKUP($B63,'Historic CDM'!$L$5:$R$17,2,FALSE)/12</f>
        <v>503439.62575630058</v>
      </c>
      <c r="F63" s="131">
        <f t="shared" si="4"/>
        <v>25023617.148647863</v>
      </c>
      <c r="G63" s="102">
        <v>8192805.8506024061</v>
      </c>
      <c r="H63" s="131">
        <f>VLOOKUP($B63,'Historic CDM'!$L$5:$R$17,3,FALSE)/12</f>
        <v>331866.97414415696</v>
      </c>
      <c r="I63" s="131">
        <f t="shared" si="5"/>
        <v>8524672.8247465622</v>
      </c>
      <c r="J63" s="102">
        <v>16845185.012048196</v>
      </c>
      <c r="K63" s="131">
        <f>VLOOKUP($B63,'Historic CDM'!$L$5:$R$17,4,FALSE)/12</f>
        <v>657746.90431909065</v>
      </c>
      <c r="L63" s="131">
        <f t="shared" si="6"/>
        <v>17502931.916367285</v>
      </c>
      <c r="M63" s="102">
        <v>9362052.0850486737</v>
      </c>
      <c r="N63" s="131">
        <f>VLOOKUP($B63,'Historic CDM'!$L$5:$R$17,5,FALSE)/12</f>
        <v>199259.22590218965</v>
      </c>
      <c r="O63" s="131">
        <f t="shared" si="66"/>
        <v>9561311.3109508641</v>
      </c>
      <c r="P63" s="102">
        <v>11083307.966978317</v>
      </c>
      <c r="Q63" s="131">
        <f>VLOOKUP($B63,'Historic CDM'!$L$5:$R$17,6,FALSE)/12</f>
        <v>739889.48034361785</v>
      </c>
      <c r="R63" s="131">
        <f t="shared" si="67"/>
        <v>11823197.447321935</v>
      </c>
      <c r="S63" s="102">
        <v>91835.739759036136</v>
      </c>
      <c r="T63" s="102">
        <v>12038.505882352933</v>
      </c>
      <c r="U63" s="102">
        <v>711419.913253012</v>
      </c>
      <c r="V63" s="102">
        <v>43850.080000000009</v>
      </c>
      <c r="W63" s="102">
        <v>22305.309999999998</v>
      </c>
      <c r="X63" s="102">
        <v>21201.360000000001</v>
      </c>
      <c r="Y63" s="102">
        <v>1808.28</v>
      </c>
      <c r="Z63" s="102">
        <v>34.387801243023851</v>
      </c>
      <c r="AA63" s="41">
        <v>33176</v>
      </c>
      <c r="AB63" s="41">
        <v>2577</v>
      </c>
      <c r="AC63" s="41">
        <v>290</v>
      </c>
      <c r="AD63" s="41">
        <v>13</v>
      </c>
      <c r="AE63" s="41">
        <v>3</v>
      </c>
      <c r="AF63" s="41">
        <f>AF62+5</f>
        <v>3161</v>
      </c>
      <c r="AG63" s="41">
        <v>247.70588235294099</v>
      </c>
      <c r="AH63" s="41">
        <v>223</v>
      </c>
      <c r="AI63" s="104">
        <f>Weather!C171</f>
        <v>-2.2896551724137932</v>
      </c>
      <c r="AJ63" s="104">
        <f>Weather!D171</f>
        <v>704.4</v>
      </c>
      <c r="AK63" s="104">
        <f>Weather!E171</f>
        <v>0</v>
      </c>
      <c r="AL63" s="104">
        <f>Weather!F171</f>
        <v>646.40000000000009</v>
      </c>
      <c r="AM63" s="104">
        <f>Weather!G171</f>
        <v>0</v>
      </c>
      <c r="AN63" s="104">
        <f>Weather!H171</f>
        <v>588.4</v>
      </c>
      <c r="AO63" s="104">
        <f>Weather!I171</f>
        <v>0</v>
      </c>
      <c r="AP63" s="104">
        <f>Weather!J171</f>
        <v>530.40000000000009</v>
      </c>
      <c r="AQ63" s="104">
        <f>Weather!K171</f>
        <v>0</v>
      </c>
      <c r="AR63" s="104">
        <f>Weather!L171</f>
        <v>472.40000000000009</v>
      </c>
      <c r="AS63" s="104">
        <f>Weather!M171</f>
        <v>0</v>
      </c>
      <c r="AT63" s="104">
        <f>Weather!N171</f>
        <v>414.40000000000003</v>
      </c>
      <c r="AU63" s="104">
        <f>Weather!O171</f>
        <v>0</v>
      </c>
      <c r="AV63" s="104">
        <f>Weather!P171</f>
        <v>356.40000000000003</v>
      </c>
      <c r="AW63" s="104">
        <f>Weather!Q171</f>
        <v>0</v>
      </c>
      <c r="AX63" s="104">
        <f>Weather!R171</f>
        <v>299.30000000000007</v>
      </c>
      <c r="AY63" s="104">
        <f>Weather!S171</f>
        <v>0.90000000000000036</v>
      </c>
      <c r="AZ63" s="119">
        <f>Economic!C63</f>
        <v>692620.80000000005</v>
      </c>
      <c r="BA63" s="120">
        <f>Economic!D63</f>
        <v>6885.9</v>
      </c>
      <c r="BB63" s="120">
        <f>Economic!E63</f>
        <v>6815.5</v>
      </c>
      <c r="BC63" s="120">
        <f>Economic!F63</f>
        <v>3149.3</v>
      </c>
      <c r="BD63" s="120">
        <f>Economic!G63</f>
        <v>3123</v>
      </c>
      <c r="BE63" s="120">
        <f>Economic!H63</f>
        <v>375.6</v>
      </c>
      <c r="BF63" s="120">
        <f>Economic!I63</f>
        <v>372.7</v>
      </c>
      <c r="BG63" s="123">
        <f t="shared" ref="BG63:BG126" si="81">BG15</f>
        <v>29</v>
      </c>
      <c r="BH63" s="123">
        <v>19</v>
      </c>
      <c r="BI63" s="123">
        <f t="shared" si="41"/>
        <v>62</v>
      </c>
      <c r="BJ63" s="123">
        <f t="shared" ref="BJ63:BX63" si="82">BJ51</f>
        <v>0</v>
      </c>
      <c r="BK63" s="123">
        <f t="shared" si="82"/>
        <v>1</v>
      </c>
      <c r="BL63" s="123">
        <f t="shared" si="82"/>
        <v>0</v>
      </c>
      <c r="BM63" s="123">
        <f t="shared" si="82"/>
        <v>0</v>
      </c>
      <c r="BN63" s="123">
        <f t="shared" si="82"/>
        <v>0</v>
      </c>
      <c r="BO63" s="123">
        <f t="shared" si="82"/>
        <v>0</v>
      </c>
      <c r="BP63" s="123">
        <f t="shared" si="82"/>
        <v>0</v>
      </c>
      <c r="BQ63" s="123">
        <f t="shared" si="82"/>
        <v>0</v>
      </c>
      <c r="BR63" s="123">
        <f t="shared" si="82"/>
        <v>0</v>
      </c>
      <c r="BS63" s="123">
        <f t="shared" si="82"/>
        <v>0</v>
      </c>
      <c r="BT63" s="123">
        <f t="shared" si="82"/>
        <v>0</v>
      </c>
      <c r="BU63" s="123">
        <f t="shared" si="82"/>
        <v>0</v>
      </c>
      <c r="BV63" s="123">
        <f t="shared" si="82"/>
        <v>0</v>
      </c>
      <c r="BW63" s="123">
        <f t="shared" si="82"/>
        <v>0</v>
      </c>
      <c r="BX63" s="123">
        <f t="shared" si="82"/>
        <v>0</v>
      </c>
      <c r="BY63" s="124">
        <v>0</v>
      </c>
      <c r="BZ63" s="124">
        <v>0</v>
      </c>
      <c r="CA63" s="124">
        <f t="shared" si="8"/>
        <v>0</v>
      </c>
      <c r="CB63" s="124">
        <f t="shared" si="9"/>
        <v>0</v>
      </c>
      <c r="CC63" s="124">
        <f t="shared" si="10"/>
        <v>0</v>
      </c>
      <c r="CD63" s="124">
        <f t="shared" si="11"/>
        <v>0</v>
      </c>
      <c r="CE63" s="124">
        <f t="shared" si="12"/>
        <v>0</v>
      </c>
      <c r="CF63" s="124">
        <f t="shared" si="13"/>
        <v>0</v>
      </c>
      <c r="CG63" s="124">
        <f t="shared" si="14"/>
        <v>0</v>
      </c>
      <c r="CH63" s="124">
        <f t="shared" si="15"/>
        <v>0</v>
      </c>
      <c r="CI63" s="124">
        <f t="shared" si="16"/>
        <v>0</v>
      </c>
      <c r="CJ63" s="124">
        <f t="shared" si="17"/>
        <v>0</v>
      </c>
      <c r="CK63" s="124">
        <f t="shared" si="18"/>
        <v>0</v>
      </c>
      <c r="CL63" s="124">
        <f t="shared" si="19"/>
        <v>0</v>
      </c>
      <c r="CM63" s="124">
        <f t="shared" si="20"/>
        <v>0</v>
      </c>
      <c r="CN63" s="124">
        <f t="shared" si="21"/>
        <v>0</v>
      </c>
      <c r="CO63" s="124">
        <f t="shared" si="22"/>
        <v>0</v>
      </c>
      <c r="CP63" s="124">
        <f t="shared" si="23"/>
        <v>0</v>
      </c>
      <c r="CQ63" s="138">
        <f t="shared" si="24"/>
        <v>754.26866254665617</v>
      </c>
      <c r="CR63" s="138">
        <f t="shared" si="25"/>
        <v>3307.9832459241607</v>
      </c>
      <c r="CS63" s="138">
        <f t="shared" si="26"/>
        <v>60354.937642645811</v>
      </c>
    </row>
    <row r="64" spans="1:97" x14ac:dyDescent="0.2">
      <c r="A64" s="115">
        <v>42430</v>
      </c>
      <c r="B64">
        <f t="shared" si="27"/>
        <v>2016</v>
      </c>
      <c r="C64">
        <f t="shared" si="28"/>
        <v>3</v>
      </c>
      <c r="D64" s="102">
        <v>22958336.693975914</v>
      </c>
      <c r="E64" s="131">
        <f>VLOOKUP($B64,'Historic CDM'!$L$5:$R$17,2,FALSE)/12</f>
        <v>503439.62575630058</v>
      </c>
      <c r="F64" s="131">
        <f t="shared" si="4"/>
        <v>23461776.319732215</v>
      </c>
      <c r="G64" s="102">
        <v>7702210.1783132562</v>
      </c>
      <c r="H64" s="131">
        <f>VLOOKUP($B64,'Historic CDM'!$L$5:$R$17,3,FALSE)/12</f>
        <v>331866.97414415696</v>
      </c>
      <c r="I64" s="131">
        <f t="shared" si="5"/>
        <v>8034077.1524574133</v>
      </c>
      <c r="J64" s="102">
        <v>16957889.127710842</v>
      </c>
      <c r="K64" s="131">
        <f>VLOOKUP($B64,'Historic CDM'!$L$5:$R$17,4,FALSE)/12</f>
        <v>657746.90431909065</v>
      </c>
      <c r="L64" s="131">
        <f t="shared" si="6"/>
        <v>17615636.032029931</v>
      </c>
      <c r="M64" s="102">
        <v>9272874.0155954845</v>
      </c>
      <c r="N64" s="131">
        <f>VLOOKUP($B64,'Historic CDM'!$L$5:$R$17,5,FALSE)/12</f>
        <v>199259.22590218965</v>
      </c>
      <c r="O64" s="131">
        <f t="shared" si="66"/>
        <v>9472133.241497675</v>
      </c>
      <c r="P64" s="102">
        <v>11920653.47125522</v>
      </c>
      <c r="Q64" s="131">
        <f>VLOOKUP($B64,'Historic CDM'!$L$5:$R$17,6,FALSE)/12</f>
        <v>739889.48034361785</v>
      </c>
      <c r="R64" s="131">
        <f t="shared" si="67"/>
        <v>12660542.951598838</v>
      </c>
      <c r="S64" s="102">
        <v>91835.739759036136</v>
      </c>
      <c r="T64" s="102">
        <v>12027.070588235285</v>
      </c>
      <c r="U64" s="102">
        <v>676743.00722891558</v>
      </c>
      <c r="V64" s="102">
        <v>42961.55</v>
      </c>
      <c r="W64" s="102">
        <v>20714.300000000003</v>
      </c>
      <c r="X64" s="102">
        <v>21280.79</v>
      </c>
      <c r="Y64" s="102">
        <v>1808.92</v>
      </c>
      <c r="Z64" s="102">
        <v>34.347330035514972</v>
      </c>
      <c r="AA64" s="41">
        <v>33263</v>
      </c>
      <c r="AB64" s="41">
        <v>2605</v>
      </c>
      <c r="AC64" s="41">
        <v>293</v>
      </c>
      <c r="AD64" s="41">
        <v>13</v>
      </c>
      <c r="AE64" s="41">
        <v>3</v>
      </c>
      <c r="AF64" s="41">
        <f>AF63+2</f>
        <v>3163</v>
      </c>
      <c r="AG64" s="41">
        <v>247.47058823529392</v>
      </c>
      <c r="AH64" s="41">
        <v>223</v>
      </c>
      <c r="AI64" s="104">
        <f>Weather!C172</f>
        <v>2.6419354838709674</v>
      </c>
      <c r="AJ64" s="104">
        <f>Weather!D172</f>
        <v>600.09999999999991</v>
      </c>
      <c r="AK64" s="104">
        <f>Weather!E172</f>
        <v>0</v>
      </c>
      <c r="AL64" s="104">
        <f>Weather!F172</f>
        <v>538.09999999999991</v>
      </c>
      <c r="AM64" s="104">
        <f>Weather!G172</f>
        <v>0</v>
      </c>
      <c r="AN64" s="104">
        <f>Weather!H172</f>
        <v>476.0999999999998</v>
      </c>
      <c r="AO64" s="104">
        <f>Weather!I172</f>
        <v>0</v>
      </c>
      <c r="AP64" s="104">
        <f>Weather!J172</f>
        <v>414.0999999999998</v>
      </c>
      <c r="AQ64" s="104">
        <f>Weather!K172</f>
        <v>0</v>
      </c>
      <c r="AR64" s="104">
        <f>Weather!L172</f>
        <v>352.09999999999985</v>
      </c>
      <c r="AS64" s="104">
        <f>Weather!M172</f>
        <v>0</v>
      </c>
      <c r="AT64" s="104">
        <f>Weather!N172</f>
        <v>290.89999999999992</v>
      </c>
      <c r="AU64" s="104">
        <f>Weather!O172</f>
        <v>0.80000000000000071</v>
      </c>
      <c r="AV64" s="104">
        <f>Weather!P172</f>
        <v>232.90000000000003</v>
      </c>
      <c r="AW64" s="104">
        <f>Weather!Q172</f>
        <v>4.8000000000000007</v>
      </c>
      <c r="AX64" s="104">
        <f>Weather!R172</f>
        <v>176.40000000000003</v>
      </c>
      <c r="AY64" s="104">
        <f>Weather!S172</f>
        <v>10.3</v>
      </c>
      <c r="AZ64" s="119">
        <f>Economic!C64</f>
        <v>692620.80000000005</v>
      </c>
      <c r="BA64" s="120">
        <f>Economic!D64</f>
        <v>6897.7</v>
      </c>
      <c r="BB64" s="120">
        <f>Economic!E64</f>
        <v>6793.5</v>
      </c>
      <c r="BC64" s="120">
        <f>Economic!F64</f>
        <v>3140</v>
      </c>
      <c r="BD64" s="120">
        <f>Economic!G64</f>
        <v>3096.2</v>
      </c>
      <c r="BE64" s="120">
        <f>Economic!H64</f>
        <v>377.2</v>
      </c>
      <c r="BF64" s="120">
        <f>Economic!I64</f>
        <v>370.7</v>
      </c>
      <c r="BG64" s="123">
        <f t="shared" si="81"/>
        <v>31</v>
      </c>
      <c r="BH64" s="123">
        <v>21</v>
      </c>
      <c r="BI64" s="123">
        <f t="shared" si="41"/>
        <v>63</v>
      </c>
      <c r="BJ64" s="123">
        <f t="shared" ref="BJ64:BX64" si="83">BJ52</f>
        <v>0</v>
      </c>
      <c r="BK64" s="123">
        <f t="shared" si="83"/>
        <v>0</v>
      </c>
      <c r="BL64" s="123">
        <f t="shared" si="83"/>
        <v>1</v>
      </c>
      <c r="BM64" s="123">
        <f t="shared" si="83"/>
        <v>0</v>
      </c>
      <c r="BN64" s="123">
        <f t="shared" si="83"/>
        <v>0</v>
      </c>
      <c r="BO64" s="123">
        <f t="shared" si="83"/>
        <v>0</v>
      </c>
      <c r="BP64" s="123">
        <f t="shared" si="83"/>
        <v>0</v>
      </c>
      <c r="BQ64" s="123">
        <f t="shared" si="83"/>
        <v>0</v>
      </c>
      <c r="BR64" s="123">
        <f t="shared" si="83"/>
        <v>0</v>
      </c>
      <c r="BS64" s="123">
        <f t="shared" si="83"/>
        <v>0</v>
      </c>
      <c r="BT64" s="123">
        <f t="shared" si="83"/>
        <v>0</v>
      </c>
      <c r="BU64" s="123">
        <f t="shared" si="83"/>
        <v>0</v>
      </c>
      <c r="BV64" s="123">
        <f t="shared" si="83"/>
        <v>1</v>
      </c>
      <c r="BW64" s="123">
        <f t="shared" si="83"/>
        <v>0</v>
      </c>
      <c r="BX64" s="123">
        <f t="shared" si="83"/>
        <v>1</v>
      </c>
      <c r="BY64" s="124">
        <v>0</v>
      </c>
      <c r="BZ64" s="124">
        <v>0</v>
      </c>
      <c r="CA64" s="124">
        <f t="shared" si="8"/>
        <v>0</v>
      </c>
      <c r="CB64" s="124">
        <f t="shared" si="9"/>
        <v>0</v>
      </c>
      <c r="CC64" s="124">
        <f t="shared" si="10"/>
        <v>0</v>
      </c>
      <c r="CD64" s="124">
        <f t="shared" si="11"/>
        <v>0</v>
      </c>
      <c r="CE64" s="124">
        <f t="shared" si="12"/>
        <v>0</v>
      </c>
      <c r="CF64" s="124">
        <f t="shared" si="13"/>
        <v>0</v>
      </c>
      <c r="CG64" s="124">
        <f t="shared" si="14"/>
        <v>0</v>
      </c>
      <c r="CH64" s="124">
        <f t="shared" si="15"/>
        <v>0</v>
      </c>
      <c r="CI64" s="124">
        <f t="shared" si="16"/>
        <v>0</v>
      </c>
      <c r="CJ64" s="124">
        <f t="shared" si="17"/>
        <v>0</v>
      </c>
      <c r="CK64" s="124">
        <f t="shared" si="18"/>
        <v>0</v>
      </c>
      <c r="CL64" s="124">
        <f t="shared" si="19"/>
        <v>0</v>
      </c>
      <c r="CM64" s="124">
        <f t="shared" si="20"/>
        <v>0</v>
      </c>
      <c r="CN64" s="124">
        <f t="shared" si="21"/>
        <v>0</v>
      </c>
      <c r="CO64" s="124">
        <f t="shared" si="22"/>
        <v>0</v>
      </c>
      <c r="CP64" s="124">
        <f t="shared" si="23"/>
        <v>0</v>
      </c>
      <c r="CQ64" s="138">
        <f t="shared" si="24"/>
        <v>705.34156028416601</v>
      </c>
      <c r="CR64" s="138">
        <f t="shared" si="25"/>
        <v>3084.098714954861</v>
      </c>
      <c r="CS64" s="138">
        <f t="shared" si="26"/>
        <v>60121.624682696005</v>
      </c>
    </row>
    <row r="65" spans="1:97" x14ac:dyDescent="0.2">
      <c r="A65" s="114">
        <v>42461</v>
      </c>
      <c r="B65">
        <f t="shared" si="27"/>
        <v>2016</v>
      </c>
      <c r="C65">
        <f t="shared" si="28"/>
        <v>4</v>
      </c>
      <c r="D65" s="102">
        <v>21632719.643373489</v>
      </c>
      <c r="E65" s="131">
        <f>VLOOKUP($B65,'Historic CDM'!$L$5:$R$17,2,FALSE)/12</f>
        <v>503439.62575630058</v>
      </c>
      <c r="F65" s="131">
        <f t="shared" si="4"/>
        <v>22136159.26912979</v>
      </c>
      <c r="G65" s="102">
        <v>7574603.3349397629</v>
      </c>
      <c r="H65" s="131">
        <f>VLOOKUP($B65,'Historic CDM'!$L$5:$R$17,3,FALSE)/12</f>
        <v>331866.97414415696</v>
      </c>
      <c r="I65" s="131">
        <f t="shared" si="5"/>
        <v>7906470.30908392</v>
      </c>
      <c r="J65" s="102">
        <v>16234178.226506023</v>
      </c>
      <c r="K65" s="131">
        <f>VLOOKUP($B65,'Historic CDM'!$L$5:$R$17,4,FALSE)/12</f>
        <v>657746.90431909065</v>
      </c>
      <c r="L65" s="131">
        <f t="shared" si="6"/>
        <v>16891925.130825114</v>
      </c>
      <c r="M65" s="102">
        <v>8931385.3344311509</v>
      </c>
      <c r="N65" s="131">
        <f>VLOOKUP($B65,'Historic CDM'!$L$5:$R$17,5,FALSE)/12</f>
        <v>199259.22590218965</v>
      </c>
      <c r="O65" s="131">
        <f t="shared" si="66"/>
        <v>9130644.5603333414</v>
      </c>
      <c r="P65" s="102">
        <v>11618109.429082952</v>
      </c>
      <c r="Q65" s="131">
        <f>VLOOKUP($B65,'Historic CDM'!$L$5:$R$17,6,FALSE)/12</f>
        <v>739889.48034361785</v>
      </c>
      <c r="R65" s="131">
        <f t="shared" si="67"/>
        <v>12357998.90942657</v>
      </c>
      <c r="S65" s="102">
        <v>91835.720481927696</v>
      </c>
      <c r="T65" s="102">
        <v>12015.635294117637</v>
      </c>
      <c r="U65" s="102">
        <v>573708.20240963856</v>
      </c>
      <c r="V65" s="102">
        <v>44880.270000000019</v>
      </c>
      <c r="W65" s="102">
        <v>20935.349999999999</v>
      </c>
      <c r="X65" s="102">
        <v>21699.64</v>
      </c>
      <c r="Y65" s="102">
        <v>1809.22</v>
      </c>
      <c r="Z65" s="102">
        <v>34.306858828006092</v>
      </c>
      <c r="AA65" s="41">
        <v>33437</v>
      </c>
      <c r="AB65" s="41">
        <v>2601</v>
      </c>
      <c r="AC65" s="41">
        <v>293</v>
      </c>
      <c r="AD65" s="41">
        <v>13</v>
      </c>
      <c r="AE65" s="41">
        <v>3</v>
      </c>
      <c r="AF65" s="41">
        <f>AF64</f>
        <v>3163</v>
      </c>
      <c r="AG65" s="41">
        <v>247.23529411764684</v>
      </c>
      <c r="AH65" s="41">
        <v>223</v>
      </c>
      <c r="AI65" s="104">
        <f>Weather!C173</f>
        <v>4.8400000000000007</v>
      </c>
      <c r="AJ65" s="104">
        <f>Weather!D173</f>
        <v>514.79999999999995</v>
      </c>
      <c r="AK65" s="104">
        <f>Weather!E173</f>
        <v>0</v>
      </c>
      <c r="AL65" s="104">
        <f>Weather!F173</f>
        <v>454.8</v>
      </c>
      <c r="AM65" s="104">
        <f>Weather!G173</f>
        <v>0</v>
      </c>
      <c r="AN65" s="104">
        <f>Weather!H173</f>
        <v>394.8</v>
      </c>
      <c r="AO65" s="104">
        <f>Weather!I173</f>
        <v>0</v>
      </c>
      <c r="AP65" s="104">
        <f>Weather!J173</f>
        <v>335.1</v>
      </c>
      <c r="AQ65" s="104">
        <f>Weather!K173</f>
        <v>0.30000000000000071</v>
      </c>
      <c r="AR65" s="104">
        <f>Weather!L173</f>
        <v>277.10000000000008</v>
      </c>
      <c r="AS65" s="104">
        <f>Weather!M173</f>
        <v>2.3000000000000007</v>
      </c>
      <c r="AT65" s="104">
        <f>Weather!N173</f>
        <v>219.70000000000005</v>
      </c>
      <c r="AU65" s="104">
        <f>Weather!O173</f>
        <v>4.9000000000000004</v>
      </c>
      <c r="AV65" s="104">
        <f>Weather!P173</f>
        <v>167.70000000000005</v>
      </c>
      <c r="AW65" s="104">
        <f>Weather!Q173</f>
        <v>12.9</v>
      </c>
      <c r="AX65" s="104">
        <f>Weather!R173</f>
        <v>120.60000000000001</v>
      </c>
      <c r="AY65" s="104">
        <f>Weather!S173</f>
        <v>25.8</v>
      </c>
      <c r="AZ65" s="119">
        <f>Economic!C65</f>
        <v>692620.80000000005</v>
      </c>
      <c r="BA65" s="120">
        <f>Economic!D65</f>
        <v>6905.4</v>
      </c>
      <c r="BB65" s="120">
        <f>Economic!E65</f>
        <v>6814.3</v>
      </c>
      <c r="BC65" s="120">
        <f>Economic!F65</f>
        <v>3137.9</v>
      </c>
      <c r="BD65" s="120">
        <f>Economic!G65</f>
        <v>3103.3</v>
      </c>
      <c r="BE65" s="120">
        <f>Economic!H65</f>
        <v>380.3</v>
      </c>
      <c r="BF65" s="120">
        <f>Economic!I65</f>
        <v>375.5</v>
      </c>
      <c r="BG65" s="123">
        <f t="shared" si="81"/>
        <v>30</v>
      </c>
      <c r="BH65" s="123">
        <v>20</v>
      </c>
      <c r="BI65" s="123">
        <f t="shared" si="41"/>
        <v>64</v>
      </c>
      <c r="BJ65" s="123">
        <f t="shared" ref="BJ65:BX65" si="84">BJ53</f>
        <v>0</v>
      </c>
      <c r="BK65" s="123">
        <f t="shared" si="84"/>
        <v>0</v>
      </c>
      <c r="BL65" s="123">
        <f t="shared" si="84"/>
        <v>0</v>
      </c>
      <c r="BM65" s="123">
        <f t="shared" si="84"/>
        <v>1</v>
      </c>
      <c r="BN65" s="123">
        <f t="shared" si="84"/>
        <v>0</v>
      </c>
      <c r="BO65" s="123">
        <f t="shared" si="84"/>
        <v>0</v>
      </c>
      <c r="BP65" s="123">
        <f t="shared" si="84"/>
        <v>0</v>
      </c>
      <c r="BQ65" s="123">
        <f t="shared" si="84"/>
        <v>0</v>
      </c>
      <c r="BR65" s="123">
        <f t="shared" si="84"/>
        <v>0</v>
      </c>
      <c r="BS65" s="123">
        <f t="shared" si="84"/>
        <v>0</v>
      </c>
      <c r="BT65" s="123">
        <f t="shared" si="84"/>
        <v>0</v>
      </c>
      <c r="BU65" s="123">
        <f t="shared" si="84"/>
        <v>0</v>
      </c>
      <c r="BV65" s="123">
        <f t="shared" si="84"/>
        <v>1</v>
      </c>
      <c r="BW65" s="123">
        <f t="shared" si="84"/>
        <v>0</v>
      </c>
      <c r="BX65" s="123">
        <f t="shared" si="84"/>
        <v>1</v>
      </c>
      <c r="BY65" s="124">
        <v>0</v>
      </c>
      <c r="BZ65" s="124">
        <v>0</v>
      </c>
      <c r="CA65" s="124">
        <f t="shared" si="8"/>
        <v>0</v>
      </c>
      <c r="CB65" s="124">
        <f t="shared" si="9"/>
        <v>0</v>
      </c>
      <c r="CC65" s="124">
        <f t="shared" si="10"/>
        <v>0</v>
      </c>
      <c r="CD65" s="124">
        <f t="shared" si="11"/>
        <v>0</v>
      </c>
      <c r="CE65" s="124">
        <f t="shared" si="12"/>
        <v>0</v>
      </c>
      <c r="CF65" s="124">
        <f t="shared" si="13"/>
        <v>0</v>
      </c>
      <c r="CG65" s="124">
        <f t="shared" si="14"/>
        <v>0</v>
      </c>
      <c r="CH65" s="124">
        <f t="shared" si="15"/>
        <v>0</v>
      </c>
      <c r="CI65" s="124">
        <f t="shared" si="16"/>
        <v>0</v>
      </c>
      <c r="CJ65" s="124">
        <f t="shared" si="17"/>
        <v>0</v>
      </c>
      <c r="CK65" s="124">
        <f t="shared" si="18"/>
        <v>0</v>
      </c>
      <c r="CL65" s="124">
        <f t="shared" si="19"/>
        <v>0</v>
      </c>
      <c r="CM65" s="124">
        <f t="shared" si="20"/>
        <v>0</v>
      </c>
      <c r="CN65" s="124">
        <f t="shared" si="21"/>
        <v>0</v>
      </c>
      <c r="CO65" s="124">
        <f t="shared" si="22"/>
        <v>0</v>
      </c>
      <c r="CP65" s="124">
        <f t="shared" si="23"/>
        <v>0</v>
      </c>
      <c r="CQ65" s="138">
        <f t="shared" si="24"/>
        <v>662.02587759457458</v>
      </c>
      <c r="CR65" s="138">
        <f t="shared" si="25"/>
        <v>3039.7809723506034</v>
      </c>
      <c r="CS65" s="138">
        <f t="shared" si="26"/>
        <v>57651.621606911649</v>
      </c>
    </row>
    <row r="66" spans="1:97" x14ac:dyDescent="0.2">
      <c r="A66" s="115">
        <v>42491</v>
      </c>
      <c r="B66">
        <f t="shared" si="27"/>
        <v>2016</v>
      </c>
      <c r="C66">
        <f t="shared" si="28"/>
        <v>5</v>
      </c>
      <c r="D66" s="102">
        <v>20564699.585542157</v>
      </c>
      <c r="E66" s="131">
        <f>VLOOKUP($B66,'Historic CDM'!$L$5:$R$17,2,FALSE)/12</f>
        <v>503439.62575630058</v>
      </c>
      <c r="F66" s="131">
        <f t="shared" si="4"/>
        <v>21068139.211298458</v>
      </c>
      <c r="G66" s="102">
        <v>6410930.6313253017</v>
      </c>
      <c r="H66" s="131">
        <f>VLOOKUP($B66,'Historic CDM'!$L$5:$R$17,3,FALSE)/12</f>
        <v>331866.97414415696</v>
      </c>
      <c r="I66" s="131">
        <f t="shared" si="5"/>
        <v>6742797.6054694587</v>
      </c>
      <c r="J66" s="102">
        <v>15945008.597590361</v>
      </c>
      <c r="K66" s="131">
        <f>VLOOKUP($B66,'Historic CDM'!$L$5:$R$17,4,FALSE)/12</f>
        <v>657746.90431909065</v>
      </c>
      <c r="L66" s="131">
        <f t="shared" si="6"/>
        <v>16602755.501909452</v>
      </c>
      <c r="M66" s="102">
        <v>9702983.9976752065</v>
      </c>
      <c r="N66" s="131">
        <f>VLOOKUP($B66,'Historic CDM'!$L$5:$R$17,5,FALSE)/12</f>
        <v>199259.22590218965</v>
      </c>
      <c r="O66" s="131">
        <f t="shared" si="66"/>
        <v>9902243.2235773969</v>
      </c>
      <c r="P66" s="102">
        <v>10755657.837676546</v>
      </c>
      <c r="Q66" s="131">
        <f>VLOOKUP($B66,'Historic CDM'!$L$5:$R$17,6,FALSE)/12</f>
        <v>739889.48034361785</v>
      </c>
      <c r="R66" s="131">
        <f t="shared" si="67"/>
        <v>11495547.318020163</v>
      </c>
      <c r="S66" s="102">
        <v>91835.739759036151</v>
      </c>
      <c r="T66" s="102">
        <v>12004.19999999999</v>
      </c>
      <c r="U66" s="102">
        <v>513524.64578313252</v>
      </c>
      <c r="V66" s="102">
        <v>47938.029999999992</v>
      </c>
      <c r="W66" s="102">
        <v>23200.809999999998</v>
      </c>
      <c r="X66" s="102">
        <v>21164.880000000001</v>
      </c>
      <c r="Y66" s="102">
        <v>1809.3899999999999</v>
      </c>
      <c r="Z66" s="102">
        <v>34.266387620497213</v>
      </c>
      <c r="AA66" s="41">
        <v>33518</v>
      </c>
      <c r="AB66" s="41">
        <v>2598</v>
      </c>
      <c r="AC66" s="41">
        <v>295</v>
      </c>
      <c r="AD66" s="41">
        <v>13</v>
      </c>
      <c r="AE66" s="41">
        <v>3</v>
      </c>
      <c r="AF66" s="41">
        <f>AF65+1</f>
        <v>3164</v>
      </c>
      <c r="AG66" s="41">
        <v>246.99999999999977</v>
      </c>
      <c r="AH66" s="41">
        <v>222</v>
      </c>
      <c r="AI66" s="104">
        <f>Weather!C174</f>
        <v>14.593548387096776</v>
      </c>
      <c r="AJ66" s="104">
        <f>Weather!D174</f>
        <v>238.79999999999998</v>
      </c>
      <c r="AK66" s="104">
        <f>Weather!E174</f>
        <v>9.2000000000000028</v>
      </c>
      <c r="AL66" s="104">
        <f>Weather!F174</f>
        <v>188.29999999999998</v>
      </c>
      <c r="AM66" s="104">
        <f>Weather!G174</f>
        <v>20.700000000000003</v>
      </c>
      <c r="AN66" s="104">
        <f>Weather!H174</f>
        <v>142.50000000000003</v>
      </c>
      <c r="AO66" s="104">
        <f>Weather!I174</f>
        <v>36.9</v>
      </c>
      <c r="AP66" s="104">
        <f>Weather!J174</f>
        <v>102.19999999999999</v>
      </c>
      <c r="AQ66" s="104">
        <f>Weather!K174</f>
        <v>58.6</v>
      </c>
      <c r="AR66" s="104">
        <f>Weather!L174</f>
        <v>66.599999999999994</v>
      </c>
      <c r="AS66" s="104">
        <f>Weather!M174</f>
        <v>85</v>
      </c>
      <c r="AT66" s="104">
        <f>Weather!N174</f>
        <v>36.299999999999997</v>
      </c>
      <c r="AU66" s="104">
        <f>Weather!O174</f>
        <v>116.69999999999999</v>
      </c>
      <c r="AV66" s="104">
        <f>Weather!P174</f>
        <v>12.600000000000001</v>
      </c>
      <c r="AW66" s="104">
        <f>Weather!Q174</f>
        <v>155.00000000000003</v>
      </c>
      <c r="AX66" s="104">
        <f>Weather!R174</f>
        <v>3.0999999999999996</v>
      </c>
      <c r="AY66" s="104">
        <f>Weather!S174</f>
        <v>207.5</v>
      </c>
      <c r="AZ66" s="119">
        <f>Economic!C66</f>
        <v>692620.80000000005</v>
      </c>
      <c r="BA66" s="120">
        <f>Economic!D66</f>
        <v>6917.8</v>
      </c>
      <c r="BB66" s="120">
        <f>Economic!E66</f>
        <v>6884.3</v>
      </c>
      <c r="BC66" s="120">
        <f>Economic!F66</f>
        <v>3144.8</v>
      </c>
      <c r="BD66" s="120">
        <f>Economic!G66</f>
        <v>3135.2</v>
      </c>
      <c r="BE66" s="120">
        <f>Economic!H66</f>
        <v>375.6</v>
      </c>
      <c r="BF66" s="120">
        <f>Economic!I66</f>
        <v>374.1</v>
      </c>
      <c r="BG66" s="123">
        <f t="shared" si="81"/>
        <v>31</v>
      </c>
      <c r="BH66" s="123">
        <v>21</v>
      </c>
      <c r="BI66" s="123">
        <f t="shared" si="41"/>
        <v>65</v>
      </c>
      <c r="BJ66" s="123">
        <f t="shared" ref="BJ66:BX66" si="85">BJ54</f>
        <v>0</v>
      </c>
      <c r="BK66" s="123">
        <f t="shared" si="85"/>
        <v>0</v>
      </c>
      <c r="BL66" s="123">
        <f t="shared" si="85"/>
        <v>0</v>
      </c>
      <c r="BM66" s="123">
        <f t="shared" si="85"/>
        <v>0</v>
      </c>
      <c r="BN66" s="123">
        <f t="shared" si="85"/>
        <v>1</v>
      </c>
      <c r="BO66" s="123">
        <f t="shared" si="85"/>
        <v>0</v>
      </c>
      <c r="BP66" s="123">
        <f t="shared" si="85"/>
        <v>0</v>
      </c>
      <c r="BQ66" s="123">
        <f t="shared" si="85"/>
        <v>0</v>
      </c>
      <c r="BR66" s="123">
        <f t="shared" si="85"/>
        <v>0</v>
      </c>
      <c r="BS66" s="123">
        <f t="shared" si="85"/>
        <v>0</v>
      </c>
      <c r="BT66" s="123">
        <f t="shared" si="85"/>
        <v>0</v>
      </c>
      <c r="BU66" s="123">
        <f t="shared" si="85"/>
        <v>0</v>
      </c>
      <c r="BV66" s="123">
        <f t="shared" si="85"/>
        <v>1</v>
      </c>
      <c r="BW66" s="123">
        <f t="shared" si="85"/>
        <v>0</v>
      </c>
      <c r="BX66" s="123">
        <f t="shared" si="85"/>
        <v>1</v>
      </c>
      <c r="BY66" s="124">
        <v>0</v>
      </c>
      <c r="BZ66" s="124">
        <v>0</v>
      </c>
      <c r="CA66" s="124">
        <f t="shared" si="8"/>
        <v>0</v>
      </c>
      <c r="CB66" s="124">
        <f t="shared" si="9"/>
        <v>0</v>
      </c>
      <c r="CC66" s="124">
        <f t="shared" si="10"/>
        <v>0</v>
      </c>
      <c r="CD66" s="124">
        <f t="shared" si="11"/>
        <v>0</v>
      </c>
      <c r="CE66" s="124">
        <f t="shared" si="12"/>
        <v>0</v>
      </c>
      <c r="CF66" s="124">
        <f t="shared" si="13"/>
        <v>0</v>
      </c>
      <c r="CG66" s="124">
        <f t="shared" si="14"/>
        <v>0</v>
      </c>
      <c r="CH66" s="124">
        <f t="shared" si="15"/>
        <v>0</v>
      </c>
      <c r="CI66" s="124">
        <f t="shared" si="16"/>
        <v>0</v>
      </c>
      <c r="CJ66" s="124">
        <f t="shared" si="17"/>
        <v>0</v>
      </c>
      <c r="CK66" s="124">
        <f t="shared" si="18"/>
        <v>0</v>
      </c>
      <c r="CL66" s="124">
        <f t="shared" si="19"/>
        <v>0</v>
      </c>
      <c r="CM66" s="124">
        <f t="shared" si="20"/>
        <v>0</v>
      </c>
      <c r="CN66" s="124">
        <f t="shared" si="21"/>
        <v>0</v>
      </c>
      <c r="CO66" s="124">
        <f t="shared" si="22"/>
        <v>0</v>
      </c>
      <c r="CP66" s="124">
        <f t="shared" si="23"/>
        <v>0</v>
      </c>
      <c r="CQ66" s="138">
        <f t="shared" si="24"/>
        <v>628.56194317377106</v>
      </c>
      <c r="CR66" s="138">
        <f t="shared" si="25"/>
        <v>2595.3801406733869</v>
      </c>
      <c r="CS66" s="138">
        <f t="shared" si="26"/>
        <v>56280.527125116787</v>
      </c>
    </row>
    <row r="67" spans="1:97" x14ac:dyDescent="0.2">
      <c r="A67" s="114">
        <v>42522</v>
      </c>
      <c r="B67">
        <f t="shared" si="27"/>
        <v>2016</v>
      </c>
      <c r="C67">
        <f t="shared" si="28"/>
        <v>6</v>
      </c>
      <c r="D67" s="102">
        <v>29990486.101204813</v>
      </c>
      <c r="E67" s="131">
        <f>VLOOKUP($B67,'Historic CDM'!$L$5:$R$17,2,FALSE)/12</f>
        <v>503439.62575630058</v>
      </c>
      <c r="F67" s="131">
        <f t="shared" ref="F67:F129" si="86">D67+E67</f>
        <v>30493925.726961114</v>
      </c>
      <c r="G67" s="102">
        <v>7343347.5469879536</v>
      </c>
      <c r="H67" s="131">
        <f>VLOOKUP($B67,'Historic CDM'!$L$5:$R$17,3,FALSE)/12</f>
        <v>331866.97414415696</v>
      </c>
      <c r="I67" s="131">
        <f t="shared" ref="I67:I129" si="87">G67+H67</f>
        <v>7675214.5211321106</v>
      </c>
      <c r="J67" s="102">
        <v>16837420.39518071</v>
      </c>
      <c r="K67" s="131">
        <f>VLOOKUP($B67,'Historic CDM'!$L$5:$R$17,4,FALSE)/12</f>
        <v>657746.90431909065</v>
      </c>
      <c r="L67" s="131">
        <f t="shared" ref="L67:L129" si="88">J67+K67</f>
        <v>17495167.299499799</v>
      </c>
      <c r="M67" s="102">
        <v>9991017.1066014413</v>
      </c>
      <c r="N67" s="131">
        <f>VLOOKUP($B67,'Historic CDM'!$L$5:$R$17,5,FALSE)/12</f>
        <v>199259.22590218965</v>
      </c>
      <c r="O67" s="131">
        <f t="shared" si="66"/>
        <v>10190276.332503632</v>
      </c>
      <c r="P67" s="102">
        <v>11576075.382932166</v>
      </c>
      <c r="Q67" s="131">
        <f>VLOOKUP($B67,'Historic CDM'!$L$5:$R$17,6,FALSE)/12</f>
        <v>739889.48034361785</v>
      </c>
      <c r="R67" s="131">
        <f t="shared" si="67"/>
        <v>12315964.863275783</v>
      </c>
      <c r="S67" s="102">
        <v>91931.624096385553</v>
      </c>
      <c r="T67" s="102">
        <v>11992.764705882342</v>
      </c>
      <c r="U67" s="102">
        <v>465405.36867469875</v>
      </c>
      <c r="V67" s="102">
        <v>49739.94000000001</v>
      </c>
      <c r="W67" s="102">
        <v>21879.14</v>
      </c>
      <c r="X67" s="102">
        <v>21767.59</v>
      </c>
      <c r="Y67" s="102">
        <v>1809.66</v>
      </c>
      <c r="Z67" s="102">
        <v>34.225916412988333</v>
      </c>
      <c r="AA67" s="41">
        <v>33555</v>
      </c>
      <c r="AB67" s="41">
        <v>2602</v>
      </c>
      <c r="AC67" s="41">
        <v>299</v>
      </c>
      <c r="AD67" s="41">
        <v>13</v>
      </c>
      <c r="AE67" s="41">
        <v>3</v>
      </c>
      <c r="AF67" s="41">
        <f>AF66+1</f>
        <v>3165</v>
      </c>
      <c r="AG67" s="41">
        <v>246.7647058823527</v>
      </c>
      <c r="AH67" s="41">
        <v>222</v>
      </c>
      <c r="AI67" s="104">
        <f>Weather!C175</f>
        <v>19.983333333333334</v>
      </c>
      <c r="AJ67" s="104">
        <f>Weather!D175</f>
        <v>81.69999999999996</v>
      </c>
      <c r="AK67" s="104">
        <f>Weather!E175</f>
        <v>21.200000000000003</v>
      </c>
      <c r="AL67" s="104">
        <f>Weather!F175</f>
        <v>45</v>
      </c>
      <c r="AM67" s="104">
        <f>Weather!G175</f>
        <v>44.5</v>
      </c>
      <c r="AN67" s="104">
        <f>Weather!H175</f>
        <v>24.200000000000003</v>
      </c>
      <c r="AO67" s="104">
        <f>Weather!I175</f>
        <v>83.700000000000017</v>
      </c>
      <c r="AP67" s="104">
        <f>Weather!J175</f>
        <v>9.1999999999999993</v>
      </c>
      <c r="AQ67" s="104">
        <f>Weather!K175</f>
        <v>128.70000000000002</v>
      </c>
      <c r="AR67" s="104">
        <f>Weather!L175</f>
        <v>3.0999999999999996</v>
      </c>
      <c r="AS67" s="104">
        <f>Weather!M175</f>
        <v>182.6</v>
      </c>
      <c r="AT67" s="104">
        <f>Weather!N175</f>
        <v>1.0999999999999996</v>
      </c>
      <c r="AU67" s="104">
        <f>Weather!O175</f>
        <v>240.59999999999997</v>
      </c>
      <c r="AV67" s="104">
        <f>Weather!P175</f>
        <v>0</v>
      </c>
      <c r="AW67" s="104">
        <f>Weather!Q175</f>
        <v>299.5</v>
      </c>
      <c r="AX67" s="104">
        <f>Weather!R175</f>
        <v>0</v>
      </c>
      <c r="AY67" s="104">
        <f>Weather!S175</f>
        <v>359.5</v>
      </c>
      <c r="AZ67" s="119">
        <f>Economic!C67</f>
        <v>692620.80000000005</v>
      </c>
      <c r="BA67" s="120">
        <f>Economic!D67</f>
        <v>6923.9</v>
      </c>
      <c r="BB67" s="120">
        <f>Economic!E67</f>
        <v>6966.5</v>
      </c>
      <c r="BC67" s="120">
        <f>Economic!F67</f>
        <v>3155.8</v>
      </c>
      <c r="BD67" s="120">
        <f>Economic!G67</f>
        <v>3176.5</v>
      </c>
      <c r="BE67" s="120">
        <f>Economic!H67</f>
        <v>374.1</v>
      </c>
      <c r="BF67" s="120">
        <f>Economic!I67</f>
        <v>375.9</v>
      </c>
      <c r="BG67" s="123">
        <f t="shared" si="81"/>
        <v>30</v>
      </c>
      <c r="BH67" s="123">
        <v>21</v>
      </c>
      <c r="BI67" s="123">
        <f t="shared" si="41"/>
        <v>66</v>
      </c>
      <c r="BJ67" s="123">
        <f t="shared" ref="BJ67:BX67" si="89">BJ55</f>
        <v>0</v>
      </c>
      <c r="BK67" s="123">
        <f t="shared" si="89"/>
        <v>0</v>
      </c>
      <c r="BL67" s="123">
        <f t="shared" si="89"/>
        <v>0</v>
      </c>
      <c r="BM67" s="123">
        <f t="shared" si="89"/>
        <v>0</v>
      </c>
      <c r="BN67" s="123">
        <f t="shared" si="89"/>
        <v>0</v>
      </c>
      <c r="BO67" s="123">
        <f t="shared" si="89"/>
        <v>1</v>
      </c>
      <c r="BP67" s="123">
        <f t="shared" si="89"/>
        <v>0</v>
      </c>
      <c r="BQ67" s="123">
        <f t="shared" si="89"/>
        <v>0</v>
      </c>
      <c r="BR67" s="123">
        <f t="shared" si="89"/>
        <v>0</v>
      </c>
      <c r="BS67" s="123">
        <f t="shared" si="89"/>
        <v>0</v>
      </c>
      <c r="BT67" s="123">
        <f t="shared" si="89"/>
        <v>0</v>
      </c>
      <c r="BU67" s="123">
        <f t="shared" si="89"/>
        <v>0</v>
      </c>
      <c r="BV67" s="123">
        <f t="shared" si="89"/>
        <v>0</v>
      </c>
      <c r="BW67" s="123">
        <f t="shared" si="89"/>
        <v>0</v>
      </c>
      <c r="BX67" s="123">
        <f t="shared" si="89"/>
        <v>0</v>
      </c>
      <c r="BY67" s="124">
        <v>0</v>
      </c>
      <c r="BZ67" s="124">
        <v>0</v>
      </c>
      <c r="CA67" s="124">
        <f t="shared" ref="CA67:CA129" si="90">$BY67*AJ67</f>
        <v>0</v>
      </c>
      <c r="CB67" s="124">
        <f t="shared" ref="CB67:CB129" si="91">$BY67*AK67</f>
        <v>0</v>
      </c>
      <c r="CC67" s="124">
        <f t="shared" ref="CC67:CC129" si="92">$BY67*AL67</f>
        <v>0</v>
      </c>
      <c r="CD67" s="124">
        <f t="shared" ref="CD67:CD129" si="93">$BY67*AM67</f>
        <v>0</v>
      </c>
      <c r="CE67" s="124">
        <f t="shared" ref="CE67:CE129" si="94">$BY67*AN67</f>
        <v>0</v>
      </c>
      <c r="CF67" s="124">
        <f t="shared" ref="CF67:CF129" si="95">$BY67*AO67</f>
        <v>0</v>
      </c>
      <c r="CG67" s="124">
        <f t="shared" ref="CG67:CG129" si="96">$BY67*AP67</f>
        <v>0</v>
      </c>
      <c r="CH67" s="124">
        <f t="shared" ref="CH67:CH129" si="97">$BY67*AQ67</f>
        <v>0</v>
      </c>
      <c r="CI67" s="124">
        <f t="shared" ref="CI67:CI129" si="98">$BY67*AR67</f>
        <v>0</v>
      </c>
      <c r="CJ67" s="124">
        <f t="shared" ref="CJ67:CJ129" si="99">$BY67*AS67</f>
        <v>0</v>
      </c>
      <c r="CK67" s="124">
        <f t="shared" ref="CK67:CK129" si="100">$BY67*AT67</f>
        <v>0</v>
      </c>
      <c r="CL67" s="124">
        <f t="shared" ref="CL67:CL129" si="101">$BY67*AU67</f>
        <v>0</v>
      </c>
      <c r="CM67" s="124">
        <f t="shared" ref="CM67:CM129" si="102">$BY67*AV67</f>
        <v>0</v>
      </c>
      <c r="CN67" s="124">
        <f t="shared" ref="CN67:CN129" si="103">$BY67*AW67</f>
        <v>0</v>
      </c>
      <c r="CO67" s="124">
        <f t="shared" ref="CO67:CO129" si="104">$BY67*AX67</f>
        <v>0</v>
      </c>
      <c r="CP67" s="124">
        <f t="shared" ref="CP67:CP129" si="105">$BY67*AY67</f>
        <v>0</v>
      </c>
      <c r="CQ67" s="138">
        <f t="shared" ref="CQ67:CQ126" si="106">F67/AA67</f>
        <v>908.77442190317731</v>
      </c>
      <c r="CR67" s="138">
        <f t="shared" ref="CR67:CR126" si="107">I67/AB67</f>
        <v>2949.7365569300964</v>
      </c>
      <c r="CS67" s="138">
        <f t="shared" ref="CS67:CS126" si="108">L67/AC67</f>
        <v>58512.265215718391</v>
      </c>
    </row>
    <row r="68" spans="1:97" x14ac:dyDescent="0.2">
      <c r="A68" s="115">
        <v>42552</v>
      </c>
      <c r="B68">
        <f t="shared" si="27"/>
        <v>2016</v>
      </c>
      <c r="C68">
        <f t="shared" si="28"/>
        <v>7</v>
      </c>
      <c r="D68" s="102">
        <v>35728630.342168637</v>
      </c>
      <c r="E68" s="131">
        <f>VLOOKUP($B68,'Historic CDM'!$L$5:$R$17,2,FALSE)/12</f>
        <v>503439.62575630058</v>
      </c>
      <c r="F68" s="131">
        <f t="shared" si="86"/>
        <v>36232069.967924938</v>
      </c>
      <c r="G68" s="102">
        <v>7871478.3710843381</v>
      </c>
      <c r="H68" s="131">
        <f>VLOOKUP($B68,'Historic CDM'!$L$5:$R$17,3,FALSE)/12</f>
        <v>331866.97414415696</v>
      </c>
      <c r="I68" s="131">
        <f t="shared" si="87"/>
        <v>8203345.3452284951</v>
      </c>
      <c r="J68" s="102">
        <v>17715629.291566268</v>
      </c>
      <c r="K68" s="131">
        <f>VLOOKUP($B68,'Historic CDM'!$L$5:$R$17,4,FALSE)/12</f>
        <v>657746.90431909065</v>
      </c>
      <c r="L68" s="131">
        <f t="shared" si="88"/>
        <v>18373376.195885357</v>
      </c>
      <c r="M68" s="102">
        <v>10868710.330798661</v>
      </c>
      <c r="N68" s="131">
        <f>VLOOKUP($B68,'Historic CDM'!$L$5:$R$17,5,FALSE)/12</f>
        <v>199259.22590218965</v>
      </c>
      <c r="O68" s="131">
        <f t="shared" si="66"/>
        <v>11067969.556700852</v>
      </c>
      <c r="P68" s="102">
        <v>11153556.107022081</v>
      </c>
      <c r="Q68" s="131">
        <f>VLOOKUP($B68,'Historic CDM'!$L$5:$R$17,6,FALSE)/12</f>
        <v>739889.48034361785</v>
      </c>
      <c r="R68" s="131">
        <f t="shared" si="67"/>
        <v>11893445.587365698</v>
      </c>
      <c r="S68" s="102">
        <v>91421.26265060241</v>
      </c>
      <c r="T68" s="102">
        <v>11981.329411764695</v>
      </c>
      <c r="U68" s="102">
        <v>499595.35421686742</v>
      </c>
      <c r="V68" s="102">
        <v>48866.79</v>
      </c>
      <c r="W68" s="102">
        <v>22798.48</v>
      </c>
      <c r="X68" s="102">
        <v>22139.119999999999</v>
      </c>
      <c r="Y68" s="102">
        <v>1809.66</v>
      </c>
      <c r="Z68" s="102">
        <v>34.185445205479454</v>
      </c>
      <c r="AA68" s="41">
        <v>33585</v>
      </c>
      <c r="AB68" s="41">
        <v>2606</v>
      </c>
      <c r="AC68" s="41">
        <v>300</v>
      </c>
      <c r="AD68" s="41">
        <v>13</v>
      </c>
      <c r="AE68" s="41">
        <v>3</v>
      </c>
      <c r="AF68" s="41">
        <f>AF67</f>
        <v>3165</v>
      </c>
      <c r="AG68" s="41">
        <v>246.52941176470563</v>
      </c>
      <c r="AH68" s="41">
        <v>222</v>
      </c>
      <c r="AI68" s="104">
        <f>Weather!C176</f>
        <v>23.70645161290323</v>
      </c>
      <c r="AJ68" s="104">
        <f>Weather!D176</f>
        <v>16.199999999999996</v>
      </c>
      <c r="AK68" s="104">
        <f>Weather!E176</f>
        <v>69.099999999999994</v>
      </c>
      <c r="AL68" s="104">
        <f>Weather!F176</f>
        <v>3.8999999999999986</v>
      </c>
      <c r="AM68" s="104">
        <f>Weather!G176</f>
        <v>118.80000000000001</v>
      </c>
      <c r="AN68" s="104">
        <f>Weather!H176</f>
        <v>0</v>
      </c>
      <c r="AO68" s="104">
        <f>Weather!I176</f>
        <v>176.90000000000003</v>
      </c>
      <c r="AP68" s="104">
        <f>Weather!J176</f>
        <v>0</v>
      </c>
      <c r="AQ68" s="104">
        <f>Weather!K176</f>
        <v>238.9</v>
      </c>
      <c r="AR68" s="104">
        <f>Weather!L176</f>
        <v>0</v>
      </c>
      <c r="AS68" s="104">
        <f>Weather!M176</f>
        <v>300.89999999999998</v>
      </c>
      <c r="AT68" s="104">
        <f>Weather!N176</f>
        <v>0</v>
      </c>
      <c r="AU68" s="104">
        <f>Weather!O176</f>
        <v>362.9</v>
      </c>
      <c r="AV68" s="104">
        <f>Weather!P176</f>
        <v>0</v>
      </c>
      <c r="AW68" s="104">
        <f>Weather!Q176</f>
        <v>424.90000000000003</v>
      </c>
      <c r="AX68" s="104">
        <f>Weather!R176</f>
        <v>0</v>
      </c>
      <c r="AY68" s="104">
        <f>Weather!S176</f>
        <v>486.90000000000003</v>
      </c>
      <c r="AZ68" s="119">
        <f>Economic!C68</f>
        <v>692620.80000000005</v>
      </c>
      <c r="BA68" s="120">
        <f>Economic!D68</f>
        <v>6918.7</v>
      </c>
      <c r="BB68" s="120">
        <f>Economic!E68</f>
        <v>7011.7</v>
      </c>
      <c r="BC68" s="120">
        <f>Economic!F68</f>
        <v>3152.3</v>
      </c>
      <c r="BD68" s="120">
        <f>Economic!G68</f>
        <v>3189.4</v>
      </c>
      <c r="BE68" s="120">
        <f>Economic!H68</f>
        <v>370.9</v>
      </c>
      <c r="BF68" s="120">
        <f>Economic!I68</f>
        <v>373.5</v>
      </c>
      <c r="BG68" s="123">
        <f t="shared" si="81"/>
        <v>31</v>
      </c>
      <c r="BH68" s="123">
        <v>22</v>
      </c>
      <c r="BI68" s="123">
        <f t="shared" si="41"/>
        <v>67</v>
      </c>
      <c r="BJ68" s="123">
        <f t="shared" ref="BJ68:BX68" si="109">BJ56</f>
        <v>0</v>
      </c>
      <c r="BK68" s="123">
        <f t="shared" si="109"/>
        <v>0</v>
      </c>
      <c r="BL68" s="123">
        <f t="shared" si="109"/>
        <v>0</v>
      </c>
      <c r="BM68" s="123">
        <f t="shared" si="109"/>
        <v>0</v>
      </c>
      <c r="BN68" s="123">
        <f t="shared" si="109"/>
        <v>0</v>
      </c>
      <c r="BO68" s="123">
        <f t="shared" si="109"/>
        <v>0</v>
      </c>
      <c r="BP68" s="123">
        <f t="shared" si="109"/>
        <v>1</v>
      </c>
      <c r="BQ68" s="123">
        <f t="shared" si="109"/>
        <v>0</v>
      </c>
      <c r="BR68" s="123">
        <f t="shared" si="109"/>
        <v>0</v>
      </c>
      <c r="BS68" s="123">
        <f t="shared" si="109"/>
        <v>0</v>
      </c>
      <c r="BT68" s="123">
        <f t="shared" si="109"/>
        <v>0</v>
      </c>
      <c r="BU68" s="123">
        <f t="shared" si="109"/>
        <v>0</v>
      </c>
      <c r="BV68" s="123">
        <f t="shared" si="109"/>
        <v>0</v>
      </c>
      <c r="BW68" s="123">
        <f t="shared" si="109"/>
        <v>0</v>
      </c>
      <c r="BX68" s="123">
        <f t="shared" si="109"/>
        <v>0</v>
      </c>
      <c r="BY68" s="124">
        <v>0</v>
      </c>
      <c r="BZ68" s="124">
        <v>0</v>
      </c>
      <c r="CA68" s="124">
        <f t="shared" si="90"/>
        <v>0</v>
      </c>
      <c r="CB68" s="124">
        <f t="shared" si="91"/>
        <v>0</v>
      </c>
      <c r="CC68" s="124">
        <f t="shared" si="92"/>
        <v>0</v>
      </c>
      <c r="CD68" s="124">
        <f t="shared" si="93"/>
        <v>0</v>
      </c>
      <c r="CE68" s="124">
        <f t="shared" si="94"/>
        <v>0</v>
      </c>
      <c r="CF68" s="124">
        <f t="shared" si="95"/>
        <v>0</v>
      </c>
      <c r="CG68" s="124">
        <f t="shared" si="96"/>
        <v>0</v>
      </c>
      <c r="CH68" s="124">
        <f t="shared" si="97"/>
        <v>0</v>
      </c>
      <c r="CI68" s="124">
        <f t="shared" si="98"/>
        <v>0</v>
      </c>
      <c r="CJ68" s="124">
        <f t="shared" si="99"/>
        <v>0</v>
      </c>
      <c r="CK68" s="124">
        <f t="shared" si="100"/>
        <v>0</v>
      </c>
      <c r="CL68" s="124">
        <f t="shared" si="101"/>
        <v>0</v>
      </c>
      <c r="CM68" s="124">
        <f t="shared" si="102"/>
        <v>0</v>
      </c>
      <c r="CN68" s="124">
        <f t="shared" si="103"/>
        <v>0</v>
      </c>
      <c r="CO68" s="124">
        <f t="shared" si="104"/>
        <v>0</v>
      </c>
      <c r="CP68" s="124">
        <f t="shared" si="105"/>
        <v>0</v>
      </c>
      <c r="CQ68" s="138">
        <f t="shared" si="106"/>
        <v>1078.8170304577918</v>
      </c>
      <c r="CR68" s="138">
        <f t="shared" si="107"/>
        <v>3147.8685131344955</v>
      </c>
      <c r="CS68" s="138">
        <f t="shared" si="108"/>
        <v>61244.587319617858</v>
      </c>
    </row>
    <row r="69" spans="1:97" x14ac:dyDescent="0.2">
      <c r="A69" s="114">
        <v>42583</v>
      </c>
      <c r="B69">
        <f t="shared" si="27"/>
        <v>2016</v>
      </c>
      <c r="C69">
        <f t="shared" si="28"/>
        <v>8</v>
      </c>
      <c r="D69" s="102">
        <v>36163152.231325291</v>
      </c>
      <c r="E69" s="131">
        <f>VLOOKUP($B69,'Historic CDM'!$L$5:$R$17,2,FALSE)/12</f>
        <v>503439.62575630058</v>
      </c>
      <c r="F69" s="131">
        <f t="shared" si="86"/>
        <v>36666591.857081592</v>
      </c>
      <c r="G69" s="102">
        <v>7755227.0457831379</v>
      </c>
      <c r="H69" s="131">
        <f>VLOOKUP($B69,'Historic CDM'!$L$5:$R$17,3,FALSE)/12</f>
        <v>331866.97414415696</v>
      </c>
      <c r="I69" s="131">
        <f t="shared" si="87"/>
        <v>8087094.0199272949</v>
      </c>
      <c r="J69" s="102">
        <v>18536229.59036145</v>
      </c>
      <c r="K69" s="131">
        <f>VLOOKUP($B69,'Historic CDM'!$L$5:$R$17,4,FALSE)/12</f>
        <v>657746.90431909065</v>
      </c>
      <c r="L69" s="131">
        <f t="shared" si="88"/>
        <v>19193976.494680539</v>
      </c>
      <c r="M69" s="102">
        <v>11385651.649149997</v>
      </c>
      <c r="N69" s="131">
        <f>VLOOKUP($B69,'Historic CDM'!$L$5:$R$17,5,FALSE)/12</f>
        <v>199259.22590218965</v>
      </c>
      <c r="O69" s="131">
        <f t="shared" si="66"/>
        <v>11584910.875052188</v>
      </c>
      <c r="P69" s="102">
        <v>12513957.738213645</v>
      </c>
      <c r="Q69" s="131">
        <f>VLOOKUP($B69,'Historic CDM'!$L$5:$R$17,6,FALSE)/12</f>
        <v>739889.48034361785</v>
      </c>
      <c r="R69" s="131">
        <f t="shared" si="67"/>
        <v>13253847.218557263</v>
      </c>
      <c r="S69" s="102">
        <v>91421.26265060241</v>
      </c>
      <c r="T69" s="102">
        <v>11969.894117647045</v>
      </c>
      <c r="U69" s="102">
        <v>564962.95903614443</v>
      </c>
      <c r="V69" s="102">
        <v>50234.37999999999</v>
      </c>
      <c r="W69" s="102">
        <v>23156.54</v>
      </c>
      <c r="X69" s="102">
        <v>22164.48</v>
      </c>
      <c r="Y69" s="102">
        <v>1809.66</v>
      </c>
      <c r="Z69" s="102">
        <v>34.144973997970574</v>
      </c>
      <c r="AA69" s="41">
        <v>33654</v>
      </c>
      <c r="AB69" s="41">
        <v>2607</v>
      </c>
      <c r="AC69" s="41">
        <v>301</v>
      </c>
      <c r="AD69" s="41">
        <v>14</v>
      </c>
      <c r="AE69" s="41">
        <v>3</v>
      </c>
      <c r="AF69" s="126">
        <f>AF68</f>
        <v>3165</v>
      </c>
      <c r="AG69" s="41">
        <v>246.29411764705856</v>
      </c>
      <c r="AH69" s="41">
        <v>222</v>
      </c>
      <c r="AI69" s="104">
        <f>Weather!C177</f>
        <v>24.303225806451611</v>
      </c>
      <c r="AJ69" s="104">
        <f>Weather!D177</f>
        <v>4.1000000000000014</v>
      </c>
      <c r="AK69" s="104">
        <f>Weather!E177</f>
        <v>75.500000000000028</v>
      </c>
      <c r="AL69" s="104">
        <f>Weather!F177</f>
        <v>1.1000000000000014</v>
      </c>
      <c r="AM69" s="104">
        <f>Weather!G177</f>
        <v>134.5</v>
      </c>
      <c r="AN69" s="104">
        <f>Weather!H177</f>
        <v>0</v>
      </c>
      <c r="AO69" s="104">
        <f>Weather!I177</f>
        <v>195.40000000000003</v>
      </c>
      <c r="AP69" s="104">
        <f>Weather!J177</f>
        <v>0</v>
      </c>
      <c r="AQ69" s="104">
        <f>Weather!K177</f>
        <v>257.40000000000003</v>
      </c>
      <c r="AR69" s="104">
        <f>Weather!L177</f>
        <v>0</v>
      </c>
      <c r="AS69" s="104">
        <f>Weather!M177</f>
        <v>319.40000000000003</v>
      </c>
      <c r="AT69" s="104">
        <f>Weather!N177</f>
        <v>0</v>
      </c>
      <c r="AU69" s="104">
        <f>Weather!O177</f>
        <v>381.40000000000009</v>
      </c>
      <c r="AV69" s="104">
        <f>Weather!P177</f>
        <v>0</v>
      </c>
      <c r="AW69" s="104">
        <f>Weather!Q177</f>
        <v>443.40000000000009</v>
      </c>
      <c r="AX69" s="104">
        <f>Weather!R177</f>
        <v>0</v>
      </c>
      <c r="AY69" s="104">
        <f>Weather!S177</f>
        <v>505.40000000000009</v>
      </c>
      <c r="AZ69" s="119">
        <f>Economic!C69</f>
        <v>692620.80000000005</v>
      </c>
      <c r="BA69" s="120">
        <f>Economic!D69</f>
        <v>6916.3</v>
      </c>
      <c r="BB69" s="120">
        <f>Economic!E69</f>
        <v>7009.1</v>
      </c>
      <c r="BC69" s="120">
        <f>Economic!F69</f>
        <v>3149.1</v>
      </c>
      <c r="BD69" s="120">
        <f>Economic!G69</f>
        <v>3188.3</v>
      </c>
      <c r="BE69" s="120">
        <f>Economic!H69</f>
        <v>371.2</v>
      </c>
      <c r="BF69" s="120">
        <f>Economic!I69</f>
        <v>372.3</v>
      </c>
      <c r="BG69" s="123">
        <f t="shared" si="81"/>
        <v>31</v>
      </c>
      <c r="BH69" s="123">
        <v>20</v>
      </c>
      <c r="BI69" s="123">
        <f t="shared" si="41"/>
        <v>68</v>
      </c>
      <c r="BJ69" s="123">
        <f t="shared" ref="BJ69:BX69" si="110">BJ57</f>
        <v>0</v>
      </c>
      <c r="BK69" s="123">
        <f t="shared" si="110"/>
        <v>0</v>
      </c>
      <c r="BL69" s="123">
        <f t="shared" si="110"/>
        <v>0</v>
      </c>
      <c r="BM69" s="123">
        <f t="shared" si="110"/>
        <v>0</v>
      </c>
      <c r="BN69" s="123">
        <f t="shared" si="110"/>
        <v>0</v>
      </c>
      <c r="BO69" s="123">
        <f t="shared" si="110"/>
        <v>0</v>
      </c>
      <c r="BP69" s="123">
        <f t="shared" si="110"/>
        <v>0</v>
      </c>
      <c r="BQ69" s="123">
        <f t="shared" si="110"/>
        <v>1</v>
      </c>
      <c r="BR69" s="123">
        <f t="shared" si="110"/>
        <v>0</v>
      </c>
      <c r="BS69" s="123">
        <f t="shared" si="110"/>
        <v>0</v>
      </c>
      <c r="BT69" s="123">
        <f t="shared" si="110"/>
        <v>0</v>
      </c>
      <c r="BU69" s="123">
        <f t="shared" si="110"/>
        <v>0</v>
      </c>
      <c r="BV69" s="123">
        <f t="shared" si="110"/>
        <v>0</v>
      </c>
      <c r="BW69" s="123">
        <f t="shared" si="110"/>
        <v>0</v>
      </c>
      <c r="BX69" s="123">
        <f t="shared" si="110"/>
        <v>0</v>
      </c>
      <c r="BY69" s="124">
        <v>0</v>
      </c>
      <c r="BZ69" s="124">
        <v>0</v>
      </c>
      <c r="CA69" s="124">
        <f t="shared" si="90"/>
        <v>0</v>
      </c>
      <c r="CB69" s="124">
        <f t="shared" si="91"/>
        <v>0</v>
      </c>
      <c r="CC69" s="124">
        <f t="shared" si="92"/>
        <v>0</v>
      </c>
      <c r="CD69" s="124">
        <f t="shared" si="93"/>
        <v>0</v>
      </c>
      <c r="CE69" s="124">
        <f t="shared" si="94"/>
        <v>0</v>
      </c>
      <c r="CF69" s="124">
        <f t="shared" si="95"/>
        <v>0</v>
      </c>
      <c r="CG69" s="124">
        <f t="shared" si="96"/>
        <v>0</v>
      </c>
      <c r="CH69" s="124">
        <f t="shared" si="97"/>
        <v>0</v>
      </c>
      <c r="CI69" s="124">
        <f t="shared" si="98"/>
        <v>0</v>
      </c>
      <c r="CJ69" s="124">
        <f t="shared" si="99"/>
        <v>0</v>
      </c>
      <c r="CK69" s="124">
        <f t="shared" si="100"/>
        <v>0</v>
      </c>
      <c r="CL69" s="124">
        <f t="shared" si="101"/>
        <v>0</v>
      </c>
      <c r="CM69" s="124">
        <f t="shared" si="102"/>
        <v>0</v>
      </c>
      <c r="CN69" s="124">
        <f t="shared" si="103"/>
        <v>0</v>
      </c>
      <c r="CO69" s="124">
        <f t="shared" si="104"/>
        <v>0</v>
      </c>
      <c r="CP69" s="124">
        <f t="shared" si="105"/>
        <v>0</v>
      </c>
      <c r="CQ69" s="138">
        <f t="shared" si="106"/>
        <v>1089.5166059630828</v>
      </c>
      <c r="CR69" s="138">
        <f t="shared" si="107"/>
        <v>3102.0690525229361</v>
      </c>
      <c r="CS69" s="138">
        <f t="shared" si="108"/>
        <v>63767.363769702788</v>
      </c>
    </row>
    <row r="70" spans="1:97" x14ac:dyDescent="0.2">
      <c r="A70" s="115">
        <v>42614</v>
      </c>
      <c r="B70">
        <f t="shared" si="27"/>
        <v>2016</v>
      </c>
      <c r="C70">
        <f t="shared" si="28"/>
        <v>9</v>
      </c>
      <c r="D70" s="102">
        <v>26948392.906024113</v>
      </c>
      <c r="E70" s="131">
        <f>VLOOKUP($B70,'Historic CDM'!$L$5:$R$17,2,FALSE)/12</f>
        <v>503439.62575630058</v>
      </c>
      <c r="F70" s="131">
        <f t="shared" si="86"/>
        <v>27451832.531780414</v>
      </c>
      <c r="G70" s="102">
        <v>7032991.7686746987</v>
      </c>
      <c r="H70" s="131">
        <f>VLOOKUP($B70,'Historic CDM'!$L$5:$R$17,3,FALSE)/12</f>
        <v>331866.97414415696</v>
      </c>
      <c r="I70" s="131">
        <f t="shared" si="87"/>
        <v>7364858.7428188557</v>
      </c>
      <c r="J70" s="102">
        <v>17232312.954216857</v>
      </c>
      <c r="K70" s="131">
        <f>VLOOKUP($B70,'Historic CDM'!$L$5:$R$17,4,FALSE)/12</f>
        <v>657746.90431909065</v>
      </c>
      <c r="L70" s="131">
        <f t="shared" si="88"/>
        <v>17890059.858535945</v>
      </c>
      <c r="M70" s="102">
        <v>10350374.930982707</v>
      </c>
      <c r="N70" s="131">
        <f>VLOOKUP($B70,'Historic CDM'!$L$5:$R$17,5,FALSE)/12</f>
        <v>199259.22590218965</v>
      </c>
      <c r="O70" s="131">
        <f t="shared" si="66"/>
        <v>10549634.156884898</v>
      </c>
      <c r="P70" s="102">
        <v>12334044.42013129</v>
      </c>
      <c r="Q70" s="131">
        <f>VLOOKUP($B70,'Historic CDM'!$L$5:$R$17,6,FALSE)/12</f>
        <v>739889.48034361785</v>
      </c>
      <c r="R70" s="131">
        <f t="shared" si="67"/>
        <v>13073933.900474908</v>
      </c>
      <c r="S70" s="102">
        <v>91536.125301204811</v>
      </c>
      <c r="T70" s="102">
        <v>11958.458823529398</v>
      </c>
      <c r="U70" s="102">
        <v>618169.02168674697</v>
      </c>
      <c r="V70" s="102">
        <v>51343.059999999983</v>
      </c>
      <c r="W70" s="102">
        <v>22511.670000000002</v>
      </c>
      <c r="X70" s="102">
        <v>21761.97</v>
      </c>
      <c r="Y70" s="102">
        <v>1804.87</v>
      </c>
      <c r="Z70" s="102">
        <v>34.104502790461694</v>
      </c>
      <c r="AA70" s="41">
        <v>33716</v>
      </c>
      <c r="AB70" s="41">
        <v>2608</v>
      </c>
      <c r="AC70" s="41">
        <v>300</v>
      </c>
      <c r="AD70" s="41">
        <v>14</v>
      </c>
      <c r="AE70" s="41">
        <v>3</v>
      </c>
      <c r="AF70" s="41">
        <f>AF69+1</f>
        <v>3166</v>
      </c>
      <c r="AG70" s="41">
        <v>246.05882352941148</v>
      </c>
      <c r="AH70" s="41">
        <v>222</v>
      </c>
      <c r="AI70" s="104">
        <f>Weather!C178</f>
        <v>19.45</v>
      </c>
      <c r="AJ70" s="104">
        <f>Weather!D178</f>
        <v>94.699999999999989</v>
      </c>
      <c r="AK70" s="104">
        <f>Weather!E178</f>
        <v>18.2</v>
      </c>
      <c r="AL70" s="104">
        <f>Weather!F178</f>
        <v>56.2</v>
      </c>
      <c r="AM70" s="104">
        <f>Weather!G178</f>
        <v>39.700000000000003</v>
      </c>
      <c r="AN70" s="104">
        <f>Weather!H178</f>
        <v>25.900000000000002</v>
      </c>
      <c r="AO70" s="104">
        <f>Weather!I178</f>
        <v>69.40000000000002</v>
      </c>
      <c r="AP70" s="104">
        <f>Weather!J178</f>
        <v>8.3999999999999986</v>
      </c>
      <c r="AQ70" s="104">
        <f>Weather!K178</f>
        <v>111.89999999999999</v>
      </c>
      <c r="AR70" s="104">
        <f>Weather!L178</f>
        <v>1.2999999999999989</v>
      </c>
      <c r="AS70" s="104">
        <f>Weather!M178</f>
        <v>164.79999999999998</v>
      </c>
      <c r="AT70" s="104">
        <f>Weather!N178</f>
        <v>0</v>
      </c>
      <c r="AU70" s="104">
        <f>Weather!O178</f>
        <v>223.5</v>
      </c>
      <c r="AV70" s="104">
        <f>Weather!P178</f>
        <v>0</v>
      </c>
      <c r="AW70" s="104">
        <f>Weather!Q178</f>
        <v>283.49999999999994</v>
      </c>
      <c r="AX70" s="104">
        <f>Weather!R178</f>
        <v>0</v>
      </c>
      <c r="AY70" s="104">
        <f>Weather!S178</f>
        <v>343.49999999999989</v>
      </c>
      <c r="AZ70" s="119">
        <f>Economic!C70</f>
        <v>692620.80000000005</v>
      </c>
      <c r="BA70" s="120">
        <f>Economic!D70</f>
        <v>6914.1</v>
      </c>
      <c r="BB70" s="120">
        <f>Economic!E70</f>
        <v>6963.5</v>
      </c>
      <c r="BC70" s="120">
        <f>Economic!F70</f>
        <v>3140.2</v>
      </c>
      <c r="BD70" s="120">
        <f>Economic!G70</f>
        <v>3160.4</v>
      </c>
      <c r="BE70" s="120">
        <f>Economic!H70</f>
        <v>373.9</v>
      </c>
      <c r="BF70" s="120">
        <f>Economic!I70</f>
        <v>373.6</v>
      </c>
      <c r="BG70" s="123">
        <f t="shared" si="81"/>
        <v>30</v>
      </c>
      <c r="BH70" s="123">
        <v>21</v>
      </c>
      <c r="BI70" s="123">
        <f t="shared" si="41"/>
        <v>69</v>
      </c>
      <c r="BJ70" s="123">
        <f t="shared" ref="BJ70:BX70" si="111">BJ58</f>
        <v>0</v>
      </c>
      <c r="BK70" s="123">
        <f t="shared" si="111"/>
        <v>0</v>
      </c>
      <c r="BL70" s="123">
        <f t="shared" si="111"/>
        <v>0</v>
      </c>
      <c r="BM70" s="123">
        <f t="shared" si="111"/>
        <v>0</v>
      </c>
      <c r="BN70" s="123">
        <f t="shared" si="111"/>
        <v>0</v>
      </c>
      <c r="BO70" s="123">
        <f t="shared" si="111"/>
        <v>0</v>
      </c>
      <c r="BP70" s="123">
        <f t="shared" si="111"/>
        <v>0</v>
      </c>
      <c r="BQ70" s="123">
        <f t="shared" si="111"/>
        <v>0</v>
      </c>
      <c r="BR70" s="123">
        <f t="shared" si="111"/>
        <v>1</v>
      </c>
      <c r="BS70" s="123">
        <f t="shared" si="111"/>
        <v>0</v>
      </c>
      <c r="BT70" s="123">
        <f t="shared" si="111"/>
        <v>0</v>
      </c>
      <c r="BU70" s="123">
        <f t="shared" si="111"/>
        <v>0</v>
      </c>
      <c r="BV70" s="123">
        <f t="shared" si="111"/>
        <v>0</v>
      </c>
      <c r="BW70" s="123">
        <f t="shared" si="111"/>
        <v>1</v>
      </c>
      <c r="BX70" s="123">
        <f t="shared" si="111"/>
        <v>1</v>
      </c>
      <c r="BY70" s="124">
        <v>0</v>
      </c>
      <c r="BZ70" s="124">
        <v>0</v>
      </c>
      <c r="CA70" s="124">
        <f t="shared" si="90"/>
        <v>0</v>
      </c>
      <c r="CB70" s="124">
        <f t="shared" si="91"/>
        <v>0</v>
      </c>
      <c r="CC70" s="124">
        <f t="shared" si="92"/>
        <v>0</v>
      </c>
      <c r="CD70" s="124">
        <f t="shared" si="93"/>
        <v>0</v>
      </c>
      <c r="CE70" s="124">
        <f t="shared" si="94"/>
        <v>0</v>
      </c>
      <c r="CF70" s="124">
        <f t="shared" si="95"/>
        <v>0</v>
      </c>
      <c r="CG70" s="124">
        <f t="shared" si="96"/>
        <v>0</v>
      </c>
      <c r="CH70" s="124">
        <f t="shared" si="97"/>
        <v>0</v>
      </c>
      <c r="CI70" s="124">
        <f t="shared" si="98"/>
        <v>0</v>
      </c>
      <c r="CJ70" s="124">
        <f t="shared" si="99"/>
        <v>0</v>
      </c>
      <c r="CK70" s="124">
        <f t="shared" si="100"/>
        <v>0</v>
      </c>
      <c r="CL70" s="124">
        <f t="shared" si="101"/>
        <v>0</v>
      </c>
      <c r="CM70" s="124">
        <f t="shared" si="102"/>
        <v>0</v>
      </c>
      <c r="CN70" s="124">
        <f t="shared" si="103"/>
        <v>0</v>
      </c>
      <c r="CO70" s="124">
        <f t="shared" si="104"/>
        <v>0</v>
      </c>
      <c r="CP70" s="124">
        <f t="shared" si="105"/>
        <v>0</v>
      </c>
      <c r="CQ70" s="138">
        <f t="shared" si="106"/>
        <v>814.20786961028637</v>
      </c>
      <c r="CR70" s="138">
        <f t="shared" si="107"/>
        <v>2823.9489044550828</v>
      </c>
      <c r="CS70" s="138">
        <f t="shared" si="108"/>
        <v>59633.532861786487</v>
      </c>
    </row>
    <row r="71" spans="1:97" x14ac:dyDescent="0.2">
      <c r="A71" s="114">
        <v>42644</v>
      </c>
      <c r="B71">
        <f t="shared" si="27"/>
        <v>2016</v>
      </c>
      <c r="C71">
        <f t="shared" si="28"/>
        <v>10</v>
      </c>
      <c r="D71" s="102">
        <v>19412813.638554234</v>
      </c>
      <c r="E71" s="131">
        <f>VLOOKUP($B71,'Historic CDM'!$L$5:$R$17,2,FALSE)/12</f>
        <v>503439.62575630058</v>
      </c>
      <c r="F71" s="131">
        <f t="shared" si="86"/>
        <v>19916253.264310535</v>
      </c>
      <c r="G71" s="102">
        <v>6150053.96626506</v>
      </c>
      <c r="H71" s="131">
        <f>VLOOKUP($B71,'Historic CDM'!$L$5:$R$17,3,FALSE)/12</f>
        <v>331866.97414415696</v>
      </c>
      <c r="I71" s="131">
        <f t="shared" si="87"/>
        <v>6481920.940409217</v>
      </c>
      <c r="J71" s="102">
        <v>16281343.142168675</v>
      </c>
      <c r="K71" s="131">
        <f>VLOOKUP($B71,'Historic CDM'!$L$5:$R$17,4,FALSE)/12</f>
        <v>657746.90431909065</v>
      </c>
      <c r="L71" s="131">
        <f t="shared" si="88"/>
        <v>16939090.046487764</v>
      </c>
      <c r="M71" s="102">
        <v>9940541.2311715968</v>
      </c>
      <c r="N71" s="131">
        <f>VLOOKUP($B71,'Historic CDM'!$L$5:$R$17,5,FALSE)/12</f>
        <v>199259.22590218965</v>
      </c>
      <c r="O71" s="131">
        <f t="shared" si="66"/>
        <v>10139800.457073787</v>
      </c>
      <c r="P71" s="102">
        <v>12414909.548438432</v>
      </c>
      <c r="Q71" s="131">
        <f>VLOOKUP($B71,'Historic CDM'!$L$5:$R$17,6,FALSE)/12</f>
        <v>739889.48034361785</v>
      </c>
      <c r="R71" s="131">
        <f t="shared" si="67"/>
        <v>13154799.028782049</v>
      </c>
      <c r="S71" s="102">
        <v>91536.057831325292</v>
      </c>
      <c r="T71" s="102">
        <v>11947.02352941175</v>
      </c>
      <c r="U71" s="102">
        <v>727484.73253012029</v>
      </c>
      <c r="V71" s="102">
        <v>46264.100000000013</v>
      </c>
      <c r="W71" s="102">
        <v>23098.68</v>
      </c>
      <c r="X71" s="102">
        <v>21497.55</v>
      </c>
      <c r="Y71" s="102">
        <v>1805.17</v>
      </c>
      <c r="Z71" s="102">
        <v>34.064031582952815</v>
      </c>
      <c r="AA71" s="41">
        <v>33751</v>
      </c>
      <c r="AB71" s="41">
        <v>2614</v>
      </c>
      <c r="AC71" s="41">
        <v>302</v>
      </c>
      <c r="AD71" s="41">
        <v>14</v>
      </c>
      <c r="AE71" s="41">
        <v>3</v>
      </c>
      <c r="AF71" s="41">
        <f>AF70+1</f>
        <v>3167</v>
      </c>
      <c r="AG71" s="41">
        <v>245.82352941176441</v>
      </c>
      <c r="AH71" s="41">
        <v>222</v>
      </c>
      <c r="AI71" s="104">
        <f>Weather!C179</f>
        <v>11.867741935483874</v>
      </c>
      <c r="AJ71" s="104">
        <f>Weather!D179</f>
        <v>314.10000000000002</v>
      </c>
      <c r="AK71" s="104">
        <f>Weather!E179</f>
        <v>0</v>
      </c>
      <c r="AL71" s="104">
        <f>Weather!F179</f>
        <v>252.10000000000002</v>
      </c>
      <c r="AM71" s="104">
        <f>Weather!G179</f>
        <v>0</v>
      </c>
      <c r="AN71" s="104">
        <f>Weather!H179</f>
        <v>194.20000000000002</v>
      </c>
      <c r="AO71" s="104">
        <f>Weather!I179</f>
        <v>4.1000000000000014</v>
      </c>
      <c r="AP71" s="104">
        <f>Weather!J179</f>
        <v>144.70000000000002</v>
      </c>
      <c r="AQ71" s="104">
        <f>Weather!K179</f>
        <v>16.600000000000005</v>
      </c>
      <c r="AR71" s="104">
        <f>Weather!L179</f>
        <v>105.89999999999999</v>
      </c>
      <c r="AS71" s="104">
        <f>Weather!M179</f>
        <v>39.800000000000004</v>
      </c>
      <c r="AT71" s="104">
        <f>Weather!N179</f>
        <v>73.400000000000006</v>
      </c>
      <c r="AU71" s="104">
        <f>Weather!O179</f>
        <v>69.3</v>
      </c>
      <c r="AV71" s="104">
        <f>Weather!P179</f>
        <v>45.400000000000006</v>
      </c>
      <c r="AW71" s="104">
        <f>Weather!Q179</f>
        <v>103.29999999999998</v>
      </c>
      <c r="AX71" s="104">
        <f>Weather!R179</f>
        <v>22.700000000000003</v>
      </c>
      <c r="AY71" s="104">
        <f>Weather!S179</f>
        <v>142.59999999999997</v>
      </c>
      <c r="AZ71" s="119">
        <f>Economic!C71</f>
        <v>692620.80000000005</v>
      </c>
      <c r="BA71" s="120">
        <f>Economic!D71</f>
        <v>6929.7</v>
      </c>
      <c r="BB71" s="120">
        <f>Economic!E71</f>
        <v>6956.2</v>
      </c>
      <c r="BC71" s="120">
        <f>Economic!F71</f>
        <v>3134.2</v>
      </c>
      <c r="BD71" s="120">
        <f>Economic!G71</f>
        <v>3139</v>
      </c>
      <c r="BE71" s="120">
        <f>Economic!H71</f>
        <v>377.3</v>
      </c>
      <c r="BF71" s="120">
        <f>Economic!I71</f>
        <v>376.3</v>
      </c>
      <c r="BG71" s="123">
        <f t="shared" si="81"/>
        <v>31</v>
      </c>
      <c r="BH71" s="123">
        <v>22</v>
      </c>
      <c r="BI71" s="123">
        <f t="shared" si="41"/>
        <v>70</v>
      </c>
      <c r="BJ71" s="123">
        <f t="shared" ref="BJ71:BX71" si="112">BJ59</f>
        <v>0</v>
      </c>
      <c r="BK71" s="123">
        <f t="shared" si="112"/>
        <v>0</v>
      </c>
      <c r="BL71" s="123">
        <f t="shared" si="112"/>
        <v>0</v>
      </c>
      <c r="BM71" s="123">
        <f t="shared" si="112"/>
        <v>0</v>
      </c>
      <c r="BN71" s="123">
        <f t="shared" si="112"/>
        <v>0</v>
      </c>
      <c r="BO71" s="123">
        <f t="shared" si="112"/>
        <v>0</v>
      </c>
      <c r="BP71" s="123">
        <f t="shared" si="112"/>
        <v>0</v>
      </c>
      <c r="BQ71" s="123">
        <f t="shared" si="112"/>
        <v>0</v>
      </c>
      <c r="BR71" s="123">
        <f t="shared" si="112"/>
        <v>0</v>
      </c>
      <c r="BS71" s="123">
        <f t="shared" si="112"/>
        <v>1</v>
      </c>
      <c r="BT71" s="123">
        <f t="shared" si="112"/>
        <v>0</v>
      </c>
      <c r="BU71" s="123">
        <f t="shared" si="112"/>
        <v>0</v>
      </c>
      <c r="BV71" s="123">
        <f t="shared" si="112"/>
        <v>0</v>
      </c>
      <c r="BW71" s="123">
        <f t="shared" si="112"/>
        <v>1</v>
      </c>
      <c r="BX71" s="123">
        <f t="shared" si="112"/>
        <v>1</v>
      </c>
      <c r="BY71" s="124">
        <v>0</v>
      </c>
      <c r="BZ71" s="124">
        <v>0</v>
      </c>
      <c r="CA71" s="124">
        <f t="shared" si="90"/>
        <v>0</v>
      </c>
      <c r="CB71" s="124">
        <f t="shared" si="91"/>
        <v>0</v>
      </c>
      <c r="CC71" s="124">
        <f t="shared" si="92"/>
        <v>0</v>
      </c>
      <c r="CD71" s="124">
        <f t="shared" si="93"/>
        <v>0</v>
      </c>
      <c r="CE71" s="124">
        <f t="shared" si="94"/>
        <v>0</v>
      </c>
      <c r="CF71" s="124">
        <f t="shared" si="95"/>
        <v>0</v>
      </c>
      <c r="CG71" s="124">
        <f t="shared" si="96"/>
        <v>0</v>
      </c>
      <c r="CH71" s="124">
        <f t="shared" si="97"/>
        <v>0</v>
      </c>
      <c r="CI71" s="124">
        <f t="shared" si="98"/>
        <v>0</v>
      </c>
      <c r="CJ71" s="124">
        <f t="shared" si="99"/>
        <v>0</v>
      </c>
      <c r="CK71" s="124">
        <f t="shared" si="100"/>
        <v>0</v>
      </c>
      <c r="CL71" s="124">
        <f t="shared" si="101"/>
        <v>0</v>
      </c>
      <c r="CM71" s="124">
        <f t="shared" si="102"/>
        <v>0</v>
      </c>
      <c r="CN71" s="124">
        <f t="shared" si="103"/>
        <v>0</v>
      </c>
      <c r="CO71" s="124">
        <f t="shared" si="104"/>
        <v>0</v>
      </c>
      <c r="CP71" s="124">
        <f t="shared" si="105"/>
        <v>0</v>
      </c>
      <c r="CQ71" s="138">
        <f t="shared" si="106"/>
        <v>590.09372357294706</v>
      </c>
      <c r="CR71" s="138">
        <f t="shared" si="107"/>
        <v>2479.6943153822558</v>
      </c>
      <c r="CS71" s="138">
        <f t="shared" si="108"/>
        <v>56089.702140687958</v>
      </c>
    </row>
    <row r="72" spans="1:97" x14ac:dyDescent="0.2">
      <c r="A72" s="115">
        <v>42675</v>
      </c>
      <c r="B72">
        <f t="shared" si="27"/>
        <v>2016</v>
      </c>
      <c r="C72">
        <f t="shared" si="28"/>
        <v>11</v>
      </c>
      <c r="D72" s="102">
        <v>19369741.908433728</v>
      </c>
      <c r="E72" s="131">
        <f>VLOOKUP($B72,'Historic CDM'!$L$5:$R$17,2,FALSE)/12</f>
        <v>503439.62575630058</v>
      </c>
      <c r="F72" s="131">
        <f t="shared" si="86"/>
        <v>19873181.534190029</v>
      </c>
      <c r="G72" s="102">
        <v>6266723.7204819247</v>
      </c>
      <c r="H72" s="131">
        <f>VLOOKUP($B72,'Historic CDM'!$L$5:$R$17,3,FALSE)/12</f>
        <v>331866.97414415696</v>
      </c>
      <c r="I72" s="131">
        <f t="shared" si="87"/>
        <v>6598590.6946260817</v>
      </c>
      <c r="J72" s="102">
        <v>16390339.113253012</v>
      </c>
      <c r="K72" s="131">
        <f>VLOOKUP($B72,'Historic CDM'!$L$5:$R$17,4,FALSE)/12</f>
        <v>657746.90431909065</v>
      </c>
      <c r="L72" s="131">
        <f t="shared" si="88"/>
        <v>17048086.017572101</v>
      </c>
      <c r="M72" s="102">
        <v>9616468.1745532043</v>
      </c>
      <c r="N72" s="131">
        <f>VLOOKUP($B72,'Historic CDM'!$L$5:$R$17,5,FALSE)/12</f>
        <v>199259.22590218965</v>
      </c>
      <c r="O72" s="131">
        <f t="shared" si="66"/>
        <v>9815727.4004553948</v>
      </c>
      <c r="P72" s="102">
        <v>11985122.836681917</v>
      </c>
      <c r="Q72" s="131">
        <f>VLOOKUP($B72,'Historic CDM'!$L$5:$R$17,6,FALSE)/12</f>
        <v>739889.48034361785</v>
      </c>
      <c r="R72" s="131">
        <f t="shared" si="67"/>
        <v>12725012.317025535</v>
      </c>
      <c r="S72" s="102">
        <v>91536.096385542158</v>
      </c>
      <c r="T72" s="102">
        <v>11935.588235294103</v>
      </c>
      <c r="U72" s="102">
        <v>776706.00481927698</v>
      </c>
      <c r="V72" s="102">
        <v>44434.039999999979</v>
      </c>
      <c r="W72" s="102">
        <v>24357.66</v>
      </c>
      <c r="X72" s="102">
        <v>21651.68</v>
      </c>
      <c r="Y72" s="102">
        <v>1806.29</v>
      </c>
      <c r="Z72" s="102">
        <v>34.023560375443935</v>
      </c>
      <c r="AA72" s="41">
        <v>33815</v>
      </c>
      <c r="AB72" s="41">
        <v>2621</v>
      </c>
      <c r="AC72" s="41">
        <v>303</v>
      </c>
      <c r="AD72" s="41">
        <v>14</v>
      </c>
      <c r="AE72" s="41">
        <v>3</v>
      </c>
      <c r="AF72" s="41">
        <f>AF71+5</f>
        <v>3172</v>
      </c>
      <c r="AG72" s="41">
        <v>245.58823529411734</v>
      </c>
      <c r="AH72" s="41">
        <v>222</v>
      </c>
      <c r="AI72" s="104">
        <f>Weather!C180</f>
        <v>6.7400000000000029</v>
      </c>
      <c r="AJ72" s="104">
        <f>Weather!D180</f>
        <v>457.80000000000018</v>
      </c>
      <c r="AK72" s="104">
        <f>Weather!E180</f>
        <v>0</v>
      </c>
      <c r="AL72" s="104">
        <f>Weather!F180</f>
        <v>397.80000000000013</v>
      </c>
      <c r="AM72" s="104">
        <f>Weather!G180</f>
        <v>0</v>
      </c>
      <c r="AN72" s="104">
        <f>Weather!H180</f>
        <v>337.80000000000007</v>
      </c>
      <c r="AO72" s="104">
        <f>Weather!I180</f>
        <v>0</v>
      </c>
      <c r="AP72" s="104">
        <f>Weather!J180</f>
        <v>277.79999999999995</v>
      </c>
      <c r="AQ72" s="104">
        <f>Weather!K180</f>
        <v>0</v>
      </c>
      <c r="AR72" s="104">
        <f>Weather!L180</f>
        <v>218.89999999999995</v>
      </c>
      <c r="AS72" s="104">
        <f>Weather!M180</f>
        <v>1.0999999999999996</v>
      </c>
      <c r="AT72" s="104">
        <f>Weather!N180</f>
        <v>160.89999999999995</v>
      </c>
      <c r="AU72" s="104">
        <f>Weather!O180</f>
        <v>3.0999999999999996</v>
      </c>
      <c r="AV72" s="104">
        <f>Weather!P180</f>
        <v>108.59999999999997</v>
      </c>
      <c r="AW72" s="104">
        <f>Weather!Q180</f>
        <v>10.8</v>
      </c>
      <c r="AX72" s="104">
        <f>Weather!R180</f>
        <v>66</v>
      </c>
      <c r="AY72" s="104">
        <f>Weather!S180</f>
        <v>28.199999999999996</v>
      </c>
      <c r="AZ72" s="119">
        <f>Economic!C72</f>
        <v>692620.80000000005</v>
      </c>
      <c r="BA72" s="120">
        <f>Economic!D72</f>
        <v>6939.8</v>
      </c>
      <c r="BB72" s="120">
        <f>Economic!E72</f>
        <v>6946.2</v>
      </c>
      <c r="BC72" s="120">
        <f>Economic!F72</f>
        <v>3130.5</v>
      </c>
      <c r="BD72" s="120">
        <f>Economic!G72</f>
        <v>3122.9</v>
      </c>
      <c r="BE72" s="120">
        <f>Economic!H72</f>
        <v>382.8</v>
      </c>
      <c r="BF72" s="120">
        <f>Economic!I72</f>
        <v>383.1</v>
      </c>
      <c r="BG72" s="123">
        <f t="shared" si="81"/>
        <v>30</v>
      </c>
      <c r="BH72" s="123">
        <v>19</v>
      </c>
      <c r="BI72" s="123">
        <f t="shared" si="41"/>
        <v>71</v>
      </c>
      <c r="BJ72" s="123">
        <f t="shared" ref="BJ72:BX72" si="113">BJ60</f>
        <v>0</v>
      </c>
      <c r="BK72" s="123">
        <f t="shared" si="113"/>
        <v>0</v>
      </c>
      <c r="BL72" s="123">
        <f t="shared" si="113"/>
        <v>0</v>
      </c>
      <c r="BM72" s="123">
        <f t="shared" si="113"/>
        <v>0</v>
      </c>
      <c r="BN72" s="123">
        <f t="shared" si="113"/>
        <v>0</v>
      </c>
      <c r="BO72" s="123">
        <f t="shared" si="113"/>
        <v>0</v>
      </c>
      <c r="BP72" s="123">
        <f t="shared" si="113"/>
        <v>0</v>
      </c>
      <c r="BQ72" s="123">
        <f t="shared" si="113"/>
        <v>0</v>
      </c>
      <c r="BR72" s="123">
        <f t="shared" si="113"/>
        <v>0</v>
      </c>
      <c r="BS72" s="123">
        <f t="shared" si="113"/>
        <v>0</v>
      </c>
      <c r="BT72" s="123">
        <f t="shared" si="113"/>
        <v>1</v>
      </c>
      <c r="BU72" s="123">
        <f t="shared" si="113"/>
        <v>0</v>
      </c>
      <c r="BV72" s="123">
        <f t="shared" si="113"/>
        <v>0</v>
      </c>
      <c r="BW72" s="123">
        <f t="shared" si="113"/>
        <v>1</v>
      </c>
      <c r="BX72" s="123">
        <f t="shared" si="113"/>
        <v>1</v>
      </c>
      <c r="BY72" s="124">
        <v>0</v>
      </c>
      <c r="BZ72" s="124">
        <v>0</v>
      </c>
      <c r="CA72" s="124">
        <f t="shared" si="90"/>
        <v>0</v>
      </c>
      <c r="CB72" s="124">
        <f t="shared" si="91"/>
        <v>0</v>
      </c>
      <c r="CC72" s="124">
        <f t="shared" si="92"/>
        <v>0</v>
      </c>
      <c r="CD72" s="124">
        <f t="shared" si="93"/>
        <v>0</v>
      </c>
      <c r="CE72" s="124">
        <f t="shared" si="94"/>
        <v>0</v>
      </c>
      <c r="CF72" s="124">
        <f t="shared" si="95"/>
        <v>0</v>
      </c>
      <c r="CG72" s="124">
        <f t="shared" si="96"/>
        <v>0</v>
      </c>
      <c r="CH72" s="124">
        <f t="shared" si="97"/>
        <v>0</v>
      </c>
      <c r="CI72" s="124">
        <f t="shared" si="98"/>
        <v>0</v>
      </c>
      <c r="CJ72" s="124">
        <f t="shared" si="99"/>
        <v>0</v>
      </c>
      <c r="CK72" s="124">
        <f t="shared" si="100"/>
        <v>0</v>
      </c>
      <c r="CL72" s="124">
        <f t="shared" si="101"/>
        <v>0</v>
      </c>
      <c r="CM72" s="124">
        <f t="shared" si="102"/>
        <v>0</v>
      </c>
      <c r="CN72" s="124">
        <f t="shared" si="103"/>
        <v>0</v>
      </c>
      <c r="CO72" s="124">
        <f t="shared" si="104"/>
        <v>0</v>
      </c>
      <c r="CP72" s="124">
        <f t="shared" si="105"/>
        <v>0</v>
      </c>
      <c r="CQ72" s="138">
        <f t="shared" si="106"/>
        <v>587.70313571462452</v>
      </c>
      <c r="CR72" s="138">
        <f t="shared" si="107"/>
        <v>2517.5851562861817</v>
      </c>
      <c r="CS72" s="138">
        <f t="shared" si="108"/>
        <v>56264.310289016837</v>
      </c>
    </row>
    <row r="73" spans="1:97" x14ac:dyDescent="0.2">
      <c r="A73" s="114">
        <v>42705</v>
      </c>
      <c r="B73">
        <f t="shared" si="27"/>
        <v>2016</v>
      </c>
      <c r="C73">
        <f t="shared" si="28"/>
        <v>12</v>
      </c>
      <c r="D73" s="102">
        <v>27474754.322891567</v>
      </c>
      <c r="E73" s="131">
        <f>VLOOKUP($B73,'Historic CDM'!$L$5:$R$17,2,FALSE)/12</f>
        <v>503439.62575630058</v>
      </c>
      <c r="F73" s="131">
        <f t="shared" si="86"/>
        <v>27978193.948647868</v>
      </c>
      <c r="G73" s="102">
        <v>8092166.8722891547</v>
      </c>
      <c r="H73" s="131">
        <f>VLOOKUP($B73,'Historic CDM'!$L$5:$R$17,3,FALSE)/12</f>
        <v>331866.97414415696</v>
      </c>
      <c r="I73" s="131">
        <f t="shared" si="87"/>
        <v>8424033.8464333117</v>
      </c>
      <c r="J73" s="102">
        <v>18004813.812048193</v>
      </c>
      <c r="K73" s="131">
        <f>VLOOKUP($B73,'Historic CDM'!$L$5:$R$17,4,FALSE)/12</f>
        <v>657746.90431909065</v>
      </c>
      <c r="L73" s="131">
        <f t="shared" si="88"/>
        <v>18662560.716367282</v>
      </c>
      <c r="M73" s="102">
        <v>10459737.114350751</v>
      </c>
      <c r="N73" s="131">
        <f>VLOOKUP($B73,'Historic CDM'!$L$5:$R$17,5,FALSE)/12</f>
        <v>199259.22590218965</v>
      </c>
      <c r="O73" s="131">
        <f t="shared" si="66"/>
        <v>10658996.340252941</v>
      </c>
      <c r="P73" s="102">
        <v>11284509.986075193</v>
      </c>
      <c r="Q73" s="131">
        <f>VLOOKUP($B73,'Historic CDM'!$L$5:$R$17,6,FALSE)/12</f>
        <v>739889.48034361785</v>
      </c>
      <c r="R73" s="131">
        <f t="shared" si="67"/>
        <v>12024399.46641881</v>
      </c>
      <c r="S73" s="102">
        <v>91536.057831325292</v>
      </c>
      <c r="T73" s="102">
        <v>11924.152941176455</v>
      </c>
      <c r="U73" s="102">
        <v>844004.3277108433</v>
      </c>
      <c r="V73" s="102">
        <v>45426.829999999987</v>
      </c>
      <c r="W73" s="102">
        <v>24031.739999999998</v>
      </c>
      <c r="X73" s="102">
        <v>22049.119999999999</v>
      </c>
      <c r="Y73" s="102">
        <v>1805.03</v>
      </c>
      <c r="Z73" s="102">
        <v>33.983089167935056</v>
      </c>
      <c r="AA73" s="41">
        <v>33857</v>
      </c>
      <c r="AB73" s="41">
        <v>2625</v>
      </c>
      <c r="AC73" s="41">
        <v>304</v>
      </c>
      <c r="AD73" s="41">
        <v>15</v>
      </c>
      <c r="AE73" s="41">
        <v>3</v>
      </c>
      <c r="AF73" s="41">
        <f>AF72+1</f>
        <v>3173</v>
      </c>
      <c r="AG73" s="41">
        <v>245.35294117647027</v>
      </c>
      <c r="AH73" s="41">
        <v>222</v>
      </c>
      <c r="AI73" s="104">
        <f>Weather!C181</f>
        <v>-1.6129032258064513</v>
      </c>
      <c r="AJ73" s="104">
        <f>Weather!D181</f>
        <v>732</v>
      </c>
      <c r="AK73" s="104">
        <f>Weather!E181</f>
        <v>0</v>
      </c>
      <c r="AL73" s="104">
        <f>Weather!F181</f>
        <v>669.99999999999989</v>
      </c>
      <c r="AM73" s="104">
        <f>Weather!G181</f>
        <v>0</v>
      </c>
      <c r="AN73" s="104">
        <f>Weather!H181</f>
        <v>607.99999999999989</v>
      </c>
      <c r="AO73" s="104">
        <f>Weather!I181</f>
        <v>0</v>
      </c>
      <c r="AP73" s="104">
        <f>Weather!J181</f>
        <v>545.99999999999989</v>
      </c>
      <c r="AQ73" s="104">
        <f>Weather!K181</f>
        <v>0</v>
      </c>
      <c r="AR73" s="104">
        <f>Weather!L181</f>
        <v>483.99999999999989</v>
      </c>
      <c r="AS73" s="104">
        <f>Weather!M181</f>
        <v>0</v>
      </c>
      <c r="AT73" s="104">
        <f>Weather!N181</f>
        <v>421.99999999999989</v>
      </c>
      <c r="AU73" s="104">
        <f>Weather!O181</f>
        <v>0</v>
      </c>
      <c r="AV73" s="104">
        <f>Weather!P181</f>
        <v>359.99999999999994</v>
      </c>
      <c r="AW73" s="104">
        <f>Weather!Q181</f>
        <v>0</v>
      </c>
      <c r="AX73" s="104">
        <f>Weather!R181</f>
        <v>298</v>
      </c>
      <c r="AY73" s="104">
        <f>Weather!S181</f>
        <v>0</v>
      </c>
      <c r="AZ73" s="119">
        <f>Economic!C73</f>
        <v>692620.80000000005</v>
      </c>
      <c r="BA73" s="120">
        <f>Economic!D73</f>
        <v>6952.3</v>
      </c>
      <c r="BB73" s="120">
        <f>Economic!E73</f>
        <v>6962</v>
      </c>
      <c r="BC73" s="120">
        <f>Economic!F73</f>
        <v>3127.9</v>
      </c>
      <c r="BD73" s="120">
        <f>Economic!G73</f>
        <v>3127.2</v>
      </c>
      <c r="BE73" s="120">
        <f>Economic!H73</f>
        <v>387.4</v>
      </c>
      <c r="BF73" s="120">
        <f>Economic!I73</f>
        <v>389.1</v>
      </c>
      <c r="BG73" s="123">
        <f t="shared" si="81"/>
        <v>31</v>
      </c>
      <c r="BH73" s="123">
        <v>21</v>
      </c>
      <c r="BI73" s="123">
        <f t="shared" si="41"/>
        <v>72</v>
      </c>
      <c r="BJ73" s="123">
        <f t="shared" ref="BJ73:BX73" si="114">BJ61</f>
        <v>0</v>
      </c>
      <c r="BK73" s="123">
        <f t="shared" si="114"/>
        <v>0</v>
      </c>
      <c r="BL73" s="123">
        <f t="shared" si="114"/>
        <v>0</v>
      </c>
      <c r="BM73" s="123">
        <f t="shared" si="114"/>
        <v>0</v>
      </c>
      <c r="BN73" s="123">
        <f t="shared" si="114"/>
        <v>0</v>
      </c>
      <c r="BO73" s="123">
        <f t="shared" si="114"/>
        <v>0</v>
      </c>
      <c r="BP73" s="123">
        <f t="shared" si="114"/>
        <v>0</v>
      </c>
      <c r="BQ73" s="123">
        <f t="shared" si="114"/>
        <v>0</v>
      </c>
      <c r="BR73" s="123">
        <f t="shared" si="114"/>
        <v>0</v>
      </c>
      <c r="BS73" s="123">
        <f t="shared" si="114"/>
        <v>0</v>
      </c>
      <c r="BT73" s="123">
        <f t="shared" si="114"/>
        <v>0</v>
      </c>
      <c r="BU73" s="123">
        <f t="shared" si="114"/>
        <v>1</v>
      </c>
      <c r="BV73" s="123">
        <f t="shared" si="114"/>
        <v>0</v>
      </c>
      <c r="BW73" s="123">
        <f t="shared" si="114"/>
        <v>0</v>
      </c>
      <c r="BX73" s="123">
        <f t="shared" si="114"/>
        <v>0</v>
      </c>
      <c r="BY73" s="124">
        <v>0</v>
      </c>
      <c r="BZ73" s="124">
        <v>0</v>
      </c>
      <c r="CA73" s="124">
        <f t="shared" si="90"/>
        <v>0</v>
      </c>
      <c r="CB73" s="124">
        <f t="shared" si="91"/>
        <v>0</v>
      </c>
      <c r="CC73" s="124">
        <f t="shared" si="92"/>
        <v>0</v>
      </c>
      <c r="CD73" s="124">
        <f t="shared" si="93"/>
        <v>0</v>
      </c>
      <c r="CE73" s="124">
        <f t="shared" si="94"/>
        <v>0</v>
      </c>
      <c r="CF73" s="124">
        <f t="shared" si="95"/>
        <v>0</v>
      </c>
      <c r="CG73" s="124">
        <f t="shared" si="96"/>
        <v>0</v>
      </c>
      <c r="CH73" s="124">
        <f t="shared" si="97"/>
        <v>0</v>
      </c>
      <c r="CI73" s="124">
        <f t="shared" si="98"/>
        <v>0</v>
      </c>
      <c r="CJ73" s="124">
        <f t="shared" si="99"/>
        <v>0</v>
      </c>
      <c r="CK73" s="124">
        <f t="shared" si="100"/>
        <v>0</v>
      </c>
      <c r="CL73" s="124">
        <f t="shared" si="101"/>
        <v>0</v>
      </c>
      <c r="CM73" s="124">
        <f t="shared" si="102"/>
        <v>0</v>
      </c>
      <c r="CN73" s="124">
        <f t="shared" si="103"/>
        <v>0</v>
      </c>
      <c r="CO73" s="124">
        <f t="shared" si="104"/>
        <v>0</v>
      </c>
      <c r="CP73" s="124">
        <f t="shared" si="105"/>
        <v>0</v>
      </c>
      <c r="CQ73" s="138">
        <f t="shared" si="106"/>
        <v>826.36364558726018</v>
      </c>
      <c r="CR73" s="138">
        <f t="shared" si="107"/>
        <v>3209.1557510222142</v>
      </c>
      <c r="CS73" s="138">
        <f t="shared" si="108"/>
        <v>61390.002356471319</v>
      </c>
    </row>
    <row r="74" spans="1:97" x14ac:dyDescent="0.2">
      <c r="A74" s="115">
        <v>42736</v>
      </c>
      <c r="B74">
        <f t="shared" si="27"/>
        <v>2017</v>
      </c>
      <c r="C74">
        <f t="shared" si="28"/>
        <v>1</v>
      </c>
      <c r="D74" s="102">
        <v>26135142.110843364</v>
      </c>
      <c r="E74" s="131">
        <f>VLOOKUP($B74,'Historic CDM'!$L$5:$R$17,2,FALSE)/12</f>
        <v>958479.98780037428</v>
      </c>
      <c r="F74" s="131">
        <f t="shared" si="86"/>
        <v>27093622.098643739</v>
      </c>
      <c r="G74" s="102">
        <v>8536456.1253012065</v>
      </c>
      <c r="H74" s="131">
        <f>VLOOKUP($B74,'Historic CDM'!$L$5:$R$17,3,FALSE)/12</f>
        <v>425326.81217228295</v>
      </c>
      <c r="I74" s="131">
        <f t="shared" si="87"/>
        <v>8961782.937473489</v>
      </c>
      <c r="J74" s="102">
        <v>18633488.665060241</v>
      </c>
      <c r="K74" s="131">
        <f>VLOOKUP($B74,'Historic CDM'!$L$5:$R$17,4,FALSE)/12</f>
        <v>1025745.4165349469</v>
      </c>
      <c r="L74" s="131">
        <f t="shared" si="88"/>
        <v>19659234.081595186</v>
      </c>
      <c r="M74" s="102">
        <v>10880252.840606382</v>
      </c>
      <c r="N74" s="131">
        <f>VLOOKUP($B74,'Historic CDM'!$L$5:$R$17,5,FALSE)/12</f>
        <v>277959.16128373757</v>
      </c>
      <c r="O74" s="131">
        <f t="shared" si="66"/>
        <v>11158212.001890119</v>
      </c>
      <c r="P74" s="102">
        <v>12083660.483389694</v>
      </c>
      <c r="Q74" s="131">
        <f>VLOOKUP($B74,'Historic CDM'!$L$5:$R$17,6,FALSE)/12</f>
        <v>738507.12566245033</v>
      </c>
      <c r="R74" s="131">
        <f t="shared" si="67"/>
        <v>12822167.609052144</v>
      </c>
      <c r="S74" s="102">
        <v>91536.028915662653</v>
      </c>
      <c r="T74" s="102">
        <v>11912.717647058807</v>
      </c>
      <c r="U74" s="102">
        <v>741052.76144578308</v>
      </c>
      <c r="V74" s="102">
        <v>45027.600000000042</v>
      </c>
      <c r="W74" s="102">
        <v>24078.420000000002</v>
      </c>
      <c r="X74" s="102">
        <v>21844.75</v>
      </c>
      <c r="Y74" s="102">
        <v>1820.43</v>
      </c>
      <c r="Z74" s="102">
        <v>33.942617960426176</v>
      </c>
      <c r="AA74" s="41">
        <v>33886</v>
      </c>
      <c r="AB74" s="41">
        <v>2632</v>
      </c>
      <c r="AC74" s="41">
        <v>304</v>
      </c>
      <c r="AD74" s="41">
        <v>15</v>
      </c>
      <c r="AE74" s="41">
        <v>3</v>
      </c>
      <c r="AF74" s="41">
        <f>AF73+5</f>
        <v>3178</v>
      </c>
      <c r="AG74" s="41">
        <v>245.1176470588232</v>
      </c>
      <c r="AH74" s="41">
        <v>214</v>
      </c>
      <c r="AI74" s="104">
        <f>Weather!C182</f>
        <v>-1.6419354838709674</v>
      </c>
      <c r="AJ74" s="104">
        <f>Weather!D182</f>
        <v>732.89999999999986</v>
      </c>
      <c r="AK74" s="104">
        <f>Weather!E182</f>
        <v>0</v>
      </c>
      <c r="AL74" s="104">
        <f>Weather!F182</f>
        <v>670.89999999999986</v>
      </c>
      <c r="AM74" s="104">
        <f>Weather!G182</f>
        <v>0</v>
      </c>
      <c r="AN74" s="104">
        <f>Weather!H182</f>
        <v>608.9</v>
      </c>
      <c r="AO74" s="104">
        <f>Weather!I182</f>
        <v>0</v>
      </c>
      <c r="AP74" s="104">
        <f>Weather!J182</f>
        <v>546.9</v>
      </c>
      <c r="AQ74" s="104">
        <f>Weather!K182</f>
        <v>0</v>
      </c>
      <c r="AR74" s="104">
        <f>Weather!L182</f>
        <v>484.9</v>
      </c>
      <c r="AS74" s="104">
        <f>Weather!M182</f>
        <v>0</v>
      </c>
      <c r="AT74" s="104">
        <f>Weather!N182</f>
        <v>422.9</v>
      </c>
      <c r="AU74" s="104">
        <f>Weather!O182</f>
        <v>0</v>
      </c>
      <c r="AV74" s="104">
        <f>Weather!P182</f>
        <v>360.90000000000003</v>
      </c>
      <c r="AW74" s="104">
        <f>Weather!Q182</f>
        <v>0</v>
      </c>
      <c r="AX74" s="104">
        <f>Weather!R182</f>
        <v>298.90000000000003</v>
      </c>
      <c r="AY74" s="104">
        <f>Weather!S182</f>
        <v>0</v>
      </c>
      <c r="AZ74" s="119">
        <f>Economic!C74</f>
        <v>711695.1</v>
      </c>
      <c r="BA74" s="120">
        <f>Economic!D74</f>
        <v>6971</v>
      </c>
      <c r="BB74" s="120">
        <f>Economic!E74</f>
        <v>6942.1</v>
      </c>
      <c r="BC74" s="120">
        <f>Economic!F74</f>
        <v>3136.5</v>
      </c>
      <c r="BD74" s="120">
        <f>Economic!G74</f>
        <v>3126.3</v>
      </c>
      <c r="BE74" s="120">
        <f>Economic!H74</f>
        <v>388.9</v>
      </c>
      <c r="BF74" s="120">
        <f>Economic!I74</f>
        <v>388.7</v>
      </c>
      <c r="BG74" s="123">
        <f t="shared" si="81"/>
        <v>31</v>
      </c>
      <c r="BH74" s="123">
        <v>21</v>
      </c>
      <c r="BI74" s="123">
        <f t="shared" si="41"/>
        <v>73</v>
      </c>
      <c r="BJ74" s="123">
        <f t="shared" ref="BJ74:BX74" si="115">BJ62</f>
        <v>1</v>
      </c>
      <c r="BK74" s="123">
        <f t="shared" si="115"/>
        <v>0</v>
      </c>
      <c r="BL74" s="123">
        <f t="shared" si="115"/>
        <v>0</v>
      </c>
      <c r="BM74" s="123">
        <f t="shared" si="115"/>
        <v>0</v>
      </c>
      <c r="BN74" s="123">
        <f t="shared" si="115"/>
        <v>0</v>
      </c>
      <c r="BO74" s="123">
        <f t="shared" si="115"/>
        <v>0</v>
      </c>
      <c r="BP74" s="123">
        <f t="shared" si="115"/>
        <v>0</v>
      </c>
      <c r="BQ74" s="123">
        <f t="shared" si="115"/>
        <v>0</v>
      </c>
      <c r="BR74" s="123">
        <f t="shared" si="115"/>
        <v>0</v>
      </c>
      <c r="BS74" s="123">
        <f t="shared" si="115"/>
        <v>0</v>
      </c>
      <c r="BT74" s="123">
        <f t="shared" si="115"/>
        <v>0</v>
      </c>
      <c r="BU74" s="123">
        <f t="shared" si="115"/>
        <v>0</v>
      </c>
      <c r="BV74" s="123">
        <f t="shared" si="115"/>
        <v>0</v>
      </c>
      <c r="BW74" s="123">
        <f t="shared" si="115"/>
        <v>0</v>
      </c>
      <c r="BX74" s="123">
        <f t="shared" si="115"/>
        <v>0</v>
      </c>
      <c r="BY74" s="124">
        <v>0</v>
      </c>
      <c r="BZ74" s="124">
        <v>0</v>
      </c>
      <c r="CA74" s="124">
        <f t="shared" si="90"/>
        <v>0</v>
      </c>
      <c r="CB74" s="124">
        <f t="shared" si="91"/>
        <v>0</v>
      </c>
      <c r="CC74" s="124">
        <f t="shared" si="92"/>
        <v>0</v>
      </c>
      <c r="CD74" s="124">
        <f t="shared" si="93"/>
        <v>0</v>
      </c>
      <c r="CE74" s="124">
        <f t="shared" si="94"/>
        <v>0</v>
      </c>
      <c r="CF74" s="124">
        <f t="shared" si="95"/>
        <v>0</v>
      </c>
      <c r="CG74" s="124">
        <f t="shared" si="96"/>
        <v>0</v>
      </c>
      <c r="CH74" s="124">
        <f t="shared" si="97"/>
        <v>0</v>
      </c>
      <c r="CI74" s="124">
        <f t="shared" si="98"/>
        <v>0</v>
      </c>
      <c r="CJ74" s="124">
        <f t="shared" si="99"/>
        <v>0</v>
      </c>
      <c r="CK74" s="124">
        <f t="shared" si="100"/>
        <v>0</v>
      </c>
      <c r="CL74" s="124">
        <f t="shared" si="101"/>
        <v>0</v>
      </c>
      <c r="CM74" s="124">
        <f t="shared" si="102"/>
        <v>0</v>
      </c>
      <c r="CN74" s="124">
        <f t="shared" si="103"/>
        <v>0</v>
      </c>
      <c r="CO74" s="124">
        <f t="shared" si="104"/>
        <v>0</v>
      </c>
      <c r="CP74" s="124">
        <f t="shared" si="105"/>
        <v>0</v>
      </c>
      <c r="CQ74" s="138">
        <f t="shared" si="106"/>
        <v>799.55208931841287</v>
      </c>
      <c r="CR74" s="138">
        <f t="shared" si="107"/>
        <v>3404.9327270036051</v>
      </c>
      <c r="CS74" s="138">
        <f t="shared" si="108"/>
        <v>64668.533163142063</v>
      </c>
    </row>
    <row r="75" spans="1:97" x14ac:dyDescent="0.2">
      <c r="A75" s="114">
        <v>42767</v>
      </c>
      <c r="B75">
        <f t="shared" ref="B75:B127" si="116">YEAR(A75)</f>
        <v>2017</v>
      </c>
      <c r="C75">
        <f t="shared" ref="C75:C133" si="117">MONTH(A75)</f>
        <v>2</v>
      </c>
      <c r="D75" s="102">
        <v>22110279.383132529</v>
      </c>
      <c r="E75" s="131">
        <f>VLOOKUP($B75,'Historic CDM'!$L$5:$R$17,2,FALSE)/12</f>
        <v>958479.98780037428</v>
      </c>
      <c r="F75" s="131">
        <f t="shared" si="86"/>
        <v>23068759.370932903</v>
      </c>
      <c r="G75" s="102">
        <v>7050356.7518072287</v>
      </c>
      <c r="H75" s="131">
        <f>VLOOKUP($B75,'Historic CDM'!$L$5:$R$17,3,FALSE)/12</f>
        <v>425326.81217228295</v>
      </c>
      <c r="I75" s="131">
        <f t="shared" si="87"/>
        <v>7475683.5639795121</v>
      </c>
      <c r="J75" s="102">
        <v>16411229.214457829</v>
      </c>
      <c r="K75" s="131">
        <f>VLOOKUP($B75,'Historic CDM'!$L$5:$R$17,4,FALSE)/12</f>
        <v>1025745.4165349469</v>
      </c>
      <c r="L75" s="131">
        <f t="shared" si="88"/>
        <v>17436974.630992774</v>
      </c>
      <c r="M75" s="102">
        <v>9281899.423645081</v>
      </c>
      <c r="N75" s="131">
        <f>VLOOKUP($B75,'Historic CDM'!$L$5:$R$17,5,FALSE)/12</f>
        <v>277959.16128373757</v>
      </c>
      <c r="O75" s="131">
        <f t="shared" si="66"/>
        <v>9559858.584928818</v>
      </c>
      <c r="P75" s="102">
        <v>11290262.373184802</v>
      </c>
      <c r="Q75" s="131">
        <f>VLOOKUP($B75,'Historic CDM'!$L$5:$R$17,6,FALSE)/12</f>
        <v>738507.12566245033</v>
      </c>
      <c r="R75" s="131">
        <f t="shared" si="67"/>
        <v>12028769.498847252</v>
      </c>
      <c r="S75" s="102">
        <v>91536.057831325292</v>
      </c>
      <c r="T75" s="102">
        <v>11901.28235294116</v>
      </c>
      <c r="U75" s="102">
        <v>695198.81445783132</v>
      </c>
      <c r="V75" s="102">
        <v>44324.939999999995</v>
      </c>
      <c r="W75" s="102">
        <v>22789.34</v>
      </c>
      <c r="X75" s="102">
        <v>21356</v>
      </c>
      <c r="Y75" s="102">
        <v>1827.86</v>
      </c>
      <c r="Z75" s="102">
        <v>33.902146752917297</v>
      </c>
      <c r="AA75" s="41">
        <v>33938</v>
      </c>
      <c r="AB75" s="41">
        <v>2632</v>
      </c>
      <c r="AC75" s="41">
        <v>306</v>
      </c>
      <c r="AD75" s="41">
        <v>15</v>
      </c>
      <c r="AE75" s="41">
        <v>3</v>
      </c>
      <c r="AF75" s="41">
        <f>AF74+31</f>
        <v>3209</v>
      </c>
      <c r="AG75" s="41">
        <v>244.88235294117612</v>
      </c>
      <c r="AH75" s="41">
        <v>214</v>
      </c>
      <c r="AI75" s="104">
        <f>Weather!C183</f>
        <v>-0.22857142857142865</v>
      </c>
      <c r="AJ75" s="104">
        <f>Weather!D183</f>
        <v>622.4</v>
      </c>
      <c r="AK75" s="104">
        <f>Weather!E183</f>
        <v>0</v>
      </c>
      <c r="AL75" s="104">
        <f>Weather!F183</f>
        <v>566.40000000000009</v>
      </c>
      <c r="AM75" s="104">
        <f>Weather!G183</f>
        <v>0</v>
      </c>
      <c r="AN75" s="104">
        <f>Weather!H183</f>
        <v>510.4</v>
      </c>
      <c r="AO75" s="104">
        <f>Weather!I183</f>
        <v>0</v>
      </c>
      <c r="AP75" s="104">
        <f>Weather!J183</f>
        <v>454.4</v>
      </c>
      <c r="AQ75" s="104">
        <f>Weather!K183</f>
        <v>0</v>
      </c>
      <c r="AR75" s="104">
        <f>Weather!L183</f>
        <v>398.4</v>
      </c>
      <c r="AS75" s="104">
        <f>Weather!M183</f>
        <v>0</v>
      </c>
      <c r="AT75" s="104">
        <f>Weather!N183</f>
        <v>342.4</v>
      </c>
      <c r="AU75" s="104">
        <f>Weather!O183</f>
        <v>0</v>
      </c>
      <c r="AV75" s="104">
        <f>Weather!P183</f>
        <v>287.3</v>
      </c>
      <c r="AW75" s="104">
        <f>Weather!Q183</f>
        <v>0.90000000000000036</v>
      </c>
      <c r="AX75" s="104">
        <f>Weather!R183</f>
        <v>233.29999999999998</v>
      </c>
      <c r="AY75" s="104">
        <f>Weather!S183</f>
        <v>2.9000000000000004</v>
      </c>
      <c r="AZ75" s="119">
        <f>Economic!C75</f>
        <v>711695.1</v>
      </c>
      <c r="BA75" s="120">
        <f>Economic!D75</f>
        <v>6987.8</v>
      </c>
      <c r="BB75" s="120">
        <f>Economic!E75</f>
        <v>6920.9</v>
      </c>
      <c r="BC75" s="120">
        <f>Economic!F75</f>
        <v>3152.5</v>
      </c>
      <c r="BD75" s="120">
        <f>Economic!G75</f>
        <v>3129.3</v>
      </c>
      <c r="BE75" s="120">
        <f>Economic!H75</f>
        <v>389.5</v>
      </c>
      <c r="BF75" s="120">
        <f>Economic!I75</f>
        <v>386.9</v>
      </c>
      <c r="BG75" s="123">
        <f t="shared" si="81"/>
        <v>28</v>
      </c>
      <c r="BH75" s="123">
        <v>19</v>
      </c>
      <c r="BI75" s="123">
        <f t="shared" si="41"/>
        <v>74</v>
      </c>
      <c r="BJ75" s="123">
        <f t="shared" ref="BJ75:BX75" si="118">BJ63</f>
        <v>0</v>
      </c>
      <c r="BK75" s="123">
        <f t="shared" si="118"/>
        <v>1</v>
      </c>
      <c r="BL75" s="123">
        <f t="shared" si="118"/>
        <v>0</v>
      </c>
      <c r="BM75" s="123">
        <f t="shared" si="118"/>
        <v>0</v>
      </c>
      <c r="BN75" s="123">
        <f t="shared" si="118"/>
        <v>0</v>
      </c>
      <c r="BO75" s="123">
        <f t="shared" si="118"/>
        <v>0</v>
      </c>
      <c r="BP75" s="123">
        <f t="shared" si="118"/>
        <v>0</v>
      </c>
      <c r="BQ75" s="123">
        <f t="shared" si="118"/>
        <v>0</v>
      </c>
      <c r="BR75" s="123">
        <f t="shared" si="118"/>
        <v>0</v>
      </c>
      <c r="BS75" s="123">
        <f t="shared" si="118"/>
        <v>0</v>
      </c>
      <c r="BT75" s="123">
        <f t="shared" si="118"/>
        <v>0</v>
      </c>
      <c r="BU75" s="123">
        <f t="shared" si="118"/>
        <v>0</v>
      </c>
      <c r="BV75" s="123">
        <f t="shared" si="118"/>
        <v>0</v>
      </c>
      <c r="BW75" s="123">
        <f t="shared" si="118"/>
        <v>0</v>
      </c>
      <c r="BX75" s="123">
        <f t="shared" si="118"/>
        <v>0</v>
      </c>
      <c r="BY75" s="124">
        <v>0</v>
      </c>
      <c r="BZ75" s="124">
        <v>0</v>
      </c>
      <c r="CA75" s="124">
        <f t="shared" si="90"/>
        <v>0</v>
      </c>
      <c r="CB75" s="124">
        <f t="shared" si="91"/>
        <v>0</v>
      </c>
      <c r="CC75" s="124">
        <f t="shared" si="92"/>
        <v>0</v>
      </c>
      <c r="CD75" s="124">
        <f t="shared" si="93"/>
        <v>0</v>
      </c>
      <c r="CE75" s="124">
        <f t="shared" si="94"/>
        <v>0</v>
      </c>
      <c r="CF75" s="124">
        <f t="shared" si="95"/>
        <v>0</v>
      </c>
      <c r="CG75" s="124">
        <f t="shared" si="96"/>
        <v>0</v>
      </c>
      <c r="CH75" s="124">
        <f t="shared" si="97"/>
        <v>0</v>
      </c>
      <c r="CI75" s="124">
        <f t="shared" si="98"/>
        <v>0</v>
      </c>
      <c r="CJ75" s="124">
        <f t="shared" si="99"/>
        <v>0</v>
      </c>
      <c r="CK75" s="124">
        <f t="shared" si="100"/>
        <v>0</v>
      </c>
      <c r="CL75" s="124">
        <f t="shared" si="101"/>
        <v>0</v>
      </c>
      <c r="CM75" s="124">
        <f t="shared" si="102"/>
        <v>0</v>
      </c>
      <c r="CN75" s="124">
        <f t="shared" si="103"/>
        <v>0</v>
      </c>
      <c r="CO75" s="124">
        <f t="shared" si="104"/>
        <v>0</v>
      </c>
      <c r="CP75" s="124">
        <f t="shared" si="105"/>
        <v>0</v>
      </c>
      <c r="CQ75" s="138">
        <f t="shared" si="106"/>
        <v>679.73243476141499</v>
      </c>
      <c r="CR75" s="138">
        <f t="shared" si="107"/>
        <v>2840.3053054633406</v>
      </c>
      <c r="CS75" s="138">
        <f t="shared" si="108"/>
        <v>56983.577225466579</v>
      </c>
    </row>
    <row r="76" spans="1:97" x14ac:dyDescent="0.2">
      <c r="A76" s="115">
        <v>42795</v>
      </c>
      <c r="B76">
        <f t="shared" si="116"/>
        <v>2017</v>
      </c>
      <c r="C76">
        <f t="shared" si="117"/>
        <v>3</v>
      </c>
      <c r="D76" s="102">
        <v>24430975.248192772</v>
      </c>
      <c r="E76" s="131">
        <f>VLOOKUP($B76,'Historic CDM'!$L$5:$R$17,2,FALSE)/12</f>
        <v>958479.98780037428</v>
      </c>
      <c r="F76" s="131">
        <f t="shared" si="86"/>
        <v>25389455.235993147</v>
      </c>
      <c r="G76" s="102">
        <v>7960777.1951807197</v>
      </c>
      <c r="H76" s="131">
        <f>VLOOKUP($B76,'Historic CDM'!$L$5:$R$17,3,FALSE)/12</f>
        <v>425326.81217228295</v>
      </c>
      <c r="I76" s="131">
        <f t="shared" si="87"/>
        <v>8386104.0073530022</v>
      </c>
      <c r="J76" s="102">
        <v>18608676.597590368</v>
      </c>
      <c r="K76" s="131">
        <f>VLOOKUP($B76,'Historic CDM'!$L$5:$R$17,4,FALSE)/12</f>
        <v>1025745.4165349469</v>
      </c>
      <c r="L76" s="131">
        <f t="shared" si="88"/>
        <v>19634422.014125314</v>
      </c>
      <c r="M76" s="102">
        <v>10404560.962851744</v>
      </c>
      <c r="N76" s="131">
        <f>VLOOKUP($B76,'Historic CDM'!$L$5:$R$17,5,FALSE)/12</f>
        <v>277959.16128373757</v>
      </c>
      <c r="O76" s="131">
        <f t="shared" si="66"/>
        <v>10682520.124135481</v>
      </c>
      <c r="P76" s="102">
        <v>13023048.597573105</v>
      </c>
      <c r="Q76" s="131">
        <f>VLOOKUP($B76,'Historic CDM'!$L$5:$R$17,6,FALSE)/12</f>
        <v>738507.12566245033</v>
      </c>
      <c r="R76" s="131">
        <f t="shared" si="67"/>
        <v>13761555.723235555</v>
      </c>
      <c r="S76" s="102">
        <v>91536.057831325292</v>
      </c>
      <c r="T76" s="102">
        <v>11889.847058823512</v>
      </c>
      <c r="U76" s="102">
        <v>684688.51084337349</v>
      </c>
      <c r="V76" s="102">
        <v>45485.3</v>
      </c>
      <c r="W76" s="102">
        <v>23532.68</v>
      </c>
      <c r="X76" s="102">
        <v>27350.32</v>
      </c>
      <c r="Y76" s="102">
        <v>1827.86</v>
      </c>
      <c r="Z76" s="102">
        <v>33.861675545408417</v>
      </c>
      <c r="AA76" s="41">
        <v>33998</v>
      </c>
      <c r="AB76" s="41">
        <v>2641</v>
      </c>
      <c r="AC76" s="41">
        <v>307</v>
      </c>
      <c r="AD76" s="41">
        <v>15</v>
      </c>
      <c r="AE76" s="41">
        <v>3</v>
      </c>
      <c r="AF76" s="41">
        <f>307+2653+249</f>
        <v>3209</v>
      </c>
      <c r="AG76" s="41">
        <v>244.64705882352905</v>
      </c>
      <c r="AH76" s="41">
        <v>214</v>
      </c>
      <c r="AI76" s="104">
        <f>Weather!C184</f>
        <v>-0.5161290322580645</v>
      </c>
      <c r="AJ76" s="104">
        <f>Weather!D184</f>
        <v>697.99999999999989</v>
      </c>
      <c r="AK76" s="104">
        <f>Weather!E184</f>
        <v>0</v>
      </c>
      <c r="AL76" s="104">
        <f>Weather!F184</f>
        <v>636</v>
      </c>
      <c r="AM76" s="104">
        <f>Weather!G184</f>
        <v>0</v>
      </c>
      <c r="AN76" s="104">
        <f>Weather!H184</f>
        <v>574</v>
      </c>
      <c r="AO76" s="104">
        <f>Weather!I184</f>
        <v>0</v>
      </c>
      <c r="AP76" s="104">
        <f>Weather!J184</f>
        <v>512</v>
      </c>
      <c r="AQ76" s="104">
        <f>Weather!K184</f>
        <v>0</v>
      </c>
      <c r="AR76" s="104">
        <f>Weather!L184</f>
        <v>450</v>
      </c>
      <c r="AS76" s="104">
        <f>Weather!M184</f>
        <v>0</v>
      </c>
      <c r="AT76" s="104">
        <f>Weather!N184</f>
        <v>388</v>
      </c>
      <c r="AU76" s="104">
        <f>Weather!O184</f>
        <v>0</v>
      </c>
      <c r="AV76" s="104">
        <f>Weather!P184</f>
        <v>327.10000000000002</v>
      </c>
      <c r="AW76" s="104">
        <f>Weather!Q184</f>
        <v>1.0999999999999996</v>
      </c>
      <c r="AX76" s="104">
        <f>Weather!R184</f>
        <v>268.29999999999995</v>
      </c>
      <c r="AY76" s="104">
        <f>Weather!S184</f>
        <v>4.2999999999999989</v>
      </c>
      <c r="AZ76" s="119">
        <f>Economic!C76</f>
        <v>711695.1</v>
      </c>
      <c r="BA76" s="120">
        <f>Economic!D76</f>
        <v>7000.6</v>
      </c>
      <c r="BB76" s="120">
        <f>Economic!E76</f>
        <v>6896.8</v>
      </c>
      <c r="BC76" s="120">
        <f>Economic!F76</f>
        <v>3168.5</v>
      </c>
      <c r="BD76" s="120">
        <f>Economic!G76</f>
        <v>3127</v>
      </c>
      <c r="BE76" s="120">
        <f>Economic!H76</f>
        <v>393.2</v>
      </c>
      <c r="BF76" s="120">
        <f>Economic!I76</f>
        <v>387.2</v>
      </c>
      <c r="BG76" s="123">
        <f t="shared" si="81"/>
        <v>31</v>
      </c>
      <c r="BH76" s="123">
        <v>22</v>
      </c>
      <c r="BI76" s="123">
        <f t="shared" si="41"/>
        <v>75</v>
      </c>
      <c r="BJ76" s="123">
        <f t="shared" ref="BJ76:BX76" si="119">BJ64</f>
        <v>0</v>
      </c>
      <c r="BK76" s="123">
        <f t="shared" si="119"/>
        <v>0</v>
      </c>
      <c r="BL76" s="123">
        <f t="shared" si="119"/>
        <v>1</v>
      </c>
      <c r="BM76" s="123">
        <f t="shared" si="119"/>
        <v>0</v>
      </c>
      <c r="BN76" s="123">
        <f t="shared" si="119"/>
        <v>0</v>
      </c>
      <c r="BO76" s="123">
        <f t="shared" si="119"/>
        <v>0</v>
      </c>
      <c r="BP76" s="123">
        <f t="shared" si="119"/>
        <v>0</v>
      </c>
      <c r="BQ76" s="123">
        <f t="shared" si="119"/>
        <v>0</v>
      </c>
      <c r="BR76" s="123">
        <f t="shared" si="119"/>
        <v>0</v>
      </c>
      <c r="BS76" s="123">
        <f t="shared" si="119"/>
        <v>0</v>
      </c>
      <c r="BT76" s="123">
        <f t="shared" si="119"/>
        <v>0</v>
      </c>
      <c r="BU76" s="123">
        <f t="shared" si="119"/>
        <v>0</v>
      </c>
      <c r="BV76" s="123">
        <f t="shared" si="119"/>
        <v>1</v>
      </c>
      <c r="BW76" s="123">
        <f t="shared" si="119"/>
        <v>0</v>
      </c>
      <c r="BX76" s="123">
        <f t="shared" si="119"/>
        <v>1</v>
      </c>
      <c r="BY76" s="124">
        <v>0</v>
      </c>
      <c r="BZ76" s="124">
        <v>0</v>
      </c>
      <c r="CA76" s="124">
        <f t="shared" si="90"/>
        <v>0</v>
      </c>
      <c r="CB76" s="124">
        <f t="shared" si="91"/>
        <v>0</v>
      </c>
      <c r="CC76" s="124">
        <f t="shared" si="92"/>
        <v>0</v>
      </c>
      <c r="CD76" s="124">
        <f t="shared" si="93"/>
        <v>0</v>
      </c>
      <c r="CE76" s="124">
        <f t="shared" si="94"/>
        <v>0</v>
      </c>
      <c r="CF76" s="124">
        <f t="shared" si="95"/>
        <v>0</v>
      </c>
      <c r="CG76" s="124">
        <f t="shared" si="96"/>
        <v>0</v>
      </c>
      <c r="CH76" s="124">
        <f t="shared" si="97"/>
        <v>0</v>
      </c>
      <c r="CI76" s="124">
        <f t="shared" si="98"/>
        <v>0</v>
      </c>
      <c r="CJ76" s="124">
        <f t="shared" si="99"/>
        <v>0</v>
      </c>
      <c r="CK76" s="124">
        <f t="shared" si="100"/>
        <v>0</v>
      </c>
      <c r="CL76" s="124">
        <f t="shared" si="101"/>
        <v>0</v>
      </c>
      <c r="CM76" s="124">
        <f t="shared" si="102"/>
        <v>0</v>
      </c>
      <c r="CN76" s="124">
        <f t="shared" si="103"/>
        <v>0</v>
      </c>
      <c r="CO76" s="124">
        <f t="shared" si="104"/>
        <v>0</v>
      </c>
      <c r="CP76" s="124">
        <f t="shared" si="105"/>
        <v>0</v>
      </c>
      <c r="CQ76" s="138">
        <f t="shared" si="106"/>
        <v>746.79261238876245</v>
      </c>
      <c r="CR76" s="138">
        <f t="shared" si="107"/>
        <v>3175.3517634808791</v>
      </c>
      <c r="CS76" s="138">
        <f t="shared" si="108"/>
        <v>63955.772032981477</v>
      </c>
    </row>
    <row r="77" spans="1:97" x14ac:dyDescent="0.2">
      <c r="A77" s="114">
        <v>42826</v>
      </c>
      <c r="B77">
        <f t="shared" si="116"/>
        <v>2017</v>
      </c>
      <c r="C77">
        <f t="shared" si="117"/>
        <v>4</v>
      </c>
      <c r="D77" s="102">
        <v>19400096.75180722</v>
      </c>
      <c r="E77" s="131">
        <f>VLOOKUP($B77,'Historic CDM'!$L$5:$R$17,2,FALSE)/12</f>
        <v>958479.98780037428</v>
      </c>
      <c r="F77" s="131">
        <f t="shared" si="86"/>
        <v>20358576.739607595</v>
      </c>
      <c r="G77" s="102">
        <v>6536291.9132530158</v>
      </c>
      <c r="H77" s="131">
        <f>VLOOKUP($B77,'Historic CDM'!$L$5:$R$17,3,FALSE)/12</f>
        <v>425326.81217228295</v>
      </c>
      <c r="I77" s="131">
        <f t="shared" si="87"/>
        <v>6961618.7254252993</v>
      </c>
      <c r="J77" s="102">
        <v>15988040.308433732</v>
      </c>
      <c r="K77" s="131">
        <f>VLOOKUP($B77,'Historic CDM'!$L$5:$R$17,4,FALSE)/12</f>
        <v>1025745.4165349469</v>
      </c>
      <c r="L77" s="131">
        <f t="shared" si="88"/>
        <v>17013785.724968679</v>
      </c>
      <c r="M77" s="102">
        <v>8860752.4192376602</v>
      </c>
      <c r="N77" s="131">
        <f>VLOOKUP($B77,'Historic CDM'!$L$5:$R$17,5,FALSE)/12</f>
        <v>277959.16128373757</v>
      </c>
      <c r="O77" s="131">
        <f t="shared" si="66"/>
        <v>9138711.5805213973</v>
      </c>
      <c r="P77" s="102">
        <v>10845066.610304356</v>
      </c>
      <c r="Q77" s="131">
        <f>VLOOKUP($B77,'Historic CDM'!$L$5:$R$17,6,FALSE)/12</f>
        <v>738507.12566245033</v>
      </c>
      <c r="R77" s="131">
        <f t="shared" si="67"/>
        <v>11583573.735966805</v>
      </c>
      <c r="S77" s="102">
        <v>91536.057831325292</v>
      </c>
      <c r="T77" s="102">
        <v>11878.411764705865</v>
      </c>
      <c r="U77" s="102">
        <v>580347.74939759029</v>
      </c>
      <c r="V77" s="102">
        <v>45705.119999999995</v>
      </c>
      <c r="W77" s="102">
        <v>22389.190000000002</v>
      </c>
      <c r="X77" s="102">
        <v>18523.849999999999</v>
      </c>
      <c r="Y77" s="102">
        <v>1827.86</v>
      </c>
      <c r="Z77" s="102">
        <v>33.821204337899538</v>
      </c>
      <c r="AA77" s="41">
        <v>34086</v>
      </c>
      <c r="AB77" s="41">
        <v>2638</v>
      </c>
      <c r="AC77" s="41">
        <v>307</v>
      </c>
      <c r="AD77" s="41">
        <v>15</v>
      </c>
      <c r="AE77" s="41">
        <v>3</v>
      </c>
      <c r="AF77" s="126">
        <f>AF76</f>
        <v>3209</v>
      </c>
      <c r="AG77" s="41">
        <v>244.41176470588198</v>
      </c>
      <c r="AH77" s="41">
        <v>214</v>
      </c>
      <c r="AI77" s="104">
        <f>Weather!C185</f>
        <v>9.4166666666666643</v>
      </c>
      <c r="AJ77" s="104">
        <f>Weather!D185</f>
        <v>377.50000000000006</v>
      </c>
      <c r="AK77" s="104">
        <f>Weather!E185</f>
        <v>0</v>
      </c>
      <c r="AL77" s="104">
        <f>Weather!F185</f>
        <v>317.50000000000006</v>
      </c>
      <c r="AM77" s="104">
        <f>Weather!G185</f>
        <v>0</v>
      </c>
      <c r="AN77" s="104">
        <f>Weather!H185</f>
        <v>257.49999999999994</v>
      </c>
      <c r="AO77" s="104">
        <f>Weather!I185</f>
        <v>0</v>
      </c>
      <c r="AP77" s="104">
        <f>Weather!J185</f>
        <v>199.7</v>
      </c>
      <c r="AQ77" s="104">
        <f>Weather!K185</f>
        <v>2.1999999999999993</v>
      </c>
      <c r="AR77" s="104">
        <f>Weather!L185</f>
        <v>145.9</v>
      </c>
      <c r="AS77" s="104">
        <f>Weather!M185</f>
        <v>8.3999999999999986</v>
      </c>
      <c r="AT77" s="104">
        <f>Weather!N185</f>
        <v>98</v>
      </c>
      <c r="AU77" s="104">
        <f>Weather!O185</f>
        <v>20.5</v>
      </c>
      <c r="AV77" s="104">
        <f>Weather!P185</f>
        <v>57.499999999999986</v>
      </c>
      <c r="AW77" s="104">
        <f>Weather!Q185</f>
        <v>39.999999999999993</v>
      </c>
      <c r="AX77" s="104">
        <f>Weather!R185</f>
        <v>26.1</v>
      </c>
      <c r="AY77" s="104">
        <f>Weather!S185</f>
        <v>68.599999999999994</v>
      </c>
      <c r="AZ77" s="119">
        <f>Economic!C77</f>
        <v>711695.1</v>
      </c>
      <c r="BA77" s="120">
        <f>Economic!D77</f>
        <v>6999.5</v>
      </c>
      <c r="BB77" s="120">
        <f>Economic!E77</f>
        <v>6905.1</v>
      </c>
      <c r="BC77" s="120">
        <f>Economic!F77</f>
        <v>3177</v>
      </c>
      <c r="BD77" s="120">
        <f>Economic!G77</f>
        <v>3142.8</v>
      </c>
      <c r="BE77" s="120">
        <f>Economic!H77</f>
        <v>401.6</v>
      </c>
      <c r="BF77" s="120">
        <f>Economic!I77</f>
        <v>397.2</v>
      </c>
      <c r="BG77" s="123">
        <f t="shared" si="81"/>
        <v>30</v>
      </c>
      <c r="BH77" s="123">
        <v>21</v>
      </c>
      <c r="BI77" s="123">
        <f t="shared" si="41"/>
        <v>76</v>
      </c>
      <c r="BJ77" s="123">
        <f t="shared" ref="BJ77:BX77" si="120">BJ65</f>
        <v>0</v>
      </c>
      <c r="BK77" s="123">
        <f t="shared" si="120"/>
        <v>0</v>
      </c>
      <c r="BL77" s="123">
        <f t="shared" si="120"/>
        <v>0</v>
      </c>
      <c r="BM77" s="123">
        <f t="shared" si="120"/>
        <v>1</v>
      </c>
      <c r="BN77" s="123">
        <f t="shared" si="120"/>
        <v>0</v>
      </c>
      <c r="BO77" s="123">
        <f t="shared" si="120"/>
        <v>0</v>
      </c>
      <c r="BP77" s="123">
        <f t="shared" si="120"/>
        <v>0</v>
      </c>
      <c r="BQ77" s="123">
        <f t="shared" si="120"/>
        <v>0</v>
      </c>
      <c r="BR77" s="123">
        <f t="shared" si="120"/>
        <v>0</v>
      </c>
      <c r="BS77" s="123">
        <f t="shared" si="120"/>
        <v>0</v>
      </c>
      <c r="BT77" s="123">
        <f t="shared" si="120"/>
        <v>0</v>
      </c>
      <c r="BU77" s="123">
        <f t="shared" si="120"/>
        <v>0</v>
      </c>
      <c r="BV77" s="123">
        <f t="shared" si="120"/>
        <v>1</v>
      </c>
      <c r="BW77" s="123">
        <f t="shared" si="120"/>
        <v>0</v>
      </c>
      <c r="BX77" s="123">
        <f t="shared" si="120"/>
        <v>1</v>
      </c>
      <c r="BY77" s="124">
        <v>0</v>
      </c>
      <c r="BZ77" s="124">
        <v>0</v>
      </c>
      <c r="CA77" s="124">
        <f t="shared" si="90"/>
        <v>0</v>
      </c>
      <c r="CB77" s="124">
        <f t="shared" si="91"/>
        <v>0</v>
      </c>
      <c r="CC77" s="124">
        <f t="shared" si="92"/>
        <v>0</v>
      </c>
      <c r="CD77" s="124">
        <f t="shared" si="93"/>
        <v>0</v>
      </c>
      <c r="CE77" s="124">
        <f t="shared" si="94"/>
        <v>0</v>
      </c>
      <c r="CF77" s="124">
        <f t="shared" si="95"/>
        <v>0</v>
      </c>
      <c r="CG77" s="124">
        <f t="shared" si="96"/>
        <v>0</v>
      </c>
      <c r="CH77" s="124">
        <f t="shared" si="97"/>
        <v>0</v>
      </c>
      <c r="CI77" s="124">
        <f t="shared" si="98"/>
        <v>0</v>
      </c>
      <c r="CJ77" s="124">
        <f t="shared" si="99"/>
        <v>0</v>
      </c>
      <c r="CK77" s="124">
        <f t="shared" si="100"/>
        <v>0</v>
      </c>
      <c r="CL77" s="124">
        <f t="shared" si="101"/>
        <v>0</v>
      </c>
      <c r="CM77" s="124">
        <f t="shared" si="102"/>
        <v>0</v>
      </c>
      <c r="CN77" s="124">
        <f t="shared" si="103"/>
        <v>0</v>
      </c>
      <c r="CO77" s="124">
        <f t="shared" si="104"/>
        <v>0</v>
      </c>
      <c r="CP77" s="124">
        <f t="shared" si="105"/>
        <v>0</v>
      </c>
      <c r="CQ77" s="138">
        <f t="shared" si="106"/>
        <v>597.27092470831417</v>
      </c>
      <c r="CR77" s="138">
        <f t="shared" si="107"/>
        <v>2638.9760141869974</v>
      </c>
      <c r="CS77" s="138">
        <f t="shared" si="108"/>
        <v>55419.497475468008</v>
      </c>
    </row>
    <row r="78" spans="1:97" x14ac:dyDescent="0.2">
      <c r="A78" s="115">
        <v>42856</v>
      </c>
      <c r="B78">
        <f t="shared" si="116"/>
        <v>2017</v>
      </c>
      <c r="C78">
        <f t="shared" si="117"/>
        <v>5</v>
      </c>
      <c r="D78" s="102">
        <v>20438887.527710862</v>
      </c>
      <c r="E78" s="131">
        <f>VLOOKUP($B78,'Historic CDM'!$L$5:$R$17,2,FALSE)/12</f>
        <v>958479.98780037428</v>
      </c>
      <c r="F78" s="131">
        <f t="shared" si="86"/>
        <v>21397367.515511237</v>
      </c>
      <c r="G78" s="102">
        <v>6062612.0385542186</v>
      </c>
      <c r="H78" s="131">
        <f>VLOOKUP($B78,'Historic CDM'!$L$5:$R$17,3,FALSE)/12</f>
        <v>425326.81217228295</v>
      </c>
      <c r="I78" s="131">
        <f t="shared" si="87"/>
        <v>6487938.850726502</v>
      </c>
      <c r="J78" s="102">
        <v>17068131.836144567</v>
      </c>
      <c r="K78" s="131">
        <f>VLOOKUP($B78,'Historic CDM'!$L$5:$R$17,4,FALSE)/12</f>
        <v>1025745.4165349469</v>
      </c>
      <c r="L78" s="131">
        <f t="shared" si="88"/>
        <v>18093877.252679512</v>
      </c>
      <c r="M78" s="102">
        <v>9556651.2519978676</v>
      </c>
      <c r="N78" s="131">
        <f>VLOOKUP($B78,'Historic CDM'!$L$5:$R$17,5,FALSE)/12</f>
        <v>277959.16128373757</v>
      </c>
      <c r="O78" s="131">
        <f t="shared" si="66"/>
        <v>9834610.4132816046</v>
      </c>
      <c r="P78" s="102">
        <v>12310228.048537893</v>
      </c>
      <c r="Q78" s="131">
        <f>VLOOKUP($B78,'Historic CDM'!$L$5:$R$17,6,FALSE)/12</f>
        <v>738507.12566245033</v>
      </c>
      <c r="R78" s="131">
        <f t="shared" si="67"/>
        <v>13048735.174200343</v>
      </c>
      <c r="S78" s="102">
        <v>91536.057831325292</v>
      </c>
      <c r="T78" s="102">
        <v>11866.976470588217</v>
      </c>
      <c r="U78" s="102">
        <v>521544.47228915658</v>
      </c>
      <c r="V78" s="102">
        <v>49552.020000000011</v>
      </c>
      <c r="W78" s="102">
        <v>24078.600000000002</v>
      </c>
      <c r="X78" s="102">
        <v>23014.94</v>
      </c>
      <c r="Y78" s="102">
        <v>1835.34</v>
      </c>
      <c r="Z78" s="102">
        <v>33.780733130390658</v>
      </c>
      <c r="AA78" s="41">
        <v>34202</v>
      </c>
      <c r="AB78" s="41">
        <v>2624</v>
      </c>
      <c r="AC78" s="41">
        <v>324</v>
      </c>
      <c r="AD78" s="41">
        <v>15</v>
      </c>
      <c r="AE78" s="41">
        <v>3</v>
      </c>
      <c r="AF78" s="41">
        <f>AF77+29</f>
        <v>3238</v>
      </c>
      <c r="AG78" s="41">
        <v>244.17647058823491</v>
      </c>
      <c r="AH78" s="41">
        <v>214</v>
      </c>
      <c r="AI78" s="104">
        <f>Weather!C186</f>
        <v>12.580645161290324</v>
      </c>
      <c r="AJ78" s="104">
        <f>Weather!D186</f>
        <v>293.39999999999998</v>
      </c>
      <c r="AK78" s="104">
        <f>Weather!E186</f>
        <v>1.3999999999999986</v>
      </c>
      <c r="AL78" s="104">
        <f>Weather!F186</f>
        <v>233.39999999999998</v>
      </c>
      <c r="AM78" s="104">
        <f>Weather!G186</f>
        <v>3.3999999999999986</v>
      </c>
      <c r="AN78" s="104">
        <f>Weather!H186</f>
        <v>177</v>
      </c>
      <c r="AO78" s="104">
        <f>Weather!I186</f>
        <v>9</v>
      </c>
      <c r="AP78" s="104">
        <f>Weather!J186</f>
        <v>125.89999999999998</v>
      </c>
      <c r="AQ78" s="104">
        <f>Weather!K186</f>
        <v>19.900000000000002</v>
      </c>
      <c r="AR78" s="104">
        <f>Weather!L186</f>
        <v>82.59999999999998</v>
      </c>
      <c r="AS78" s="104">
        <f>Weather!M186</f>
        <v>38.6</v>
      </c>
      <c r="AT78" s="104">
        <f>Weather!N186</f>
        <v>45.900000000000006</v>
      </c>
      <c r="AU78" s="104">
        <f>Weather!O186</f>
        <v>63.900000000000013</v>
      </c>
      <c r="AV78" s="104">
        <f>Weather!P186</f>
        <v>22.200000000000003</v>
      </c>
      <c r="AW78" s="104">
        <f>Weather!Q186</f>
        <v>102.19999999999999</v>
      </c>
      <c r="AX78" s="104">
        <f>Weather!R186</f>
        <v>6.3</v>
      </c>
      <c r="AY78" s="104">
        <f>Weather!S186</f>
        <v>148.30000000000001</v>
      </c>
      <c r="AZ78" s="119">
        <f>Economic!C78</f>
        <v>711695.1</v>
      </c>
      <c r="BA78" s="120">
        <f>Economic!D78</f>
        <v>7006.2</v>
      </c>
      <c r="BB78" s="120">
        <f>Economic!E78</f>
        <v>6969.8</v>
      </c>
      <c r="BC78" s="120">
        <f>Economic!F78</f>
        <v>3185.7</v>
      </c>
      <c r="BD78" s="120">
        <f>Economic!G78</f>
        <v>3175.3</v>
      </c>
      <c r="BE78" s="120">
        <f>Economic!H78</f>
        <v>407.4</v>
      </c>
      <c r="BF78" s="120">
        <f>Economic!I78</f>
        <v>405.5</v>
      </c>
      <c r="BG78" s="123">
        <f t="shared" si="81"/>
        <v>31</v>
      </c>
      <c r="BH78" s="123">
        <v>20</v>
      </c>
      <c r="BI78" s="123">
        <f t="shared" si="41"/>
        <v>77</v>
      </c>
      <c r="BJ78" s="123">
        <f t="shared" ref="BJ78:BX78" si="121">BJ66</f>
        <v>0</v>
      </c>
      <c r="BK78" s="123">
        <f t="shared" si="121"/>
        <v>0</v>
      </c>
      <c r="BL78" s="123">
        <f t="shared" si="121"/>
        <v>0</v>
      </c>
      <c r="BM78" s="123">
        <f t="shared" si="121"/>
        <v>0</v>
      </c>
      <c r="BN78" s="123">
        <f t="shared" si="121"/>
        <v>1</v>
      </c>
      <c r="BO78" s="123">
        <f t="shared" si="121"/>
        <v>0</v>
      </c>
      <c r="BP78" s="123">
        <f t="shared" si="121"/>
        <v>0</v>
      </c>
      <c r="BQ78" s="123">
        <f t="shared" si="121"/>
        <v>0</v>
      </c>
      <c r="BR78" s="123">
        <f t="shared" si="121"/>
        <v>0</v>
      </c>
      <c r="BS78" s="123">
        <f t="shared" si="121"/>
        <v>0</v>
      </c>
      <c r="BT78" s="123">
        <f t="shared" si="121"/>
        <v>0</v>
      </c>
      <c r="BU78" s="123">
        <f t="shared" si="121"/>
        <v>0</v>
      </c>
      <c r="BV78" s="123">
        <f t="shared" si="121"/>
        <v>1</v>
      </c>
      <c r="BW78" s="123">
        <f t="shared" si="121"/>
        <v>0</v>
      </c>
      <c r="BX78" s="123">
        <f t="shared" si="121"/>
        <v>1</v>
      </c>
      <c r="BY78" s="124">
        <v>0</v>
      </c>
      <c r="BZ78" s="124">
        <v>0</v>
      </c>
      <c r="CA78" s="124">
        <f t="shared" si="90"/>
        <v>0</v>
      </c>
      <c r="CB78" s="124">
        <f t="shared" si="91"/>
        <v>0</v>
      </c>
      <c r="CC78" s="124">
        <f t="shared" si="92"/>
        <v>0</v>
      </c>
      <c r="CD78" s="124">
        <f t="shared" si="93"/>
        <v>0</v>
      </c>
      <c r="CE78" s="124">
        <f t="shared" si="94"/>
        <v>0</v>
      </c>
      <c r="CF78" s="124">
        <f t="shared" si="95"/>
        <v>0</v>
      </c>
      <c r="CG78" s="124">
        <f t="shared" si="96"/>
        <v>0</v>
      </c>
      <c r="CH78" s="124">
        <f t="shared" si="97"/>
        <v>0</v>
      </c>
      <c r="CI78" s="124">
        <f t="shared" si="98"/>
        <v>0</v>
      </c>
      <c r="CJ78" s="124">
        <f t="shared" si="99"/>
        <v>0</v>
      </c>
      <c r="CK78" s="124">
        <f t="shared" si="100"/>
        <v>0</v>
      </c>
      <c r="CL78" s="124">
        <f t="shared" si="101"/>
        <v>0</v>
      </c>
      <c r="CM78" s="124">
        <f t="shared" si="102"/>
        <v>0</v>
      </c>
      <c r="CN78" s="124">
        <f t="shared" si="103"/>
        <v>0</v>
      </c>
      <c r="CO78" s="124">
        <f t="shared" si="104"/>
        <v>0</v>
      </c>
      <c r="CP78" s="124">
        <f t="shared" si="105"/>
        <v>0</v>
      </c>
      <c r="CQ78" s="138">
        <f t="shared" si="106"/>
        <v>625.61743510646272</v>
      </c>
      <c r="CR78" s="138">
        <f t="shared" si="107"/>
        <v>2472.5376717707704</v>
      </c>
      <c r="CS78" s="138">
        <f t="shared" si="108"/>
        <v>55845.300162591084</v>
      </c>
    </row>
    <row r="79" spans="1:97" x14ac:dyDescent="0.2">
      <c r="A79" s="114">
        <v>42887</v>
      </c>
      <c r="B79">
        <f t="shared" si="116"/>
        <v>2017</v>
      </c>
      <c r="C79">
        <f t="shared" si="117"/>
        <v>6</v>
      </c>
      <c r="D79" s="102">
        <v>27578153.118072305</v>
      </c>
      <c r="E79" s="131">
        <f>VLOOKUP($B79,'Historic CDM'!$L$5:$R$17,2,FALSE)/12</f>
        <v>958479.98780037428</v>
      </c>
      <c r="F79" s="131">
        <f t="shared" si="86"/>
        <v>28536633.10587268</v>
      </c>
      <c r="G79" s="102">
        <v>6670926.1301204795</v>
      </c>
      <c r="H79" s="131">
        <f>VLOOKUP($B79,'Historic CDM'!$L$5:$R$17,3,FALSE)/12</f>
        <v>425326.81217228295</v>
      </c>
      <c r="I79" s="131">
        <f t="shared" si="87"/>
        <v>7096252.9422927629</v>
      </c>
      <c r="J79" s="102">
        <v>18289433.233734939</v>
      </c>
      <c r="K79" s="131">
        <f>VLOOKUP($B79,'Historic CDM'!$L$5:$R$17,4,FALSE)/12</f>
        <v>1025745.4165349469</v>
      </c>
      <c r="L79" s="131">
        <f t="shared" si="88"/>
        <v>19315178.650269885</v>
      </c>
      <c r="M79" s="102">
        <v>9784424.0906669255</v>
      </c>
      <c r="N79" s="131">
        <f>VLOOKUP($B79,'Historic CDM'!$L$5:$R$17,5,FALSE)/12</f>
        <v>277959.16128373757</v>
      </c>
      <c r="O79" s="131">
        <f t="shared" si="66"/>
        <v>10062383.251950663</v>
      </c>
      <c r="P79" s="102">
        <v>11093369.892580066</v>
      </c>
      <c r="Q79" s="131">
        <f>VLOOKUP($B79,'Historic CDM'!$L$5:$R$17,6,FALSE)/12</f>
        <v>738507.12566245033</v>
      </c>
      <c r="R79" s="131">
        <f t="shared" si="67"/>
        <v>11831877.018242516</v>
      </c>
      <c r="S79" s="102">
        <v>91536.057831325292</v>
      </c>
      <c r="T79" s="102">
        <v>11855.54117647057</v>
      </c>
      <c r="U79" s="102">
        <v>472601.85060240957</v>
      </c>
      <c r="V79" s="102">
        <v>52300.739999999976</v>
      </c>
      <c r="W79" s="102">
        <v>21786.1</v>
      </c>
      <c r="X79" s="102">
        <v>22368.31</v>
      </c>
      <c r="Y79" s="102">
        <v>1835.34</v>
      </c>
      <c r="Z79" s="102">
        <v>33.740261922881778</v>
      </c>
      <c r="AA79" s="41">
        <v>34272</v>
      </c>
      <c r="AB79" s="41">
        <v>2633</v>
      </c>
      <c r="AC79" s="41">
        <v>325</v>
      </c>
      <c r="AD79" s="41">
        <v>15</v>
      </c>
      <c r="AE79" s="41">
        <v>3</v>
      </c>
      <c r="AF79" s="41">
        <f>AF78</f>
        <v>3238</v>
      </c>
      <c r="AG79" s="41">
        <v>243.94117647058783</v>
      </c>
      <c r="AH79" s="41">
        <v>215</v>
      </c>
      <c r="AI79" s="104">
        <f>Weather!C187</f>
        <v>19.383333333333329</v>
      </c>
      <c r="AJ79" s="104">
        <f>Weather!D187</f>
        <v>96.399999999999991</v>
      </c>
      <c r="AK79" s="104">
        <f>Weather!E187</f>
        <v>17.900000000000002</v>
      </c>
      <c r="AL79" s="104">
        <f>Weather!F187</f>
        <v>57.3</v>
      </c>
      <c r="AM79" s="104">
        <f>Weather!G187</f>
        <v>38.799999999999997</v>
      </c>
      <c r="AN79" s="104">
        <f>Weather!H187</f>
        <v>26.7</v>
      </c>
      <c r="AO79" s="104">
        <f>Weather!I187</f>
        <v>68.2</v>
      </c>
      <c r="AP79" s="104">
        <f>Weather!J187</f>
        <v>8.8000000000000007</v>
      </c>
      <c r="AQ79" s="104">
        <f>Weather!K187</f>
        <v>110.30000000000001</v>
      </c>
      <c r="AR79" s="104">
        <f>Weather!L187</f>
        <v>0.70000000000000107</v>
      </c>
      <c r="AS79" s="104">
        <f>Weather!M187</f>
        <v>162.19999999999999</v>
      </c>
      <c r="AT79" s="104">
        <f>Weather!N187</f>
        <v>0</v>
      </c>
      <c r="AU79" s="104">
        <f>Weather!O187</f>
        <v>221.49999999999997</v>
      </c>
      <c r="AV79" s="104">
        <f>Weather!P187</f>
        <v>0</v>
      </c>
      <c r="AW79" s="104">
        <f>Weather!Q187</f>
        <v>281.49999999999994</v>
      </c>
      <c r="AX79" s="104">
        <f>Weather!R187</f>
        <v>0</v>
      </c>
      <c r="AY79" s="104">
        <f>Weather!S187</f>
        <v>341.5</v>
      </c>
      <c r="AZ79" s="119">
        <f>Economic!C79</f>
        <v>711695.1</v>
      </c>
      <c r="BA79" s="120">
        <f>Economic!D79</f>
        <v>7010.4</v>
      </c>
      <c r="BB79" s="120">
        <f>Economic!E79</f>
        <v>7051.6</v>
      </c>
      <c r="BC79" s="120">
        <f>Economic!F79</f>
        <v>3186.9</v>
      </c>
      <c r="BD79" s="120">
        <f>Economic!G79</f>
        <v>3207</v>
      </c>
      <c r="BE79" s="120">
        <f>Economic!H79</f>
        <v>408.3</v>
      </c>
      <c r="BF79" s="120">
        <f>Economic!I79</f>
        <v>409.8</v>
      </c>
      <c r="BG79" s="123">
        <f t="shared" si="81"/>
        <v>30</v>
      </c>
      <c r="BH79" s="123">
        <v>22</v>
      </c>
      <c r="BI79" s="123">
        <f t="shared" si="41"/>
        <v>78</v>
      </c>
      <c r="BJ79" s="123">
        <f t="shared" ref="BJ79:BX79" si="122">BJ67</f>
        <v>0</v>
      </c>
      <c r="BK79" s="123">
        <f t="shared" si="122"/>
        <v>0</v>
      </c>
      <c r="BL79" s="123">
        <f t="shared" si="122"/>
        <v>0</v>
      </c>
      <c r="BM79" s="123">
        <f t="shared" si="122"/>
        <v>0</v>
      </c>
      <c r="BN79" s="123">
        <f t="shared" si="122"/>
        <v>0</v>
      </c>
      <c r="BO79" s="123">
        <f t="shared" si="122"/>
        <v>1</v>
      </c>
      <c r="BP79" s="123">
        <f t="shared" si="122"/>
        <v>0</v>
      </c>
      <c r="BQ79" s="123">
        <f t="shared" si="122"/>
        <v>0</v>
      </c>
      <c r="BR79" s="123">
        <f t="shared" si="122"/>
        <v>0</v>
      </c>
      <c r="BS79" s="123">
        <f t="shared" si="122"/>
        <v>0</v>
      </c>
      <c r="BT79" s="123">
        <f t="shared" si="122"/>
        <v>0</v>
      </c>
      <c r="BU79" s="123">
        <f t="shared" si="122"/>
        <v>0</v>
      </c>
      <c r="BV79" s="123">
        <f t="shared" si="122"/>
        <v>0</v>
      </c>
      <c r="BW79" s="123">
        <f t="shared" si="122"/>
        <v>0</v>
      </c>
      <c r="BX79" s="123">
        <f t="shared" si="122"/>
        <v>0</v>
      </c>
      <c r="BY79" s="124">
        <v>0</v>
      </c>
      <c r="BZ79" s="124">
        <v>0</v>
      </c>
      <c r="CA79" s="124">
        <f t="shared" si="90"/>
        <v>0</v>
      </c>
      <c r="CB79" s="124">
        <f t="shared" si="91"/>
        <v>0</v>
      </c>
      <c r="CC79" s="124">
        <f t="shared" si="92"/>
        <v>0</v>
      </c>
      <c r="CD79" s="124">
        <f t="shared" si="93"/>
        <v>0</v>
      </c>
      <c r="CE79" s="124">
        <f t="shared" si="94"/>
        <v>0</v>
      </c>
      <c r="CF79" s="124">
        <f t="shared" si="95"/>
        <v>0</v>
      </c>
      <c r="CG79" s="124">
        <f t="shared" si="96"/>
        <v>0</v>
      </c>
      <c r="CH79" s="124">
        <f t="shared" si="97"/>
        <v>0</v>
      </c>
      <c r="CI79" s="124">
        <f t="shared" si="98"/>
        <v>0</v>
      </c>
      <c r="CJ79" s="124">
        <f t="shared" si="99"/>
        <v>0</v>
      </c>
      <c r="CK79" s="124">
        <f t="shared" si="100"/>
        <v>0</v>
      </c>
      <c r="CL79" s="124">
        <f t="shared" si="101"/>
        <v>0</v>
      </c>
      <c r="CM79" s="124">
        <f t="shared" si="102"/>
        <v>0</v>
      </c>
      <c r="CN79" s="124">
        <f t="shared" si="103"/>
        <v>0</v>
      </c>
      <c r="CO79" s="124">
        <f t="shared" si="104"/>
        <v>0</v>
      </c>
      <c r="CP79" s="124">
        <f t="shared" si="105"/>
        <v>0</v>
      </c>
      <c r="CQ79" s="138">
        <f t="shared" si="106"/>
        <v>832.65152619843252</v>
      </c>
      <c r="CR79" s="138">
        <f t="shared" si="107"/>
        <v>2695.1207528647028</v>
      </c>
      <c r="CS79" s="138">
        <f t="shared" si="108"/>
        <v>59431.31892390734</v>
      </c>
    </row>
    <row r="80" spans="1:97" x14ac:dyDescent="0.2">
      <c r="A80" s="115">
        <v>42917</v>
      </c>
      <c r="B80">
        <f t="shared" si="116"/>
        <v>2017</v>
      </c>
      <c r="C80">
        <f t="shared" si="117"/>
        <v>7</v>
      </c>
      <c r="D80" s="102">
        <v>28972066.226506032</v>
      </c>
      <c r="E80" s="131">
        <f>VLOOKUP($B80,'Historic CDM'!$L$5:$R$17,2,FALSE)/12</f>
        <v>958479.98780037428</v>
      </c>
      <c r="F80" s="131">
        <f t="shared" si="86"/>
        <v>29930546.214306407</v>
      </c>
      <c r="G80" s="102">
        <v>6544660.1638554176</v>
      </c>
      <c r="H80" s="131">
        <f>VLOOKUP($B80,'Historic CDM'!$L$5:$R$17,3,FALSE)/12</f>
        <v>425326.81217228295</v>
      </c>
      <c r="I80" s="131">
        <f t="shared" si="87"/>
        <v>6969986.9760277011</v>
      </c>
      <c r="J80" s="102">
        <v>18523386.361445796</v>
      </c>
      <c r="K80" s="131">
        <f>VLOOKUP($B80,'Historic CDM'!$L$5:$R$17,4,FALSE)/12</f>
        <v>1025745.4165349469</v>
      </c>
      <c r="L80" s="131">
        <f t="shared" si="88"/>
        <v>19549131.777980741</v>
      </c>
      <c r="M80" s="102">
        <v>10668693.902261827</v>
      </c>
      <c r="N80" s="131">
        <f>VLOOKUP($B80,'Historic CDM'!$L$5:$R$17,5,FALSE)/12</f>
        <v>277959.16128373757</v>
      </c>
      <c r="O80" s="131">
        <f t="shared" si="66"/>
        <v>10946653.063545564</v>
      </c>
      <c r="P80" s="102">
        <v>9724815.9339566324</v>
      </c>
      <c r="Q80" s="131">
        <f>VLOOKUP($B80,'Historic CDM'!$L$5:$R$17,6,FALSE)/12</f>
        <v>738507.12566245033</v>
      </c>
      <c r="R80" s="131">
        <f t="shared" si="67"/>
        <v>10463323.059619082</v>
      </c>
      <c r="S80" s="102">
        <v>91837.118072289159</v>
      </c>
      <c r="T80" s="102">
        <v>11844.105882352922</v>
      </c>
      <c r="U80" s="102">
        <v>507845.68674698792</v>
      </c>
      <c r="V80" s="102">
        <v>50090.670000000027</v>
      </c>
      <c r="W80" s="102">
        <v>22586.26</v>
      </c>
      <c r="X80" s="102">
        <v>20848.86</v>
      </c>
      <c r="Y80" s="102">
        <v>1837.24</v>
      </c>
      <c r="Z80" s="102">
        <v>33.699790715372899</v>
      </c>
      <c r="AA80" s="41">
        <v>34382</v>
      </c>
      <c r="AB80" s="41">
        <v>2648</v>
      </c>
      <c r="AC80" s="41">
        <v>325</v>
      </c>
      <c r="AD80" s="41">
        <v>15</v>
      </c>
      <c r="AE80" s="41">
        <v>3</v>
      </c>
      <c r="AF80" s="41">
        <f>AF79+8</f>
        <v>3246</v>
      </c>
      <c r="AG80" s="41">
        <v>243.70588235294076</v>
      </c>
      <c r="AH80" s="41">
        <v>216</v>
      </c>
      <c r="AI80" s="104">
        <f>Weather!C188</f>
        <v>21.758064516129032</v>
      </c>
      <c r="AJ80" s="104">
        <f>Weather!D188</f>
        <v>27.799999999999997</v>
      </c>
      <c r="AK80" s="104">
        <f>Weather!E188</f>
        <v>20.300000000000004</v>
      </c>
      <c r="AL80" s="104">
        <f>Weather!F188</f>
        <v>5.3999999999999986</v>
      </c>
      <c r="AM80" s="104">
        <f>Weather!G188</f>
        <v>59.900000000000006</v>
      </c>
      <c r="AN80" s="104">
        <f>Weather!H188</f>
        <v>0</v>
      </c>
      <c r="AO80" s="104">
        <f>Weather!I188</f>
        <v>116.5</v>
      </c>
      <c r="AP80" s="104">
        <f>Weather!J188</f>
        <v>0</v>
      </c>
      <c r="AQ80" s="104">
        <f>Weather!K188</f>
        <v>178.50000000000003</v>
      </c>
      <c r="AR80" s="104">
        <f>Weather!L188</f>
        <v>0</v>
      </c>
      <c r="AS80" s="104">
        <f>Weather!M188</f>
        <v>240.50000000000009</v>
      </c>
      <c r="AT80" s="104">
        <f>Weather!N188</f>
        <v>0</v>
      </c>
      <c r="AU80" s="104">
        <f>Weather!O188</f>
        <v>302.50000000000006</v>
      </c>
      <c r="AV80" s="104">
        <f>Weather!P188</f>
        <v>0</v>
      </c>
      <c r="AW80" s="104">
        <f>Weather!Q188</f>
        <v>364.50000000000006</v>
      </c>
      <c r="AX80" s="104">
        <f>Weather!R188</f>
        <v>0</v>
      </c>
      <c r="AY80" s="104">
        <f>Weather!S188</f>
        <v>426.50000000000006</v>
      </c>
      <c r="AZ80" s="119">
        <f>Economic!C80</f>
        <v>711695.1</v>
      </c>
      <c r="BA80" s="120">
        <f>Economic!D80</f>
        <v>7022.8</v>
      </c>
      <c r="BB80" s="120">
        <f>Economic!E80</f>
        <v>7118.5</v>
      </c>
      <c r="BC80" s="120">
        <f>Economic!F80</f>
        <v>3187.6</v>
      </c>
      <c r="BD80" s="120">
        <f>Economic!G80</f>
        <v>3226.5</v>
      </c>
      <c r="BE80" s="120">
        <f>Economic!H80</f>
        <v>412</v>
      </c>
      <c r="BF80" s="120">
        <f>Economic!I80</f>
        <v>413.9</v>
      </c>
      <c r="BG80" s="123">
        <f t="shared" si="81"/>
        <v>31</v>
      </c>
      <c r="BH80" s="123">
        <v>22</v>
      </c>
      <c r="BI80" s="123">
        <f t="shared" si="41"/>
        <v>79</v>
      </c>
      <c r="BJ80" s="123">
        <f t="shared" ref="BJ80:BX80" si="123">BJ68</f>
        <v>0</v>
      </c>
      <c r="BK80" s="123">
        <f t="shared" si="123"/>
        <v>0</v>
      </c>
      <c r="BL80" s="123">
        <f t="shared" si="123"/>
        <v>0</v>
      </c>
      <c r="BM80" s="123">
        <f t="shared" si="123"/>
        <v>0</v>
      </c>
      <c r="BN80" s="123">
        <f t="shared" si="123"/>
        <v>0</v>
      </c>
      <c r="BO80" s="123">
        <f t="shared" si="123"/>
        <v>0</v>
      </c>
      <c r="BP80" s="123">
        <f t="shared" si="123"/>
        <v>1</v>
      </c>
      <c r="BQ80" s="123">
        <f t="shared" si="123"/>
        <v>0</v>
      </c>
      <c r="BR80" s="123">
        <f t="shared" si="123"/>
        <v>0</v>
      </c>
      <c r="BS80" s="123">
        <f t="shared" si="123"/>
        <v>0</v>
      </c>
      <c r="BT80" s="123">
        <f t="shared" si="123"/>
        <v>0</v>
      </c>
      <c r="BU80" s="123">
        <f t="shared" si="123"/>
        <v>0</v>
      </c>
      <c r="BV80" s="123">
        <f t="shared" si="123"/>
        <v>0</v>
      </c>
      <c r="BW80" s="123">
        <f t="shared" si="123"/>
        <v>0</v>
      </c>
      <c r="BX80" s="123">
        <f t="shared" si="123"/>
        <v>0</v>
      </c>
      <c r="BY80" s="124">
        <v>0</v>
      </c>
      <c r="BZ80" s="124">
        <v>0</v>
      </c>
      <c r="CA80" s="124">
        <f t="shared" si="90"/>
        <v>0</v>
      </c>
      <c r="CB80" s="124">
        <f t="shared" si="91"/>
        <v>0</v>
      </c>
      <c r="CC80" s="124">
        <f t="shared" si="92"/>
        <v>0</v>
      </c>
      <c r="CD80" s="124">
        <f t="shared" si="93"/>
        <v>0</v>
      </c>
      <c r="CE80" s="124">
        <f t="shared" si="94"/>
        <v>0</v>
      </c>
      <c r="CF80" s="124">
        <f t="shared" si="95"/>
        <v>0</v>
      </c>
      <c r="CG80" s="124">
        <f t="shared" si="96"/>
        <v>0</v>
      </c>
      <c r="CH80" s="124">
        <f t="shared" si="97"/>
        <v>0</v>
      </c>
      <c r="CI80" s="124">
        <f t="shared" si="98"/>
        <v>0</v>
      </c>
      <c r="CJ80" s="124">
        <f t="shared" si="99"/>
        <v>0</v>
      </c>
      <c r="CK80" s="124">
        <f t="shared" si="100"/>
        <v>0</v>
      </c>
      <c r="CL80" s="124">
        <f t="shared" si="101"/>
        <v>0</v>
      </c>
      <c r="CM80" s="124">
        <f t="shared" si="102"/>
        <v>0</v>
      </c>
      <c r="CN80" s="124">
        <f t="shared" si="103"/>
        <v>0</v>
      </c>
      <c r="CO80" s="124">
        <f t="shared" si="104"/>
        <v>0</v>
      </c>
      <c r="CP80" s="124">
        <f t="shared" si="105"/>
        <v>0</v>
      </c>
      <c r="CQ80" s="138">
        <f t="shared" si="106"/>
        <v>870.52952749422388</v>
      </c>
      <c r="CR80" s="138">
        <f t="shared" si="107"/>
        <v>2632.170308167561</v>
      </c>
      <c r="CS80" s="138">
        <f t="shared" si="108"/>
        <v>60151.174701479205</v>
      </c>
    </row>
    <row r="81" spans="1:97" x14ac:dyDescent="0.2">
      <c r="A81" s="114">
        <v>42948</v>
      </c>
      <c r="B81">
        <f t="shared" si="116"/>
        <v>2017</v>
      </c>
      <c r="C81">
        <f t="shared" si="117"/>
        <v>8</v>
      </c>
      <c r="D81" s="102">
        <v>29587012.925301205</v>
      </c>
      <c r="E81" s="131">
        <f>VLOOKUP($B81,'Historic CDM'!$L$5:$R$17,2,FALSE)/12</f>
        <v>958479.98780037428</v>
      </c>
      <c r="F81" s="131">
        <f t="shared" si="86"/>
        <v>30545492.91310158</v>
      </c>
      <c r="G81" s="102">
        <v>7044220.3084337329</v>
      </c>
      <c r="H81" s="131">
        <f>VLOOKUP($B81,'Historic CDM'!$L$5:$R$17,3,FALSE)/12</f>
        <v>425326.81217228295</v>
      </c>
      <c r="I81" s="131">
        <f t="shared" si="87"/>
        <v>7469547.1206060164</v>
      </c>
      <c r="J81" s="102">
        <v>18386586.149397578</v>
      </c>
      <c r="K81" s="131">
        <f>VLOOKUP($B81,'Historic CDM'!$L$5:$R$17,4,FALSE)/12</f>
        <v>1025745.4165349469</v>
      </c>
      <c r="L81" s="131">
        <f t="shared" si="88"/>
        <v>19412331.565932523</v>
      </c>
      <c r="M81" s="102">
        <v>10907289.83387417</v>
      </c>
      <c r="N81" s="131">
        <f>VLOOKUP($B81,'Historic CDM'!$L$5:$R$17,5,FALSE)/12</f>
        <v>277959.16128373757</v>
      </c>
      <c r="O81" s="131">
        <f t="shared" si="66"/>
        <v>11185248.995157907</v>
      </c>
      <c r="P81" s="102">
        <v>11978702.595981698</v>
      </c>
      <c r="Q81" s="131">
        <f>VLOOKUP($B81,'Historic CDM'!$L$5:$R$17,6,FALSE)/12</f>
        <v>738507.12566245033</v>
      </c>
      <c r="R81" s="131">
        <f t="shared" si="67"/>
        <v>12717209.721644148</v>
      </c>
      <c r="S81" s="102">
        <v>91824.057831325306</v>
      </c>
      <c r="T81" s="102">
        <v>11832.670588235274</v>
      </c>
      <c r="U81" s="102">
        <v>568019.25783132529</v>
      </c>
      <c r="V81" s="102">
        <v>49979.44000000001</v>
      </c>
      <c r="W81" s="102">
        <v>23109.15</v>
      </c>
      <c r="X81" s="102">
        <v>22088.67</v>
      </c>
      <c r="Y81" s="102">
        <v>1817.17</v>
      </c>
      <c r="Z81" s="102">
        <v>33.659319507864019</v>
      </c>
      <c r="AA81" s="41">
        <v>34485</v>
      </c>
      <c r="AB81" s="41">
        <v>2658</v>
      </c>
      <c r="AC81" s="41">
        <v>326</v>
      </c>
      <c r="AD81" s="41">
        <v>15</v>
      </c>
      <c r="AE81" s="41">
        <v>3</v>
      </c>
      <c r="AF81" s="41">
        <f>AF80</f>
        <v>3246</v>
      </c>
      <c r="AG81" s="41">
        <v>243.47058823529369</v>
      </c>
      <c r="AH81" s="41">
        <v>216</v>
      </c>
      <c r="AI81" s="104">
        <f>Weather!C189</f>
        <v>20.051612903225806</v>
      </c>
      <c r="AJ81" s="104">
        <f>Weather!D189</f>
        <v>69.600000000000009</v>
      </c>
      <c r="AK81" s="104">
        <f>Weather!E189</f>
        <v>9.1999999999999993</v>
      </c>
      <c r="AL81" s="104">
        <f>Weather!F189</f>
        <v>31.300000000000004</v>
      </c>
      <c r="AM81" s="104">
        <f>Weather!G189</f>
        <v>32.900000000000006</v>
      </c>
      <c r="AN81" s="104">
        <f>Weather!H189</f>
        <v>11.600000000000003</v>
      </c>
      <c r="AO81" s="104">
        <f>Weather!I189</f>
        <v>75.2</v>
      </c>
      <c r="AP81" s="104">
        <f>Weather!J189</f>
        <v>1.9000000000000004</v>
      </c>
      <c r="AQ81" s="104">
        <f>Weather!K189</f>
        <v>127.49999999999999</v>
      </c>
      <c r="AR81" s="104">
        <f>Weather!L189</f>
        <v>0</v>
      </c>
      <c r="AS81" s="104">
        <f>Weather!M189</f>
        <v>187.60000000000002</v>
      </c>
      <c r="AT81" s="104">
        <f>Weather!N189</f>
        <v>0</v>
      </c>
      <c r="AU81" s="104">
        <f>Weather!O189</f>
        <v>249.60000000000005</v>
      </c>
      <c r="AV81" s="104">
        <f>Weather!P189</f>
        <v>0</v>
      </c>
      <c r="AW81" s="104">
        <f>Weather!Q189</f>
        <v>311.59999999999997</v>
      </c>
      <c r="AX81" s="104">
        <f>Weather!R189</f>
        <v>0</v>
      </c>
      <c r="AY81" s="104">
        <f>Weather!S189</f>
        <v>373.59999999999997</v>
      </c>
      <c r="AZ81" s="119">
        <f>Economic!C81</f>
        <v>711695.1</v>
      </c>
      <c r="BA81" s="120">
        <f>Economic!D81</f>
        <v>7041.5</v>
      </c>
      <c r="BB81" s="120">
        <f>Economic!E81</f>
        <v>7139</v>
      </c>
      <c r="BC81" s="120">
        <f>Economic!F81</f>
        <v>3194.3</v>
      </c>
      <c r="BD81" s="120">
        <f>Economic!G81</f>
        <v>3232.4</v>
      </c>
      <c r="BE81" s="120">
        <f>Economic!H81</f>
        <v>418.3</v>
      </c>
      <c r="BF81" s="120">
        <f>Economic!I81</f>
        <v>419.9</v>
      </c>
      <c r="BG81" s="123">
        <f t="shared" si="81"/>
        <v>31</v>
      </c>
      <c r="BH81" s="123">
        <v>20</v>
      </c>
      <c r="BI81" s="123">
        <f t="shared" si="41"/>
        <v>80</v>
      </c>
      <c r="BJ81" s="123">
        <f t="shared" ref="BJ81:BX81" si="124">BJ69</f>
        <v>0</v>
      </c>
      <c r="BK81" s="123">
        <f t="shared" si="124"/>
        <v>0</v>
      </c>
      <c r="BL81" s="123">
        <f t="shared" si="124"/>
        <v>0</v>
      </c>
      <c r="BM81" s="123">
        <f t="shared" si="124"/>
        <v>0</v>
      </c>
      <c r="BN81" s="123">
        <f t="shared" si="124"/>
        <v>0</v>
      </c>
      <c r="BO81" s="123">
        <f t="shared" si="124"/>
        <v>0</v>
      </c>
      <c r="BP81" s="123">
        <f t="shared" si="124"/>
        <v>0</v>
      </c>
      <c r="BQ81" s="123">
        <f t="shared" si="124"/>
        <v>1</v>
      </c>
      <c r="BR81" s="123">
        <f t="shared" si="124"/>
        <v>0</v>
      </c>
      <c r="BS81" s="123">
        <f t="shared" si="124"/>
        <v>0</v>
      </c>
      <c r="BT81" s="123">
        <f t="shared" si="124"/>
        <v>0</v>
      </c>
      <c r="BU81" s="123">
        <f t="shared" si="124"/>
        <v>0</v>
      </c>
      <c r="BV81" s="123">
        <f t="shared" si="124"/>
        <v>0</v>
      </c>
      <c r="BW81" s="123">
        <f t="shared" si="124"/>
        <v>0</v>
      </c>
      <c r="BX81" s="123">
        <f t="shared" si="124"/>
        <v>0</v>
      </c>
      <c r="BY81" s="124">
        <v>0</v>
      </c>
      <c r="BZ81" s="124">
        <v>0</v>
      </c>
      <c r="CA81" s="124">
        <f t="shared" si="90"/>
        <v>0</v>
      </c>
      <c r="CB81" s="124">
        <f t="shared" si="91"/>
        <v>0</v>
      </c>
      <c r="CC81" s="124">
        <f t="shared" si="92"/>
        <v>0</v>
      </c>
      <c r="CD81" s="124">
        <f t="shared" si="93"/>
        <v>0</v>
      </c>
      <c r="CE81" s="124">
        <f t="shared" si="94"/>
        <v>0</v>
      </c>
      <c r="CF81" s="124">
        <f t="shared" si="95"/>
        <v>0</v>
      </c>
      <c r="CG81" s="124">
        <f t="shared" si="96"/>
        <v>0</v>
      </c>
      <c r="CH81" s="124">
        <f t="shared" si="97"/>
        <v>0</v>
      </c>
      <c r="CI81" s="124">
        <f t="shared" si="98"/>
        <v>0</v>
      </c>
      <c r="CJ81" s="124">
        <f t="shared" si="99"/>
        <v>0</v>
      </c>
      <c r="CK81" s="124">
        <f t="shared" si="100"/>
        <v>0</v>
      </c>
      <c r="CL81" s="124">
        <f t="shared" si="101"/>
        <v>0</v>
      </c>
      <c r="CM81" s="124">
        <f t="shared" si="102"/>
        <v>0</v>
      </c>
      <c r="CN81" s="124">
        <f t="shared" si="103"/>
        <v>0</v>
      </c>
      <c r="CO81" s="124">
        <f t="shared" si="104"/>
        <v>0</v>
      </c>
      <c r="CP81" s="124">
        <f t="shared" si="105"/>
        <v>0</v>
      </c>
      <c r="CQ81" s="138">
        <f t="shared" si="106"/>
        <v>885.76171996814787</v>
      </c>
      <c r="CR81" s="138">
        <f t="shared" si="107"/>
        <v>2810.2133636591484</v>
      </c>
      <c r="CS81" s="138">
        <f t="shared" si="108"/>
        <v>59547.0293433513</v>
      </c>
    </row>
    <row r="82" spans="1:97" x14ac:dyDescent="0.2">
      <c r="A82" s="115">
        <v>42979</v>
      </c>
      <c r="B82">
        <f t="shared" si="116"/>
        <v>2017</v>
      </c>
      <c r="C82">
        <f t="shared" si="117"/>
        <v>9</v>
      </c>
      <c r="D82" s="102">
        <v>25857618.775903624</v>
      </c>
      <c r="E82" s="131">
        <f>VLOOKUP($B82,'Historic CDM'!$L$5:$R$17,2,FALSE)/12</f>
        <v>958479.98780037428</v>
      </c>
      <c r="F82" s="131">
        <f t="shared" si="86"/>
        <v>26816098.763703998</v>
      </c>
      <c r="G82" s="102">
        <v>6545898.053012046</v>
      </c>
      <c r="H82" s="131">
        <f>VLOOKUP($B82,'Historic CDM'!$L$5:$R$17,3,FALSE)/12</f>
        <v>425326.81217228295</v>
      </c>
      <c r="I82" s="131">
        <f t="shared" si="87"/>
        <v>6971224.8651843295</v>
      </c>
      <c r="J82" s="102">
        <v>18228570.718072273</v>
      </c>
      <c r="K82" s="131">
        <f>VLOOKUP($B82,'Historic CDM'!$L$5:$R$17,4,FALSE)/12</f>
        <v>1025745.4165349469</v>
      </c>
      <c r="L82" s="131">
        <f t="shared" si="88"/>
        <v>19254316.134607218</v>
      </c>
      <c r="M82" s="102">
        <v>10101429.059911849</v>
      </c>
      <c r="N82" s="131">
        <f>VLOOKUP($B82,'Historic CDM'!$L$5:$R$17,5,FALSE)/12</f>
        <v>277959.16128373757</v>
      </c>
      <c r="O82" s="131">
        <f t="shared" si="66"/>
        <v>10379388.221195586</v>
      </c>
      <c r="P82" s="102">
        <v>11137003.322060872</v>
      </c>
      <c r="Q82" s="131">
        <f>VLOOKUP($B82,'Historic CDM'!$L$5:$R$17,6,FALSE)/12</f>
        <v>738507.12566245033</v>
      </c>
      <c r="R82" s="131">
        <f t="shared" si="67"/>
        <v>11875510.447723322</v>
      </c>
      <c r="S82" s="102">
        <v>91824.057831325306</v>
      </c>
      <c r="T82" s="102">
        <v>11821.235294117627</v>
      </c>
      <c r="U82" s="102">
        <v>621705.0024096386</v>
      </c>
      <c r="V82" s="102">
        <v>53802.939999999995</v>
      </c>
      <c r="W82" s="102">
        <v>22835.360000000001</v>
      </c>
      <c r="X82" s="102">
        <v>21301.74</v>
      </c>
      <c r="Y82" s="102">
        <v>1815.19</v>
      </c>
      <c r="Z82" s="102">
        <v>33.61884830035514</v>
      </c>
      <c r="AA82" s="41">
        <v>34561</v>
      </c>
      <c r="AB82" s="41">
        <v>2656</v>
      </c>
      <c r="AC82" s="41">
        <v>325</v>
      </c>
      <c r="AD82" s="41">
        <v>15</v>
      </c>
      <c r="AE82" s="41">
        <v>3</v>
      </c>
      <c r="AF82" s="41">
        <f>AF81-3</f>
        <v>3243</v>
      </c>
      <c r="AG82" s="41">
        <v>243.23529411764662</v>
      </c>
      <c r="AH82" s="41">
        <v>216</v>
      </c>
      <c r="AI82" s="104">
        <f>Weather!C190</f>
        <v>18.746666666666666</v>
      </c>
      <c r="AJ82" s="104">
        <f>Weather!D190</f>
        <v>113.89999999999999</v>
      </c>
      <c r="AK82" s="104">
        <f>Weather!E190</f>
        <v>16.3</v>
      </c>
      <c r="AL82" s="104">
        <f>Weather!F190</f>
        <v>78.899999999999991</v>
      </c>
      <c r="AM82" s="104">
        <f>Weather!G190</f>
        <v>41.300000000000004</v>
      </c>
      <c r="AN82" s="104">
        <f>Weather!H190</f>
        <v>49.099999999999994</v>
      </c>
      <c r="AO82" s="104">
        <f>Weather!I190</f>
        <v>71.5</v>
      </c>
      <c r="AP82" s="104">
        <f>Weather!J190</f>
        <v>25.2</v>
      </c>
      <c r="AQ82" s="104">
        <f>Weather!K190</f>
        <v>107.6</v>
      </c>
      <c r="AR82" s="104">
        <f>Weather!L190</f>
        <v>7.7000000000000011</v>
      </c>
      <c r="AS82" s="104">
        <f>Weather!M190</f>
        <v>150.10000000000002</v>
      </c>
      <c r="AT82" s="104">
        <f>Weather!N190</f>
        <v>1.5</v>
      </c>
      <c r="AU82" s="104">
        <f>Weather!O190</f>
        <v>203.9</v>
      </c>
      <c r="AV82" s="104">
        <f>Weather!P190</f>
        <v>0</v>
      </c>
      <c r="AW82" s="104">
        <f>Weather!Q190</f>
        <v>262.40000000000009</v>
      </c>
      <c r="AX82" s="104">
        <f>Weather!R190</f>
        <v>0</v>
      </c>
      <c r="AY82" s="104">
        <f>Weather!S190</f>
        <v>322.40000000000009</v>
      </c>
      <c r="AZ82" s="119">
        <f>Economic!C82</f>
        <v>711695.1</v>
      </c>
      <c r="BA82" s="120">
        <f>Economic!D82</f>
        <v>7068.5</v>
      </c>
      <c r="BB82" s="120">
        <f>Economic!E82</f>
        <v>7121.5</v>
      </c>
      <c r="BC82" s="120">
        <f>Economic!F82</f>
        <v>3212.3</v>
      </c>
      <c r="BD82" s="120">
        <f>Economic!G82</f>
        <v>3229.2</v>
      </c>
      <c r="BE82" s="120">
        <f>Economic!H82</f>
        <v>423.1</v>
      </c>
      <c r="BF82" s="120">
        <f>Economic!I82</f>
        <v>423.1</v>
      </c>
      <c r="BG82" s="123">
        <f t="shared" si="81"/>
        <v>30</v>
      </c>
      <c r="BH82" s="123">
        <v>21</v>
      </c>
      <c r="BI82" s="123">
        <f t="shared" si="41"/>
        <v>81</v>
      </c>
      <c r="BJ82" s="123">
        <f t="shared" ref="BJ82:BX82" si="125">BJ70</f>
        <v>0</v>
      </c>
      <c r="BK82" s="123">
        <f t="shared" si="125"/>
        <v>0</v>
      </c>
      <c r="BL82" s="123">
        <f t="shared" si="125"/>
        <v>0</v>
      </c>
      <c r="BM82" s="123">
        <f t="shared" si="125"/>
        <v>0</v>
      </c>
      <c r="BN82" s="123">
        <f t="shared" si="125"/>
        <v>0</v>
      </c>
      <c r="BO82" s="123">
        <f t="shared" si="125"/>
        <v>0</v>
      </c>
      <c r="BP82" s="123">
        <f t="shared" si="125"/>
        <v>0</v>
      </c>
      <c r="BQ82" s="123">
        <f t="shared" si="125"/>
        <v>0</v>
      </c>
      <c r="BR82" s="123">
        <f t="shared" si="125"/>
        <v>1</v>
      </c>
      <c r="BS82" s="123">
        <f t="shared" si="125"/>
        <v>0</v>
      </c>
      <c r="BT82" s="123">
        <f t="shared" si="125"/>
        <v>0</v>
      </c>
      <c r="BU82" s="123">
        <f t="shared" si="125"/>
        <v>0</v>
      </c>
      <c r="BV82" s="123">
        <f t="shared" si="125"/>
        <v>0</v>
      </c>
      <c r="BW82" s="123">
        <f t="shared" si="125"/>
        <v>1</v>
      </c>
      <c r="BX82" s="123">
        <f t="shared" si="125"/>
        <v>1</v>
      </c>
      <c r="BY82" s="124">
        <v>0</v>
      </c>
      <c r="BZ82" s="124">
        <v>0</v>
      </c>
      <c r="CA82" s="124">
        <f t="shared" si="90"/>
        <v>0</v>
      </c>
      <c r="CB82" s="124">
        <f t="shared" si="91"/>
        <v>0</v>
      </c>
      <c r="CC82" s="124">
        <f t="shared" si="92"/>
        <v>0</v>
      </c>
      <c r="CD82" s="124">
        <f t="shared" si="93"/>
        <v>0</v>
      </c>
      <c r="CE82" s="124">
        <f t="shared" si="94"/>
        <v>0</v>
      </c>
      <c r="CF82" s="124">
        <f t="shared" si="95"/>
        <v>0</v>
      </c>
      <c r="CG82" s="124">
        <f t="shared" si="96"/>
        <v>0</v>
      </c>
      <c r="CH82" s="124">
        <f t="shared" si="97"/>
        <v>0</v>
      </c>
      <c r="CI82" s="124">
        <f t="shared" si="98"/>
        <v>0</v>
      </c>
      <c r="CJ82" s="124">
        <f t="shared" si="99"/>
        <v>0</v>
      </c>
      <c r="CK82" s="124">
        <f t="shared" si="100"/>
        <v>0</v>
      </c>
      <c r="CL82" s="124">
        <f t="shared" si="101"/>
        <v>0</v>
      </c>
      <c r="CM82" s="124">
        <f t="shared" si="102"/>
        <v>0</v>
      </c>
      <c r="CN82" s="124">
        <f t="shared" si="103"/>
        <v>0</v>
      </c>
      <c r="CO82" s="124">
        <f t="shared" si="104"/>
        <v>0</v>
      </c>
      <c r="CP82" s="124">
        <f t="shared" si="105"/>
        <v>0</v>
      </c>
      <c r="CQ82" s="138">
        <f t="shared" si="106"/>
        <v>775.90633267856822</v>
      </c>
      <c r="CR82" s="138">
        <f t="shared" si="107"/>
        <v>2624.7081570724131</v>
      </c>
      <c r="CS82" s="138">
        <f t="shared" si="108"/>
        <v>59244.049644945284</v>
      </c>
    </row>
    <row r="83" spans="1:97" x14ac:dyDescent="0.2">
      <c r="A83" s="114">
        <v>43009</v>
      </c>
      <c r="B83">
        <f t="shared" si="116"/>
        <v>2017</v>
      </c>
      <c r="C83">
        <f t="shared" si="117"/>
        <v>10</v>
      </c>
      <c r="D83" s="102">
        <v>20602579.845783144</v>
      </c>
      <c r="E83" s="131">
        <f>VLOOKUP($B83,'Historic CDM'!$L$5:$R$17,2,FALSE)/12</f>
        <v>958479.98780037428</v>
      </c>
      <c r="F83" s="131">
        <f t="shared" si="86"/>
        <v>21561059.833583519</v>
      </c>
      <c r="G83" s="102">
        <v>5870284.5879518026</v>
      </c>
      <c r="H83" s="131">
        <f>VLOOKUP($B83,'Historic CDM'!$L$5:$R$17,3,FALSE)/12</f>
        <v>425326.81217228295</v>
      </c>
      <c r="I83" s="131">
        <f t="shared" si="87"/>
        <v>6295611.4001240861</v>
      </c>
      <c r="J83" s="102">
        <v>17434652.356626499</v>
      </c>
      <c r="K83" s="131">
        <f>VLOOKUP($B83,'Historic CDM'!$L$5:$R$17,4,FALSE)/12</f>
        <v>1025745.4165349469</v>
      </c>
      <c r="L83" s="131">
        <f t="shared" si="88"/>
        <v>18460397.773161445</v>
      </c>
      <c r="M83" s="102">
        <v>9932726.9627548791</v>
      </c>
      <c r="N83" s="131">
        <f>VLOOKUP($B83,'Historic CDM'!$L$5:$R$17,5,FALSE)/12</f>
        <v>277959.16128373757</v>
      </c>
      <c r="O83" s="131">
        <f t="shared" si="66"/>
        <v>10210686.124038616</v>
      </c>
      <c r="P83" s="102">
        <v>11621935.26954446</v>
      </c>
      <c r="Q83" s="131">
        <f>VLOOKUP($B83,'Historic CDM'!$L$5:$R$17,6,FALSE)/12</f>
        <v>738507.12566245033</v>
      </c>
      <c r="R83" s="131">
        <f t="shared" si="67"/>
        <v>12360442.39520691</v>
      </c>
      <c r="S83" s="102">
        <v>92516.048192771064</v>
      </c>
      <c r="T83" s="102">
        <v>11809.799999999977</v>
      </c>
      <c r="U83" s="102">
        <v>732339.68192771066</v>
      </c>
      <c r="V83" s="102">
        <v>49308.089999999989</v>
      </c>
      <c r="W83" s="102">
        <v>22777.65</v>
      </c>
      <c r="X83" s="102">
        <v>21462.86</v>
      </c>
      <c r="Y83" s="102">
        <v>1817.22</v>
      </c>
      <c r="Z83" s="102">
        <v>33.57837709284626</v>
      </c>
      <c r="AA83" s="41">
        <v>34637</v>
      </c>
      <c r="AB83" s="41">
        <v>2655</v>
      </c>
      <c r="AC83" s="41">
        <v>325</v>
      </c>
      <c r="AD83" s="41">
        <v>15</v>
      </c>
      <c r="AE83" s="41">
        <v>3</v>
      </c>
      <c r="AF83" s="41">
        <f>AF82+3</f>
        <v>3246</v>
      </c>
      <c r="AG83" s="41">
        <v>242.99999999999955</v>
      </c>
      <c r="AH83" s="41">
        <v>216</v>
      </c>
      <c r="AI83" s="104">
        <f>Weather!C191</f>
        <v>13.293548387096774</v>
      </c>
      <c r="AJ83" s="104">
        <f>Weather!D191</f>
        <v>270.09999999999997</v>
      </c>
      <c r="AK83" s="104">
        <f>Weather!E191</f>
        <v>0.19999999999999929</v>
      </c>
      <c r="AL83" s="104">
        <f>Weather!F191</f>
        <v>210.99999999999997</v>
      </c>
      <c r="AM83" s="104">
        <f>Weather!G191</f>
        <v>3.0999999999999979</v>
      </c>
      <c r="AN83" s="104">
        <f>Weather!H191</f>
        <v>154</v>
      </c>
      <c r="AO83" s="104">
        <f>Weather!I191</f>
        <v>8.0999999999999979</v>
      </c>
      <c r="AP83" s="104">
        <f>Weather!J191</f>
        <v>103.3</v>
      </c>
      <c r="AQ83" s="104">
        <f>Weather!K191</f>
        <v>19.399999999999999</v>
      </c>
      <c r="AR83" s="104">
        <f>Weather!L191</f>
        <v>70.000000000000014</v>
      </c>
      <c r="AS83" s="104">
        <f>Weather!M191</f>
        <v>48.1</v>
      </c>
      <c r="AT83" s="104">
        <f>Weather!N191</f>
        <v>44.2</v>
      </c>
      <c r="AU83" s="104">
        <f>Weather!O191</f>
        <v>84.3</v>
      </c>
      <c r="AV83" s="104">
        <f>Weather!P191</f>
        <v>24.199999999999996</v>
      </c>
      <c r="AW83" s="104">
        <f>Weather!Q191</f>
        <v>126.3</v>
      </c>
      <c r="AX83" s="104">
        <f>Weather!R191</f>
        <v>9</v>
      </c>
      <c r="AY83" s="104">
        <f>Weather!S191</f>
        <v>173.09999999999997</v>
      </c>
      <c r="AZ83" s="119">
        <f>Economic!C83</f>
        <v>711695.1</v>
      </c>
      <c r="BA83" s="120">
        <f>Economic!D83</f>
        <v>7092.3</v>
      </c>
      <c r="BB83" s="120">
        <f>Economic!E83</f>
        <v>7117.9</v>
      </c>
      <c r="BC83" s="120">
        <f>Economic!F83</f>
        <v>3234.8</v>
      </c>
      <c r="BD83" s="120">
        <f>Economic!G83</f>
        <v>3233.9</v>
      </c>
      <c r="BE83" s="120">
        <f>Economic!H83</f>
        <v>420.8</v>
      </c>
      <c r="BF83" s="120">
        <f>Economic!I83</f>
        <v>420.5</v>
      </c>
      <c r="BG83" s="123">
        <f t="shared" si="81"/>
        <v>31</v>
      </c>
      <c r="BH83" s="123">
        <v>21</v>
      </c>
      <c r="BI83" s="123">
        <f t="shared" si="41"/>
        <v>82</v>
      </c>
      <c r="BJ83" s="123">
        <f t="shared" ref="BJ83:BX83" si="126">BJ71</f>
        <v>0</v>
      </c>
      <c r="BK83" s="123">
        <f t="shared" si="126"/>
        <v>0</v>
      </c>
      <c r="BL83" s="123">
        <f t="shared" si="126"/>
        <v>0</v>
      </c>
      <c r="BM83" s="123">
        <f t="shared" si="126"/>
        <v>0</v>
      </c>
      <c r="BN83" s="123">
        <f t="shared" si="126"/>
        <v>0</v>
      </c>
      <c r="BO83" s="123">
        <f t="shared" si="126"/>
        <v>0</v>
      </c>
      <c r="BP83" s="123">
        <f t="shared" si="126"/>
        <v>0</v>
      </c>
      <c r="BQ83" s="123">
        <f t="shared" si="126"/>
        <v>0</v>
      </c>
      <c r="BR83" s="123">
        <f t="shared" si="126"/>
        <v>0</v>
      </c>
      <c r="BS83" s="123">
        <f t="shared" si="126"/>
        <v>1</v>
      </c>
      <c r="BT83" s="123">
        <f t="shared" si="126"/>
        <v>0</v>
      </c>
      <c r="BU83" s="123">
        <f t="shared" si="126"/>
        <v>0</v>
      </c>
      <c r="BV83" s="123">
        <f t="shared" si="126"/>
        <v>0</v>
      </c>
      <c r="BW83" s="123">
        <f t="shared" si="126"/>
        <v>1</v>
      </c>
      <c r="BX83" s="123">
        <f t="shared" si="126"/>
        <v>1</v>
      </c>
      <c r="BY83" s="124">
        <v>0</v>
      </c>
      <c r="BZ83" s="124">
        <v>0</v>
      </c>
      <c r="CA83" s="124">
        <f t="shared" si="90"/>
        <v>0</v>
      </c>
      <c r="CB83" s="124">
        <f t="shared" si="91"/>
        <v>0</v>
      </c>
      <c r="CC83" s="124">
        <f t="shared" si="92"/>
        <v>0</v>
      </c>
      <c r="CD83" s="124">
        <f t="shared" si="93"/>
        <v>0</v>
      </c>
      <c r="CE83" s="124">
        <f t="shared" si="94"/>
        <v>0</v>
      </c>
      <c r="CF83" s="124">
        <f t="shared" si="95"/>
        <v>0</v>
      </c>
      <c r="CG83" s="124">
        <f t="shared" si="96"/>
        <v>0</v>
      </c>
      <c r="CH83" s="124">
        <f t="shared" si="97"/>
        <v>0</v>
      </c>
      <c r="CI83" s="124">
        <f t="shared" si="98"/>
        <v>0</v>
      </c>
      <c r="CJ83" s="124">
        <f t="shared" si="99"/>
        <v>0</v>
      </c>
      <c r="CK83" s="124">
        <f t="shared" si="100"/>
        <v>0</v>
      </c>
      <c r="CL83" s="124">
        <f t="shared" si="101"/>
        <v>0</v>
      </c>
      <c r="CM83" s="124">
        <f t="shared" si="102"/>
        <v>0</v>
      </c>
      <c r="CN83" s="124">
        <f t="shared" si="103"/>
        <v>0</v>
      </c>
      <c r="CO83" s="124">
        <f t="shared" si="104"/>
        <v>0</v>
      </c>
      <c r="CP83" s="124">
        <f t="shared" si="105"/>
        <v>0</v>
      </c>
      <c r="CQ83" s="138">
        <f t="shared" si="106"/>
        <v>622.48635371376042</v>
      </c>
      <c r="CR83" s="138">
        <f t="shared" si="107"/>
        <v>2371.2283992934413</v>
      </c>
      <c r="CS83" s="138">
        <f t="shared" si="108"/>
        <v>56801.223917419833</v>
      </c>
    </row>
    <row r="84" spans="1:97" x14ac:dyDescent="0.2">
      <c r="A84" s="115">
        <v>43040</v>
      </c>
      <c r="B84">
        <f t="shared" si="116"/>
        <v>2017</v>
      </c>
      <c r="C84">
        <f t="shared" si="117"/>
        <v>11</v>
      </c>
      <c r="D84" s="102">
        <v>22620692.693975899</v>
      </c>
      <c r="E84" s="131">
        <f>VLOOKUP($B84,'Historic CDM'!$L$5:$R$17,2,FALSE)/12</f>
        <v>958479.98780037428</v>
      </c>
      <c r="F84" s="131">
        <f t="shared" si="86"/>
        <v>23579172.681776274</v>
      </c>
      <c r="G84" s="102">
        <v>6629922.1975903567</v>
      </c>
      <c r="H84" s="131">
        <f>VLOOKUP($B84,'Historic CDM'!$L$5:$R$17,3,FALSE)/12</f>
        <v>425326.81217228295</v>
      </c>
      <c r="I84" s="131">
        <f t="shared" si="87"/>
        <v>7055249.0097626392</v>
      </c>
      <c r="J84" s="102">
        <v>17640730.698795177</v>
      </c>
      <c r="K84" s="131">
        <f>VLOOKUP($B84,'Historic CDM'!$L$5:$R$17,4,FALSE)/12</f>
        <v>1025745.4165349469</v>
      </c>
      <c r="L84" s="131">
        <f t="shared" si="88"/>
        <v>18666476.115330122</v>
      </c>
      <c r="M84" s="102">
        <v>9911645.0622366425</v>
      </c>
      <c r="N84" s="131">
        <f>VLOOKUP($B84,'Historic CDM'!$L$5:$R$17,5,FALSE)/12</f>
        <v>277959.16128373757</v>
      </c>
      <c r="O84" s="131">
        <f t="shared" si="66"/>
        <v>10189604.22352038</v>
      </c>
      <c r="P84" s="102">
        <v>11724178.297195144</v>
      </c>
      <c r="Q84" s="131">
        <f>VLOOKUP($B84,'Historic CDM'!$L$5:$R$17,6,FALSE)/12</f>
        <v>738507.12566245033</v>
      </c>
      <c r="R84" s="131">
        <f t="shared" si="67"/>
        <v>12462685.422857594</v>
      </c>
      <c r="S84" s="102">
        <v>92049.060240963852</v>
      </c>
      <c r="T84" s="102">
        <v>11798.36470588233</v>
      </c>
      <c r="U84" s="102">
        <v>781404.60722891567</v>
      </c>
      <c r="V84" s="102">
        <v>45361.090000000004</v>
      </c>
      <c r="W84" s="102">
        <v>23792.989999999998</v>
      </c>
      <c r="X84" s="102">
        <v>21631.56</v>
      </c>
      <c r="Y84" s="102">
        <v>1817.22</v>
      </c>
      <c r="Z84" s="102">
        <v>33.537905885337381</v>
      </c>
      <c r="AA84" s="41">
        <v>34794</v>
      </c>
      <c r="AB84" s="41">
        <v>2671</v>
      </c>
      <c r="AC84" s="41">
        <v>328</v>
      </c>
      <c r="AD84" s="41">
        <v>15</v>
      </c>
      <c r="AE84" s="41">
        <v>3</v>
      </c>
      <c r="AF84" s="41">
        <f>AF83</f>
        <v>3246</v>
      </c>
      <c r="AG84" s="41">
        <v>242.76470588235247</v>
      </c>
      <c r="AH84" s="41">
        <v>219</v>
      </c>
      <c r="AI84" s="104">
        <f>Weather!C192</f>
        <v>3.6866666666666674</v>
      </c>
      <c r="AJ84" s="104">
        <f>Weather!D192</f>
        <v>549.4</v>
      </c>
      <c r="AK84" s="104">
        <f>Weather!E192</f>
        <v>0</v>
      </c>
      <c r="AL84" s="104">
        <f>Weather!F192</f>
        <v>489.40000000000009</v>
      </c>
      <c r="AM84" s="104">
        <f>Weather!G192</f>
        <v>0</v>
      </c>
      <c r="AN84" s="104">
        <f>Weather!H192</f>
        <v>429.40000000000003</v>
      </c>
      <c r="AO84" s="104">
        <f>Weather!I192</f>
        <v>0</v>
      </c>
      <c r="AP84" s="104">
        <f>Weather!J192</f>
        <v>369.4</v>
      </c>
      <c r="AQ84" s="104">
        <f>Weather!K192</f>
        <v>0</v>
      </c>
      <c r="AR84" s="104">
        <f>Weather!L192</f>
        <v>309.40000000000003</v>
      </c>
      <c r="AS84" s="104">
        <f>Weather!M192</f>
        <v>0</v>
      </c>
      <c r="AT84" s="104">
        <f>Weather!N192</f>
        <v>249.40000000000003</v>
      </c>
      <c r="AU84" s="104">
        <f>Weather!O192</f>
        <v>0</v>
      </c>
      <c r="AV84" s="104">
        <f>Weather!P192</f>
        <v>191.20000000000005</v>
      </c>
      <c r="AW84" s="104">
        <f>Weather!Q192</f>
        <v>1.8000000000000007</v>
      </c>
      <c r="AX84" s="104">
        <f>Weather!R192</f>
        <v>136.10000000000002</v>
      </c>
      <c r="AY84" s="104">
        <f>Weather!S192</f>
        <v>6.7000000000000011</v>
      </c>
      <c r="AZ84" s="119">
        <f>Economic!C84</f>
        <v>711695.1</v>
      </c>
      <c r="BA84" s="120">
        <f>Economic!D84</f>
        <v>7114.4</v>
      </c>
      <c r="BB84" s="120">
        <f>Economic!E84</f>
        <v>7117.8</v>
      </c>
      <c r="BC84" s="120">
        <f>Economic!F84</f>
        <v>3248.6</v>
      </c>
      <c r="BD84" s="120">
        <f>Economic!G84</f>
        <v>3237.9</v>
      </c>
      <c r="BE84" s="120">
        <f>Economic!H84</f>
        <v>416.3</v>
      </c>
      <c r="BF84" s="120">
        <f>Economic!I84</f>
        <v>416.3</v>
      </c>
      <c r="BG84" s="123">
        <f t="shared" si="81"/>
        <v>30</v>
      </c>
      <c r="BH84" s="123">
        <v>20</v>
      </c>
      <c r="BI84" s="123">
        <f t="shared" si="41"/>
        <v>83</v>
      </c>
      <c r="BJ84" s="123">
        <f t="shared" ref="BJ84:BX84" si="127">BJ72</f>
        <v>0</v>
      </c>
      <c r="BK84" s="123">
        <f t="shared" si="127"/>
        <v>0</v>
      </c>
      <c r="BL84" s="123">
        <f t="shared" si="127"/>
        <v>0</v>
      </c>
      <c r="BM84" s="123">
        <f t="shared" si="127"/>
        <v>0</v>
      </c>
      <c r="BN84" s="123">
        <f t="shared" si="127"/>
        <v>0</v>
      </c>
      <c r="BO84" s="123">
        <f t="shared" si="127"/>
        <v>0</v>
      </c>
      <c r="BP84" s="123">
        <f t="shared" si="127"/>
        <v>0</v>
      </c>
      <c r="BQ84" s="123">
        <f t="shared" si="127"/>
        <v>0</v>
      </c>
      <c r="BR84" s="123">
        <f t="shared" si="127"/>
        <v>0</v>
      </c>
      <c r="BS84" s="123">
        <f t="shared" si="127"/>
        <v>0</v>
      </c>
      <c r="BT84" s="123">
        <f t="shared" si="127"/>
        <v>1</v>
      </c>
      <c r="BU84" s="123">
        <f t="shared" si="127"/>
        <v>0</v>
      </c>
      <c r="BV84" s="123">
        <f t="shared" si="127"/>
        <v>0</v>
      </c>
      <c r="BW84" s="123">
        <f t="shared" si="127"/>
        <v>1</v>
      </c>
      <c r="BX84" s="123">
        <f t="shared" si="127"/>
        <v>1</v>
      </c>
      <c r="BY84" s="124">
        <v>0</v>
      </c>
      <c r="BZ84" s="124">
        <v>0</v>
      </c>
      <c r="CA84" s="124">
        <f t="shared" si="90"/>
        <v>0</v>
      </c>
      <c r="CB84" s="124">
        <f t="shared" si="91"/>
        <v>0</v>
      </c>
      <c r="CC84" s="124">
        <f t="shared" si="92"/>
        <v>0</v>
      </c>
      <c r="CD84" s="124">
        <f t="shared" si="93"/>
        <v>0</v>
      </c>
      <c r="CE84" s="124">
        <f t="shared" si="94"/>
        <v>0</v>
      </c>
      <c r="CF84" s="124">
        <f t="shared" si="95"/>
        <v>0</v>
      </c>
      <c r="CG84" s="124">
        <f t="shared" si="96"/>
        <v>0</v>
      </c>
      <c r="CH84" s="124">
        <f t="shared" si="97"/>
        <v>0</v>
      </c>
      <c r="CI84" s="124">
        <f t="shared" si="98"/>
        <v>0</v>
      </c>
      <c r="CJ84" s="124">
        <f t="shared" si="99"/>
        <v>0</v>
      </c>
      <c r="CK84" s="124">
        <f t="shared" si="100"/>
        <v>0</v>
      </c>
      <c r="CL84" s="124">
        <f t="shared" si="101"/>
        <v>0</v>
      </c>
      <c r="CM84" s="124">
        <f t="shared" si="102"/>
        <v>0</v>
      </c>
      <c r="CN84" s="124">
        <f t="shared" si="103"/>
        <v>0</v>
      </c>
      <c r="CO84" s="124">
        <f t="shared" si="104"/>
        <v>0</v>
      </c>
      <c r="CP84" s="124">
        <f t="shared" si="105"/>
        <v>0</v>
      </c>
      <c r="CQ84" s="138">
        <f t="shared" si="106"/>
        <v>677.67927463862372</v>
      </c>
      <c r="CR84" s="138">
        <f t="shared" si="107"/>
        <v>2641.4260613113588</v>
      </c>
      <c r="CS84" s="138">
        <f t="shared" si="108"/>
        <v>56909.988156494277</v>
      </c>
    </row>
    <row r="85" spans="1:97" x14ac:dyDescent="0.2">
      <c r="A85" s="114">
        <v>43070</v>
      </c>
      <c r="B85">
        <f t="shared" si="116"/>
        <v>2017</v>
      </c>
      <c r="C85">
        <f t="shared" si="117"/>
        <v>12</v>
      </c>
      <c r="D85" s="102">
        <v>26519901.040963847</v>
      </c>
      <c r="E85" s="131">
        <f>VLOOKUP($B85,'Historic CDM'!$L$5:$R$17,2,FALSE)/12</f>
        <v>958479.98780037428</v>
      </c>
      <c r="F85" s="131">
        <f t="shared" si="86"/>
        <v>27478381.028764222</v>
      </c>
      <c r="G85" s="102">
        <v>7447066.4385542134</v>
      </c>
      <c r="H85" s="131">
        <f>VLOOKUP($B85,'Historic CDM'!$L$5:$R$17,3,FALSE)/12</f>
        <v>425326.81217228295</v>
      </c>
      <c r="I85" s="131">
        <f t="shared" si="87"/>
        <v>7872393.2507264968</v>
      </c>
      <c r="J85" s="102">
        <v>18421065.821686748</v>
      </c>
      <c r="K85" s="131">
        <f>VLOOKUP($B85,'Historic CDM'!$L$5:$R$17,4,FALSE)/12</f>
        <v>1025745.4165349469</v>
      </c>
      <c r="L85" s="131">
        <f t="shared" si="88"/>
        <v>19446811.238221694</v>
      </c>
      <c r="M85" s="102">
        <v>11628606.160701312</v>
      </c>
      <c r="N85" s="131">
        <f>VLOOKUP($B85,'Historic CDM'!$L$5:$R$17,5,FALSE)/12</f>
        <v>277959.16128373757</v>
      </c>
      <c r="O85" s="131">
        <f t="shared" si="66"/>
        <v>11906565.321985049</v>
      </c>
      <c r="P85" s="102">
        <v>10729850.18897951</v>
      </c>
      <c r="Q85" s="131">
        <f>VLOOKUP($B85,'Historic CDM'!$L$5:$R$17,6,FALSE)/12</f>
        <v>738507.12566245033</v>
      </c>
      <c r="R85" s="131">
        <f t="shared" si="67"/>
        <v>11468357.31464196</v>
      </c>
      <c r="S85" s="102">
        <v>92048.98313253012</v>
      </c>
      <c r="T85" s="102">
        <v>11786.929411764682</v>
      </c>
      <c r="U85" s="102">
        <v>852026.1686746988</v>
      </c>
      <c r="V85" s="102">
        <v>46999.599999999991</v>
      </c>
      <c r="W85" s="102">
        <v>25546.829999999998</v>
      </c>
      <c r="X85" s="102">
        <v>21903.02</v>
      </c>
      <c r="Y85" s="102">
        <v>1822.2</v>
      </c>
      <c r="Z85" s="102">
        <v>33.497434677828501</v>
      </c>
      <c r="AA85" s="41">
        <v>34878</v>
      </c>
      <c r="AB85" s="41">
        <v>2668</v>
      </c>
      <c r="AC85" s="41">
        <v>329</v>
      </c>
      <c r="AD85" s="41">
        <v>15</v>
      </c>
      <c r="AE85" s="41">
        <v>3</v>
      </c>
      <c r="AF85" s="41">
        <f>AF84+16</f>
        <v>3262</v>
      </c>
      <c r="AG85" s="41">
        <v>242.5294117647054</v>
      </c>
      <c r="AH85" s="41">
        <v>219</v>
      </c>
      <c r="AI85" s="104">
        <f>Weather!C193</f>
        <v>-5.1774193548387109</v>
      </c>
      <c r="AJ85" s="104">
        <f>Weather!D193</f>
        <v>842.5</v>
      </c>
      <c r="AK85" s="104">
        <f>Weather!E193</f>
        <v>0</v>
      </c>
      <c r="AL85" s="104">
        <f>Weather!F193</f>
        <v>780.49999999999989</v>
      </c>
      <c r="AM85" s="104">
        <f>Weather!G193</f>
        <v>0</v>
      </c>
      <c r="AN85" s="104">
        <f>Weather!H193</f>
        <v>718.49999999999989</v>
      </c>
      <c r="AO85" s="104">
        <f>Weather!I193</f>
        <v>0</v>
      </c>
      <c r="AP85" s="104">
        <f>Weather!J193</f>
        <v>656.49999999999989</v>
      </c>
      <c r="AQ85" s="104">
        <f>Weather!K193</f>
        <v>0</v>
      </c>
      <c r="AR85" s="104">
        <f>Weather!L193</f>
        <v>594.49999999999989</v>
      </c>
      <c r="AS85" s="104">
        <f>Weather!M193</f>
        <v>0</v>
      </c>
      <c r="AT85" s="104">
        <f>Weather!N193</f>
        <v>532.49999999999989</v>
      </c>
      <c r="AU85" s="104">
        <f>Weather!O193</f>
        <v>0</v>
      </c>
      <c r="AV85" s="104">
        <f>Weather!P193</f>
        <v>470.5</v>
      </c>
      <c r="AW85" s="104">
        <f>Weather!Q193</f>
        <v>0</v>
      </c>
      <c r="AX85" s="104">
        <f>Weather!R193</f>
        <v>408.5</v>
      </c>
      <c r="AY85" s="104">
        <f>Weather!S193</f>
        <v>0</v>
      </c>
      <c r="AZ85" s="119">
        <f>Economic!C85</f>
        <v>711695.1</v>
      </c>
      <c r="BA85" s="120">
        <f>Economic!D85</f>
        <v>7131.7</v>
      </c>
      <c r="BB85" s="120">
        <f>Economic!E85</f>
        <v>7140.2</v>
      </c>
      <c r="BC85" s="120">
        <f>Economic!F85</f>
        <v>3264.9</v>
      </c>
      <c r="BD85" s="120">
        <f>Economic!G85</f>
        <v>3263.5</v>
      </c>
      <c r="BE85" s="120">
        <f>Economic!H85</f>
        <v>411.7</v>
      </c>
      <c r="BF85" s="120">
        <f>Economic!I85</f>
        <v>413.2</v>
      </c>
      <c r="BG85" s="123">
        <f t="shared" si="81"/>
        <v>31</v>
      </c>
      <c r="BH85" s="123">
        <v>22</v>
      </c>
      <c r="BI85" s="123">
        <f t="shared" si="41"/>
        <v>84</v>
      </c>
      <c r="BJ85" s="123">
        <f t="shared" ref="BJ85:BX85" si="128">BJ73</f>
        <v>0</v>
      </c>
      <c r="BK85" s="123">
        <f t="shared" si="128"/>
        <v>0</v>
      </c>
      <c r="BL85" s="123">
        <f t="shared" si="128"/>
        <v>0</v>
      </c>
      <c r="BM85" s="123">
        <f t="shared" si="128"/>
        <v>0</v>
      </c>
      <c r="BN85" s="123">
        <f t="shared" si="128"/>
        <v>0</v>
      </c>
      <c r="BO85" s="123">
        <f t="shared" si="128"/>
        <v>0</v>
      </c>
      <c r="BP85" s="123">
        <f t="shared" si="128"/>
        <v>0</v>
      </c>
      <c r="BQ85" s="123">
        <f t="shared" si="128"/>
        <v>0</v>
      </c>
      <c r="BR85" s="123">
        <f t="shared" si="128"/>
        <v>0</v>
      </c>
      <c r="BS85" s="123">
        <f t="shared" si="128"/>
        <v>0</v>
      </c>
      <c r="BT85" s="123">
        <f t="shared" si="128"/>
        <v>0</v>
      </c>
      <c r="BU85" s="123">
        <f t="shared" si="128"/>
        <v>1</v>
      </c>
      <c r="BV85" s="123">
        <f t="shared" si="128"/>
        <v>0</v>
      </c>
      <c r="BW85" s="123">
        <f t="shared" si="128"/>
        <v>0</v>
      </c>
      <c r="BX85" s="123">
        <f t="shared" si="128"/>
        <v>0</v>
      </c>
      <c r="BY85" s="124">
        <v>0</v>
      </c>
      <c r="BZ85" s="124">
        <v>0</v>
      </c>
      <c r="CA85" s="124">
        <f t="shared" si="90"/>
        <v>0</v>
      </c>
      <c r="CB85" s="124">
        <f t="shared" si="91"/>
        <v>0</v>
      </c>
      <c r="CC85" s="124">
        <f t="shared" si="92"/>
        <v>0</v>
      </c>
      <c r="CD85" s="124">
        <f t="shared" si="93"/>
        <v>0</v>
      </c>
      <c r="CE85" s="124">
        <f t="shared" si="94"/>
        <v>0</v>
      </c>
      <c r="CF85" s="124">
        <f t="shared" si="95"/>
        <v>0</v>
      </c>
      <c r="CG85" s="124">
        <f t="shared" si="96"/>
        <v>0</v>
      </c>
      <c r="CH85" s="124">
        <f t="shared" si="97"/>
        <v>0</v>
      </c>
      <c r="CI85" s="124">
        <f t="shared" si="98"/>
        <v>0</v>
      </c>
      <c r="CJ85" s="124">
        <f t="shared" si="99"/>
        <v>0</v>
      </c>
      <c r="CK85" s="124">
        <f t="shared" si="100"/>
        <v>0</v>
      </c>
      <c r="CL85" s="124">
        <f t="shared" si="101"/>
        <v>0</v>
      </c>
      <c r="CM85" s="124">
        <f t="shared" si="102"/>
        <v>0</v>
      </c>
      <c r="CN85" s="124">
        <f t="shared" si="103"/>
        <v>0</v>
      </c>
      <c r="CO85" s="124">
        <f t="shared" si="104"/>
        <v>0</v>
      </c>
      <c r="CP85" s="124">
        <f t="shared" si="105"/>
        <v>0</v>
      </c>
      <c r="CQ85" s="138">
        <f t="shared" si="106"/>
        <v>787.8427957097374</v>
      </c>
      <c r="CR85" s="138">
        <f t="shared" si="107"/>
        <v>2950.6721329559582</v>
      </c>
      <c r="CS85" s="138">
        <f t="shared" si="108"/>
        <v>59108.848748394208</v>
      </c>
    </row>
    <row r="86" spans="1:97" x14ac:dyDescent="0.2">
      <c r="A86" s="115">
        <v>43101</v>
      </c>
      <c r="B86">
        <f t="shared" si="116"/>
        <v>2018</v>
      </c>
      <c r="C86">
        <f t="shared" si="117"/>
        <v>1</v>
      </c>
      <c r="D86" s="102">
        <v>28325353.78313252</v>
      </c>
      <c r="E86" s="131">
        <f>VLOOKUP($B86,'Historic CDM'!$L$5:$R$17,2,FALSE)/12</f>
        <v>1281849.6400688274</v>
      </c>
      <c r="F86" s="131">
        <f t="shared" si="86"/>
        <v>29607203.423201349</v>
      </c>
      <c r="G86" s="102">
        <v>8456682.110843366</v>
      </c>
      <c r="H86" s="131">
        <f>VLOOKUP($B86,'Historic CDM'!$L$5:$R$17,3,FALSE)/12</f>
        <v>516993.78053170216</v>
      </c>
      <c r="I86" s="131">
        <f t="shared" si="87"/>
        <v>8973675.8913750686</v>
      </c>
      <c r="J86" s="102">
        <v>19760806.669879515</v>
      </c>
      <c r="K86" s="131">
        <f>VLOOKUP($B86,'Historic CDM'!$L$5:$R$17,4,FALSE)/12</f>
        <v>1423583.7771266622</v>
      </c>
      <c r="L86" s="131">
        <f t="shared" si="88"/>
        <v>21184390.447006177</v>
      </c>
      <c r="M86" s="102">
        <v>11722124.231123164</v>
      </c>
      <c r="N86" s="131">
        <f>VLOOKUP($B86,'Historic CDM'!$L$5:$R$17,5,FALSE)/12</f>
        <v>475621.07408559509</v>
      </c>
      <c r="O86" s="131">
        <f t="shared" si="66"/>
        <v>12197745.305208759</v>
      </c>
      <c r="P86" s="102">
        <v>11779398.289238114</v>
      </c>
      <c r="Q86" s="131">
        <f>VLOOKUP($B86,'Historic CDM'!$L$5:$R$17,6,FALSE)/12</f>
        <v>739393.5284334257</v>
      </c>
      <c r="R86" s="131">
        <f t="shared" si="67"/>
        <v>12518791.817671539</v>
      </c>
      <c r="S86" s="102">
        <v>92049.060240963852</v>
      </c>
      <c r="T86" s="102">
        <v>11775.494117647035</v>
      </c>
      <c r="U86" s="102">
        <v>828489.54216867464</v>
      </c>
      <c r="V86" s="102">
        <v>47204.529999999992</v>
      </c>
      <c r="W86" s="102">
        <v>25624.309999999998</v>
      </c>
      <c r="X86" s="102">
        <v>21728.37</v>
      </c>
      <c r="Y86" s="102">
        <v>1822.2</v>
      </c>
      <c r="Z86" s="102">
        <v>33.456963470319621</v>
      </c>
      <c r="AA86" s="41">
        <v>34927</v>
      </c>
      <c r="AB86" s="41">
        <v>2666</v>
      </c>
      <c r="AC86" s="41">
        <v>327</v>
      </c>
      <c r="AD86" s="41">
        <v>15</v>
      </c>
      <c r="AE86" s="41">
        <v>3</v>
      </c>
      <c r="AF86" s="41">
        <v>3261.8852459016393</v>
      </c>
      <c r="AG86" s="41">
        <v>242.29411764705833</v>
      </c>
      <c r="AH86" s="41">
        <v>219</v>
      </c>
      <c r="AI86" s="104">
        <f>Weather!C194</f>
        <v>-5.6225806451612907</v>
      </c>
      <c r="AJ86" s="104">
        <f>Weather!D194</f>
        <v>856.3</v>
      </c>
      <c r="AK86" s="104">
        <f>Weather!E194</f>
        <v>0</v>
      </c>
      <c r="AL86" s="104">
        <f>Weather!F194</f>
        <v>794.29999999999984</v>
      </c>
      <c r="AM86" s="104">
        <f>Weather!G194</f>
        <v>0</v>
      </c>
      <c r="AN86" s="104">
        <f>Weather!H194</f>
        <v>732.29999999999984</v>
      </c>
      <c r="AO86" s="104">
        <f>Weather!I194</f>
        <v>0</v>
      </c>
      <c r="AP86" s="104">
        <f>Weather!J194</f>
        <v>670.29999999999984</v>
      </c>
      <c r="AQ86" s="104">
        <f>Weather!K194</f>
        <v>0</v>
      </c>
      <c r="AR86" s="104">
        <f>Weather!L194</f>
        <v>608.29999999999984</v>
      </c>
      <c r="AS86" s="104">
        <f>Weather!M194</f>
        <v>0</v>
      </c>
      <c r="AT86" s="104">
        <f>Weather!N194</f>
        <v>546.29999999999995</v>
      </c>
      <c r="AU86" s="104">
        <f>Weather!O194</f>
        <v>0</v>
      </c>
      <c r="AV86" s="104">
        <f>Weather!P194</f>
        <v>484.2999999999999</v>
      </c>
      <c r="AW86" s="104">
        <f>Weather!Q194</f>
        <v>0</v>
      </c>
      <c r="AX86" s="104">
        <f>Weather!R194</f>
        <v>422.89999999999992</v>
      </c>
      <c r="AY86" s="104">
        <f>Weather!S194</f>
        <v>0.59999999999999964</v>
      </c>
      <c r="AZ86" s="119">
        <f>Economic!C86</f>
        <v>732426.3</v>
      </c>
      <c r="BA86" s="120">
        <f>Economic!D86</f>
        <v>7129.8</v>
      </c>
      <c r="BB86" s="120">
        <f>Economic!E86</f>
        <v>7100.3</v>
      </c>
      <c r="BC86" s="120">
        <f>Economic!F86</f>
        <v>3268.4</v>
      </c>
      <c r="BD86" s="120">
        <f>Economic!G86</f>
        <v>3260.3</v>
      </c>
      <c r="BE86" s="120">
        <f>Economic!H86</f>
        <v>410.8</v>
      </c>
      <c r="BF86" s="120">
        <f>Economic!I86</f>
        <v>410.4</v>
      </c>
      <c r="BG86" s="123">
        <f t="shared" si="81"/>
        <v>31</v>
      </c>
      <c r="BH86" s="123">
        <v>20</v>
      </c>
      <c r="BI86" s="123">
        <f t="shared" si="41"/>
        <v>85</v>
      </c>
      <c r="BJ86" s="123">
        <f t="shared" ref="BJ86:BX86" si="129">BJ74</f>
        <v>1</v>
      </c>
      <c r="BK86" s="123">
        <f t="shared" si="129"/>
        <v>0</v>
      </c>
      <c r="BL86" s="123">
        <f t="shared" si="129"/>
        <v>0</v>
      </c>
      <c r="BM86" s="123">
        <f t="shared" si="129"/>
        <v>0</v>
      </c>
      <c r="BN86" s="123">
        <f t="shared" si="129"/>
        <v>0</v>
      </c>
      <c r="BO86" s="123">
        <f t="shared" si="129"/>
        <v>0</v>
      </c>
      <c r="BP86" s="123">
        <f t="shared" si="129"/>
        <v>0</v>
      </c>
      <c r="BQ86" s="123">
        <f t="shared" si="129"/>
        <v>0</v>
      </c>
      <c r="BR86" s="123">
        <f t="shared" si="129"/>
        <v>0</v>
      </c>
      <c r="BS86" s="123">
        <f t="shared" si="129"/>
        <v>0</v>
      </c>
      <c r="BT86" s="123">
        <f t="shared" si="129"/>
        <v>0</v>
      </c>
      <c r="BU86" s="123">
        <f t="shared" si="129"/>
        <v>0</v>
      </c>
      <c r="BV86" s="123">
        <f t="shared" si="129"/>
        <v>0</v>
      </c>
      <c r="BW86" s="123">
        <f t="shared" si="129"/>
        <v>0</v>
      </c>
      <c r="BX86" s="123">
        <f t="shared" si="129"/>
        <v>0</v>
      </c>
      <c r="BY86" s="124">
        <v>0</v>
      </c>
      <c r="BZ86" s="124">
        <v>0</v>
      </c>
      <c r="CA86" s="124">
        <f t="shared" si="90"/>
        <v>0</v>
      </c>
      <c r="CB86" s="124">
        <f t="shared" si="91"/>
        <v>0</v>
      </c>
      <c r="CC86" s="124">
        <f t="shared" si="92"/>
        <v>0</v>
      </c>
      <c r="CD86" s="124">
        <f t="shared" si="93"/>
        <v>0</v>
      </c>
      <c r="CE86" s="124">
        <f t="shared" si="94"/>
        <v>0</v>
      </c>
      <c r="CF86" s="124">
        <f t="shared" si="95"/>
        <v>0</v>
      </c>
      <c r="CG86" s="124">
        <f t="shared" si="96"/>
        <v>0</v>
      </c>
      <c r="CH86" s="124">
        <f t="shared" si="97"/>
        <v>0</v>
      </c>
      <c r="CI86" s="124">
        <f t="shared" si="98"/>
        <v>0</v>
      </c>
      <c r="CJ86" s="124">
        <f t="shared" si="99"/>
        <v>0</v>
      </c>
      <c r="CK86" s="124">
        <f t="shared" si="100"/>
        <v>0</v>
      </c>
      <c r="CL86" s="124">
        <f t="shared" si="101"/>
        <v>0</v>
      </c>
      <c r="CM86" s="124">
        <f t="shared" si="102"/>
        <v>0</v>
      </c>
      <c r="CN86" s="124">
        <f t="shared" si="103"/>
        <v>0</v>
      </c>
      <c r="CO86" s="124">
        <f t="shared" si="104"/>
        <v>0</v>
      </c>
      <c r="CP86" s="124">
        <f t="shared" si="105"/>
        <v>0</v>
      </c>
      <c r="CQ86" s="138">
        <f t="shared" si="106"/>
        <v>847.68813305469541</v>
      </c>
      <c r="CR86" s="138">
        <f t="shared" si="107"/>
        <v>3365.9699517535892</v>
      </c>
      <c r="CS86" s="138">
        <f t="shared" si="108"/>
        <v>64784.068645278829</v>
      </c>
    </row>
    <row r="87" spans="1:97" x14ac:dyDescent="0.2">
      <c r="A87" s="114">
        <v>43132</v>
      </c>
      <c r="B87">
        <f t="shared" si="116"/>
        <v>2018</v>
      </c>
      <c r="C87">
        <f t="shared" si="117"/>
        <v>2</v>
      </c>
      <c r="D87" s="102">
        <v>22897439.132530119</v>
      </c>
      <c r="E87" s="131">
        <f>VLOOKUP($B87,'Historic CDM'!$L$5:$R$17,2,FALSE)/12</f>
        <v>1281849.6400688274</v>
      </c>
      <c r="F87" s="131">
        <f t="shared" si="86"/>
        <v>24179288.772598948</v>
      </c>
      <c r="G87" s="102">
        <v>7043598.3132530134</v>
      </c>
      <c r="H87" s="131">
        <f>VLOOKUP($B87,'Historic CDM'!$L$5:$R$17,3,FALSE)/12</f>
        <v>516993.78053170216</v>
      </c>
      <c r="I87" s="131">
        <f t="shared" si="87"/>
        <v>7560592.093784716</v>
      </c>
      <c r="J87" s="102">
        <v>17343083.026506029</v>
      </c>
      <c r="K87" s="131">
        <f>VLOOKUP($B87,'Historic CDM'!$L$5:$R$17,4,FALSE)/12</f>
        <v>1423583.7771266622</v>
      </c>
      <c r="L87" s="131">
        <f t="shared" si="88"/>
        <v>18766666.803632692</v>
      </c>
      <c r="M87" s="102">
        <v>10043001.792027896</v>
      </c>
      <c r="N87" s="131">
        <f>VLOOKUP($B87,'Historic CDM'!$L$5:$R$17,5,FALSE)/12</f>
        <v>475621.07408559509</v>
      </c>
      <c r="O87" s="131">
        <f t="shared" si="66"/>
        <v>10518622.866113491</v>
      </c>
      <c r="P87" s="102">
        <v>11253144.131688878</v>
      </c>
      <c r="Q87" s="131">
        <f>VLOOKUP($B87,'Historic CDM'!$L$5:$R$17,6,FALSE)/12</f>
        <v>739393.5284334257</v>
      </c>
      <c r="R87" s="131">
        <f t="shared" si="67"/>
        <v>11992537.660122303</v>
      </c>
      <c r="S87" s="102">
        <v>92049.060240963852</v>
      </c>
      <c r="T87" s="102">
        <v>11764.058823529387</v>
      </c>
      <c r="U87" s="102">
        <v>693001.99518072279</v>
      </c>
      <c r="V87" s="102">
        <v>47056.87999999999</v>
      </c>
      <c r="W87" s="102">
        <v>22850.639999999996</v>
      </c>
      <c r="X87" s="102">
        <v>22176.16</v>
      </c>
      <c r="Y87" s="102">
        <v>1822.1</v>
      </c>
      <c r="Z87" s="102">
        <v>33.416492262810742</v>
      </c>
      <c r="AA87" s="41">
        <v>35069</v>
      </c>
      <c r="AB87" s="41">
        <v>2673</v>
      </c>
      <c r="AC87" s="41">
        <v>328</v>
      </c>
      <c r="AD87" s="41">
        <v>15</v>
      </c>
      <c r="AE87" s="41">
        <v>3</v>
      </c>
      <c r="AF87" s="41">
        <v>3261.8852459016393</v>
      </c>
      <c r="AG87" s="41">
        <v>242.05882352941126</v>
      </c>
      <c r="AH87" s="41">
        <v>219</v>
      </c>
      <c r="AI87" s="104">
        <f>Weather!C195</f>
        <v>-1.8214285714285698</v>
      </c>
      <c r="AJ87" s="104">
        <f>Weather!D195</f>
        <v>667</v>
      </c>
      <c r="AK87" s="104">
        <f>Weather!E195</f>
        <v>0</v>
      </c>
      <c r="AL87" s="104">
        <f>Weather!F195</f>
        <v>611</v>
      </c>
      <c r="AM87" s="104">
        <f>Weather!G195</f>
        <v>0</v>
      </c>
      <c r="AN87" s="104">
        <f>Weather!H195</f>
        <v>555.00000000000023</v>
      </c>
      <c r="AO87" s="104">
        <f>Weather!I195</f>
        <v>0</v>
      </c>
      <c r="AP87" s="104">
        <f>Weather!J195</f>
        <v>499.00000000000011</v>
      </c>
      <c r="AQ87" s="104">
        <f>Weather!K195</f>
        <v>0</v>
      </c>
      <c r="AR87" s="104">
        <f>Weather!L195</f>
        <v>443.00000000000011</v>
      </c>
      <c r="AS87" s="104">
        <f>Weather!M195</f>
        <v>0</v>
      </c>
      <c r="AT87" s="104">
        <f>Weather!N195</f>
        <v>387.00000000000011</v>
      </c>
      <c r="AU87" s="104">
        <f>Weather!O195</f>
        <v>0</v>
      </c>
      <c r="AV87" s="104">
        <f>Weather!P195</f>
        <v>331.00000000000011</v>
      </c>
      <c r="AW87" s="104">
        <f>Weather!Q195</f>
        <v>0</v>
      </c>
      <c r="AX87" s="104">
        <f>Weather!R195</f>
        <v>277.70000000000005</v>
      </c>
      <c r="AY87" s="104">
        <f>Weather!S195</f>
        <v>2.6999999999999993</v>
      </c>
      <c r="AZ87" s="119">
        <f>Economic!C87</f>
        <v>732426.3</v>
      </c>
      <c r="BA87" s="120">
        <f>Economic!D87</f>
        <v>7121.1</v>
      </c>
      <c r="BB87" s="120">
        <f>Economic!E87</f>
        <v>7053.7</v>
      </c>
      <c r="BC87" s="120">
        <f>Economic!F87</f>
        <v>3267.8</v>
      </c>
      <c r="BD87" s="120">
        <f>Economic!G87</f>
        <v>3248</v>
      </c>
      <c r="BE87" s="120">
        <f>Economic!H87</f>
        <v>406.4</v>
      </c>
      <c r="BF87" s="120">
        <f>Economic!I87</f>
        <v>403.5</v>
      </c>
      <c r="BG87" s="123">
        <f t="shared" si="81"/>
        <v>28</v>
      </c>
      <c r="BH87" s="123">
        <v>20</v>
      </c>
      <c r="BI87" s="123">
        <f t="shared" si="41"/>
        <v>86</v>
      </c>
      <c r="BJ87" s="123">
        <f t="shared" ref="BJ87:BX87" si="130">BJ75</f>
        <v>0</v>
      </c>
      <c r="BK87" s="123">
        <f t="shared" si="130"/>
        <v>1</v>
      </c>
      <c r="BL87" s="123">
        <f t="shared" si="130"/>
        <v>0</v>
      </c>
      <c r="BM87" s="123">
        <f t="shared" si="130"/>
        <v>0</v>
      </c>
      <c r="BN87" s="123">
        <f t="shared" si="130"/>
        <v>0</v>
      </c>
      <c r="BO87" s="123">
        <f t="shared" si="130"/>
        <v>0</v>
      </c>
      <c r="BP87" s="123">
        <f t="shared" si="130"/>
        <v>0</v>
      </c>
      <c r="BQ87" s="123">
        <f t="shared" si="130"/>
        <v>0</v>
      </c>
      <c r="BR87" s="123">
        <f t="shared" si="130"/>
        <v>0</v>
      </c>
      <c r="BS87" s="123">
        <f t="shared" si="130"/>
        <v>0</v>
      </c>
      <c r="BT87" s="123">
        <f t="shared" si="130"/>
        <v>0</v>
      </c>
      <c r="BU87" s="123">
        <f t="shared" si="130"/>
        <v>0</v>
      </c>
      <c r="BV87" s="123">
        <f t="shared" si="130"/>
        <v>0</v>
      </c>
      <c r="BW87" s="123">
        <f t="shared" si="130"/>
        <v>0</v>
      </c>
      <c r="BX87" s="123">
        <f t="shared" si="130"/>
        <v>0</v>
      </c>
      <c r="BY87" s="124">
        <v>0</v>
      </c>
      <c r="BZ87" s="124">
        <v>0</v>
      </c>
      <c r="CA87" s="124">
        <f t="shared" si="90"/>
        <v>0</v>
      </c>
      <c r="CB87" s="124">
        <f t="shared" si="91"/>
        <v>0</v>
      </c>
      <c r="CC87" s="124">
        <f t="shared" si="92"/>
        <v>0</v>
      </c>
      <c r="CD87" s="124">
        <f t="shared" si="93"/>
        <v>0</v>
      </c>
      <c r="CE87" s="124">
        <f t="shared" si="94"/>
        <v>0</v>
      </c>
      <c r="CF87" s="124">
        <f t="shared" si="95"/>
        <v>0</v>
      </c>
      <c r="CG87" s="124">
        <f t="shared" si="96"/>
        <v>0</v>
      </c>
      <c r="CH87" s="124">
        <f t="shared" si="97"/>
        <v>0</v>
      </c>
      <c r="CI87" s="124">
        <f t="shared" si="98"/>
        <v>0</v>
      </c>
      <c r="CJ87" s="124">
        <f t="shared" si="99"/>
        <v>0</v>
      </c>
      <c r="CK87" s="124">
        <f t="shared" si="100"/>
        <v>0</v>
      </c>
      <c r="CL87" s="124">
        <f t="shared" si="101"/>
        <v>0</v>
      </c>
      <c r="CM87" s="124">
        <f t="shared" si="102"/>
        <v>0</v>
      </c>
      <c r="CN87" s="124">
        <f t="shared" si="103"/>
        <v>0</v>
      </c>
      <c r="CO87" s="124">
        <f t="shared" si="104"/>
        <v>0</v>
      </c>
      <c r="CP87" s="124">
        <f t="shared" si="105"/>
        <v>0</v>
      </c>
      <c r="CQ87" s="138">
        <f t="shared" si="106"/>
        <v>689.47756630069148</v>
      </c>
      <c r="CR87" s="138">
        <f t="shared" si="107"/>
        <v>2828.5043373680196</v>
      </c>
      <c r="CS87" s="138">
        <f t="shared" si="108"/>
        <v>57215.447572050885</v>
      </c>
    </row>
    <row r="88" spans="1:97" x14ac:dyDescent="0.2">
      <c r="A88" s="115">
        <v>43160</v>
      </c>
      <c r="B88">
        <f t="shared" si="116"/>
        <v>2018</v>
      </c>
      <c r="C88">
        <f t="shared" si="117"/>
        <v>3</v>
      </c>
      <c r="D88" s="102">
        <v>24842177.96626506</v>
      </c>
      <c r="E88" s="131">
        <f>VLOOKUP($B88,'Historic CDM'!$L$5:$R$17,2,FALSE)/12</f>
        <v>1281849.6400688274</v>
      </c>
      <c r="F88" s="131">
        <f t="shared" si="86"/>
        <v>26124027.606333889</v>
      </c>
      <c r="G88" s="102">
        <v>7715573.493975902</v>
      </c>
      <c r="H88" s="131">
        <f>VLOOKUP($B88,'Historic CDM'!$L$5:$R$17,3,FALSE)/12</f>
        <v>516993.78053170216</v>
      </c>
      <c r="I88" s="131">
        <f t="shared" si="87"/>
        <v>8232567.2745076045</v>
      </c>
      <c r="J88" s="102">
        <v>16274077.571084337</v>
      </c>
      <c r="K88" s="131">
        <f>VLOOKUP($B88,'Historic CDM'!$L$5:$R$17,4,FALSE)/12</f>
        <v>1423583.7771266622</v>
      </c>
      <c r="L88" s="131">
        <f t="shared" si="88"/>
        <v>17697661.348210998</v>
      </c>
      <c r="M88" s="102">
        <v>10973596.348137742</v>
      </c>
      <c r="N88" s="131">
        <f>VLOOKUP($B88,'Historic CDM'!$L$5:$R$17,5,FALSE)/12</f>
        <v>475621.07408559509</v>
      </c>
      <c r="O88" s="131">
        <f t="shared" si="66"/>
        <v>11449217.422223337</v>
      </c>
      <c r="P88" s="102">
        <v>12334644.46986274</v>
      </c>
      <c r="Q88" s="131">
        <f>VLOOKUP($B88,'Historic CDM'!$L$5:$R$17,6,FALSE)/12</f>
        <v>739393.5284334257</v>
      </c>
      <c r="R88" s="131">
        <f t="shared" si="67"/>
        <v>13074037.998296166</v>
      </c>
      <c r="S88" s="102">
        <v>92049.060240963852</v>
      </c>
      <c r="T88" s="102">
        <v>11752.62352941174</v>
      </c>
      <c r="U88" s="102">
        <v>682524.95421686745</v>
      </c>
      <c r="V88" s="102">
        <v>40960.160000000011</v>
      </c>
      <c r="W88" s="102">
        <v>22826.75</v>
      </c>
      <c r="X88" s="102">
        <v>22078.27</v>
      </c>
      <c r="Y88" s="102">
        <v>1822.1</v>
      </c>
      <c r="Z88" s="102">
        <v>33.376021055301862</v>
      </c>
      <c r="AA88" s="41">
        <v>35293</v>
      </c>
      <c r="AB88" s="41">
        <v>2677</v>
      </c>
      <c r="AC88" s="41">
        <v>331</v>
      </c>
      <c r="AD88" s="41">
        <v>14</v>
      </c>
      <c r="AE88" s="41">
        <v>3</v>
      </c>
      <c r="AF88" s="41">
        <v>3261.8852459016393</v>
      </c>
      <c r="AG88" s="41">
        <v>241.82352941176418</v>
      </c>
      <c r="AH88" s="41">
        <v>219</v>
      </c>
      <c r="AI88" s="104">
        <f>Weather!C196</f>
        <v>0.1290322580645161</v>
      </c>
      <c r="AJ88" s="104">
        <f>Weather!D196</f>
        <v>677.99999999999977</v>
      </c>
      <c r="AK88" s="104">
        <f>Weather!E196</f>
        <v>0</v>
      </c>
      <c r="AL88" s="104">
        <f>Weather!F196</f>
        <v>615.99999999999989</v>
      </c>
      <c r="AM88" s="104">
        <f>Weather!G196</f>
        <v>0</v>
      </c>
      <c r="AN88" s="104">
        <f>Weather!H196</f>
        <v>553.99999999999989</v>
      </c>
      <c r="AO88" s="104">
        <f>Weather!I196</f>
        <v>0</v>
      </c>
      <c r="AP88" s="104">
        <f>Weather!J196</f>
        <v>492</v>
      </c>
      <c r="AQ88" s="104">
        <f>Weather!K196</f>
        <v>0</v>
      </c>
      <c r="AR88" s="104">
        <f>Weather!L196</f>
        <v>430</v>
      </c>
      <c r="AS88" s="104">
        <f>Weather!M196</f>
        <v>0</v>
      </c>
      <c r="AT88" s="104">
        <f>Weather!N196</f>
        <v>368</v>
      </c>
      <c r="AU88" s="104">
        <f>Weather!O196</f>
        <v>0</v>
      </c>
      <c r="AV88" s="104">
        <f>Weather!P196</f>
        <v>306.00000000000006</v>
      </c>
      <c r="AW88" s="104">
        <f>Weather!Q196</f>
        <v>0</v>
      </c>
      <c r="AX88" s="104">
        <f>Weather!R196</f>
        <v>244.00000000000003</v>
      </c>
      <c r="AY88" s="104">
        <f>Weather!S196</f>
        <v>0</v>
      </c>
      <c r="AZ88" s="119">
        <f>Economic!C88</f>
        <v>732426.3</v>
      </c>
      <c r="BA88" s="120">
        <f>Economic!D88</f>
        <v>7120.5</v>
      </c>
      <c r="BB88" s="120">
        <f>Economic!E88</f>
        <v>7013.3</v>
      </c>
      <c r="BC88" s="120">
        <f>Economic!F88</f>
        <v>3257.5</v>
      </c>
      <c r="BD88" s="120">
        <f>Economic!G88</f>
        <v>3219.6</v>
      </c>
      <c r="BE88" s="120">
        <f>Economic!H88</f>
        <v>404</v>
      </c>
      <c r="BF88" s="120">
        <f>Economic!I88</f>
        <v>397.8</v>
      </c>
      <c r="BG88" s="123">
        <f t="shared" si="81"/>
        <v>31</v>
      </c>
      <c r="BH88" s="123">
        <v>22</v>
      </c>
      <c r="BI88" s="123">
        <f t="shared" si="41"/>
        <v>87</v>
      </c>
      <c r="BJ88" s="123">
        <f t="shared" ref="BJ88:BX88" si="131">BJ76</f>
        <v>0</v>
      </c>
      <c r="BK88" s="123">
        <f t="shared" si="131"/>
        <v>0</v>
      </c>
      <c r="BL88" s="123">
        <f t="shared" si="131"/>
        <v>1</v>
      </c>
      <c r="BM88" s="123">
        <f t="shared" si="131"/>
        <v>0</v>
      </c>
      <c r="BN88" s="123">
        <f t="shared" si="131"/>
        <v>0</v>
      </c>
      <c r="BO88" s="123">
        <f t="shared" si="131"/>
        <v>0</v>
      </c>
      <c r="BP88" s="123">
        <f t="shared" si="131"/>
        <v>0</v>
      </c>
      <c r="BQ88" s="123">
        <f t="shared" si="131"/>
        <v>0</v>
      </c>
      <c r="BR88" s="123">
        <f t="shared" si="131"/>
        <v>0</v>
      </c>
      <c r="BS88" s="123">
        <f t="shared" si="131"/>
        <v>0</v>
      </c>
      <c r="BT88" s="123">
        <f t="shared" si="131"/>
        <v>0</v>
      </c>
      <c r="BU88" s="123">
        <f t="shared" si="131"/>
        <v>0</v>
      </c>
      <c r="BV88" s="123">
        <f t="shared" si="131"/>
        <v>1</v>
      </c>
      <c r="BW88" s="123">
        <f t="shared" si="131"/>
        <v>0</v>
      </c>
      <c r="BX88" s="123">
        <f t="shared" si="131"/>
        <v>1</v>
      </c>
      <c r="BY88" s="124">
        <v>0</v>
      </c>
      <c r="BZ88" s="124">
        <v>0</v>
      </c>
      <c r="CA88" s="124">
        <f t="shared" si="90"/>
        <v>0</v>
      </c>
      <c r="CB88" s="124">
        <f t="shared" si="91"/>
        <v>0</v>
      </c>
      <c r="CC88" s="124">
        <f t="shared" si="92"/>
        <v>0</v>
      </c>
      <c r="CD88" s="124">
        <f t="shared" si="93"/>
        <v>0</v>
      </c>
      <c r="CE88" s="124">
        <f t="shared" si="94"/>
        <v>0</v>
      </c>
      <c r="CF88" s="124">
        <f t="shared" si="95"/>
        <v>0</v>
      </c>
      <c r="CG88" s="124">
        <f t="shared" si="96"/>
        <v>0</v>
      </c>
      <c r="CH88" s="124">
        <f t="shared" si="97"/>
        <v>0</v>
      </c>
      <c r="CI88" s="124">
        <f t="shared" si="98"/>
        <v>0</v>
      </c>
      <c r="CJ88" s="124">
        <f t="shared" si="99"/>
        <v>0</v>
      </c>
      <c r="CK88" s="124">
        <f t="shared" si="100"/>
        <v>0</v>
      </c>
      <c r="CL88" s="124">
        <f t="shared" si="101"/>
        <v>0</v>
      </c>
      <c r="CM88" s="124">
        <f t="shared" si="102"/>
        <v>0</v>
      </c>
      <c r="CN88" s="124">
        <f t="shared" si="103"/>
        <v>0</v>
      </c>
      <c r="CO88" s="124">
        <f t="shared" si="104"/>
        <v>0</v>
      </c>
      <c r="CP88" s="124">
        <f t="shared" si="105"/>
        <v>0</v>
      </c>
      <c r="CQ88" s="138">
        <f t="shared" si="106"/>
        <v>740.20422197982293</v>
      </c>
      <c r="CR88" s="138">
        <f t="shared" si="107"/>
        <v>3075.295956110424</v>
      </c>
      <c r="CS88" s="138">
        <f t="shared" si="108"/>
        <v>53467.254828432015</v>
      </c>
    </row>
    <row r="89" spans="1:97" x14ac:dyDescent="0.2">
      <c r="A89" s="114">
        <v>43191</v>
      </c>
      <c r="B89">
        <f t="shared" si="116"/>
        <v>2018</v>
      </c>
      <c r="C89">
        <f t="shared" si="117"/>
        <v>4</v>
      </c>
      <c r="D89" s="102">
        <v>21016838.76626505</v>
      </c>
      <c r="E89" s="131">
        <f>VLOOKUP($B89,'Historic CDM'!$L$5:$R$17,2,FALSE)/12</f>
        <v>1281849.6400688274</v>
      </c>
      <c r="F89" s="131">
        <f t="shared" si="86"/>
        <v>22298688.406333879</v>
      </c>
      <c r="G89" s="102">
        <v>6658362.8048192756</v>
      </c>
      <c r="H89" s="131">
        <f>VLOOKUP($B89,'Historic CDM'!$L$5:$R$17,3,FALSE)/12</f>
        <v>516993.78053170216</v>
      </c>
      <c r="I89" s="131">
        <f t="shared" si="87"/>
        <v>7175356.5853509782</v>
      </c>
      <c r="J89" s="102">
        <v>17860673.320481922</v>
      </c>
      <c r="K89" s="131">
        <f>VLOOKUP($B89,'Historic CDM'!$L$5:$R$17,4,FALSE)/12</f>
        <v>1423583.7771266622</v>
      </c>
      <c r="L89" s="131">
        <f t="shared" si="88"/>
        <v>19284257.097608585</v>
      </c>
      <c r="M89" s="102">
        <v>10445657.306146171</v>
      </c>
      <c r="N89" s="131">
        <f>VLOOKUP($B89,'Historic CDM'!$L$5:$R$17,5,FALSE)/12</f>
        <v>475621.07408559509</v>
      </c>
      <c r="O89" s="131">
        <f t="shared" si="66"/>
        <v>10921278.380231766</v>
      </c>
      <c r="P89" s="102">
        <v>11484437.616868908</v>
      </c>
      <c r="Q89" s="131">
        <f>VLOOKUP($B89,'Historic CDM'!$L$5:$R$17,6,FALSE)/12</f>
        <v>739393.5284334257</v>
      </c>
      <c r="R89" s="131">
        <f t="shared" si="67"/>
        <v>12223831.145302333</v>
      </c>
      <c r="S89" s="102">
        <v>92049.060240963852</v>
      </c>
      <c r="T89" s="102">
        <v>11741.188235294092</v>
      </c>
      <c r="U89" s="102">
        <v>577293.75421686738</v>
      </c>
      <c r="V89" s="102">
        <v>46020.910000000018</v>
      </c>
      <c r="W89" s="102">
        <v>22235.699999999997</v>
      </c>
      <c r="X89" s="102">
        <v>21252.86</v>
      </c>
      <c r="Y89" s="102">
        <v>1818.25</v>
      </c>
      <c r="Z89" s="102">
        <v>33.335549847792983</v>
      </c>
      <c r="AA89" s="41">
        <v>35464</v>
      </c>
      <c r="AB89" s="41">
        <v>2679</v>
      </c>
      <c r="AC89" s="41">
        <v>332</v>
      </c>
      <c r="AD89" s="41">
        <v>14</v>
      </c>
      <c r="AE89" s="41">
        <v>3</v>
      </c>
      <c r="AF89" s="41">
        <v>3261.8852459016393</v>
      </c>
      <c r="AG89" s="41">
        <v>241.58823529411711</v>
      </c>
      <c r="AH89" s="41">
        <v>219</v>
      </c>
      <c r="AI89" s="104">
        <f>Weather!C197</f>
        <v>3.4266666666666667</v>
      </c>
      <c r="AJ89" s="104">
        <f>Weather!D197</f>
        <v>557.20000000000016</v>
      </c>
      <c r="AK89" s="104">
        <f>Weather!E197</f>
        <v>0</v>
      </c>
      <c r="AL89" s="104">
        <f>Weather!F197</f>
        <v>497.20000000000005</v>
      </c>
      <c r="AM89" s="104">
        <f>Weather!G197</f>
        <v>0</v>
      </c>
      <c r="AN89" s="104">
        <f>Weather!H197</f>
        <v>437.20000000000005</v>
      </c>
      <c r="AO89" s="104">
        <f>Weather!I197</f>
        <v>0</v>
      </c>
      <c r="AP89" s="104">
        <f>Weather!J197</f>
        <v>377.2</v>
      </c>
      <c r="AQ89" s="104">
        <f>Weather!K197</f>
        <v>0</v>
      </c>
      <c r="AR89" s="104">
        <f>Weather!L197</f>
        <v>317.2</v>
      </c>
      <c r="AS89" s="104">
        <f>Weather!M197</f>
        <v>0</v>
      </c>
      <c r="AT89" s="104">
        <f>Weather!N197</f>
        <v>257.19999999999993</v>
      </c>
      <c r="AU89" s="104">
        <f>Weather!O197</f>
        <v>0</v>
      </c>
      <c r="AV89" s="104">
        <f>Weather!P197</f>
        <v>200</v>
      </c>
      <c r="AW89" s="104">
        <f>Weather!Q197</f>
        <v>2.8000000000000007</v>
      </c>
      <c r="AX89" s="104">
        <f>Weather!R197</f>
        <v>148.69999999999996</v>
      </c>
      <c r="AY89" s="104">
        <f>Weather!S197</f>
        <v>11.5</v>
      </c>
      <c r="AZ89" s="119">
        <f>Economic!C89</f>
        <v>732426.3</v>
      </c>
      <c r="BA89" s="120">
        <f>Economic!D89</f>
        <v>7136.3</v>
      </c>
      <c r="BB89" s="120">
        <f>Economic!E89</f>
        <v>7043.4</v>
      </c>
      <c r="BC89" s="120">
        <f>Economic!F89</f>
        <v>3252.9</v>
      </c>
      <c r="BD89" s="120">
        <f>Economic!G89</f>
        <v>3221.9</v>
      </c>
      <c r="BE89" s="120">
        <f>Economic!H89</f>
        <v>400.5</v>
      </c>
      <c r="BF89" s="120">
        <f>Economic!I89</f>
        <v>394.1</v>
      </c>
      <c r="BG89" s="123">
        <f t="shared" si="81"/>
        <v>30</v>
      </c>
      <c r="BH89" s="123">
        <v>21</v>
      </c>
      <c r="BI89" s="123">
        <f t="shared" ref="BI89:BI133" si="132">1+BI88</f>
        <v>88</v>
      </c>
      <c r="BJ89" s="123">
        <f t="shared" ref="BJ89:BX89" si="133">BJ77</f>
        <v>0</v>
      </c>
      <c r="BK89" s="123">
        <f t="shared" si="133"/>
        <v>0</v>
      </c>
      <c r="BL89" s="123">
        <f t="shared" si="133"/>
        <v>0</v>
      </c>
      <c r="BM89" s="123">
        <f t="shared" si="133"/>
        <v>1</v>
      </c>
      <c r="BN89" s="123">
        <f t="shared" si="133"/>
        <v>0</v>
      </c>
      <c r="BO89" s="123">
        <f t="shared" si="133"/>
        <v>0</v>
      </c>
      <c r="BP89" s="123">
        <f t="shared" si="133"/>
        <v>0</v>
      </c>
      <c r="BQ89" s="123">
        <f t="shared" si="133"/>
        <v>0</v>
      </c>
      <c r="BR89" s="123">
        <f t="shared" si="133"/>
        <v>0</v>
      </c>
      <c r="BS89" s="123">
        <f t="shared" si="133"/>
        <v>0</v>
      </c>
      <c r="BT89" s="123">
        <f t="shared" si="133"/>
        <v>0</v>
      </c>
      <c r="BU89" s="123">
        <f t="shared" si="133"/>
        <v>0</v>
      </c>
      <c r="BV89" s="123">
        <f t="shared" si="133"/>
        <v>1</v>
      </c>
      <c r="BW89" s="123">
        <f t="shared" si="133"/>
        <v>0</v>
      </c>
      <c r="BX89" s="123">
        <f t="shared" si="133"/>
        <v>1</v>
      </c>
      <c r="BY89" s="124">
        <v>0</v>
      </c>
      <c r="BZ89" s="124">
        <v>0</v>
      </c>
      <c r="CA89" s="124">
        <f t="shared" si="90"/>
        <v>0</v>
      </c>
      <c r="CB89" s="124">
        <f t="shared" si="91"/>
        <v>0</v>
      </c>
      <c r="CC89" s="124">
        <f t="shared" si="92"/>
        <v>0</v>
      </c>
      <c r="CD89" s="124">
        <f t="shared" si="93"/>
        <v>0</v>
      </c>
      <c r="CE89" s="124">
        <f t="shared" si="94"/>
        <v>0</v>
      </c>
      <c r="CF89" s="124">
        <f t="shared" si="95"/>
        <v>0</v>
      </c>
      <c r="CG89" s="124">
        <f t="shared" si="96"/>
        <v>0</v>
      </c>
      <c r="CH89" s="124">
        <f t="shared" si="97"/>
        <v>0</v>
      </c>
      <c r="CI89" s="124">
        <f t="shared" si="98"/>
        <v>0</v>
      </c>
      <c r="CJ89" s="124">
        <f t="shared" si="99"/>
        <v>0</v>
      </c>
      <c r="CK89" s="124">
        <f t="shared" si="100"/>
        <v>0</v>
      </c>
      <c r="CL89" s="124">
        <f t="shared" si="101"/>
        <v>0</v>
      </c>
      <c r="CM89" s="124">
        <f t="shared" si="102"/>
        <v>0</v>
      </c>
      <c r="CN89" s="124">
        <f t="shared" si="103"/>
        <v>0</v>
      </c>
      <c r="CO89" s="124">
        <f t="shared" si="104"/>
        <v>0</v>
      </c>
      <c r="CP89" s="124">
        <f t="shared" si="105"/>
        <v>0</v>
      </c>
      <c r="CQ89" s="138">
        <f t="shared" si="106"/>
        <v>628.76969338861602</v>
      </c>
      <c r="CR89" s="138">
        <f t="shared" si="107"/>
        <v>2678.3712524639709</v>
      </c>
      <c r="CS89" s="138">
        <f t="shared" si="108"/>
        <v>58085.111739784894</v>
      </c>
    </row>
    <row r="90" spans="1:97" x14ac:dyDescent="0.2">
      <c r="A90" s="115">
        <v>43221</v>
      </c>
      <c r="B90">
        <f t="shared" si="116"/>
        <v>2018</v>
      </c>
      <c r="C90">
        <f t="shared" si="117"/>
        <v>5</v>
      </c>
      <c r="D90" s="102">
        <v>23626890.708433751</v>
      </c>
      <c r="E90" s="131">
        <f>VLOOKUP($B90,'Historic CDM'!$L$5:$R$17,2,FALSE)/12</f>
        <v>1281849.6400688274</v>
      </c>
      <c r="F90" s="131">
        <f t="shared" si="86"/>
        <v>24908740.34850258</v>
      </c>
      <c r="G90" s="102">
        <v>6587285.6771084294</v>
      </c>
      <c r="H90" s="131">
        <f>VLOOKUP($B90,'Historic CDM'!$L$5:$R$17,3,FALSE)/12</f>
        <v>516993.78053170216</v>
      </c>
      <c r="I90" s="131">
        <f t="shared" si="87"/>
        <v>7104279.4576401319</v>
      </c>
      <c r="J90" s="102">
        <v>18372275.971084341</v>
      </c>
      <c r="K90" s="131">
        <f>VLOOKUP($B90,'Historic CDM'!$L$5:$R$17,4,FALSE)/12</f>
        <v>1423583.7771266622</v>
      </c>
      <c r="L90" s="131">
        <f t="shared" si="88"/>
        <v>19795859.748211004</v>
      </c>
      <c r="M90" s="102">
        <v>11270983.426163604</v>
      </c>
      <c r="N90" s="131">
        <f>VLOOKUP($B90,'Historic CDM'!$L$5:$R$17,5,FALSE)/12</f>
        <v>475621.07408559509</v>
      </c>
      <c r="O90" s="131">
        <f t="shared" si="66"/>
        <v>11746604.5002492</v>
      </c>
      <c r="P90" s="102">
        <v>11583766.471056296</v>
      </c>
      <c r="Q90" s="131">
        <f>VLOOKUP($B90,'Historic CDM'!$L$5:$R$17,6,FALSE)/12</f>
        <v>739393.5284334257</v>
      </c>
      <c r="R90" s="131">
        <f t="shared" si="67"/>
        <v>12323159.999489721</v>
      </c>
      <c r="S90" s="102">
        <v>91657.118072289159</v>
      </c>
      <c r="T90" s="102">
        <v>11729.752941176444</v>
      </c>
      <c r="U90" s="102">
        <v>517966.78554216865</v>
      </c>
      <c r="V90" s="102">
        <v>52895.109999999993</v>
      </c>
      <c r="W90" s="102">
        <v>24977.22</v>
      </c>
      <c r="X90" s="102">
        <v>21249.45</v>
      </c>
      <c r="Y90" s="102">
        <v>1822.76</v>
      </c>
      <c r="Z90" s="102">
        <v>33.295078640284103</v>
      </c>
      <c r="AA90" s="41">
        <v>35588</v>
      </c>
      <c r="AB90" s="41">
        <v>2673</v>
      </c>
      <c r="AC90" s="41">
        <v>333</v>
      </c>
      <c r="AD90" s="41">
        <v>14</v>
      </c>
      <c r="AE90" s="41">
        <v>3</v>
      </c>
      <c r="AF90" s="41">
        <v>3261.8852459016393</v>
      </c>
      <c r="AG90" s="41">
        <v>241.35294117647004</v>
      </c>
      <c r="AH90" s="41">
        <v>220</v>
      </c>
      <c r="AI90" s="104">
        <f>Weather!C198</f>
        <v>16.970967741935482</v>
      </c>
      <c r="AJ90" s="104">
        <f>Weather!D198</f>
        <v>165.3</v>
      </c>
      <c r="AK90" s="104">
        <f>Weather!E198</f>
        <v>9.3999999999999986</v>
      </c>
      <c r="AL90" s="104">
        <f>Weather!F198</f>
        <v>119.3</v>
      </c>
      <c r="AM90" s="104">
        <f>Weather!G198</f>
        <v>25.4</v>
      </c>
      <c r="AN90" s="104">
        <f>Weather!H198</f>
        <v>75.3</v>
      </c>
      <c r="AO90" s="104">
        <f>Weather!I198</f>
        <v>43.4</v>
      </c>
      <c r="AP90" s="104">
        <f>Weather!J198</f>
        <v>39.300000000000004</v>
      </c>
      <c r="AQ90" s="104">
        <f>Weather!K198</f>
        <v>69.399999999999991</v>
      </c>
      <c r="AR90" s="104">
        <f>Weather!L198</f>
        <v>15</v>
      </c>
      <c r="AS90" s="104">
        <f>Weather!M198</f>
        <v>107.10000000000001</v>
      </c>
      <c r="AT90" s="104">
        <f>Weather!N198</f>
        <v>4.8000000000000007</v>
      </c>
      <c r="AU90" s="104">
        <f>Weather!O198</f>
        <v>158.9</v>
      </c>
      <c r="AV90" s="104">
        <f>Weather!P198</f>
        <v>1.9000000000000004</v>
      </c>
      <c r="AW90" s="104">
        <f>Weather!Q198</f>
        <v>218</v>
      </c>
      <c r="AX90" s="104">
        <f>Weather!R198</f>
        <v>0</v>
      </c>
      <c r="AY90" s="104">
        <f>Weather!S198</f>
        <v>278.09999999999997</v>
      </c>
      <c r="AZ90" s="119">
        <f>Economic!C90</f>
        <v>732426.3</v>
      </c>
      <c r="BA90" s="120">
        <f>Economic!D90</f>
        <v>7145.7</v>
      </c>
      <c r="BB90" s="120">
        <f>Economic!E90</f>
        <v>7111</v>
      </c>
      <c r="BC90" s="120">
        <f>Economic!F90</f>
        <v>3249.3</v>
      </c>
      <c r="BD90" s="120">
        <f>Economic!G90</f>
        <v>3240.7</v>
      </c>
      <c r="BE90" s="120">
        <f>Economic!H90</f>
        <v>402.3</v>
      </c>
      <c r="BF90" s="120">
        <f>Economic!I90</f>
        <v>398.2</v>
      </c>
      <c r="BG90" s="123">
        <f t="shared" si="81"/>
        <v>31</v>
      </c>
      <c r="BH90" s="123">
        <v>21</v>
      </c>
      <c r="BI90" s="123">
        <f t="shared" si="132"/>
        <v>89</v>
      </c>
      <c r="BJ90" s="123">
        <f t="shared" ref="BJ90:BX90" si="134">BJ78</f>
        <v>0</v>
      </c>
      <c r="BK90" s="123">
        <f t="shared" si="134"/>
        <v>0</v>
      </c>
      <c r="BL90" s="123">
        <f t="shared" si="134"/>
        <v>0</v>
      </c>
      <c r="BM90" s="123">
        <f t="shared" si="134"/>
        <v>0</v>
      </c>
      <c r="BN90" s="123">
        <f t="shared" si="134"/>
        <v>1</v>
      </c>
      <c r="BO90" s="123">
        <f t="shared" si="134"/>
        <v>0</v>
      </c>
      <c r="BP90" s="123">
        <f t="shared" si="134"/>
        <v>0</v>
      </c>
      <c r="BQ90" s="123">
        <f t="shared" si="134"/>
        <v>0</v>
      </c>
      <c r="BR90" s="123">
        <f t="shared" si="134"/>
        <v>0</v>
      </c>
      <c r="BS90" s="123">
        <f t="shared" si="134"/>
        <v>0</v>
      </c>
      <c r="BT90" s="123">
        <f t="shared" si="134"/>
        <v>0</v>
      </c>
      <c r="BU90" s="123">
        <f t="shared" si="134"/>
        <v>0</v>
      </c>
      <c r="BV90" s="123">
        <f t="shared" si="134"/>
        <v>1</v>
      </c>
      <c r="BW90" s="123">
        <f t="shared" si="134"/>
        <v>0</v>
      </c>
      <c r="BX90" s="123">
        <f t="shared" si="134"/>
        <v>1</v>
      </c>
      <c r="BY90" s="124">
        <v>0</v>
      </c>
      <c r="BZ90" s="124">
        <v>0</v>
      </c>
      <c r="CA90" s="124">
        <f t="shared" si="90"/>
        <v>0</v>
      </c>
      <c r="CB90" s="124">
        <f t="shared" si="91"/>
        <v>0</v>
      </c>
      <c r="CC90" s="124">
        <f t="shared" si="92"/>
        <v>0</v>
      </c>
      <c r="CD90" s="124">
        <f t="shared" si="93"/>
        <v>0</v>
      </c>
      <c r="CE90" s="124">
        <f t="shared" si="94"/>
        <v>0</v>
      </c>
      <c r="CF90" s="124">
        <f t="shared" si="95"/>
        <v>0</v>
      </c>
      <c r="CG90" s="124">
        <f t="shared" si="96"/>
        <v>0</v>
      </c>
      <c r="CH90" s="124">
        <f t="shared" si="97"/>
        <v>0</v>
      </c>
      <c r="CI90" s="124">
        <f t="shared" si="98"/>
        <v>0</v>
      </c>
      <c r="CJ90" s="124">
        <f t="shared" si="99"/>
        <v>0</v>
      </c>
      <c r="CK90" s="124">
        <f t="shared" si="100"/>
        <v>0</v>
      </c>
      <c r="CL90" s="124">
        <f t="shared" si="101"/>
        <v>0</v>
      </c>
      <c r="CM90" s="124">
        <f t="shared" si="102"/>
        <v>0</v>
      </c>
      <c r="CN90" s="124">
        <f t="shared" si="103"/>
        <v>0</v>
      </c>
      <c r="CO90" s="124">
        <f t="shared" si="104"/>
        <v>0</v>
      </c>
      <c r="CP90" s="124">
        <f t="shared" si="105"/>
        <v>0</v>
      </c>
      <c r="CQ90" s="138">
        <f t="shared" si="106"/>
        <v>699.9196456250022</v>
      </c>
      <c r="CR90" s="138">
        <f t="shared" si="107"/>
        <v>2657.7925393341311</v>
      </c>
      <c r="CS90" s="138">
        <f t="shared" si="108"/>
        <v>59447.026270903916</v>
      </c>
    </row>
    <row r="91" spans="1:97" x14ac:dyDescent="0.2">
      <c r="A91" s="114">
        <v>43252</v>
      </c>
      <c r="B91">
        <f t="shared" si="116"/>
        <v>2018</v>
      </c>
      <c r="C91">
        <f t="shared" si="117"/>
        <v>6</v>
      </c>
      <c r="D91" s="102">
        <v>32759189.532530148</v>
      </c>
      <c r="E91" s="131">
        <f>VLOOKUP($B91,'Historic CDM'!$L$5:$R$17,2,FALSE)/12</f>
        <v>1281849.6400688274</v>
      </c>
      <c r="F91" s="131">
        <f t="shared" si="86"/>
        <v>34041039.172598973</v>
      </c>
      <c r="G91" s="102">
        <v>7073215.3156626513</v>
      </c>
      <c r="H91" s="131">
        <f>VLOOKUP($B91,'Historic CDM'!$L$5:$R$17,3,FALSE)/12</f>
        <v>516993.78053170216</v>
      </c>
      <c r="I91" s="131">
        <f t="shared" si="87"/>
        <v>7590209.0961943539</v>
      </c>
      <c r="J91" s="102">
        <v>19648875.142168682</v>
      </c>
      <c r="K91" s="131">
        <f>VLOOKUP($B91,'Historic CDM'!$L$5:$R$17,4,FALSE)/12</f>
        <v>1423583.7771266622</v>
      </c>
      <c r="L91" s="131">
        <f t="shared" si="88"/>
        <v>21072458.919295345</v>
      </c>
      <c r="M91" s="102">
        <v>11308822.550491598</v>
      </c>
      <c r="N91" s="131">
        <f>VLOOKUP($B91,'Historic CDM'!$L$5:$R$17,5,FALSE)/12</f>
        <v>475621.07408559509</v>
      </c>
      <c r="O91" s="131">
        <f t="shared" si="66"/>
        <v>11784443.624577193</v>
      </c>
      <c r="P91" s="102">
        <v>10602262.13447384</v>
      </c>
      <c r="Q91" s="131">
        <f>VLOOKUP($B91,'Historic CDM'!$L$5:$R$17,6,FALSE)/12</f>
        <v>739393.5284334257</v>
      </c>
      <c r="R91" s="131">
        <f t="shared" si="67"/>
        <v>11341655.662907265</v>
      </c>
      <c r="S91" s="102">
        <v>90369.060240963852</v>
      </c>
      <c r="T91" s="102">
        <v>11718.317647058797</v>
      </c>
      <c r="U91" s="102">
        <v>469359.92289156624</v>
      </c>
      <c r="V91" s="102">
        <v>57582.119999999995</v>
      </c>
      <c r="W91" s="102">
        <v>24995.21</v>
      </c>
      <c r="X91" s="102">
        <v>21828.22</v>
      </c>
      <c r="Y91" s="102">
        <v>1822.76</v>
      </c>
      <c r="Z91" s="102">
        <v>33.254607432775224</v>
      </c>
      <c r="AA91" s="41">
        <v>35766</v>
      </c>
      <c r="AB91" s="41">
        <v>2677</v>
      </c>
      <c r="AC91" s="41">
        <v>333</v>
      </c>
      <c r="AD91" s="41">
        <v>14</v>
      </c>
      <c r="AE91" s="41">
        <v>3</v>
      </c>
      <c r="AF91" s="41">
        <v>3261.8852459016393</v>
      </c>
      <c r="AG91" s="41">
        <v>241.11764705882297</v>
      </c>
      <c r="AH91" s="41">
        <v>219</v>
      </c>
      <c r="AI91" s="104">
        <f>Weather!C199</f>
        <v>19.523333333333333</v>
      </c>
      <c r="AJ91" s="104">
        <f>Weather!D199</f>
        <v>93.900000000000034</v>
      </c>
      <c r="AK91" s="104">
        <f>Weather!E199</f>
        <v>19.600000000000001</v>
      </c>
      <c r="AL91" s="104">
        <f>Weather!F199</f>
        <v>49.600000000000009</v>
      </c>
      <c r="AM91" s="104">
        <f>Weather!G199</f>
        <v>35.299999999999997</v>
      </c>
      <c r="AN91" s="104">
        <f>Weather!H199</f>
        <v>14.8</v>
      </c>
      <c r="AO91" s="104">
        <f>Weather!I199</f>
        <v>60.500000000000014</v>
      </c>
      <c r="AP91" s="104">
        <f>Weather!J199</f>
        <v>5.6999999999999993</v>
      </c>
      <c r="AQ91" s="104">
        <f>Weather!K199</f>
        <v>111.39999999999998</v>
      </c>
      <c r="AR91" s="104">
        <f>Weather!L199</f>
        <v>1.6999999999999993</v>
      </c>
      <c r="AS91" s="104">
        <f>Weather!M199</f>
        <v>167.39999999999998</v>
      </c>
      <c r="AT91" s="104">
        <f>Weather!N199</f>
        <v>0</v>
      </c>
      <c r="AU91" s="104">
        <f>Weather!O199</f>
        <v>225.70000000000002</v>
      </c>
      <c r="AV91" s="104">
        <f>Weather!P199</f>
        <v>0</v>
      </c>
      <c r="AW91" s="104">
        <f>Weather!Q199</f>
        <v>285.7</v>
      </c>
      <c r="AX91" s="104">
        <f>Weather!R199</f>
        <v>0</v>
      </c>
      <c r="AY91" s="104">
        <f>Weather!S199</f>
        <v>345.70000000000005</v>
      </c>
      <c r="AZ91" s="119">
        <f>Economic!C91</f>
        <v>732426.3</v>
      </c>
      <c r="BA91" s="120">
        <f>Economic!D91</f>
        <v>7158.5</v>
      </c>
      <c r="BB91" s="120">
        <f>Economic!E91</f>
        <v>7203.7</v>
      </c>
      <c r="BC91" s="120">
        <f>Economic!F91</f>
        <v>3254.6</v>
      </c>
      <c r="BD91" s="120">
        <f>Economic!G91</f>
        <v>3275.5</v>
      </c>
      <c r="BE91" s="120">
        <f>Economic!H91</f>
        <v>404.5</v>
      </c>
      <c r="BF91" s="120">
        <f>Economic!I91</f>
        <v>403.9</v>
      </c>
      <c r="BG91" s="123">
        <f t="shared" si="81"/>
        <v>30</v>
      </c>
      <c r="BH91" s="123">
        <v>22</v>
      </c>
      <c r="BI91" s="123">
        <f t="shared" si="132"/>
        <v>90</v>
      </c>
      <c r="BJ91" s="123">
        <f t="shared" ref="BJ91:BX91" si="135">BJ79</f>
        <v>0</v>
      </c>
      <c r="BK91" s="123">
        <f t="shared" si="135"/>
        <v>0</v>
      </c>
      <c r="BL91" s="123">
        <f t="shared" si="135"/>
        <v>0</v>
      </c>
      <c r="BM91" s="123">
        <f t="shared" si="135"/>
        <v>0</v>
      </c>
      <c r="BN91" s="123">
        <f t="shared" si="135"/>
        <v>0</v>
      </c>
      <c r="BO91" s="123">
        <f t="shared" si="135"/>
        <v>1</v>
      </c>
      <c r="BP91" s="123">
        <f t="shared" si="135"/>
        <v>0</v>
      </c>
      <c r="BQ91" s="123">
        <f t="shared" si="135"/>
        <v>0</v>
      </c>
      <c r="BR91" s="123">
        <f t="shared" si="135"/>
        <v>0</v>
      </c>
      <c r="BS91" s="123">
        <f t="shared" si="135"/>
        <v>0</v>
      </c>
      <c r="BT91" s="123">
        <f t="shared" si="135"/>
        <v>0</v>
      </c>
      <c r="BU91" s="123">
        <f t="shared" si="135"/>
        <v>0</v>
      </c>
      <c r="BV91" s="123">
        <f t="shared" si="135"/>
        <v>0</v>
      </c>
      <c r="BW91" s="123">
        <f t="shared" si="135"/>
        <v>0</v>
      </c>
      <c r="BX91" s="123">
        <f t="shared" si="135"/>
        <v>0</v>
      </c>
      <c r="BY91" s="124">
        <v>0</v>
      </c>
      <c r="BZ91" s="124">
        <v>0</v>
      </c>
      <c r="CA91" s="124">
        <f t="shared" si="90"/>
        <v>0</v>
      </c>
      <c r="CB91" s="124">
        <f t="shared" si="91"/>
        <v>0</v>
      </c>
      <c r="CC91" s="124">
        <f t="shared" si="92"/>
        <v>0</v>
      </c>
      <c r="CD91" s="124">
        <f t="shared" si="93"/>
        <v>0</v>
      </c>
      <c r="CE91" s="124">
        <f t="shared" si="94"/>
        <v>0</v>
      </c>
      <c r="CF91" s="124">
        <f t="shared" si="95"/>
        <v>0</v>
      </c>
      <c r="CG91" s="124">
        <f t="shared" si="96"/>
        <v>0</v>
      </c>
      <c r="CH91" s="124">
        <f t="shared" si="97"/>
        <v>0</v>
      </c>
      <c r="CI91" s="124">
        <f t="shared" si="98"/>
        <v>0</v>
      </c>
      <c r="CJ91" s="124">
        <f t="shared" si="99"/>
        <v>0</v>
      </c>
      <c r="CK91" s="124">
        <f t="shared" si="100"/>
        <v>0</v>
      </c>
      <c r="CL91" s="124">
        <f t="shared" si="101"/>
        <v>0</v>
      </c>
      <c r="CM91" s="124">
        <f t="shared" si="102"/>
        <v>0</v>
      </c>
      <c r="CN91" s="124">
        <f t="shared" si="103"/>
        <v>0</v>
      </c>
      <c r="CO91" s="124">
        <f t="shared" si="104"/>
        <v>0</v>
      </c>
      <c r="CP91" s="124">
        <f t="shared" si="105"/>
        <v>0</v>
      </c>
      <c r="CQ91" s="138">
        <f t="shared" si="106"/>
        <v>951.77093252247869</v>
      </c>
      <c r="CR91" s="138">
        <f t="shared" si="107"/>
        <v>2835.341462904129</v>
      </c>
      <c r="CS91" s="138">
        <f t="shared" si="108"/>
        <v>63280.657415301335</v>
      </c>
    </row>
    <row r="92" spans="1:97" x14ac:dyDescent="0.2">
      <c r="A92" s="115">
        <v>43282</v>
      </c>
      <c r="B92">
        <f t="shared" si="116"/>
        <v>2018</v>
      </c>
      <c r="C92">
        <f t="shared" si="117"/>
        <v>7</v>
      </c>
      <c r="D92" s="102">
        <v>33985677.465060242</v>
      </c>
      <c r="E92" s="131">
        <f>VLOOKUP($B92,'Historic CDM'!$L$5:$R$17,2,FALSE)/12</f>
        <v>1281849.6400688274</v>
      </c>
      <c r="F92" s="131">
        <f t="shared" si="86"/>
        <v>35267527.105129071</v>
      </c>
      <c r="G92" s="102">
        <v>7168019.7397590335</v>
      </c>
      <c r="H92" s="131">
        <f>VLOOKUP($B92,'Historic CDM'!$L$5:$R$17,3,FALSE)/12</f>
        <v>516993.78053170216</v>
      </c>
      <c r="I92" s="131">
        <f t="shared" si="87"/>
        <v>7685013.5202907361</v>
      </c>
      <c r="J92" s="102">
        <v>19458868.327710845</v>
      </c>
      <c r="K92" s="131">
        <f>VLOOKUP($B92,'Historic CDM'!$L$5:$R$17,4,FALSE)/12</f>
        <v>1423583.7771266622</v>
      </c>
      <c r="L92" s="131">
        <f t="shared" si="88"/>
        <v>20882452.104837507</v>
      </c>
      <c r="M92" s="102">
        <v>11429863.534653943</v>
      </c>
      <c r="N92" s="131">
        <f>VLOOKUP($B92,'Historic CDM'!$L$5:$R$17,5,FALSE)/12</f>
        <v>475621.07408559509</v>
      </c>
      <c r="O92" s="131">
        <f t="shared" si="66"/>
        <v>11905484.608739538</v>
      </c>
      <c r="P92" s="102">
        <v>10755600.885219812</v>
      </c>
      <c r="Q92" s="131">
        <f>VLOOKUP($B92,'Historic CDM'!$L$5:$R$17,6,FALSE)/12</f>
        <v>739393.5284334257</v>
      </c>
      <c r="R92" s="131">
        <f t="shared" si="67"/>
        <v>11494994.413653238</v>
      </c>
      <c r="S92" s="102">
        <v>90369.060240963852</v>
      </c>
      <c r="T92" s="102">
        <v>11706.882352941149</v>
      </c>
      <c r="U92" s="102">
        <v>503841.52289156622</v>
      </c>
      <c r="V92" s="102">
        <v>53568.299999999996</v>
      </c>
      <c r="W92" s="102">
        <v>26503.870000000003</v>
      </c>
      <c r="X92" s="102">
        <v>21979.93</v>
      </c>
      <c r="Y92" s="102">
        <v>1822.76</v>
      </c>
      <c r="Z92" s="102">
        <v>33.214136225266344</v>
      </c>
      <c r="AA92" s="41">
        <v>35939</v>
      </c>
      <c r="AB92" s="41">
        <v>2686</v>
      </c>
      <c r="AC92" s="41">
        <v>335</v>
      </c>
      <c r="AD92" s="41">
        <v>14</v>
      </c>
      <c r="AE92" s="41">
        <v>3</v>
      </c>
      <c r="AF92" s="41">
        <v>3261.8852459016393</v>
      </c>
      <c r="AG92" s="41">
        <v>240.8823529411759</v>
      </c>
      <c r="AH92" s="41">
        <v>219</v>
      </c>
      <c r="AI92" s="104">
        <f>Weather!C200</f>
        <v>23.412903225806449</v>
      </c>
      <c r="AJ92" s="104">
        <f>Weather!D200</f>
        <v>14.600000000000001</v>
      </c>
      <c r="AK92" s="104">
        <f>Weather!E200</f>
        <v>58.400000000000006</v>
      </c>
      <c r="AL92" s="104">
        <f>Weather!F200</f>
        <v>1.3000000000000007</v>
      </c>
      <c r="AM92" s="104">
        <f>Weather!G200</f>
        <v>107.10000000000002</v>
      </c>
      <c r="AN92" s="104">
        <f>Weather!H200</f>
        <v>0</v>
      </c>
      <c r="AO92" s="104">
        <f>Weather!I200</f>
        <v>167.80000000000004</v>
      </c>
      <c r="AP92" s="104">
        <f>Weather!J200</f>
        <v>0</v>
      </c>
      <c r="AQ92" s="104">
        <f>Weather!K200</f>
        <v>229.79999999999998</v>
      </c>
      <c r="AR92" s="104">
        <f>Weather!L200</f>
        <v>0</v>
      </c>
      <c r="AS92" s="104">
        <f>Weather!M200</f>
        <v>291.79999999999995</v>
      </c>
      <c r="AT92" s="104">
        <f>Weather!N200</f>
        <v>0</v>
      </c>
      <c r="AU92" s="104">
        <f>Weather!O200</f>
        <v>353.79999999999995</v>
      </c>
      <c r="AV92" s="104">
        <f>Weather!P200</f>
        <v>0</v>
      </c>
      <c r="AW92" s="104">
        <f>Weather!Q200</f>
        <v>415.79999999999995</v>
      </c>
      <c r="AX92" s="104">
        <f>Weather!R200</f>
        <v>0</v>
      </c>
      <c r="AY92" s="104">
        <f>Weather!S200</f>
        <v>477.79999999999995</v>
      </c>
      <c r="AZ92" s="119">
        <f>Economic!C92</f>
        <v>732426.3</v>
      </c>
      <c r="BA92" s="120">
        <f>Economic!D92</f>
        <v>7189.2</v>
      </c>
      <c r="BB92" s="120">
        <f>Economic!E92</f>
        <v>7285.2</v>
      </c>
      <c r="BC92" s="120">
        <f>Economic!F92</f>
        <v>3268.2</v>
      </c>
      <c r="BD92" s="120">
        <f>Economic!G92</f>
        <v>3307.7</v>
      </c>
      <c r="BE92" s="120">
        <f>Economic!H92</f>
        <v>405.1</v>
      </c>
      <c r="BF92" s="120">
        <f>Economic!I92</f>
        <v>407.9</v>
      </c>
      <c r="BG92" s="123">
        <f t="shared" si="81"/>
        <v>31</v>
      </c>
      <c r="BH92" s="123">
        <v>20</v>
      </c>
      <c r="BI92" s="123">
        <f t="shared" si="132"/>
        <v>91</v>
      </c>
      <c r="BJ92" s="123">
        <f t="shared" ref="BJ92:BX92" si="136">BJ80</f>
        <v>0</v>
      </c>
      <c r="BK92" s="123">
        <f t="shared" si="136"/>
        <v>0</v>
      </c>
      <c r="BL92" s="123">
        <f t="shared" si="136"/>
        <v>0</v>
      </c>
      <c r="BM92" s="123">
        <f t="shared" si="136"/>
        <v>0</v>
      </c>
      <c r="BN92" s="123">
        <f t="shared" si="136"/>
        <v>0</v>
      </c>
      <c r="BO92" s="123">
        <f t="shared" si="136"/>
        <v>0</v>
      </c>
      <c r="BP92" s="123">
        <f t="shared" si="136"/>
        <v>1</v>
      </c>
      <c r="BQ92" s="123">
        <f t="shared" si="136"/>
        <v>0</v>
      </c>
      <c r="BR92" s="123">
        <f t="shared" si="136"/>
        <v>0</v>
      </c>
      <c r="BS92" s="123">
        <f t="shared" si="136"/>
        <v>0</v>
      </c>
      <c r="BT92" s="123">
        <f t="shared" si="136"/>
        <v>0</v>
      </c>
      <c r="BU92" s="123">
        <f t="shared" si="136"/>
        <v>0</v>
      </c>
      <c r="BV92" s="123">
        <f t="shared" si="136"/>
        <v>0</v>
      </c>
      <c r="BW92" s="123">
        <f t="shared" si="136"/>
        <v>0</v>
      </c>
      <c r="BX92" s="123">
        <f t="shared" si="136"/>
        <v>0</v>
      </c>
      <c r="BY92" s="124">
        <v>0</v>
      </c>
      <c r="BZ92" s="124">
        <v>0</v>
      </c>
      <c r="CA92" s="124">
        <f t="shared" si="90"/>
        <v>0</v>
      </c>
      <c r="CB92" s="124">
        <f t="shared" si="91"/>
        <v>0</v>
      </c>
      <c r="CC92" s="124">
        <f t="shared" si="92"/>
        <v>0</v>
      </c>
      <c r="CD92" s="124">
        <f t="shared" si="93"/>
        <v>0</v>
      </c>
      <c r="CE92" s="124">
        <f t="shared" si="94"/>
        <v>0</v>
      </c>
      <c r="CF92" s="124">
        <f t="shared" si="95"/>
        <v>0</v>
      </c>
      <c r="CG92" s="124">
        <f t="shared" si="96"/>
        <v>0</v>
      </c>
      <c r="CH92" s="124">
        <f t="shared" si="97"/>
        <v>0</v>
      </c>
      <c r="CI92" s="124">
        <f t="shared" si="98"/>
        <v>0</v>
      </c>
      <c r="CJ92" s="124">
        <f t="shared" si="99"/>
        <v>0</v>
      </c>
      <c r="CK92" s="124">
        <f t="shared" si="100"/>
        <v>0</v>
      </c>
      <c r="CL92" s="124">
        <f t="shared" si="101"/>
        <v>0</v>
      </c>
      <c r="CM92" s="124">
        <f t="shared" si="102"/>
        <v>0</v>
      </c>
      <c r="CN92" s="124">
        <f t="shared" si="103"/>
        <v>0</v>
      </c>
      <c r="CO92" s="124">
        <f t="shared" si="104"/>
        <v>0</v>
      </c>
      <c r="CP92" s="124">
        <f t="shared" si="105"/>
        <v>0</v>
      </c>
      <c r="CQ92" s="138">
        <f t="shared" si="106"/>
        <v>981.31631667906925</v>
      </c>
      <c r="CR92" s="138">
        <f t="shared" si="107"/>
        <v>2861.1368281052628</v>
      </c>
      <c r="CS92" s="138">
        <f t="shared" si="108"/>
        <v>62335.677924888078</v>
      </c>
    </row>
    <row r="93" spans="1:97" x14ac:dyDescent="0.2">
      <c r="A93" s="114">
        <v>43313</v>
      </c>
      <c r="B93">
        <f t="shared" si="116"/>
        <v>2018</v>
      </c>
      <c r="C93">
        <f t="shared" si="117"/>
        <v>8</v>
      </c>
      <c r="D93" s="102">
        <v>36600647.12289153</v>
      </c>
      <c r="E93" s="131">
        <f>VLOOKUP($B93,'Historic CDM'!$L$5:$R$17,2,FALSE)/12</f>
        <v>1281849.6400688274</v>
      </c>
      <c r="F93" s="131">
        <f t="shared" si="86"/>
        <v>37882496.762960359</v>
      </c>
      <c r="G93" s="102">
        <v>7788838.81445783</v>
      </c>
      <c r="H93" s="131">
        <f>VLOOKUP($B93,'Historic CDM'!$L$5:$R$17,3,FALSE)/12</f>
        <v>516993.78053170216</v>
      </c>
      <c r="I93" s="131">
        <f t="shared" si="87"/>
        <v>8305832.5949895326</v>
      </c>
      <c r="J93" s="102">
        <v>20075782.737349391</v>
      </c>
      <c r="K93" s="131">
        <f>VLOOKUP($B93,'Historic CDM'!$L$5:$R$17,4,FALSE)/12</f>
        <v>1423583.7771266622</v>
      </c>
      <c r="L93" s="131">
        <f t="shared" si="88"/>
        <v>21499366.514476053</v>
      </c>
      <c r="M93" s="102">
        <v>11497631.113478955</v>
      </c>
      <c r="N93" s="131">
        <f>VLOOKUP($B93,'Historic CDM'!$L$5:$R$17,5,FALSE)/12</f>
        <v>475621.07408559509</v>
      </c>
      <c r="O93" s="131">
        <f t="shared" si="66"/>
        <v>11973252.18756455</v>
      </c>
      <c r="P93" s="102">
        <v>11771442.868510045</v>
      </c>
      <c r="Q93" s="131">
        <f>VLOOKUP($B93,'Historic CDM'!$L$5:$R$17,6,FALSE)/12</f>
        <v>739393.5284334257</v>
      </c>
      <c r="R93" s="131">
        <f t="shared" si="67"/>
        <v>12510836.39694347</v>
      </c>
      <c r="S93" s="102">
        <v>90369.060240963852</v>
      </c>
      <c r="T93" s="102">
        <v>11695.447058823502</v>
      </c>
      <c r="U93" s="102">
        <v>570219.82650602411</v>
      </c>
      <c r="V93" s="102">
        <v>53233.079999999987</v>
      </c>
      <c r="W93" s="102">
        <v>25726.99</v>
      </c>
      <c r="X93" s="102">
        <v>22971.95</v>
      </c>
      <c r="Y93" s="102">
        <v>1824.22</v>
      </c>
      <c r="Z93" s="102">
        <v>33.173665017757465</v>
      </c>
      <c r="AA93" s="41">
        <v>36069</v>
      </c>
      <c r="AB93" s="41">
        <v>2693</v>
      </c>
      <c r="AC93" s="41">
        <v>329</v>
      </c>
      <c r="AD93" s="41">
        <v>14</v>
      </c>
      <c r="AE93" s="41">
        <v>3</v>
      </c>
      <c r="AF93" s="41">
        <v>3261.8852459016393</v>
      </c>
      <c r="AG93" s="41">
        <v>240.64705882352882</v>
      </c>
      <c r="AH93" s="41">
        <v>219</v>
      </c>
      <c r="AI93" s="104">
        <f>Weather!C201</f>
        <v>23.199999999999996</v>
      </c>
      <c r="AJ93" s="104">
        <f>Weather!D201</f>
        <v>17.099999999999994</v>
      </c>
      <c r="AK93" s="104">
        <f>Weather!E201</f>
        <v>54.3</v>
      </c>
      <c r="AL93" s="104">
        <f>Weather!F201</f>
        <v>5.0999999999999979</v>
      </c>
      <c r="AM93" s="104">
        <f>Weather!G201</f>
        <v>104.3</v>
      </c>
      <c r="AN93" s="104">
        <f>Weather!H201</f>
        <v>1.1999999999999993</v>
      </c>
      <c r="AO93" s="104">
        <f>Weather!I201</f>
        <v>162.4</v>
      </c>
      <c r="AP93" s="104">
        <f>Weather!J201</f>
        <v>0</v>
      </c>
      <c r="AQ93" s="104">
        <f>Weather!K201</f>
        <v>223.20000000000002</v>
      </c>
      <c r="AR93" s="104">
        <f>Weather!L201</f>
        <v>0</v>
      </c>
      <c r="AS93" s="104">
        <f>Weather!M201</f>
        <v>285.2</v>
      </c>
      <c r="AT93" s="104">
        <f>Weather!N201</f>
        <v>0</v>
      </c>
      <c r="AU93" s="104">
        <f>Weather!O201</f>
        <v>347.2</v>
      </c>
      <c r="AV93" s="104">
        <f>Weather!P201</f>
        <v>0</v>
      </c>
      <c r="AW93" s="104">
        <f>Weather!Q201</f>
        <v>409.19999999999993</v>
      </c>
      <c r="AX93" s="104">
        <f>Weather!R201</f>
        <v>0</v>
      </c>
      <c r="AY93" s="104">
        <f>Weather!S201</f>
        <v>471.2</v>
      </c>
      <c r="AZ93" s="119">
        <f>Economic!C93</f>
        <v>732426.3</v>
      </c>
      <c r="BA93" s="120">
        <f>Economic!D93</f>
        <v>7191.8</v>
      </c>
      <c r="BB93" s="120">
        <f>Economic!E93</f>
        <v>7290.7</v>
      </c>
      <c r="BC93" s="120">
        <f>Economic!F93</f>
        <v>3263.2</v>
      </c>
      <c r="BD93" s="120">
        <f>Economic!G93</f>
        <v>3300.5</v>
      </c>
      <c r="BE93" s="120">
        <f>Economic!H93</f>
        <v>401.7</v>
      </c>
      <c r="BF93" s="120">
        <f>Economic!I93</f>
        <v>405.3</v>
      </c>
      <c r="BG93" s="123">
        <f t="shared" si="81"/>
        <v>31</v>
      </c>
      <c r="BH93" s="123">
        <v>22</v>
      </c>
      <c r="BI93" s="123">
        <f t="shared" si="132"/>
        <v>92</v>
      </c>
      <c r="BJ93" s="123">
        <f t="shared" ref="BJ93:BX93" si="137">BJ81</f>
        <v>0</v>
      </c>
      <c r="BK93" s="123">
        <f t="shared" si="137"/>
        <v>0</v>
      </c>
      <c r="BL93" s="123">
        <f t="shared" si="137"/>
        <v>0</v>
      </c>
      <c r="BM93" s="123">
        <f t="shared" si="137"/>
        <v>0</v>
      </c>
      <c r="BN93" s="123">
        <f t="shared" si="137"/>
        <v>0</v>
      </c>
      <c r="BO93" s="123">
        <f t="shared" si="137"/>
        <v>0</v>
      </c>
      <c r="BP93" s="123">
        <f t="shared" si="137"/>
        <v>0</v>
      </c>
      <c r="BQ93" s="123">
        <f t="shared" si="137"/>
        <v>1</v>
      </c>
      <c r="BR93" s="123">
        <f t="shared" si="137"/>
        <v>0</v>
      </c>
      <c r="BS93" s="123">
        <f t="shared" si="137"/>
        <v>0</v>
      </c>
      <c r="BT93" s="123">
        <f t="shared" si="137"/>
        <v>0</v>
      </c>
      <c r="BU93" s="123">
        <f t="shared" si="137"/>
        <v>0</v>
      </c>
      <c r="BV93" s="123">
        <f t="shared" si="137"/>
        <v>0</v>
      </c>
      <c r="BW93" s="123">
        <f t="shared" si="137"/>
        <v>0</v>
      </c>
      <c r="BX93" s="123">
        <f t="shared" si="137"/>
        <v>0</v>
      </c>
      <c r="BY93" s="124">
        <v>0</v>
      </c>
      <c r="BZ93" s="124">
        <v>0</v>
      </c>
      <c r="CA93" s="124">
        <f t="shared" si="90"/>
        <v>0</v>
      </c>
      <c r="CB93" s="124">
        <f t="shared" si="91"/>
        <v>0</v>
      </c>
      <c r="CC93" s="124">
        <f t="shared" si="92"/>
        <v>0</v>
      </c>
      <c r="CD93" s="124">
        <f t="shared" si="93"/>
        <v>0</v>
      </c>
      <c r="CE93" s="124">
        <f t="shared" si="94"/>
        <v>0</v>
      </c>
      <c r="CF93" s="124">
        <f t="shared" si="95"/>
        <v>0</v>
      </c>
      <c r="CG93" s="124">
        <f t="shared" si="96"/>
        <v>0</v>
      </c>
      <c r="CH93" s="124">
        <f t="shared" si="97"/>
        <v>0</v>
      </c>
      <c r="CI93" s="124">
        <f t="shared" si="98"/>
        <v>0</v>
      </c>
      <c r="CJ93" s="124">
        <f t="shared" si="99"/>
        <v>0</v>
      </c>
      <c r="CK93" s="124">
        <f t="shared" si="100"/>
        <v>0</v>
      </c>
      <c r="CL93" s="124">
        <f t="shared" si="101"/>
        <v>0</v>
      </c>
      <c r="CM93" s="124">
        <f t="shared" si="102"/>
        <v>0</v>
      </c>
      <c r="CN93" s="124">
        <f t="shared" si="103"/>
        <v>0</v>
      </c>
      <c r="CO93" s="124">
        <f t="shared" si="104"/>
        <v>0</v>
      </c>
      <c r="CP93" s="124">
        <f t="shared" si="105"/>
        <v>0</v>
      </c>
      <c r="CQ93" s="138">
        <f t="shared" si="106"/>
        <v>1050.2785428750551</v>
      </c>
      <c r="CR93" s="138">
        <f t="shared" si="107"/>
        <v>3084.2304474524813</v>
      </c>
      <c r="CS93" s="138">
        <f t="shared" si="108"/>
        <v>65347.618585033597</v>
      </c>
    </row>
    <row r="94" spans="1:97" x14ac:dyDescent="0.2">
      <c r="A94" s="115">
        <v>43344</v>
      </c>
      <c r="B94">
        <f t="shared" si="116"/>
        <v>2018</v>
      </c>
      <c r="C94">
        <f t="shared" si="117"/>
        <v>9</v>
      </c>
      <c r="D94" s="102">
        <v>27341665.600000009</v>
      </c>
      <c r="E94" s="131">
        <f>VLOOKUP($B94,'Historic CDM'!$L$5:$R$17,2,FALSE)/12</f>
        <v>1281849.6400688274</v>
      </c>
      <c r="F94" s="131">
        <f t="shared" si="86"/>
        <v>28623515.240068838</v>
      </c>
      <c r="G94" s="102">
        <v>6718606.6602409622</v>
      </c>
      <c r="H94" s="131">
        <f>VLOOKUP($B94,'Historic CDM'!$L$5:$R$17,3,FALSE)/12</f>
        <v>516993.78053170216</v>
      </c>
      <c r="I94" s="131">
        <f t="shared" si="87"/>
        <v>7235600.4407726647</v>
      </c>
      <c r="J94" s="102">
        <v>18418754.37108434</v>
      </c>
      <c r="K94" s="131">
        <f>VLOOKUP($B94,'Historic CDM'!$L$5:$R$17,4,FALSE)/12</f>
        <v>1423583.7771266622</v>
      </c>
      <c r="L94" s="131">
        <f t="shared" si="88"/>
        <v>19842338.148211002</v>
      </c>
      <c r="M94" s="102">
        <v>10363055.862837216</v>
      </c>
      <c r="N94" s="131">
        <f>VLOOKUP($B94,'Historic CDM'!$L$5:$R$17,5,FALSE)/12</f>
        <v>475621.07408559509</v>
      </c>
      <c r="O94" s="131">
        <f t="shared" si="66"/>
        <v>10838676.936922811</v>
      </c>
      <c r="P94" s="102">
        <v>11390968.01273125</v>
      </c>
      <c r="Q94" s="131">
        <f>VLOOKUP($B94,'Historic CDM'!$L$5:$R$17,6,FALSE)/12</f>
        <v>739393.5284334257</v>
      </c>
      <c r="R94" s="131">
        <f t="shared" si="67"/>
        <v>12130361.541164676</v>
      </c>
      <c r="S94" s="102">
        <v>90369.060240963852</v>
      </c>
      <c r="T94" s="102">
        <v>11684.011764705854</v>
      </c>
      <c r="U94" s="102">
        <v>624193.26265060238</v>
      </c>
      <c r="V94" s="102">
        <v>55579.319999999992</v>
      </c>
      <c r="W94" s="102">
        <v>23807.27</v>
      </c>
      <c r="X94" s="102">
        <v>23347.73</v>
      </c>
      <c r="Y94" s="102">
        <v>1822.47</v>
      </c>
      <c r="Z94" s="102">
        <v>33.133193810248585</v>
      </c>
      <c r="AA94" s="41">
        <v>36128</v>
      </c>
      <c r="AB94" s="41">
        <v>2702</v>
      </c>
      <c r="AC94" s="41">
        <v>326</v>
      </c>
      <c r="AD94" s="41">
        <v>14</v>
      </c>
      <c r="AE94" s="41">
        <v>3</v>
      </c>
      <c r="AF94" s="41">
        <v>3261.8852459016393</v>
      </c>
      <c r="AG94" s="41">
        <v>240.41176470588175</v>
      </c>
      <c r="AH94" s="41">
        <v>219</v>
      </c>
      <c r="AI94" s="104">
        <f>Weather!C202</f>
        <v>18.993333333333339</v>
      </c>
      <c r="AJ94" s="104">
        <f>Weather!D202</f>
        <v>114.9</v>
      </c>
      <c r="AK94" s="104">
        <f>Weather!E202</f>
        <v>24.7</v>
      </c>
      <c r="AL94" s="104">
        <f>Weather!F202</f>
        <v>77.899999999999991</v>
      </c>
      <c r="AM94" s="104">
        <f>Weather!G202</f>
        <v>47.699999999999996</v>
      </c>
      <c r="AN94" s="104">
        <f>Weather!H202</f>
        <v>46.599999999999994</v>
      </c>
      <c r="AO94" s="104">
        <f>Weather!I202</f>
        <v>76.399999999999977</v>
      </c>
      <c r="AP94" s="104">
        <f>Weather!J202</f>
        <v>25.1</v>
      </c>
      <c r="AQ94" s="104">
        <f>Weather!K202</f>
        <v>114.89999999999998</v>
      </c>
      <c r="AR94" s="104">
        <f>Weather!L202</f>
        <v>8.7000000000000011</v>
      </c>
      <c r="AS94" s="104">
        <f>Weather!M202</f>
        <v>158.5</v>
      </c>
      <c r="AT94" s="104">
        <f>Weather!N202</f>
        <v>0.80000000000000071</v>
      </c>
      <c r="AU94" s="104">
        <f>Weather!O202</f>
        <v>210.59999999999997</v>
      </c>
      <c r="AV94" s="104">
        <f>Weather!P202</f>
        <v>0</v>
      </c>
      <c r="AW94" s="104">
        <f>Weather!Q202</f>
        <v>269.80000000000007</v>
      </c>
      <c r="AX94" s="104">
        <f>Weather!R202</f>
        <v>0</v>
      </c>
      <c r="AY94" s="104">
        <f>Weather!S202</f>
        <v>329.80000000000007</v>
      </c>
      <c r="AZ94" s="119">
        <f>Economic!C94</f>
        <v>732426.3</v>
      </c>
      <c r="BA94" s="120">
        <f>Economic!D94</f>
        <v>7195.6</v>
      </c>
      <c r="BB94" s="120">
        <f>Economic!E94</f>
        <v>7249.1</v>
      </c>
      <c r="BC94" s="120">
        <f>Economic!F94</f>
        <v>3255.6</v>
      </c>
      <c r="BD94" s="120">
        <f>Economic!G94</f>
        <v>3271</v>
      </c>
      <c r="BE94" s="120">
        <f>Economic!H94</f>
        <v>399.8</v>
      </c>
      <c r="BF94" s="120">
        <f>Economic!I94</f>
        <v>401.4</v>
      </c>
      <c r="BG94" s="123">
        <f t="shared" si="81"/>
        <v>30</v>
      </c>
      <c r="BH94" s="123">
        <v>21</v>
      </c>
      <c r="BI94" s="123">
        <f t="shared" si="132"/>
        <v>93</v>
      </c>
      <c r="BJ94" s="123">
        <f t="shared" ref="BJ94:BX94" si="138">BJ82</f>
        <v>0</v>
      </c>
      <c r="BK94" s="123">
        <f t="shared" si="138"/>
        <v>0</v>
      </c>
      <c r="BL94" s="123">
        <f t="shared" si="138"/>
        <v>0</v>
      </c>
      <c r="BM94" s="123">
        <f t="shared" si="138"/>
        <v>0</v>
      </c>
      <c r="BN94" s="123">
        <f t="shared" si="138"/>
        <v>0</v>
      </c>
      <c r="BO94" s="123">
        <f t="shared" si="138"/>
        <v>0</v>
      </c>
      <c r="BP94" s="123">
        <f t="shared" si="138"/>
        <v>0</v>
      </c>
      <c r="BQ94" s="123">
        <f t="shared" si="138"/>
        <v>0</v>
      </c>
      <c r="BR94" s="123">
        <f t="shared" si="138"/>
        <v>1</v>
      </c>
      <c r="BS94" s="123">
        <f t="shared" si="138"/>
        <v>0</v>
      </c>
      <c r="BT94" s="123">
        <f t="shared" si="138"/>
        <v>0</v>
      </c>
      <c r="BU94" s="123">
        <f t="shared" si="138"/>
        <v>0</v>
      </c>
      <c r="BV94" s="123">
        <f t="shared" si="138"/>
        <v>0</v>
      </c>
      <c r="BW94" s="123">
        <f t="shared" si="138"/>
        <v>1</v>
      </c>
      <c r="BX94" s="123">
        <f t="shared" si="138"/>
        <v>1</v>
      </c>
      <c r="BY94" s="124">
        <v>0</v>
      </c>
      <c r="BZ94" s="124">
        <v>0</v>
      </c>
      <c r="CA94" s="124">
        <f t="shared" si="90"/>
        <v>0</v>
      </c>
      <c r="CB94" s="124">
        <f t="shared" si="91"/>
        <v>0</v>
      </c>
      <c r="CC94" s="124">
        <f t="shared" si="92"/>
        <v>0</v>
      </c>
      <c r="CD94" s="124">
        <f t="shared" si="93"/>
        <v>0</v>
      </c>
      <c r="CE94" s="124">
        <f t="shared" si="94"/>
        <v>0</v>
      </c>
      <c r="CF94" s="124">
        <f t="shared" si="95"/>
        <v>0</v>
      </c>
      <c r="CG94" s="124">
        <f t="shared" si="96"/>
        <v>0</v>
      </c>
      <c r="CH94" s="124">
        <f t="shared" si="97"/>
        <v>0</v>
      </c>
      <c r="CI94" s="124">
        <f t="shared" si="98"/>
        <v>0</v>
      </c>
      <c r="CJ94" s="124">
        <f t="shared" si="99"/>
        <v>0</v>
      </c>
      <c r="CK94" s="124">
        <f t="shared" si="100"/>
        <v>0</v>
      </c>
      <c r="CL94" s="124">
        <f t="shared" si="101"/>
        <v>0</v>
      </c>
      <c r="CM94" s="124">
        <f t="shared" si="102"/>
        <v>0</v>
      </c>
      <c r="CN94" s="124">
        <f t="shared" si="103"/>
        <v>0</v>
      </c>
      <c r="CO94" s="124">
        <f t="shared" si="104"/>
        <v>0</v>
      </c>
      <c r="CP94" s="124">
        <f t="shared" si="105"/>
        <v>0</v>
      </c>
      <c r="CQ94" s="138">
        <f t="shared" si="106"/>
        <v>792.28064769898242</v>
      </c>
      <c r="CR94" s="138">
        <f t="shared" si="107"/>
        <v>2677.8684088721925</v>
      </c>
      <c r="CS94" s="138">
        <f t="shared" si="108"/>
        <v>60866.067939297551</v>
      </c>
    </row>
    <row r="95" spans="1:97" x14ac:dyDescent="0.2">
      <c r="A95" s="114">
        <v>43374</v>
      </c>
      <c r="B95">
        <f t="shared" si="116"/>
        <v>2018</v>
      </c>
      <c r="C95">
        <f t="shared" si="117"/>
        <v>10</v>
      </c>
      <c r="D95" s="102">
        <v>21787579.980722882</v>
      </c>
      <c r="E95" s="131">
        <f>VLOOKUP($B95,'Historic CDM'!$L$5:$R$17,2,FALSE)/12</f>
        <v>1281849.6400688274</v>
      </c>
      <c r="F95" s="131">
        <f t="shared" si="86"/>
        <v>23069429.620791711</v>
      </c>
      <c r="G95" s="102">
        <v>6341396.2313253004</v>
      </c>
      <c r="H95" s="131">
        <f>VLOOKUP($B95,'Historic CDM'!$L$5:$R$17,3,FALSE)/12</f>
        <v>516993.78053170216</v>
      </c>
      <c r="I95" s="131">
        <f t="shared" si="87"/>
        <v>6858390.011857003</v>
      </c>
      <c r="J95" s="102">
        <v>17903378.053012051</v>
      </c>
      <c r="K95" s="131">
        <f>VLOOKUP($B95,'Historic CDM'!$L$5:$R$17,4,FALSE)/12</f>
        <v>1423583.7771266622</v>
      </c>
      <c r="L95" s="131">
        <f t="shared" si="88"/>
        <v>19326961.830138713</v>
      </c>
      <c r="M95" s="102">
        <v>9961311.9000339024</v>
      </c>
      <c r="N95" s="131">
        <f>VLOOKUP($B95,'Historic CDM'!$L$5:$R$17,5,FALSE)/12</f>
        <v>475621.07408559509</v>
      </c>
      <c r="O95" s="131">
        <f t="shared" si="66"/>
        <v>10436932.974119497</v>
      </c>
      <c r="P95" s="102">
        <v>12360041.78436443</v>
      </c>
      <c r="Q95" s="131">
        <f>VLOOKUP($B95,'Historic CDM'!$L$5:$R$17,6,FALSE)/12</f>
        <v>739393.5284334257</v>
      </c>
      <c r="R95" s="131">
        <f t="shared" si="67"/>
        <v>13099435.312797856</v>
      </c>
      <c r="S95" s="102">
        <v>90369.060240963852</v>
      </c>
      <c r="T95" s="102">
        <v>11672.576470588207</v>
      </c>
      <c r="U95" s="102">
        <v>734452.20240963844</v>
      </c>
      <c r="V95" s="102">
        <v>50374.530000000013</v>
      </c>
      <c r="W95" s="102">
        <v>22004.36</v>
      </c>
      <c r="X95" s="102">
        <v>23170.07</v>
      </c>
      <c r="Y95" s="102">
        <v>1822.47</v>
      </c>
      <c r="Z95" s="102">
        <v>33.092722602739705</v>
      </c>
      <c r="AA95" s="41">
        <v>36344</v>
      </c>
      <c r="AB95" s="41">
        <v>2700</v>
      </c>
      <c r="AC95" s="41">
        <v>326</v>
      </c>
      <c r="AD95" s="41">
        <v>14</v>
      </c>
      <c r="AE95" s="41">
        <v>3</v>
      </c>
      <c r="AF95" s="41">
        <v>3261.8852459016393</v>
      </c>
      <c r="AG95" s="41">
        <v>240.17647058823468</v>
      </c>
      <c r="AH95" s="41">
        <v>219</v>
      </c>
      <c r="AI95" s="104">
        <f>Weather!C203</f>
        <v>8.9290322580645149</v>
      </c>
      <c r="AJ95" s="104">
        <f>Weather!D203</f>
        <v>406.2</v>
      </c>
      <c r="AK95" s="104">
        <f>Weather!E203</f>
        <v>1</v>
      </c>
      <c r="AL95" s="104">
        <f>Weather!F203</f>
        <v>347.40000000000003</v>
      </c>
      <c r="AM95" s="104">
        <f>Weather!G203</f>
        <v>4.1999999999999993</v>
      </c>
      <c r="AN95" s="104">
        <f>Weather!H203</f>
        <v>289.40000000000003</v>
      </c>
      <c r="AO95" s="104">
        <f>Weather!I203</f>
        <v>8.1999999999999993</v>
      </c>
      <c r="AP95" s="104">
        <f>Weather!J203</f>
        <v>231.4</v>
      </c>
      <c r="AQ95" s="104">
        <f>Weather!K203</f>
        <v>12.2</v>
      </c>
      <c r="AR95" s="104">
        <f>Weather!L203</f>
        <v>175.3</v>
      </c>
      <c r="AS95" s="104">
        <f>Weather!M203</f>
        <v>18.100000000000001</v>
      </c>
      <c r="AT95" s="104">
        <f>Weather!N203</f>
        <v>126.1</v>
      </c>
      <c r="AU95" s="104">
        <f>Weather!O203</f>
        <v>30.9</v>
      </c>
      <c r="AV95" s="104">
        <f>Weather!P203</f>
        <v>81.899999999999977</v>
      </c>
      <c r="AW95" s="104">
        <f>Weather!Q203</f>
        <v>48.699999999999996</v>
      </c>
      <c r="AX95" s="104">
        <f>Weather!R203</f>
        <v>45.099999999999994</v>
      </c>
      <c r="AY95" s="104">
        <f>Weather!S203</f>
        <v>73.900000000000006</v>
      </c>
      <c r="AZ95" s="119">
        <f>Economic!C95</f>
        <v>732426.3</v>
      </c>
      <c r="BA95" s="120">
        <f>Economic!D95</f>
        <v>7181.8</v>
      </c>
      <c r="BB95" s="120">
        <f>Economic!E95</f>
        <v>7206.5</v>
      </c>
      <c r="BC95" s="120">
        <f>Economic!F95</f>
        <v>3254.2</v>
      </c>
      <c r="BD95" s="120">
        <f>Economic!G95</f>
        <v>3249.4</v>
      </c>
      <c r="BE95" s="120">
        <f>Economic!H95</f>
        <v>400.8</v>
      </c>
      <c r="BF95" s="120">
        <f>Economic!I95</f>
        <v>401</v>
      </c>
      <c r="BG95" s="123">
        <f t="shared" si="81"/>
        <v>31</v>
      </c>
      <c r="BH95" s="123">
        <v>20</v>
      </c>
      <c r="BI95" s="123">
        <f t="shared" si="132"/>
        <v>94</v>
      </c>
      <c r="BJ95" s="123">
        <f t="shared" ref="BJ95:BX95" si="139">BJ83</f>
        <v>0</v>
      </c>
      <c r="BK95" s="123">
        <f t="shared" si="139"/>
        <v>0</v>
      </c>
      <c r="BL95" s="123">
        <f t="shared" si="139"/>
        <v>0</v>
      </c>
      <c r="BM95" s="123">
        <f t="shared" si="139"/>
        <v>0</v>
      </c>
      <c r="BN95" s="123">
        <f t="shared" si="139"/>
        <v>0</v>
      </c>
      <c r="BO95" s="123">
        <f t="shared" si="139"/>
        <v>0</v>
      </c>
      <c r="BP95" s="123">
        <f t="shared" si="139"/>
        <v>0</v>
      </c>
      <c r="BQ95" s="123">
        <f t="shared" si="139"/>
        <v>0</v>
      </c>
      <c r="BR95" s="123">
        <f t="shared" si="139"/>
        <v>0</v>
      </c>
      <c r="BS95" s="123">
        <f t="shared" si="139"/>
        <v>1</v>
      </c>
      <c r="BT95" s="123">
        <f t="shared" si="139"/>
        <v>0</v>
      </c>
      <c r="BU95" s="123">
        <f t="shared" si="139"/>
        <v>0</v>
      </c>
      <c r="BV95" s="123">
        <f t="shared" si="139"/>
        <v>0</v>
      </c>
      <c r="BW95" s="123">
        <f t="shared" si="139"/>
        <v>1</v>
      </c>
      <c r="BX95" s="123">
        <f t="shared" si="139"/>
        <v>1</v>
      </c>
      <c r="BY95" s="124">
        <v>0</v>
      </c>
      <c r="BZ95" s="124">
        <v>0</v>
      </c>
      <c r="CA95" s="124">
        <f t="shared" si="90"/>
        <v>0</v>
      </c>
      <c r="CB95" s="124">
        <f t="shared" si="91"/>
        <v>0</v>
      </c>
      <c r="CC95" s="124">
        <f t="shared" si="92"/>
        <v>0</v>
      </c>
      <c r="CD95" s="124">
        <f t="shared" si="93"/>
        <v>0</v>
      </c>
      <c r="CE95" s="124">
        <f t="shared" si="94"/>
        <v>0</v>
      </c>
      <c r="CF95" s="124">
        <f t="shared" si="95"/>
        <v>0</v>
      </c>
      <c r="CG95" s="124">
        <f t="shared" si="96"/>
        <v>0</v>
      </c>
      <c r="CH95" s="124">
        <f t="shared" si="97"/>
        <v>0</v>
      </c>
      <c r="CI95" s="124">
        <f t="shared" si="98"/>
        <v>0</v>
      </c>
      <c r="CJ95" s="124">
        <f t="shared" si="99"/>
        <v>0</v>
      </c>
      <c r="CK95" s="124">
        <f t="shared" si="100"/>
        <v>0</v>
      </c>
      <c r="CL95" s="124">
        <f t="shared" si="101"/>
        <v>0</v>
      </c>
      <c r="CM95" s="124">
        <f t="shared" si="102"/>
        <v>0</v>
      </c>
      <c r="CN95" s="124">
        <f t="shared" si="103"/>
        <v>0</v>
      </c>
      <c r="CO95" s="124">
        <f t="shared" si="104"/>
        <v>0</v>
      </c>
      <c r="CP95" s="124">
        <f t="shared" si="105"/>
        <v>0</v>
      </c>
      <c r="CQ95" s="138">
        <f t="shared" si="106"/>
        <v>634.75208069534756</v>
      </c>
      <c r="CR95" s="138">
        <f t="shared" si="107"/>
        <v>2540.1444488359271</v>
      </c>
      <c r="CS95" s="138">
        <f t="shared" si="108"/>
        <v>59285.158988155563</v>
      </c>
    </row>
    <row r="96" spans="1:97" x14ac:dyDescent="0.2">
      <c r="A96" s="115">
        <v>43405</v>
      </c>
      <c r="B96">
        <f t="shared" si="116"/>
        <v>2018</v>
      </c>
      <c r="C96">
        <f t="shared" si="117"/>
        <v>11</v>
      </c>
      <c r="D96" s="102">
        <v>20895540.250602394</v>
      </c>
      <c r="E96" s="131">
        <f>VLOOKUP($B96,'Historic CDM'!$L$5:$R$17,2,FALSE)/12</f>
        <v>1281849.6400688274</v>
      </c>
      <c r="F96" s="131">
        <f t="shared" si="86"/>
        <v>22177389.890671223</v>
      </c>
      <c r="G96" s="102">
        <v>6327373.6674698787</v>
      </c>
      <c r="H96" s="131">
        <f>VLOOKUP($B96,'Historic CDM'!$L$5:$R$17,3,FALSE)/12</f>
        <v>516993.78053170216</v>
      </c>
      <c r="I96" s="131">
        <f t="shared" si="87"/>
        <v>6844367.4480015812</v>
      </c>
      <c r="J96" s="102">
        <v>18069580.289156623</v>
      </c>
      <c r="K96" s="131">
        <f>VLOOKUP($B96,'Historic CDM'!$L$5:$R$17,4,FALSE)/12</f>
        <v>1423583.7771266622</v>
      </c>
      <c r="L96" s="131">
        <f t="shared" si="88"/>
        <v>19493164.066283286</v>
      </c>
      <c r="M96" s="102">
        <v>10205592.018210877</v>
      </c>
      <c r="N96" s="131">
        <f>VLOOKUP($B96,'Historic CDM'!$L$5:$R$17,5,FALSE)/12</f>
        <v>475621.07408559509</v>
      </c>
      <c r="O96" s="131">
        <f t="shared" si="66"/>
        <v>10681213.092296472</v>
      </c>
      <c r="P96" s="102">
        <v>12152985.69723493</v>
      </c>
      <c r="Q96" s="131">
        <f>VLOOKUP($B96,'Historic CDM'!$L$5:$R$17,6,FALSE)/12</f>
        <v>739393.5284334257</v>
      </c>
      <c r="R96" s="131">
        <f t="shared" si="67"/>
        <v>12892379.225668356</v>
      </c>
      <c r="S96" s="102">
        <v>90369.060240963852</v>
      </c>
      <c r="T96" s="102">
        <v>11661.141176470557</v>
      </c>
      <c r="U96" s="102">
        <v>783658.63132530113</v>
      </c>
      <c r="V96" s="102">
        <v>47330.33</v>
      </c>
      <c r="W96" s="102">
        <v>23136.62</v>
      </c>
      <c r="X96" s="102">
        <v>23602.07</v>
      </c>
      <c r="Y96" s="102">
        <v>1822.47</v>
      </c>
      <c r="Z96" s="102">
        <v>33.052251395230826</v>
      </c>
      <c r="AA96" s="41">
        <v>36437</v>
      </c>
      <c r="AB96" s="41">
        <v>2703</v>
      </c>
      <c r="AC96" s="41">
        <v>328</v>
      </c>
      <c r="AD96" s="41">
        <v>14</v>
      </c>
      <c r="AE96" s="41">
        <v>3</v>
      </c>
      <c r="AF96" s="41">
        <v>3261.8852459016393</v>
      </c>
      <c r="AG96" s="41">
        <v>239.94117647058761</v>
      </c>
      <c r="AH96" s="41">
        <v>219</v>
      </c>
      <c r="AI96" s="104">
        <f>Weather!C204</f>
        <v>1.5300000000000002</v>
      </c>
      <c r="AJ96" s="104">
        <f>Weather!D204</f>
        <v>614.10000000000014</v>
      </c>
      <c r="AK96" s="104">
        <f>Weather!E204</f>
        <v>0</v>
      </c>
      <c r="AL96" s="104">
        <f>Weather!F204</f>
        <v>554.10000000000014</v>
      </c>
      <c r="AM96" s="104">
        <f>Weather!G204</f>
        <v>0</v>
      </c>
      <c r="AN96" s="104">
        <f>Weather!H204</f>
        <v>494.1</v>
      </c>
      <c r="AO96" s="104">
        <f>Weather!I204</f>
        <v>0</v>
      </c>
      <c r="AP96" s="104">
        <f>Weather!J204</f>
        <v>434.10000000000008</v>
      </c>
      <c r="AQ96" s="104">
        <f>Weather!K204</f>
        <v>0</v>
      </c>
      <c r="AR96" s="104">
        <f>Weather!L204</f>
        <v>374.10000000000008</v>
      </c>
      <c r="AS96" s="104">
        <f>Weather!M204</f>
        <v>0</v>
      </c>
      <c r="AT96" s="104">
        <f>Weather!N204</f>
        <v>314.5</v>
      </c>
      <c r="AU96" s="104">
        <f>Weather!O204</f>
        <v>0.40000000000000036</v>
      </c>
      <c r="AV96" s="104">
        <f>Weather!P204</f>
        <v>256.49999999999994</v>
      </c>
      <c r="AW96" s="104">
        <f>Weather!Q204</f>
        <v>2.4000000000000004</v>
      </c>
      <c r="AX96" s="104">
        <f>Weather!R204</f>
        <v>199.29999999999998</v>
      </c>
      <c r="AY96" s="104">
        <f>Weather!S204</f>
        <v>5.2000000000000011</v>
      </c>
      <c r="AZ96" s="119">
        <f>Economic!C96</f>
        <v>732426.3</v>
      </c>
      <c r="BA96" s="120">
        <f>Economic!D96</f>
        <v>7204.8</v>
      </c>
      <c r="BB96" s="120">
        <f>Economic!E96</f>
        <v>7207.4</v>
      </c>
      <c r="BC96" s="120">
        <f>Economic!F96</f>
        <v>3272.2</v>
      </c>
      <c r="BD96" s="120">
        <f>Economic!G96</f>
        <v>3259.2</v>
      </c>
      <c r="BE96" s="120">
        <f>Economic!H96</f>
        <v>404.9</v>
      </c>
      <c r="BF96" s="120">
        <f>Economic!I96</f>
        <v>404.1</v>
      </c>
      <c r="BG96" s="123">
        <f t="shared" si="81"/>
        <v>30</v>
      </c>
      <c r="BH96" s="123">
        <v>21</v>
      </c>
      <c r="BI96" s="123">
        <f t="shared" si="132"/>
        <v>95</v>
      </c>
      <c r="BJ96" s="123">
        <f t="shared" ref="BJ96:BX96" si="140">BJ84</f>
        <v>0</v>
      </c>
      <c r="BK96" s="123">
        <f t="shared" si="140"/>
        <v>0</v>
      </c>
      <c r="BL96" s="123">
        <f t="shared" si="140"/>
        <v>0</v>
      </c>
      <c r="BM96" s="123">
        <f t="shared" si="140"/>
        <v>0</v>
      </c>
      <c r="BN96" s="123">
        <f t="shared" si="140"/>
        <v>0</v>
      </c>
      <c r="BO96" s="123">
        <f t="shared" si="140"/>
        <v>0</v>
      </c>
      <c r="BP96" s="123">
        <f t="shared" si="140"/>
        <v>0</v>
      </c>
      <c r="BQ96" s="123">
        <f t="shared" si="140"/>
        <v>0</v>
      </c>
      <c r="BR96" s="123">
        <f t="shared" si="140"/>
        <v>0</v>
      </c>
      <c r="BS96" s="123">
        <f t="shared" si="140"/>
        <v>0</v>
      </c>
      <c r="BT96" s="123">
        <f t="shared" si="140"/>
        <v>1</v>
      </c>
      <c r="BU96" s="123">
        <f t="shared" si="140"/>
        <v>0</v>
      </c>
      <c r="BV96" s="123">
        <f t="shared" si="140"/>
        <v>0</v>
      </c>
      <c r="BW96" s="123">
        <f t="shared" si="140"/>
        <v>1</v>
      </c>
      <c r="BX96" s="123">
        <f t="shared" si="140"/>
        <v>1</v>
      </c>
      <c r="BY96" s="124">
        <v>0</v>
      </c>
      <c r="BZ96" s="124">
        <v>0</v>
      </c>
      <c r="CA96" s="124">
        <f t="shared" si="90"/>
        <v>0</v>
      </c>
      <c r="CB96" s="124">
        <f t="shared" si="91"/>
        <v>0</v>
      </c>
      <c r="CC96" s="124">
        <f t="shared" si="92"/>
        <v>0</v>
      </c>
      <c r="CD96" s="124">
        <f t="shared" si="93"/>
        <v>0</v>
      </c>
      <c r="CE96" s="124">
        <f t="shared" si="94"/>
        <v>0</v>
      </c>
      <c r="CF96" s="124">
        <f t="shared" si="95"/>
        <v>0</v>
      </c>
      <c r="CG96" s="124">
        <f t="shared" si="96"/>
        <v>0</v>
      </c>
      <c r="CH96" s="124">
        <f t="shared" si="97"/>
        <v>0</v>
      </c>
      <c r="CI96" s="124">
        <f t="shared" si="98"/>
        <v>0</v>
      </c>
      <c r="CJ96" s="124">
        <f t="shared" si="99"/>
        <v>0</v>
      </c>
      <c r="CK96" s="124">
        <f t="shared" si="100"/>
        <v>0</v>
      </c>
      <c r="CL96" s="124">
        <f t="shared" si="101"/>
        <v>0</v>
      </c>
      <c r="CM96" s="124">
        <f t="shared" si="102"/>
        <v>0</v>
      </c>
      <c r="CN96" s="124">
        <f t="shared" si="103"/>
        <v>0</v>
      </c>
      <c r="CO96" s="124">
        <f t="shared" si="104"/>
        <v>0</v>
      </c>
      <c r="CP96" s="124">
        <f t="shared" si="105"/>
        <v>0</v>
      </c>
      <c r="CQ96" s="138">
        <f t="shared" si="106"/>
        <v>608.65027007358515</v>
      </c>
      <c r="CR96" s="138">
        <f t="shared" si="107"/>
        <v>2532.1374206443143</v>
      </c>
      <c r="CS96" s="138">
        <f t="shared" si="108"/>
        <v>59430.378250863672</v>
      </c>
    </row>
    <row r="97" spans="1:97" x14ac:dyDescent="0.2">
      <c r="A97" s="114">
        <v>43435</v>
      </c>
      <c r="B97">
        <f t="shared" si="116"/>
        <v>2018</v>
      </c>
      <c r="C97">
        <f t="shared" si="117"/>
        <v>12</v>
      </c>
      <c r="D97" s="102">
        <v>29544191.980722886</v>
      </c>
      <c r="E97" s="131">
        <f>VLOOKUP($B97,'Historic CDM'!$L$5:$R$17,2,FALSE)/12</f>
        <v>1281849.6400688274</v>
      </c>
      <c r="F97" s="131">
        <f t="shared" si="86"/>
        <v>30826041.620791715</v>
      </c>
      <c r="G97" s="102">
        <v>8214792.0096385563</v>
      </c>
      <c r="H97" s="131">
        <f>VLOOKUP($B97,'Historic CDM'!$L$5:$R$17,3,FALSE)/12</f>
        <v>516993.78053170216</v>
      </c>
      <c r="I97" s="131">
        <f t="shared" si="87"/>
        <v>8731785.7901702579</v>
      </c>
      <c r="J97" s="102">
        <v>18620637.38795181</v>
      </c>
      <c r="K97" s="131">
        <f>VLOOKUP($B97,'Historic CDM'!$L$5:$R$17,4,FALSE)/12</f>
        <v>1423583.7771266622</v>
      </c>
      <c r="L97" s="131">
        <f t="shared" si="88"/>
        <v>20044221.165078472</v>
      </c>
      <c r="M97" s="102">
        <v>11191563.80103647</v>
      </c>
      <c r="N97" s="131">
        <f>VLOOKUP($B97,'Historic CDM'!$L$5:$R$17,5,FALSE)/12</f>
        <v>475621.07408559509</v>
      </c>
      <c r="O97" s="131">
        <f t="shared" si="66"/>
        <v>11667184.875122065</v>
      </c>
      <c r="P97" s="102">
        <v>11036870.021881837</v>
      </c>
      <c r="Q97" s="131">
        <f>VLOOKUP($B97,'Historic CDM'!$L$5:$R$17,6,FALSE)/12</f>
        <v>739393.5284334257</v>
      </c>
      <c r="R97" s="131">
        <f t="shared" si="67"/>
        <v>11776263.550315263</v>
      </c>
      <c r="S97" s="102">
        <v>90238.149397590358</v>
      </c>
      <c r="T97" s="102">
        <v>11649.70588235291</v>
      </c>
      <c r="U97" s="102">
        <v>852152.93493975897</v>
      </c>
      <c r="V97" s="102">
        <v>46447.019999999968</v>
      </c>
      <c r="W97" s="102">
        <v>25115.260000000002</v>
      </c>
      <c r="X97" s="102">
        <v>23551.96</v>
      </c>
      <c r="Y97" s="102">
        <v>1822.47</v>
      </c>
      <c r="Z97" s="102">
        <v>33.011780187721946</v>
      </c>
      <c r="AA97" s="41">
        <v>36530</v>
      </c>
      <c r="AB97" s="41">
        <v>2702</v>
      </c>
      <c r="AC97" s="41">
        <v>328</v>
      </c>
      <c r="AD97" s="41">
        <v>14</v>
      </c>
      <c r="AE97" s="41">
        <v>3</v>
      </c>
      <c r="AF97" s="41">
        <v>3261.8852459016393</v>
      </c>
      <c r="AG97" s="41">
        <v>239.70588235294053</v>
      </c>
      <c r="AH97" s="41">
        <v>219</v>
      </c>
      <c r="AI97" s="104">
        <f>Weather!C205</f>
        <v>-0.18064516129032263</v>
      </c>
      <c r="AJ97" s="104">
        <f>Weather!D205</f>
        <v>687.6</v>
      </c>
      <c r="AK97" s="104">
        <f>Weather!E205</f>
        <v>0</v>
      </c>
      <c r="AL97" s="104">
        <f>Weather!F205</f>
        <v>625.60000000000014</v>
      </c>
      <c r="AM97" s="104">
        <f>Weather!G205</f>
        <v>0</v>
      </c>
      <c r="AN97" s="104">
        <f>Weather!H205</f>
        <v>563.60000000000014</v>
      </c>
      <c r="AO97" s="104">
        <f>Weather!I205</f>
        <v>0</v>
      </c>
      <c r="AP97" s="104">
        <f>Weather!J205</f>
        <v>501.6</v>
      </c>
      <c r="AQ97" s="104">
        <f>Weather!K205</f>
        <v>0</v>
      </c>
      <c r="AR97" s="104">
        <f>Weather!L205</f>
        <v>439.59999999999997</v>
      </c>
      <c r="AS97" s="104">
        <f>Weather!M205</f>
        <v>0</v>
      </c>
      <c r="AT97" s="104">
        <f>Weather!N205</f>
        <v>377.60000000000008</v>
      </c>
      <c r="AU97" s="104">
        <f>Weather!O205</f>
        <v>0</v>
      </c>
      <c r="AV97" s="104">
        <f>Weather!P205</f>
        <v>315.60000000000002</v>
      </c>
      <c r="AW97" s="104">
        <f>Weather!Q205</f>
        <v>0</v>
      </c>
      <c r="AX97" s="104">
        <f>Weather!R205</f>
        <v>253.6</v>
      </c>
      <c r="AY97" s="104">
        <f>Weather!S205</f>
        <v>0</v>
      </c>
      <c r="AZ97" s="119">
        <f>Economic!C97</f>
        <v>732426.3</v>
      </c>
      <c r="BA97" s="120">
        <f>Economic!D97</f>
        <v>7216.7</v>
      </c>
      <c r="BB97" s="120">
        <f>Economic!E97</f>
        <v>7227.2</v>
      </c>
      <c r="BC97" s="120">
        <f>Economic!F97</f>
        <v>3285.5</v>
      </c>
      <c r="BD97" s="120">
        <f>Economic!G97</f>
        <v>3283.7</v>
      </c>
      <c r="BE97" s="120">
        <f>Economic!H97</f>
        <v>408</v>
      </c>
      <c r="BF97" s="120">
        <f>Economic!I97</f>
        <v>408.9</v>
      </c>
      <c r="BG97" s="123">
        <f t="shared" si="81"/>
        <v>31</v>
      </c>
      <c r="BH97" s="123">
        <v>21</v>
      </c>
      <c r="BI97" s="123">
        <f t="shared" si="132"/>
        <v>96</v>
      </c>
      <c r="BJ97" s="123">
        <f t="shared" ref="BJ97:BX97" si="141">BJ85</f>
        <v>0</v>
      </c>
      <c r="BK97" s="123">
        <f t="shared" si="141"/>
        <v>0</v>
      </c>
      <c r="BL97" s="123">
        <f t="shared" si="141"/>
        <v>0</v>
      </c>
      <c r="BM97" s="123">
        <f t="shared" si="141"/>
        <v>0</v>
      </c>
      <c r="BN97" s="123">
        <f t="shared" si="141"/>
        <v>0</v>
      </c>
      <c r="BO97" s="123">
        <f t="shared" si="141"/>
        <v>0</v>
      </c>
      <c r="BP97" s="123">
        <f t="shared" si="141"/>
        <v>0</v>
      </c>
      <c r="BQ97" s="123">
        <f t="shared" si="141"/>
        <v>0</v>
      </c>
      <c r="BR97" s="123">
        <f t="shared" si="141"/>
        <v>0</v>
      </c>
      <c r="BS97" s="123">
        <f t="shared" si="141"/>
        <v>0</v>
      </c>
      <c r="BT97" s="123">
        <f t="shared" si="141"/>
        <v>0</v>
      </c>
      <c r="BU97" s="123">
        <f t="shared" si="141"/>
        <v>1</v>
      </c>
      <c r="BV97" s="123">
        <f t="shared" si="141"/>
        <v>0</v>
      </c>
      <c r="BW97" s="123">
        <f t="shared" si="141"/>
        <v>0</v>
      </c>
      <c r="BX97" s="123">
        <f t="shared" si="141"/>
        <v>0</v>
      </c>
      <c r="BY97" s="124">
        <v>0</v>
      </c>
      <c r="BZ97" s="124">
        <v>0</v>
      </c>
      <c r="CA97" s="124">
        <f t="shared" si="90"/>
        <v>0</v>
      </c>
      <c r="CB97" s="124">
        <f t="shared" si="91"/>
        <v>0</v>
      </c>
      <c r="CC97" s="124">
        <f t="shared" si="92"/>
        <v>0</v>
      </c>
      <c r="CD97" s="124">
        <f t="shared" si="93"/>
        <v>0</v>
      </c>
      <c r="CE97" s="124">
        <f t="shared" si="94"/>
        <v>0</v>
      </c>
      <c r="CF97" s="124">
        <f t="shared" si="95"/>
        <v>0</v>
      </c>
      <c r="CG97" s="124">
        <f t="shared" si="96"/>
        <v>0</v>
      </c>
      <c r="CH97" s="124">
        <f t="shared" si="97"/>
        <v>0</v>
      </c>
      <c r="CI97" s="124">
        <f t="shared" si="98"/>
        <v>0</v>
      </c>
      <c r="CJ97" s="124">
        <f t="shared" si="99"/>
        <v>0</v>
      </c>
      <c r="CK97" s="124">
        <f t="shared" si="100"/>
        <v>0</v>
      </c>
      <c r="CL97" s="124">
        <f t="shared" si="101"/>
        <v>0</v>
      </c>
      <c r="CM97" s="124">
        <f t="shared" si="102"/>
        <v>0</v>
      </c>
      <c r="CN97" s="124">
        <f t="shared" si="103"/>
        <v>0</v>
      </c>
      <c r="CO97" s="124">
        <f t="shared" si="104"/>
        <v>0</v>
      </c>
      <c r="CP97" s="124">
        <f t="shared" si="105"/>
        <v>0</v>
      </c>
      <c r="CQ97" s="138">
        <f t="shared" si="106"/>
        <v>843.85550563349886</v>
      </c>
      <c r="CR97" s="138">
        <f t="shared" si="107"/>
        <v>3231.6009586122345</v>
      </c>
      <c r="CS97" s="138">
        <f t="shared" si="108"/>
        <v>61110.430381336802</v>
      </c>
    </row>
    <row r="98" spans="1:97" x14ac:dyDescent="0.2">
      <c r="A98" s="115">
        <v>43466</v>
      </c>
      <c r="B98">
        <f t="shared" si="116"/>
        <v>2019</v>
      </c>
      <c r="C98">
        <f t="shared" si="117"/>
        <v>1</v>
      </c>
      <c r="D98" s="102">
        <v>28887987.922891602</v>
      </c>
      <c r="E98" s="131">
        <f>VLOOKUP($B98,'Historic CDM'!$L$5:$R$17,2,FALSE)/12</f>
        <v>1408690.5797202766</v>
      </c>
      <c r="F98" s="131">
        <f t="shared" si="86"/>
        <v>30296678.502611879</v>
      </c>
      <c r="G98" s="102">
        <v>8493510.5734939743</v>
      </c>
      <c r="H98" s="131">
        <f>VLOOKUP($B98,'Historic CDM'!$L$5:$R$17,3,FALSE)/12</f>
        <v>606940.22447486676</v>
      </c>
      <c r="I98" s="131">
        <f t="shared" si="87"/>
        <v>9100450.7979688402</v>
      </c>
      <c r="J98" s="102">
        <v>20021565.956626497</v>
      </c>
      <c r="K98" s="131">
        <f>VLOOKUP($B98,'Historic CDM'!$L$5:$R$17,4,FALSE)/12</f>
        <v>1598997.2617911876</v>
      </c>
      <c r="L98" s="131">
        <f t="shared" si="88"/>
        <v>21620563.218417685</v>
      </c>
      <c r="M98" s="102">
        <v>11604671.845788734</v>
      </c>
      <c r="N98" s="131">
        <f>VLOOKUP($B98,'Historic CDM'!$L$5:$R$17,5,FALSE)/12</f>
        <v>686795.02226259199</v>
      </c>
      <c r="O98" s="131">
        <f t="shared" si="66"/>
        <v>12291466.868051326</v>
      </c>
      <c r="P98" s="102">
        <v>12276279.988064451</v>
      </c>
      <c r="Q98" s="131">
        <f>VLOOKUP($B98,'Historic CDM'!$L$5:$R$17,6,FALSE)/12</f>
        <v>741809.76780742628</v>
      </c>
      <c r="R98" s="131">
        <f t="shared" si="67"/>
        <v>13018089.755871877</v>
      </c>
      <c r="S98" s="102">
        <v>91147.065060240959</v>
      </c>
      <c r="T98" s="102">
        <v>11638.270588235262</v>
      </c>
      <c r="U98" s="102">
        <v>795046.98795180721</v>
      </c>
      <c r="V98" s="102">
        <v>48665.95</v>
      </c>
      <c r="W98" s="102">
        <v>25951.67</v>
      </c>
      <c r="X98" s="102">
        <v>23507.31</v>
      </c>
      <c r="Y98" s="102">
        <v>1748.64</v>
      </c>
      <c r="Z98" s="102">
        <v>32.971308980213067</v>
      </c>
      <c r="AA98" s="41">
        <v>36566</v>
      </c>
      <c r="AB98" s="41">
        <v>2692</v>
      </c>
      <c r="AC98" s="41">
        <v>326</v>
      </c>
      <c r="AD98" s="41">
        <v>14</v>
      </c>
      <c r="AE98" s="41">
        <v>3</v>
      </c>
      <c r="AF98" s="41">
        <v>3276</v>
      </c>
      <c r="AG98" s="41">
        <v>239.47058823529346</v>
      </c>
      <c r="AH98" s="41">
        <v>217</v>
      </c>
      <c r="AI98" s="104">
        <f>Weather!C206</f>
        <v>-6.661290322580645</v>
      </c>
      <c r="AJ98" s="104">
        <f>Weather!D206</f>
        <v>888.50000000000011</v>
      </c>
      <c r="AK98" s="104">
        <f>Weather!E206</f>
        <v>0</v>
      </c>
      <c r="AL98" s="104">
        <f>Weather!F206</f>
        <v>826.5</v>
      </c>
      <c r="AM98" s="104">
        <f>Weather!G206</f>
        <v>0</v>
      </c>
      <c r="AN98" s="104">
        <f>Weather!H206</f>
        <v>764.5</v>
      </c>
      <c r="AO98" s="104">
        <f>Weather!I206</f>
        <v>0</v>
      </c>
      <c r="AP98" s="104">
        <f>Weather!J206</f>
        <v>702.49999999999989</v>
      </c>
      <c r="AQ98" s="104">
        <f>Weather!K206</f>
        <v>0</v>
      </c>
      <c r="AR98" s="104">
        <f>Weather!L206</f>
        <v>640.5</v>
      </c>
      <c r="AS98" s="104">
        <f>Weather!M206</f>
        <v>0</v>
      </c>
      <c r="AT98" s="104">
        <f>Weather!N206</f>
        <v>578.5</v>
      </c>
      <c r="AU98" s="104">
        <f>Weather!O206</f>
        <v>0</v>
      </c>
      <c r="AV98" s="104">
        <f>Weather!P206</f>
        <v>516.5</v>
      </c>
      <c r="AW98" s="104">
        <f>Weather!Q206</f>
        <v>0</v>
      </c>
      <c r="AX98" s="104">
        <f>Weather!R206</f>
        <v>454.50000000000006</v>
      </c>
      <c r="AY98" s="104">
        <f>Weather!S206</f>
        <v>0</v>
      </c>
      <c r="AZ98" s="119">
        <f>Economic!C98</f>
        <v>747589.4</v>
      </c>
      <c r="BA98" s="120">
        <f>Economic!D98</f>
        <v>7242.3</v>
      </c>
      <c r="BB98" s="120">
        <f>Economic!E98</f>
        <v>7214.9</v>
      </c>
      <c r="BC98" s="120">
        <f>Economic!F98</f>
        <v>3291.7</v>
      </c>
      <c r="BD98" s="120">
        <f>Economic!G98</f>
        <v>3285.6</v>
      </c>
      <c r="BE98" s="120">
        <f>Economic!H98</f>
        <v>409.7</v>
      </c>
      <c r="BF98" s="120">
        <f>Economic!I98</f>
        <v>408.9</v>
      </c>
      <c r="BG98" s="123">
        <f t="shared" si="81"/>
        <v>31</v>
      </c>
      <c r="BH98" s="123">
        <v>21</v>
      </c>
      <c r="BI98" s="123">
        <f t="shared" si="132"/>
        <v>97</v>
      </c>
      <c r="BJ98" s="123">
        <f t="shared" ref="BJ98:BX98" si="142">BJ86</f>
        <v>1</v>
      </c>
      <c r="BK98" s="123">
        <f t="shared" si="142"/>
        <v>0</v>
      </c>
      <c r="BL98" s="123">
        <f t="shared" si="142"/>
        <v>0</v>
      </c>
      <c r="BM98" s="123">
        <f t="shared" si="142"/>
        <v>0</v>
      </c>
      <c r="BN98" s="123">
        <f t="shared" si="142"/>
        <v>0</v>
      </c>
      <c r="BO98" s="123">
        <f t="shared" si="142"/>
        <v>0</v>
      </c>
      <c r="BP98" s="123">
        <f t="shared" si="142"/>
        <v>0</v>
      </c>
      <c r="BQ98" s="123">
        <f t="shared" si="142"/>
        <v>0</v>
      </c>
      <c r="BR98" s="123">
        <f t="shared" si="142"/>
        <v>0</v>
      </c>
      <c r="BS98" s="123">
        <f t="shared" si="142"/>
        <v>0</v>
      </c>
      <c r="BT98" s="123">
        <f t="shared" si="142"/>
        <v>0</v>
      </c>
      <c r="BU98" s="123">
        <f t="shared" si="142"/>
        <v>0</v>
      </c>
      <c r="BV98" s="123">
        <f t="shared" si="142"/>
        <v>0</v>
      </c>
      <c r="BW98" s="123">
        <f t="shared" si="142"/>
        <v>0</v>
      </c>
      <c r="BX98" s="123">
        <f t="shared" si="142"/>
        <v>0</v>
      </c>
      <c r="BY98" s="124">
        <v>0</v>
      </c>
      <c r="BZ98" s="124">
        <v>0</v>
      </c>
      <c r="CA98" s="124">
        <f t="shared" si="90"/>
        <v>0</v>
      </c>
      <c r="CB98" s="124">
        <f t="shared" si="91"/>
        <v>0</v>
      </c>
      <c r="CC98" s="124">
        <f t="shared" si="92"/>
        <v>0</v>
      </c>
      <c r="CD98" s="124">
        <f t="shared" si="93"/>
        <v>0</v>
      </c>
      <c r="CE98" s="124">
        <f t="shared" si="94"/>
        <v>0</v>
      </c>
      <c r="CF98" s="124">
        <f t="shared" si="95"/>
        <v>0</v>
      </c>
      <c r="CG98" s="124">
        <f t="shared" si="96"/>
        <v>0</v>
      </c>
      <c r="CH98" s="124">
        <f t="shared" si="97"/>
        <v>0</v>
      </c>
      <c r="CI98" s="124">
        <f t="shared" si="98"/>
        <v>0</v>
      </c>
      <c r="CJ98" s="124">
        <f t="shared" si="99"/>
        <v>0</v>
      </c>
      <c r="CK98" s="124">
        <f t="shared" si="100"/>
        <v>0</v>
      </c>
      <c r="CL98" s="124">
        <f t="shared" si="101"/>
        <v>0</v>
      </c>
      <c r="CM98" s="124">
        <f t="shared" si="102"/>
        <v>0</v>
      </c>
      <c r="CN98" s="124">
        <f t="shared" si="103"/>
        <v>0</v>
      </c>
      <c r="CO98" s="124">
        <f t="shared" si="104"/>
        <v>0</v>
      </c>
      <c r="CP98" s="124">
        <f t="shared" si="105"/>
        <v>0</v>
      </c>
      <c r="CQ98" s="138">
        <f t="shared" si="106"/>
        <v>828.54779036842638</v>
      </c>
      <c r="CR98" s="138">
        <f t="shared" si="107"/>
        <v>3380.5537882499407</v>
      </c>
      <c r="CS98" s="138">
        <f t="shared" si="108"/>
        <v>66320.746068765904</v>
      </c>
    </row>
    <row r="99" spans="1:97" x14ac:dyDescent="0.2">
      <c r="A99" s="114">
        <v>43497</v>
      </c>
      <c r="B99">
        <f t="shared" si="116"/>
        <v>2019</v>
      </c>
      <c r="C99">
        <f t="shared" si="117"/>
        <v>2</v>
      </c>
      <c r="D99" s="102">
        <v>25855133.050602406</v>
      </c>
      <c r="E99" s="131">
        <f>VLOOKUP($B99,'Historic CDM'!$L$5:$R$17,2,FALSE)/12</f>
        <v>1408690.5797202766</v>
      </c>
      <c r="F99" s="131">
        <f t="shared" si="86"/>
        <v>27263823.630322684</v>
      </c>
      <c r="G99" s="102">
        <v>7650394.8433734914</v>
      </c>
      <c r="H99" s="131">
        <f>VLOOKUP($B99,'Historic CDM'!$L$5:$R$17,3,FALSE)/12</f>
        <v>606940.22447486676</v>
      </c>
      <c r="I99" s="131">
        <f t="shared" si="87"/>
        <v>8257335.0678483583</v>
      </c>
      <c r="J99" s="102">
        <v>17820036.587951798</v>
      </c>
      <c r="K99" s="131">
        <f>VLOOKUP($B99,'Historic CDM'!$L$5:$R$17,4,FALSE)/12</f>
        <v>1598997.2617911876</v>
      </c>
      <c r="L99" s="131">
        <f t="shared" si="88"/>
        <v>19419033.849742986</v>
      </c>
      <c r="M99" s="102">
        <v>10064922.739381023</v>
      </c>
      <c r="N99" s="131">
        <f>VLOOKUP($B99,'Historic CDM'!$L$5:$R$17,5,FALSE)/12</f>
        <v>686795.02226259199</v>
      </c>
      <c r="O99" s="131">
        <f t="shared" si="66"/>
        <v>10751717.761643615</v>
      </c>
      <c r="P99" s="102">
        <v>11332969.116769444</v>
      </c>
      <c r="Q99" s="131">
        <f>VLOOKUP($B99,'Historic CDM'!$L$5:$R$17,6,FALSE)/12</f>
        <v>741809.76780742628</v>
      </c>
      <c r="R99" s="131">
        <f t="shared" si="67"/>
        <v>12074778.88457687</v>
      </c>
      <c r="S99" s="102">
        <v>89995.065060240959</v>
      </c>
      <c r="T99" s="102">
        <v>11626.835294117614</v>
      </c>
      <c r="U99" s="102">
        <v>665064.96385542164</v>
      </c>
      <c r="V99" s="102">
        <v>47941.690000000031</v>
      </c>
      <c r="W99" s="102">
        <v>24165.18</v>
      </c>
      <c r="X99" s="102">
        <v>23573.31</v>
      </c>
      <c r="Y99" s="102">
        <v>1748.64</v>
      </c>
      <c r="Z99" s="102">
        <v>32.930837772704187</v>
      </c>
      <c r="AA99" s="41">
        <v>36622</v>
      </c>
      <c r="AB99" s="41">
        <v>2696</v>
      </c>
      <c r="AC99" s="41">
        <v>328</v>
      </c>
      <c r="AD99" s="41">
        <v>14</v>
      </c>
      <c r="AE99" s="41">
        <v>3</v>
      </c>
      <c r="AF99" s="41">
        <v>3276</v>
      </c>
      <c r="AG99" s="41">
        <v>239.23529411764639</v>
      </c>
      <c r="AH99" s="41">
        <v>217</v>
      </c>
      <c r="AI99" s="104">
        <f>Weather!C207</f>
        <v>-4.2035714285714283</v>
      </c>
      <c r="AJ99" s="104">
        <f>Weather!D207</f>
        <v>733.70000000000027</v>
      </c>
      <c r="AK99" s="104">
        <f>Weather!E207</f>
        <v>0</v>
      </c>
      <c r="AL99" s="104">
        <f>Weather!F207</f>
        <v>677.70000000000016</v>
      </c>
      <c r="AM99" s="104">
        <f>Weather!G207</f>
        <v>0</v>
      </c>
      <c r="AN99" s="104">
        <f>Weather!H207</f>
        <v>621.70000000000016</v>
      </c>
      <c r="AO99" s="104">
        <f>Weather!I207</f>
        <v>0</v>
      </c>
      <c r="AP99" s="104">
        <f>Weather!J207</f>
        <v>565.70000000000005</v>
      </c>
      <c r="AQ99" s="104">
        <f>Weather!K207</f>
        <v>0</v>
      </c>
      <c r="AR99" s="104">
        <f>Weather!L207</f>
        <v>509.70000000000005</v>
      </c>
      <c r="AS99" s="104">
        <f>Weather!M207</f>
        <v>0</v>
      </c>
      <c r="AT99" s="104">
        <f>Weather!N207</f>
        <v>453.70000000000005</v>
      </c>
      <c r="AU99" s="104">
        <f>Weather!O207</f>
        <v>0</v>
      </c>
      <c r="AV99" s="104">
        <f>Weather!P207</f>
        <v>397.7000000000001</v>
      </c>
      <c r="AW99" s="104">
        <f>Weather!Q207</f>
        <v>0</v>
      </c>
      <c r="AX99" s="104">
        <f>Weather!R207</f>
        <v>342.90000000000009</v>
      </c>
      <c r="AY99" s="104">
        <f>Weather!S207</f>
        <v>1.1999999999999993</v>
      </c>
      <c r="AZ99" s="119">
        <f>Economic!C99</f>
        <v>747589.4</v>
      </c>
      <c r="BA99" s="120">
        <f>Economic!D99</f>
        <v>7272.1</v>
      </c>
      <c r="BB99" s="120">
        <f>Economic!E99</f>
        <v>7205</v>
      </c>
      <c r="BC99" s="120">
        <f>Economic!F99</f>
        <v>3307</v>
      </c>
      <c r="BD99" s="120">
        <f>Economic!G99</f>
        <v>3289.7</v>
      </c>
      <c r="BE99" s="120">
        <f>Economic!H99</f>
        <v>410.3</v>
      </c>
      <c r="BF99" s="120">
        <f>Economic!I99</f>
        <v>407.6</v>
      </c>
      <c r="BG99" s="123">
        <f t="shared" si="81"/>
        <v>28</v>
      </c>
      <c r="BH99" s="123">
        <v>19</v>
      </c>
      <c r="BI99" s="123">
        <f t="shared" si="132"/>
        <v>98</v>
      </c>
      <c r="BJ99" s="123">
        <f t="shared" ref="BJ99:BX99" si="143">BJ87</f>
        <v>0</v>
      </c>
      <c r="BK99" s="123">
        <f t="shared" si="143"/>
        <v>1</v>
      </c>
      <c r="BL99" s="123">
        <f t="shared" si="143"/>
        <v>0</v>
      </c>
      <c r="BM99" s="123">
        <f t="shared" si="143"/>
        <v>0</v>
      </c>
      <c r="BN99" s="123">
        <f t="shared" si="143"/>
        <v>0</v>
      </c>
      <c r="BO99" s="123">
        <f t="shared" si="143"/>
        <v>0</v>
      </c>
      <c r="BP99" s="123">
        <f t="shared" si="143"/>
        <v>0</v>
      </c>
      <c r="BQ99" s="123">
        <f t="shared" si="143"/>
        <v>0</v>
      </c>
      <c r="BR99" s="123">
        <f t="shared" si="143"/>
        <v>0</v>
      </c>
      <c r="BS99" s="123">
        <f t="shared" si="143"/>
        <v>0</v>
      </c>
      <c r="BT99" s="123">
        <f t="shared" si="143"/>
        <v>0</v>
      </c>
      <c r="BU99" s="123">
        <f t="shared" si="143"/>
        <v>0</v>
      </c>
      <c r="BV99" s="123">
        <f t="shared" si="143"/>
        <v>0</v>
      </c>
      <c r="BW99" s="123">
        <f t="shared" si="143"/>
        <v>0</v>
      </c>
      <c r="BX99" s="123">
        <f t="shared" si="143"/>
        <v>0</v>
      </c>
      <c r="BY99" s="124">
        <v>0</v>
      </c>
      <c r="BZ99" s="124">
        <v>0</v>
      </c>
      <c r="CA99" s="124">
        <f t="shared" si="90"/>
        <v>0</v>
      </c>
      <c r="CB99" s="124">
        <f t="shared" si="91"/>
        <v>0</v>
      </c>
      <c r="CC99" s="124">
        <f t="shared" si="92"/>
        <v>0</v>
      </c>
      <c r="CD99" s="124">
        <f t="shared" si="93"/>
        <v>0</v>
      </c>
      <c r="CE99" s="124">
        <f t="shared" si="94"/>
        <v>0</v>
      </c>
      <c r="CF99" s="124">
        <f t="shared" si="95"/>
        <v>0</v>
      </c>
      <c r="CG99" s="124">
        <f t="shared" si="96"/>
        <v>0</v>
      </c>
      <c r="CH99" s="124">
        <f t="shared" si="97"/>
        <v>0</v>
      </c>
      <c r="CI99" s="124">
        <f t="shared" si="98"/>
        <v>0</v>
      </c>
      <c r="CJ99" s="124">
        <f t="shared" si="99"/>
        <v>0</v>
      </c>
      <c r="CK99" s="124">
        <f t="shared" si="100"/>
        <v>0</v>
      </c>
      <c r="CL99" s="124">
        <f t="shared" si="101"/>
        <v>0</v>
      </c>
      <c r="CM99" s="124">
        <f t="shared" si="102"/>
        <v>0</v>
      </c>
      <c r="CN99" s="124">
        <f t="shared" si="103"/>
        <v>0</v>
      </c>
      <c r="CO99" s="124">
        <f t="shared" si="104"/>
        <v>0</v>
      </c>
      <c r="CP99" s="124">
        <f t="shared" si="105"/>
        <v>0</v>
      </c>
      <c r="CQ99" s="138">
        <f t="shared" si="106"/>
        <v>744.46572088697189</v>
      </c>
      <c r="CR99" s="138">
        <f t="shared" si="107"/>
        <v>3062.8097432671952</v>
      </c>
      <c r="CS99" s="138">
        <f t="shared" si="108"/>
        <v>59204.371493118859</v>
      </c>
    </row>
    <row r="100" spans="1:97" x14ac:dyDescent="0.2">
      <c r="A100" s="115">
        <v>43525</v>
      </c>
      <c r="B100">
        <f t="shared" si="116"/>
        <v>2019</v>
      </c>
      <c r="C100">
        <f t="shared" si="117"/>
        <v>3</v>
      </c>
      <c r="D100" s="102">
        <v>23881199.306024097</v>
      </c>
      <c r="E100" s="131">
        <f>VLOOKUP($B100,'Historic CDM'!$L$5:$R$17,2,FALSE)/12</f>
        <v>1408690.5797202766</v>
      </c>
      <c r="F100" s="131">
        <f t="shared" si="86"/>
        <v>25289889.885744374</v>
      </c>
      <c r="G100" s="102">
        <v>7603009.9566265009</v>
      </c>
      <c r="H100" s="131">
        <f>VLOOKUP($B100,'Historic CDM'!$L$5:$R$17,3,FALSE)/12</f>
        <v>606940.22447486676</v>
      </c>
      <c r="I100" s="131">
        <f t="shared" si="87"/>
        <v>8209950.1811013678</v>
      </c>
      <c r="J100" s="102">
        <v>18868347.971084334</v>
      </c>
      <c r="K100" s="131">
        <f>VLOOKUP($B100,'Historic CDM'!$L$5:$R$17,4,FALSE)/12</f>
        <v>1598997.2617911876</v>
      </c>
      <c r="L100" s="131">
        <f t="shared" si="88"/>
        <v>20467345.232875522</v>
      </c>
      <c r="M100" s="102">
        <v>10590812.311715987</v>
      </c>
      <c r="N100" s="131">
        <f>VLOOKUP($B100,'Historic CDM'!$L$5:$R$17,5,FALSE)/12</f>
        <v>686795.02226259199</v>
      </c>
      <c r="O100" s="131">
        <f t="shared" si="66"/>
        <v>11277607.333978578</v>
      </c>
      <c r="P100" s="102">
        <v>12597109.09090909</v>
      </c>
      <c r="Q100" s="131">
        <f>VLOOKUP($B100,'Historic CDM'!$L$5:$R$17,6,FALSE)/12</f>
        <v>741809.76780742628</v>
      </c>
      <c r="R100" s="131">
        <f t="shared" si="67"/>
        <v>13338918.858716516</v>
      </c>
      <c r="S100" s="102">
        <v>89995.065060240959</v>
      </c>
      <c r="T100" s="102">
        <v>11615.399999999967</v>
      </c>
      <c r="U100" s="102">
        <v>655265.00240963849</v>
      </c>
      <c r="V100" s="102">
        <v>47604.340000000018</v>
      </c>
      <c r="W100" s="102">
        <v>23169.53</v>
      </c>
      <c r="X100" s="102">
        <v>23917.01</v>
      </c>
      <c r="Y100" s="102">
        <v>1749.32</v>
      </c>
      <c r="Z100" s="102">
        <v>32.890366565195308</v>
      </c>
      <c r="AA100" s="41">
        <v>36709</v>
      </c>
      <c r="AB100" s="41">
        <v>2699</v>
      </c>
      <c r="AC100" s="41">
        <v>332</v>
      </c>
      <c r="AD100" s="41">
        <v>14</v>
      </c>
      <c r="AE100" s="41">
        <v>3</v>
      </c>
      <c r="AF100" s="41">
        <v>3279</v>
      </c>
      <c r="AG100" s="41">
        <v>238.99999999999932</v>
      </c>
      <c r="AH100" s="41">
        <v>217</v>
      </c>
      <c r="AI100" s="104">
        <f>Weather!C208</f>
        <v>-1.1580645161290322</v>
      </c>
      <c r="AJ100" s="104">
        <f>Weather!D208</f>
        <v>717.9</v>
      </c>
      <c r="AK100" s="104">
        <f>Weather!E208</f>
        <v>0</v>
      </c>
      <c r="AL100" s="104">
        <f>Weather!F208</f>
        <v>655.90000000000009</v>
      </c>
      <c r="AM100" s="104">
        <f>Weather!G208</f>
        <v>0</v>
      </c>
      <c r="AN100" s="104">
        <f>Weather!H208</f>
        <v>593.90000000000009</v>
      </c>
      <c r="AO100" s="104">
        <f>Weather!I208</f>
        <v>0</v>
      </c>
      <c r="AP100" s="104">
        <f>Weather!J208</f>
        <v>531.9</v>
      </c>
      <c r="AQ100" s="104">
        <f>Weather!K208</f>
        <v>0</v>
      </c>
      <c r="AR100" s="104">
        <f>Weather!L208</f>
        <v>469.9</v>
      </c>
      <c r="AS100" s="104">
        <f>Weather!M208</f>
        <v>0</v>
      </c>
      <c r="AT100" s="104">
        <f>Weather!N208</f>
        <v>407.9</v>
      </c>
      <c r="AU100" s="104">
        <f>Weather!O208</f>
        <v>0</v>
      </c>
      <c r="AV100" s="104">
        <f>Weather!P208</f>
        <v>345.9</v>
      </c>
      <c r="AW100" s="104">
        <f>Weather!Q208</f>
        <v>0</v>
      </c>
      <c r="AX100" s="104">
        <f>Weather!R208</f>
        <v>283.90000000000003</v>
      </c>
      <c r="AY100" s="104">
        <f>Weather!S208</f>
        <v>0</v>
      </c>
      <c r="AZ100" s="119">
        <f>Economic!C100</f>
        <v>747589.4</v>
      </c>
      <c r="BA100" s="120">
        <f>Economic!D100</f>
        <v>7294</v>
      </c>
      <c r="BB100" s="120">
        <f>Economic!E100</f>
        <v>7185</v>
      </c>
      <c r="BC100" s="120">
        <f>Economic!F100</f>
        <v>3322.8</v>
      </c>
      <c r="BD100" s="120">
        <f>Economic!G100</f>
        <v>3287.7</v>
      </c>
      <c r="BE100" s="120">
        <f>Economic!H100</f>
        <v>408.9</v>
      </c>
      <c r="BF100" s="120">
        <f>Economic!I100</f>
        <v>403</v>
      </c>
      <c r="BG100" s="123">
        <f t="shared" si="81"/>
        <v>31</v>
      </c>
      <c r="BH100" s="123">
        <v>23</v>
      </c>
      <c r="BI100" s="123">
        <f t="shared" si="132"/>
        <v>99</v>
      </c>
      <c r="BJ100" s="123">
        <f t="shared" ref="BJ100:BX100" si="144">BJ88</f>
        <v>0</v>
      </c>
      <c r="BK100" s="123">
        <f t="shared" si="144"/>
        <v>0</v>
      </c>
      <c r="BL100" s="123">
        <f t="shared" si="144"/>
        <v>1</v>
      </c>
      <c r="BM100" s="123">
        <f t="shared" si="144"/>
        <v>0</v>
      </c>
      <c r="BN100" s="123">
        <f t="shared" si="144"/>
        <v>0</v>
      </c>
      <c r="BO100" s="123">
        <f t="shared" si="144"/>
        <v>0</v>
      </c>
      <c r="BP100" s="123">
        <f t="shared" si="144"/>
        <v>0</v>
      </c>
      <c r="BQ100" s="123">
        <f t="shared" si="144"/>
        <v>0</v>
      </c>
      <c r="BR100" s="123">
        <f t="shared" si="144"/>
        <v>0</v>
      </c>
      <c r="BS100" s="123">
        <f t="shared" si="144"/>
        <v>0</v>
      </c>
      <c r="BT100" s="123">
        <f t="shared" si="144"/>
        <v>0</v>
      </c>
      <c r="BU100" s="123">
        <f t="shared" si="144"/>
        <v>0</v>
      </c>
      <c r="BV100" s="123">
        <f t="shared" si="144"/>
        <v>1</v>
      </c>
      <c r="BW100" s="123">
        <f t="shared" si="144"/>
        <v>0</v>
      </c>
      <c r="BX100" s="123">
        <f t="shared" si="144"/>
        <v>1</v>
      </c>
      <c r="BY100" s="124">
        <v>0</v>
      </c>
      <c r="BZ100" s="124">
        <v>0</v>
      </c>
      <c r="CA100" s="124">
        <f t="shared" si="90"/>
        <v>0</v>
      </c>
      <c r="CB100" s="124">
        <f t="shared" si="91"/>
        <v>0</v>
      </c>
      <c r="CC100" s="124">
        <f t="shared" si="92"/>
        <v>0</v>
      </c>
      <c r="CD100" s="124">
        <f t="shared" si="93"/>
        <v>0</v>
      </c>
      <c r="CE100" s="124">
        <f t="shared" si="94"/>
        <v>0</v>
      </c>
      <c r="CF100" s="124">
        <f t="shared" si="95"/>
        <v>0</v>
      </c>
      <c r="CG100" s="124">
        <f t="shared" si="96"/>
        <v>0</v>
      </c>
      <c r="CH100" s="124">
        <f t="shared" si="97"/>
        <v>0</v>
      </c>
      <c r="CI100" s="124">
        <f t="shared" si="98"/>
        <v>0</v>
      </c>
      <c r="CJ100" s="124">
        <f t="shared" si="99"/>
        <v>0</v>
      </c>
      <c r="CK100" s="124">
        <f t="shared" si="100"/>
        <v>0</v>
      </c>
      <c r="CL100" s="124">
        <f t="shared" si="101"/>
        <v>0</v>
      </c>
      <c r="CM100" s="124">
        <f t="shared" si="102"/>
        <v>0</v>
      </c>
      <c r="CN100" s="124">
        <f t="shared" si="103"/>
        <v>0</v>
      </c>
      <c r="CO100" s="124">
        <f t="shared" si="104"/>
        <v>0</v>
      </c>
      <c r="CP100" s="124">
        <f t="shared" si="105"/>
        <v>0</v>
      </c>
      <c r="CQ100" s="138">
        <f t="shared" si="106"/>
        <v>688.92886991594366</v>
      </c>
      <c r="CR100" s="138">
        <f t="shared" si="107"/>
        <v>3041.848900000507</v>
      </c>
      <c r="CS100" s="138">
        <f t="shared" si="108"/>
        <v>61648.630219504586</v>
      </c>
    </row>
    <row r="101" spans="1:97" x14ac:dyDescent="0.2">
      <c r="A101" s="114">
        <v>43556</v>
      </c>
      <c r="B101">
        <f t="shared" si="116"/>
        <v>2019</v>
      </c>
      <c r="C101">
        <f t="shared" si="117"/>
        <v>4</v>
      </c>
      <c r="D101" s="102">
        <v>22676737.503614482</v>
      </c>
      <c r="E101" s="131">
        <f>VLOOKUP($B101,'Historic CDM'!$L$5:$R$17,2,FALSE)/12</f>
        <v>1408690.5797202766</v>
      </c>
      <c r="F101" s="131">
        <f t="shared" si="86"/>
        <v>24085428.083334759</v>
      </c>
      <c r="G101" s="102">
        <v>6777657.9951807288</v>
      </c>
      <c r="H101" s="131">
        <f>VLOOKUP($B101,'Historic CDM'!$L$5:$R$17,3,FALSE)/12</f>
        <v>606940.22447486676</v>
      </c>
      <c r="I101" s="131">
        <f t="shared" si="87"/>
        <v>7384598.2196555957</v>
      </c>
      <c r="J101" s="102">
        <v>17363850.910843372</v>
      </c>
      <c r="K101" s="131">
        <f>VLOOKUP($B101,'Historic CDM'!$L$5:$R$17,4,FALSE)/12</f>
        <v>1598997.2617911876</v>
      </c>
      <c r="L101" s="131">
        <f t="shared" si="88"/>
        <v>18962848.172634561</v>
      </c>
      <c r="M101" s="102">
        <v>10018485.959219256</v>
      </c>
      <c r="N101" s="131">
        <f>VLOOKUP($B101,'Historic CDM'!$L$5:$R$17,5,FALSE)/12</f>
        <v>686795.02226259199</v>
      </c>
      <c r="O101" s="131">
        <f t="shared" si="66"/>
        <v>10705280.981481848</v>
      </c>
      <c r="P101" s="102">
        <v>11522224.865725085</v>
      </c>
      <c r="Q101" s="131">
        <f>VLOOKUP($B101,'Historic CDM'!$L$5:$R$17,6,FALSE)/12</f>
        <v>741809.76780742628</v>
      </c>
      <c r="R101" s="131">
        <f t="shared" si="67"/>
        <v>12264034.633532511</v>
      </c>
      <c r="S101" s="102">
        <v>89995.065060240944</v>
      </c>
      <c r="T101" s="102">
        <v>11603.964705882319</v>
      </c>
      <c r="U101" s="102">
        <v>533491.44096385536</v>
      </c>
      <c r="V101" s="102">
        <v>46825.470000000008</v>
      </c>
      <c r="W101" s="102">
        <v>23756.460000000003</v>
      </c>
      <c r="X101" s="102">
        <v>23061.74</v>
      </c>
      <c r="Y101" s="102">
        <v>1680.29</v>
      </c>
      <c r="Z101" s="102">
        <v>32.849895357686428</v>
      </c>
      <c r="AA101" s="41">
        <v>36807</v>
      </c>
      <c r="AB101" s="41">
        <v>2695</v>
      </c>
      <c r="AC101" s="41">
        <v>339</v>
      </c>
      <c r="AD101" s="41">
        <v>14</v>
      </c>
      <c r="AE101" s="41">
        <v>3</v>
      </c>
      <c r="AF101" s="41">
        <v>3279</v>
      </c>
      <c r="AG101" s="41">
        <v>238.76470588235225</v>
      </c>
      <c r="AH101" s="41">
        <v>217</v>
      </c>
      <c r="AI101" s="104">
        <f>Weather!C209</f>
        <v>6.44</v>
      </c>
      <c r="AJ101" s="104">
        <f>Weather!D209</f>
        <v>466.80000000000013</v>
      </c>
      <c r="AK101" s="104">
        <f>Weather!E209</f>
        <v>0</v>
      </c>
      <c r="AL101" s="104">
        <f>Weather!F209</f>
        <v>406.80000000000007</v>
      </c>
      <c r="AM101" s="104">
        <f>Weather!G209</f>
        <v>0</v>
      </c>
      <c r="AN101" s="104">
        <f>Weather!H209</f>
        <v>346.8</v>
      </c>
      <c r="AO101" s="104">
        <f>Weather!I209</f>
        <v>0</v>
      </c>
      <c r="AP101" s="104">
        <f>Weather!J209</f>
        <v>286.80000000000007</v>
      </c>
      <c r="AQ101" s="104">
        <f>Weather!K209</f>
        <v>0</v>
      </c>
      <c r="AR101" s="104">
        <f>Weather!L209</f>
        <v>226.80000000000004</v>
      </c>
      <c r="AS101" s="104">
        <f>Weather!M209</f>
        <v>0</v>
      </c>
      <c r="AT101" s="104">
        <f>Weather!N209</f>
        <v>168.70000000000002</v>
      </c>
      <c r="AU101" s="104">
        <f>Weather!O209</f>
        <v>1.9000000000000004</v>
      </c>
      <c r="AV101" s="104">
        <f>Weather!P209</f>
        <v>111.89999999999998</v>
      </c>
      <c r="AW101" s="104">
        <f>Weather!Q209</f>
        <v>5.0999999999999996</v>
      </c>
      <c r="AX101" s="104">
        <f>Weather!R209</f>
        <v>67.999999999999986</v>
      </c>
      <c r="AY101" s="104">
        <f>Weather!S209</f>
        <v>21.199999999999996</v>
      </c>
      <c r="AZ101" s="119">
        <f>Economic!C101</f>
        <v>747589.4</v>
      </c>
      <c r="BA101" s="120">
        <f>Economic!D101</f>
        <v>7316.8</v>
      </c>
      <c r="BB101" s="120">
        <f>Economic!E101</f>
        <v>7222.7</v>
      </c>
      <c r="BC101" s="120">
        <f>Economic!F101</f>
        <v>3341.2</v>
      </c>
      <c r="BD101" s="120">
        <f>Economic!G101</f>
        <v>3311.4</v>
      </c>
      <c r="BE101" s="120">
        <f>Economic!H101</f>
        <v>405.4</v>
      </c>
      <c r="BF101" s="120">
        <f>Economic!I101</f>
        <v>399.1</v>
      </c>
      <c r="BG101" s="123">
        <f t="shared" si="81"/>
        <v>30</v>
      </c>
      <c r="BH101" s="123">
        <v>19</v>
      </c>
      <c r="BI101" s="123">
        <f t="shared" si="132"/>
        <v>100</v>
      </c>
      <c r="BJ101" s="123">
        <f t="shared" ref="BJ101:BX101" si="145">BJ89</f>
        <v>0</v>
      </c>
      <c r="BK101" s="123">
        <f t="shared" si="145"/>
        <v>0</v>
      </c>
      <c r="BL101" s="123">
        <f t="shared" si="145"/>
        <v>0</v>
      </c>
      <c r="BM101" s="123">
        <f t="shared" si="145"/>
        <v>1</v>
      </c>
      <c r="BN101" s="123">
        <f t="shared" si="145"/>
        <v>0</v>
      </c>
      <c r="BO101" s="123">
        <f t="shared" si="145"/>
        <v>0</v>
      </c>
      <c r="BP101" s="123">
        <f t="shared" si="145"/>
        <v>0</v>
      </c>
      <c r="BQ101" s="123">
        <f t="shared" si="145"/>
        <v>0</v>
      </c>
      <c r="BR101" s="123">
        <f t="shared" si="145"/>
        <v>0</v>
      </c>
      <c r="BS101" s="123">
        <f t="shared" si="145"/>
        <v>0</v>
      </c>
      <c r="BT101" s="123">
        <f t="shared" si="145"/>
        <v>0</v>
      </c>
      <c r="BU101" s="123">
        <f t="shared" si="145"/>
        <v>0</v>
      </c>
      <c r="BV101" s="123">
        <f t="shared" si="145"/>
        <v>1</v>
      </c>
      <c r="BW101" s="123">
        <f t="shared" si="145"/>
        <v>0</v>
      </c>
      <c r="BX101" s="123">
        <f t="shared" si="145"/>
        <v>1</v>
      </c>
      <c r="BY101" s="124">
        <v>0</v>
      </c>
      <c r="BZ101" s="124">
        <v>0</v>
      </c>
      <c r="CA101" s="124">
        <f t="shared" si="90"/>
        <v>0</v>
      </c>
      <c r="CB101" s="124">
        <f t="shared" si="91"/>
        <v>0</v>
      </c>
      <c r="CC101" s="124">
        <f t="shared" si="92"/>
        <v>0</v>
      </c>
      <c r="CD101" s="124">
        <f t="shared" si="93"/>
        <v>0</v>
      </c>
      <c r="CE101" s="124">
        <f t="shared" si="94"/>
        <v>0</v>
      </c>
      <c r="CF101" s="124">
        <f t="shared" si="95"/>
        <v>0</v>
      </c>
      <c r="CG101" s="124">
        <f t="shared" si="96"/>
        <v>0</v>
      </c>
      <c r="CH101" s="124">
        <f t="shared" si="97"/>
        <v>0</v>
      </c>
      <c r="CI101" s="124">
        <f t="shared" si="98"/>
        <v>0</v>
      </c>
      <c r="CJ101" s="124">
        <f t="shared" si="99"/>
        <v>0</v>
      </c>
      <c r="CK101" s="124">
        <f t="shared" si="100"/>
        <v>0</v>
      </c>
      <c r="CL101" s="124">
        <f t="shared" si="101"/>
        <v>0</v>
      </c>
      <c r="CM101" s="124">
        <f t="shared" si="102"/>
        <v>0</v>
      </c>
      <c r="CN101" s="124">
        <f t="shared" si="103"/>
        <v>0</v>
      </c>
      <c r="CO101" s="124">
        <f t="shared" si="104"/>
        <v>0</v>
      </c>
      <c r="CP101" s="124">
        <f t="shared" si="105"/>
        <v>0</v>
      </c>
      <c r="CQ101" s="138">
        <f t="shared" si="106"/>
        <v>654.3708556343837</v>
      </c>
      <c r="CR101" s="138">
        <f t="shared" si="107"/>
        <v>2740.1106566440058</v>
      </c>
      <c r="CS101" s="138">
        <f t="shared" si="108"/>
        <v>55937.6052290105</v>
      </c>
    </row>
    <row r="102" spans="1:97" x14ac:dyDescent="0.2">
      <c r="A102" s="115">
        <v>43586</v>
      </c>
      <c r="B102">
        <f t="shared" si="116"/>
        <v>2019</v>
      </c>
      <c r="C102">
        <f t="shared" si="117"/>
        <v>5</v>
      </c>
      <c r="D102" s="102">
        <v>22100464.308433745</v>
      </c>
      <c r="E102" s="131">
        <f>VLOOKUP($B102,'Historic CDM'!$L$5:$R$17,2,FALSE)/12</f>
        <v>1408690.5797202766</v>
      </c>
      <c r="F102" s="131">
        <f t="shared" si="86"/>
        <v>23509154.888154022</v>
      </c>
      <c r="G102" s="102">
        <v>6404967.7975903675</v>
      </c>
      <c r="H102" s="131">
        <f>VLOOKUP($B102,'Historic CDM'!$L$5:$R$17,3,FALSE)/12</f>
        <v>606940.22447486676</v>
      </c>
      <c r="I102" s="131">
        <f t="shared" si="87"/>
        <v>7011908.0220652344</v>
      </c>
      <c r="J102" s="102">
        <v>17505961.4939759</v>
      </c>
      <c r="K102" s="131">
        <f>VLOOKUP($B102,'Historic CDM'!$L$5:$R$17,4,FALSE)/12</f>
        <v>1598997.2617911876</v>
      </c>
      <c r="L102" s="131">
        <f t="shared" si="88"/>
        <v>19104958.755767088</v>
      </c>
      <c r="M102" s="102">
        <v>10800032.828013755</v>
      </c>
      <c r="N102" s="131">
        <f>VLOOKUP($B102,'Historic CDM'!$L$5:$R$17,5,FALSE)/12</f>
        <v>686795.02226259199</v>
      </c>
      <c r="O102" s="131">
        <f t="shared" si="66"/>
        <v>11486827.850276347</v>
      </c>
      <c r="P102" s="102">
        <v>11887901.710761886</v>
      </c>
      <c r="Q102" s="131">
        <f>VLOOKUP($B102,'Historic CDM'!$L$5:$R$17,6,FALSE)/12</f>
        <v>741809.76780742628</v>
      </c>
      <c r="R102" s="131">
        <f t="shared" si="67"/>
        <v>12629711.478569312</v>
      </c>
      <c r="S102" s="102">
        <v>89995.132530120492</v>
      </c>
      <c r="T102" s="102">
        <v>11592.529411764672</v>
      </c>
      <c r="U102" s="102">
        <v>457426.79518072284</v>
      </c>
      <c r="V102" s="102">
        <v>48066.499999999993</v>
      </c>
      <c r="W102" s="102">
        <v>24165.179999999997</v>
      </c>
      <c r="X102" s="102">
        <v>22871.17</v>
      </c>
      <c r="Y102" s="102">
        <v>1609.72</v>
      </c>
      <c r="Z102" s="102">
        <v>32.809424150177549</v>
      </c>
      <c r="AA102" s="41">
        <v>36908</v>
      </c>
      <c r="AB102" s="41">
        <v>2691</v>
      </c>
      <c r="AC102" s="41">
        <v>342</v>
      </c>
      <c r="AD102" s="41">
        <v>14</v>
      </c>
      <c r="AE102" s="41">
        <v>3</v>
      </c>
      <c r="AF102" s="41">
        <v>3279</v>
      </c>
      <c r="AG102" s="41">
        <v>238.52941176470517</v>
      </c>
      <c r="AH102" s="41">
        <v>217</v>
      </c>
      <c r="AI102" s="104">
        <f>Weather!C210</f>
        <v>11.7741935483871</v>
      </c>
      <c r="AJ102" s="104">
        <f>Weather!D210</f>
        <v>316.99999999999994</v>
      </c>
      <c r="AK102" s="104">
        <f>Weather!E210</f>
        <v>0</v>
      </c>
      <c r="AL102" s="104">
        <f>Weather!F210</f>
        <v>254.99999999999994</v>
      </c>
      <c r="AM102" s="104">
        <f>Weather!G210</f>
        <v>0</v>
      </c>
      <c r="AN102" s="104">
        <f>Weather!H210</f>
        <v>192.99999999999994</v>
      </c>
      <c r="AO102" s="104">
        <f>Weather!I210</f>
        <v>0</v>
      </c>
      <c r="AP102" s="104">
        <f>Weather!J210</f>
        <v>135.6</v>
      </c>
      <c r="AQ102" s="104">
        <f>Weather!K210</f>
        <v>4.6000000000000014</v>
      </c>
      <c r="AR102" s="104">
        <f>Weather!L210</f>
        <v>87.700000000000017</v>
      </c>
      <c r="AS102" s="104">
        <f>Weather!M210</f>
        <v>18.7</v>
      </c>
      <c r="AT102" s="104">
        <f>Weather!N210</f>
        <v>46.800000000000011</v>
      </c>
      <c r="AU102" s="104">
        <f>Weather!O210</f>
        <v>39.799999999999997</v>
      </c>
      <c r="AV102" s="104">
        <f>Weather!P210</f>
        <v>20.6</v>
      </c>
      <c r="AW102" s="104">
        <f>Weather!Q210</f>
        <v>75.599999999999994</v>
      </c>
      <c r="AX102" s="104">
        <f>Weather!R210</f>
        <v>6.6</v>
      </c>
      <c r="AY102" s="104">
        <f>Weather!S210</f>
        <v>123.59999999999998</v>
      </c>
      <c r="AZ102" s="119">
        <f>Economic!C102</f>
        <v>747589.4</v>
      </c>
      <c r="BA102" s="120">
        <f>Economic!D102</f>
        <v>7333.7</v>
      </c>
      <c r="BB102" s="120">
        <f>Economic!E102</f>
        <v>7297.7</v>
      </c>
      <c r="BC102" s="120">
        <f>Economic!F102</f>
        <v>3355</v>
      </c>
      <c r="BD102" s="120">
        <f>Economic!G102</f>
        <v>3346</v>
      </c>
      <c r="BE102" s="120">
        <f>Economic!H102</f>
        <v>404.1</v>
      </c>
      <c r="BF102" s="120">
        <f>Economic!I102</f>
        <v>399.5</v>
      </c>
      <c r="BG102" s="123">
        <f t="shared" si="81"/>
        <v>31</v>
      </c>
      <c r="BH102" s="123">
        <v>22</v>
      </c>
      <c r="BI102" s="123">
        <f t="shared" si="132"/>
        <v>101</v>
      </c>
      <c r="BJ102" s="123">
        <f t="shared" ref="BJ102:BX102" si="146">BJ90</f>
        <v>0</v>
      </c>
      <c r="BK102" s="123">
        <f t="shared" si="146"/>
        <v>0</v>
      </c>
      <c r="BL102" s="123">
        <f t="shared" si="146"/>
        <v>0</v>
      </c>
      <c r="BM102" s="123">
        <f t="shared" si="146"/>
        <v>0</v>
      </c>
      <c r="BN102" s="123">
        <f t="shared" si="146"/>
        <v>1</v>
      </c>
      <c r="BO102" s="123">
        <f t="shared" si="146"/>
        <v>0</v>
      </c>
      <c r="BP102" s="123">
        <f t="shared" si="146"/>
        <v>0</v>
      </c>
      <c r="BQ102" s="123">
        <f t="shared" si="146"/>
        <v>0</v>
      </c>
      <c r="BR102" s="123">
        <f t="shared" si="146"/>
        <v>0</v>
      </c>
      <c r="BS102" s="123">
        <f t="shared" si="146"/>
        <v>0</v>
      </c>
      <c r="BT102" s="123">
        <f t="shared" si="146"/>
        <v>0</v>
      </c>
      <c r="BU102" s="123">
        <f t="shared" si="146"/>
        <v>0</v>
      </c>
      <c r="BV102" s="123">
        <f t="shared" si="146"/>
        <v>1</v>
      </c>
      <c r="BW102" s="123">
        <f t="shared" si="146"/>
        <v>0</v>
      </c>
      <c r="BX102" s="123">
        <f t="shared" si="146"/>
        <v>1</v>
      </c>
      <c r="BY102" s="124">
        <v>0</v>
      </c>
      <c r="BZ102" s="124">
        <v>0</v>
      </c>
      <c r="CA102" s="124">
        <f t="shared" si="90"/>
        <v>0</v>
      </c>
      <c r="CB102" s="124">
        <f t="shared" si="91"/>
        <v>0</v>
      </c>
      <c r="CC102" s="124">
        <f t="shared" si="92"/>
        <v>0</v>
      </c>
      <c r="CD102" s="124">
        <f t="shared" si="93"/>
        <v>0</v>
      </c>
      <c r="CE102" s="124">
        <f t="shared" si="94"/>
        <v>0</v>
      </c>
      <c r="CF102" s="124">
        <f t="shared" si="95"/>
        <v>0</v>
      </c>
      <c r="CG102" s="124">
        <f t="shared" si="96"/>
        <v>0</v>
      </c>
      <c r="CH102" s="124">
        <f t="shared" si="97"/>
        <v>0</v>
      </c>
      <c r="CI102" s="124">
        <f t="shared" si="98"/>
        <v>0</v>
      </c>
      <c r="CJ102" s="124">
        <f t="shared" si="99"/>
        <v>0</v>
      </c>
      <c r="CK102" s="124">
        <f t="shared" si="100"/>
        <v>0</v>
      </c>
      <c r="CL102" s="124">
        <f t="shared" si="101"/>
        <v>0</v>
      </c>
      <c r="CM102" s="124">
        <f t="shared" si="102"/>
        <v>0</v>
      </c>
      <c r="CN102" s="124">
        <f t="shared" si="103"/>
        <v>0</v>
      </c>
      <c r="CO102" s="124">
        <f t="shared" si="104"/>
        <v>0</v>
      </c>
      <c r="CP102" s="124">
        <f t="shared" si="105"/>
        <v>0</v>
      </c>
      <c r="CQ102" s="138">
        <f t="shared" si="106"/>
        <v>636.96637282307415</v>
      </c>
      <c r="CR102" s="138">
        <f t="shared" si="107"/>
        <v>2605.6885998012763</v>
      </c>
      <c r="CS102" s="138">
        <f t="shared" si="108"/>
        <v>55862.452502242952</v>
      </c>
    </row>
    <row r="103" spans="1:97" x14ac:dyDescent="0.2">
      <c r="A103" s="114">
        <v>43617</v>
      </c>
      <c r="B103">
        <f t="shared" si="116"/>
        <v>2019</v>
      </c>
      <c r="C103">
        <f t="shared" si="117"/>
        <v>6</v>
      </c>
      <c r="D103" s="102">
        <v>25171611.431325283</v>
      </c>
      <c r="E103" s="131">
        <f>VLOOKUP($B103,'Historic CDM'!$L$5:$R$17,2,FALSE)/12</f>
        <v>1408690.5797202766</v>
      </c>
      <c r="F103" s="131">
        <f t="shared" si="86"/>
        <v>26580302.01104556</v>
      </c>
      <c r="G103" s="102">
        <v>6035483.3349397592</v>
      </c>
      <c r="H103" s="131">
        <f>VLOOKUP($B103,'Historic CDM'!$L$5:$R$17,3,FALSE)/12</f>
        <v>606940.22447486676</v>
      </c>
      <c r="I103" s="131">
        <f t="shared" si="87"/>
        <v>6642423.5594146261</v>
      </c>
      <c r="J103" s="102">
        <v>17272766.390361439</v>
      </c>
      <c r="K103" s="131">
        <f>VLOOKUP($B103,'Historic CDM'!$L$5:$R$17,4,FALSE)/12</f>
        <v>1598997.2617911876</v>
      </c>
      <c r="L103" s="131">
        <f t="shared" si="88"/>
        <v>18871763.652152628</v>
      </c>
      <c r="M103" s="102">
        <v>10859312.859010994</v>
      </c>
      <c r="N103" s="131">
        <f>VLOOKUP($B103,'Historic CDM'!$L$5:$R$17,5,FALSE)/12</f>
        <v>686795.02226259199</v>
      </c>
      <c r="O103" s="131">
        <f t="shared" si="66"/>
        <v>11546107.881273586</v>
      </c>
      <c r="P103" s="102">
        <v>11898811.865924008</v>
      </c>
      <c r="Q103" s="131">
        <f>VLOOKUP($B103,'Historic CDM'!$L$5:$R$17,6,FALSE)/12</f>
        <v>741809.76780742628</v>
      </c>
      <c r="R103" s="131">
        <f t="shared" si="67"/>
        <v>12640621.633731434</v>
      </c>
      <c r="S103" s="102">
        <v>89995.065060240959</v>
      </c>
      <c r="T103" s="102">
        <v>11581.094117647024</v>
      </c>
      <c r="U103" s="102">
        <v>386713.25301204814</v>
      </c>
      <c r="V103" s="102">
        <v>50094.13</v>
      </c>
      <c r="W103" s="102">
        <v>23335.339999999997</v>
      </c>
      <c r="X103" s="102">
        <v>23517.47</v>
      </c>
      <c r="Y103" s="102">
        <v>1501.8</v>
      </c>
      <c r="Z103" s="102">
        <v>32.768952942668669</v>
      </c>
      <c r="AA103" s="41">
        <v>37029</v>
      </c>
      <c r="AB103" s="41">
        <v>2687</v>
      </c>
      <c r="AC103" s="41">
        <v>343</v>
      </c>
      <c r="AD103" s="41">
        <v>14</v>
      </c>
      <c r="AE103" s="41">
        <v>3</v>
      </c>
      <c r="AF103" s="41">
        <v>3279</v>
      </c>
      <c r="AG103" s="41">
        <v>238.2941176470581</v>
      </c>
      <c r="AH103" s="41">
        <v>217</v>
      </c>
      <c r="AI103" s="104">
        <f>Weather!C211</f>
        <v>18.193333333333335</v>
      </c>
      <c r="AJ103" s="104">
        <f>Weather!D211</f>
        <v>119.70000000000002</v>
      </c>
      <c r="AK103" s="104">
        <f>Weather!E211</f>
        <v>5.4999999999999964</v>
      </c>
      <c r="AL103" s="104">
        <f>Weather!F211</f>
        <v>70.400000000000006</v>
      </c>
      <c r="AM103" s="104">
        <f>Weather!G211</f>
        <v>16.2</v>
      </c>
      <c r="AN103" s="104">
        <f>Weather!H211</f>
        <v>35.5</v>
      </c>
      <c r="AO103" s="104">
        <f>Weather!I211</f>
        <v>41.3</v>
      </c>
      <c r="AP103" s="104">
        <f>Weather!J211</f>
        <v>13.800000000000002</v>
      </c>
      <c r="AQ103" s="104">
        <f>Weather!K211</f>
        <v>79.600000000000009</v>
      </c>
      <c r="AR103" s="104">
        <f>Weather!L211</f>
        <v>4.2000000000000011</v>
      </c>
      <c r="AS103" s="104">
        <f>Weather!M211</f>
        <v>130</v>
      </c>
      <c r="AT103" s="104">
        <f>Weather!N211</f>
        <v>0.40000000000000036</v>
      </c>
      <c r="AU103" s="104">
        <f>Weather!O211</f>
        <v>186.2</v>
      </c>
      <c r="AV103" s="104">
        <f>Weather!P211</f>
        <v>0</v>
      </c>
      <c r="AW103" s="104">
        <f>Weather!Q211</f>
        <v>245.8</v>
      </c>
      <c r="AX103" s="104">
        <f>Weather!R211</f>
        <v>0</v>
      </c>
      <c r="AY103" s="104">
        <f>Weather!S211</f>
        <v>305.8</v>
      </c>
      <c r="AZ103" s="119">
        <f>Economic!C103</f>
        <v>747589.4</v>
      </c>
      <c r="BA103" s="120">
        <f>Economic!D103</f>
        <v>7355.7</v>
      </c>
      <c r="BB103" s="120">
        <f>Economic!E103</f>
        <v>7398.9</v>
      </c>
      <c r="BC103" s="120">
        <f>Economic!F103</f>
        <v>3367.5</v>
      </c>
      <c r="BD103" s="120">
        <f>Economic!G103</f>
        <v>3386.5</v>
      </c>
      <c r="BE103" s="120">
        <f>Economic!H103</f>
        <v>405.1</v>
      </c>
      <c r="BF103" s="120">
        <f>Economic!I103</f>
        <v>404.3</v>
      </c>
      <c r="BG103" s="123">
        <f t="shared" si="81"/>
        <v>30</v>
      </c>
      <c r="BH103" s="123">
        <v>22</v>
      </c>
      <c r="BI103" s="123">
        <f t="shared" si="132"/>
        <v>102</v>
      </c>
      <c r="BJ103" s="123">
        <f t="shared" ref="BJ103:BX103" si="147">BJ91</f>
        <v>0</v>
      </c>
      <c r="BK103" s="123">
        <f t="shared" si="147"/>
        <v>0</v>
      </c>
      <c r="BL103" s="123">
        <f t="shared" si="147"/>
        <v>0</v>
      </c>
      <c r="BM103" s="123">
        <f t="shared" si="147"/>
        <v>0</v>
      </c>
      <c r="BN103" s="123">
        <f t="shared" si="147"/>
        <v>0</v>
      </c>
      <c r="BO103" s="123">
        <f t="shared" si="147"/>
        <v>1</v>
      </c>
      <c r="BP103" s="123">
        <f t="shared" si="147"/>
        <v>0</v>
      </c>
      <c r="BQ103" s="123">
        <f t="shared" si="147"/>
        <v>0</v>
      </c>
      <c r="BR103" s="123">
        <f t="shared" si="147"/>
        <v>0</v>
      </c>
      <c r="BS103" s="123">
        <f t="shared" si="147"/>
        <v>0</v>
      </c>
      <c r="BT103" s="123">
        <f t="shared" si="147"/>
        <v>0</v>
      </c>
      <c r="BU103" s="123">
        <f t="shared" si="147"/>
        <v>0</v>
      </c>
      <c r="BV103" s="123">
        <f t="shared" si="147"/>
        <v>0</v>
      </c>
      <c r="BW103" s="123">
        <f t="shared" si="147"/>
        <v>0</v>
      </c>
      <c r="BX103" s="123">
        <f t="shared" si="147"/>
        <v>0</v>
      </c>
      <c r="BY103" s="124">
        <v>0</v>
      </c>
      <c r="BZ103" s="124">
        <v>0</v>
      </c>
      <c r="CA103" s="124">
        <f t="shared" si="90"/>
        <v>0</v>
      </c>
      <c r="CB103" s="124">
        <f t="shared" si="91"/>
        <v>0</v>
      </c>
      <c r="CC103" s="124">
        <f t="shared" si="92"/>
        <v>0</v>
      </c>
      <c r="CD103" s="124">
        <f t="shared" si="93"/>
        <v>0</v>
      </c>
      <c r="CE103" s="124">
        <f t="shared" si="94"/>
        <v>0</v>
      </c>
      <c r="CF103" s="124">
        <f t="shared" si="95"/>
        <v>0</v>
      </c>
      <c r="CG103" s="124">
        <f t="shared" si="96"/>
        <v>0</v>
      </c>
      <c r="CH103" s="124">
        <f t="shared" si="97"/>
        <v>0</v>
      </c>
      <c r="CI103" s="124">
        <f t="shared" si="98"/>
        <v>0</v>
      </c>
      <c r="CJ103" s="124">
        <f t="shared" si="99"/>
        <v>0</v>
      </c>
      <c r="CK103" s="124">
        <f t="shared" si="100"/>
        <v>0</v>
      </c>
      <c r="CL103" s="124">
        <f t="shared" si="101"/>
        <v>0</v>
      </c>
      <c r="CM103" s="124">
        <f t="shared" si="102"/>
        <v>0</v>
      </c>
      <c r="CN103" s="124">
        <f t="shared" si="103"/>
        <v>0</v>
      </c>
      <c r="CO103" s="124">
        <f t="shared" si="104"/>
        <v>0</v>
      </c>
      <c r="CP103" s="124">
        <f t="shared" si="105"/>
        <v>0</v>
      </c>
      <c r="CQ103" s="138">
        <f t="shared" si="106"/>
        <v>717.82392208932356</v>
      </c>
      <c r="CR103" s="138">
        <f t="shared" si="107"/>
        <v>2472.0593819927899</v>
      </c>
      <c r="CS103" s="138">
        <f t="shared" si="108"/>
        <v>55019.719102485797</v>
      </c>
    </row>
    <row r="104" spans="1:97" x14ac:dyDescent="0.2">
      <c r="A104" s="115">
        <v>43647</v>
      </c>
      <c r="B104">
        <f t="shared" si="116"/>
        <v>2019</v>
      </c>
      <c r="C104">
        <f t="shared" si="117"/>
        <v>7</v>
      </c>
      <c r="D104" s="102">
        <v>37225707.074698806</v>
      </c>
      <c r="E104" s="131">
        <f>VLOOKUP($B104,'Historic CDM'!$L$5:$R$17,2,FALSE)/12</f>
        <v>1408690.5797202766</v>
      </c>
      <c r="F104" s="131">
        <f t="shared" si="86"/>
        <v>38634397.654419079</v>
      </c>
      <c r="G104" s="102">
        <v>7346858.1783132479</v>
      </c>
      <c r="H104" s="131">
        <f>VLOOKUP($B104,'Historic CDM'!$L$5:$R$17,3,FALSE)/12</f>
        <v>606940.22447486676</v>
      </c>
      <c r="I104" s="131">
        <f t="shared" si="87"/>
        <v>7953798.4027881147</v>
      </c>
      <c r="J104" s="102">
        <v>20011928.221686758</v>
      </c>
      <c r="K104" s="131">
        <f>VLOOKUP($B104,'Historic CDM'!$L$5:$R$17,4,FALSE)/12</f>
        <v>1598997.2617911876</v>
      </c>
      <c r="L104" s="131">
        <f t="shared" si="88"/>
        <v>21610925.483477946</v>
      </c>
      <c r="M104" s="102">
        <v>12164723.649924926</v>
      </c>
      <c r="N104" s="131">
        <f>VLOOKUP($B104,'Historic CDM'!$L$5:$R$17,5,FALSE)/12</f>
        <v>686795.02226259199</v>
      </c>
      <c r="O104" s="131">
        <f t="shared" si="66"/>
        <v>12851518.672187518</v>
      </c>
      <c r="P104" s="102">
        <v>11805037.487567136</v>
      </c>
      <c r="Q104" s="131">
        <f>VLOOKUP($B104,'Historic CDM'!$L$5:$R$17,6,FALSE)/12</f>
        <v>741809.76780742628</v>
      </c>
      <c r="R104" s="131">
        <f t="shared" si="67"/>
        <v>12546847.255374562</v>
      </c>
      <c r="S104" s="102">
        <v>89995.065060240959</v>
      </c>
      <c r="T104" s="102">
        <v>11569.658823529377</v>
      </c>
      <c r="U104" s="102">
        <v>412419.77831325302</v>
      </c>
      <c r="V104" s="102">
        <v>52975.890000000007</v>
      </c>
      <c r="W104" s="102">
        <v>26073.689999999995</v>
      </c>
      <c r="X104" s="102">
        <v>22638.83</v>
      </c>
      <c r="Y104" s="102">
        <v>1492.03</v>
      </c>
      <c r="Z104" s="102">
        <v>32.728481735159789</v>
      </c>
      <c r="AA104" s="41">
        <v>37141</v>
      </c>
      <c r="AB104" s="41">
        <v>2688</v>
      </c>
      <c r="AC104" s="41">
        <v>346</v>
      </c>
      <c r="AD104" s="41">
        <v>14</v>
      </c>
      <c r="AE104" s="41">
        <v>3</v>
      </c>
      <c r="AF104" s="41">
        <v>3279</v>
      </c>
      <c r="AG104" s="41">
        <v>238.05882352941103</v>
      </c>
      <c r="AH104" s="41">
        <v>217</v>
      </c>
      <c r="AI104" s="104">
        <f>Weather!C212</f>
        <v>23.383870967741931</v>
      </c>
      <c r="AJ104" s="104">
        <f>Weather!D212</f>
        <v>11.7</v>
      </c>
      <c r="AK104" s="104">
        <f>Weather!E212</f>
        <v>54.6</v>
      </c>
      <c r="AL104" s="104">
        <f>Weather!F212</f>
        <v>0</v>
      </c>
      <c r="AM104" s="104">
        <f>Weather!G212</f>
        <v>104.90000000000002</v>
      </c>
      <c r="AN104" s="104">
        <f>Weather!H212</f>
        <v>0</v>
      </c>
      <c r="AO104" s="104">
        <f>Weather!I212</f>
        <v>166.90000000000006</v>
      </c>
      <c r="AP104" s="104">
        <f>Weather!J212</f>
        <v>0</v>
      </c>
      <c r="AQ104" s="104">
        <f>Weather!K212</f>
        <v>228.9</v>
      </c>
      <c r="AR104" s="104">
        <f>Weather!L212</f>
        <v>0</v>
      </c>
      <c r="AS104" s="104">
        <f>Weather!M212</f>
        <v>290.89999999999992</v>
      </c>
      <c r="AT104" s="104">
        <f>Weather!N212</f>
        <v>0</v>
      </c>
      <c r="AU104" s="104">
        <f>Weather!O212</f>
        <v>352.89999999999992</v>
      </c>
      <c r="AV104" s="104">
        <f>Weather!P212</f>
        <v>0</v>
      </c>
      <c r="AW104" s="104">
        <f>Weather!Q212</f>
        <v>414.9</v>
      </c>
      <c r="AX104" s="104">
        <f>Weather!R212</f>
        <v>0</v>
      </c>
      <c r="AY104" s="104">
        <f>Weather!S212</f>
        <v>476.9</v>
      </c>
      <c r="AZ104" s="119">
        <f>Economic!C104</f>
        <v>747589.4</v>
      </c>
      <c r="BA104" s="120">
        <f>Economic!D104</f>
        <v>7357.8</v>
      </c>
      <c r="BB104" s="120">
        <f>Economic!E104</f>
        <v>7452.4</v>
      </c>
      <c r="BC104" s="120">
        <f>Economic!F104</f>
        <v>3382.6</v>
      </c>
      <c r="BD104" s="120">
        <f>Economic!G104</f>
        <v>3420.6</v>
      </c>
      <c r="BE104" s="120">
        <f>Economic!H104</f>
        <v>404.6</v>
      </c>
      <c r="BF104" s="120">
        <f>Economic!I104</f>
        <v>407</v>
      </c>
      <c r="BG104" s="123">
        <f t="shared" si="81"/>
        <v>31</v>
      </c>
      <c r="BH104" s="123">
        <v>20</v>
      </c>
      <c r="BI104" s="123">
        <f t="shared" si="132"/>
        <v>103</v>
      </c>
      <c r="BJ104" s="123">
        <f t="shared" ref="BJ104:BX104" si="148">BJ92</f>
        <v>0</v>
      </c>
      <c r="BK104" s="123">
        <f t="shared" si="148"/>
        <v>0</v>
      </c>
      <c r="BL104" s="123">
        <f t="shared" si="148"/>
        <v>0</v>
      </c>
      <c r="BM104" s="123">
        <f t="shared" si="148"/>
        <v>0</v>
      </c>
      <c r="BN104" s="123">
        <f t="shared" si="148"/>
        <v>0</v>
      </c>
      <c r="BO104" s="123">
        <f t="shared" si="148"/>
        <v>0</v>
      </c>
      <c r="BP104" s="123">
        <f t="shared" si="148"/>
        <v>1</v>
      </c>
      <c r="BQ104" s="123">
        <f t="shared" si="148"/>
        <v>0</v>
      </c>
      <c r="BR104" s="123">
        <f t="shared" si="148"/>
        <v>0</v>
      </c>
      <c r="BS104" s="123">
        <f t="shared" si="148"/>
        <v>0</v>
      </c>
      <c r="BT104" s="123">
        <f t="shared" si="148"/>
        <v>0</v>
      </c>
      <c r="BU104" s="123">
        <f t="shared" si="148"/>
        <v>0</v>
      </c>
      <c r="BV104" s="123">
        <f t="shared" si="148"/>
        <v>0</v>
      </c>
      <c r="BW104" s="123">
        <f t="shared" si="148"/>
        <v>0</v>
      </c>
      <c r="BX104" s="123">
        <f t="shared" si="148"/>
        <v>0</v>
      </c>
      <c r="BY104" s="124">
        <v>0</v>
      </c>
      <c r="BZ104" s="124">
        <v>0</v>
      </c>
      <c r="CA104" s="124">
        <f t="shared" si="90"/>
        <v>0</v>
      </c>
      <c r="CB104" s="124">
        <f t="shared" si="91"/>
        <v>0</v>
      </c>
      <c r="CC104" s="124">
        <f t="shared" si="92"/>
        <v>0</v>
      </c>
      <c r="CD104" s="124">
        <f t="shared" si="93"/>
        <v>0</v>
      </c>
      <c r="CE104" s="124">
        <f t="shared" si="94"/>
        <v>0</v>
      </c>
      <c r="CF104" s="124">
        <f t="shared" si="95"/>
        <v>0</v>
      </c>
      <c r="CG104" s="124">
        <f t="shared" si="96"/>
        <v>0</v>
      </c>
      <c r="CH104" s="124">
        <f t="shared" si="97"/>
        <v>0</v>
      </c>
      <c r="CI104" s="124">
        <f t="shared" si="98"/>
        <v>0</v>
      </c>
      <c r="CJ104" s="124">
        <f t="shared" si="99"/>
        <v>0</v>
      </c>
      <c r="CK104" s="124">
        <f t="shared" si="100"/>
        <v>0</v>
      </c>
      <c r="CL104" s="124">
        <f t="shared" si="101"/>
        <v>0</v>
      </c>
      <c r="CM104" s="124">
        <f t="shared" si="102"/>
        <v>0</v>
      </c>
      <c r="CN104" s="124">
        <f t="shared" si="103"/>
        <v>0</v>
      </c>
      <c r="CO104" s="124">
        <f t="shared" si="104"/>
        <v>0</v>
      </c>
      <c r="CP104" s="124">
        <f t="shared" si="105"/>
        <v>0</v>
      </c>
      <c r="CQ104" s="138">
        <f t="shared" si="106"/>
        <v>1040.2088703701861</v>
      </c>
      <c r="CR104" s="138">
        <f t="shared" si="107"/>
        <v>2959.002381989626</v>
      </c>
      <c r="CS104" s="138">
        <f t="shared" si="108"/>
        <v>62459.32220658366</v>
      </c>
    </row>
    <row r="105" spans="1:97" x14ac:dyDescent="0.2">
      <c r="A105" s="114">
        <v>43678</v>
      </c>
      <c r="B105">
        <f t="shared" si="116"/>
        <v>2019</v>
      </c>
      <c r="C105">
        <f t="shared" si="117"/>
        <v>8</v>
      </c>
      <c r="D105" s="102">
        <v>34053660.819277115</v>
      </c>
      <c r="E105" s="131">
        <f>VLOOKUP($B105,'Historic CDM'!$L$5:$R$17,2,FALSE)/12</f>
        <v>1408690.5797202766</v>
      </c>
      <c r="F105" s="131">
        <f t="shared" si="86"/>
        <v>35462351.398997389</v>
      </c>
      <c r="G105" s="102">
        <v>7213289.7060240963</v>
      </c>
      <c r="H105" s="131">
        <f>VLOOKUP($B105,'Historic CDM'!$L$5:$R$17,3,FALSE)/12</f>
        <v>606940.22447486676</v>
      </c>
      <c r="I105" s="131">
        <f t="shared" si="87"/>
        <v>7820229.9304989632</v>
      </c>
      <c r="J105" s="102">
        <v>18900005.146987949</v>
      </c>
      <c r="K105" s="131">
        <f>VLOOKUP($B105,'Historic CDM'!$L$5:$R$17,4,FALSE)/12</f>
        <v>1598997.2617911876</v>
      </c>
      <c r="L105" s="131">
        <f t="shared" si="88"/>
        <v>20499002.408779137</v>
      </c>
      <c r="M105" s="102">
        <v>12247001.743594712</v>
      </c>
      <c r="N105" s="131">
        <f>VLOOKUP($B105,'Historic CDM'!$L$5:$R$17,5,FALSE)/12</f>
        <v>686795.02226259199</v>
      </c>
      <c r="O105" s="131">
        <f t="shared" si="66"/>
        <v>12933796.765857304</v>
      </c>
      <c r="P105" s="102">
        <v>12902117.99283867</v>
      </c>
      <c r="Q105" s="131">
        <f>VLOOKUP($B105,'Historic CDM'!$L$5:$R$17,6,FALSE)/12</f>
        <v>741809.76780742628</v>
      </c>
      <c r="R105" s="131">
        <f t="shared" si="67"/>
        <v>13643927.760646095</v>
      </c>
      <c r="S105" s="102">
        <v>76724.067469879519</v>
      </c>
      <c r="T105" s="102">
        <v>11558.223529411729</v>
      </c>
      <c r="U105" s="102">
        <v>461224.54939759034</v>
      </c>
      <c r="V105" s="102">
        <v>51657.649999999987</v>
      </c>
      <c r="W105" s="102">
        <v>25158.63</v>
      </c>
      <c r="X105" s="102">
        <v>23992.52</v>
      </c>
      <c r="Y105" s="102">
        <v>1475.53</v>
      </c>
      <c r="Z105" s="102">
        <v>32.68801052765091</v>
      </c>
      <c r="AA105" s="41">
        <v>37161</v>
      </c>
      <c r="AB105" s="41">
        <v>2684</v>
      </c>
      <c r="AC105" s="41">
        <v>347</v>
      </c>
      <c r="AD105" s="41">
        <v>14</v>
      </c>
      <c r="AE105" s="41">
        <v>3</v>
      </c>
      <c r="AF105" s="41">
        <v>3279</v>
      </c>
      <c r="AG105" s="41">
        <v>237.82352941176396</v>
      </c>
      <c r="AH105" s="41">
        <v>217</v>
      </c>
      <c r="AI105" s="104">
        <f>Weather!C213</f>
        <v>21.303225806451607</v>
      </c>
      <c r="AJ105" s="104">
        <f>Weather!D213</f>
        <v>35.5</v>
      </c>
      <c r="AK105" s="104">
        <f>Weather!E213</f>
        <v>13.899999999999999</v>
      </c>
      <c r="AL105" s="104">
        <f>Weather!F213</f>
        <v>7.8000000000000007</v>
      </c>
      <c r="AM105" s="104">
        <f>Weather!G213</f>
        <v>48.200000000000017</v>
      </c>
      <c r="AN105" s="104">
        <f>Weather!H213</f>
        <v>0.89999999999999858</v>
      </c>
      <c r="AO105" s="104">
        <f>Weather!I213</f>
        <v>103.29999999999998</v>
      </c>
      <c r="AP105" s="104">
        <f>Weather!J213</f>
        <v>0</v>
      </c>
      <c r="AQ105" s="104">
        <f>Weather!K213</f>
        <v>164.40000000000006</v>
      </c>
      <c r="AR105" s="104">
        <f>Weather!L213</f>
        <v>0</v>
      </c>
      <c r="AS105" s="104">
        <f>Weather!M213</f>
        <v>226.40000000000006</v>
      </c>
      <c r="AT105" s="104">
        <f>Weather!N213</f>
        <v>0</v>
      </c>
      <c r="AU105" s="104">
        <f>Weather!O213</f>
        <v>288.39999999999998</v>
      </c>
      <c r="AV105" s="104">
        <f>Weather!P213</f>
        <v>0</v>
      </c>
      <c r="AW105" s="104">
        <f>Weather!Q213</f>
        <v>350.4</v>
      </c>
      <c r="AX105" s="104">
        <f>Weather!R213</f>
        <v>0</v>
      </c>
      <c r="AY105" s="104">
        <f>Weather!S213</f>
        <v>412.4</v>
      </c>
      <c r="AZ105" s="119">
        <f>Economic!C105</f>
        <v>747589.4</v>
      </c>
      <c r="BA105" s="120">
        <f>Economic!D105</f>
        <v>7373.4</v>
      </c>
      <c r="BB105" s="120">
        <f>Economic!E105</f>
        <v>7472.4</v>
      </c>
      <c r="BC105" s="120">
        <f>Economic!F105</f>
        <v>3394.4</v>
      </c>
      <c r="BD105" s="120">
        <f>Economic!G105</f>
        <v>3429.9</v>
      </c>
      <c r="BE105" s="120">
        <f>Economic!H105</f>
        <v>407.4</v>
      </c>
      <c r="BF105" s="120">
        <f>Economic!I105</f>
        <v>411.4</v>
      </c>
      <c r="BG105" s="123">
        <f t="shared" si="81"/>
        <v>31</v>
      </c>
      <c r="BH105" s="123">
        <v>22</v>
      </c>
      <c r="BI105" s="123">
        <f t="shared" si="132"/>
        <v>104</v>
      </c>
      <c r="BJ105" s="123">
        <f t="shared" ref="BJ105:BX105" si="149">BJ93</f>
        <v>0</v>
      </c>
      <c r="BK105" s="123">
        <f t="shared" si="149"/>
        <v>0</v>
      </c>
      <c r="BL105" s="123">
        <f t="shared" si="149"/>
        <v>0</v>
      </c>
      <c r="BM105" s="123">
        <f t="shared" si="149"/>
        <v>0</v>
      </c>
      <c r="BN105" s="123">
        <f t="shared" si="149"/>
        <v>0</v>
      </c>
      <c r="BO105" s="123">
        <f t="shared" si="149"/>
        <v>0</v>
      </c>
      <c r="BP105" s="123">
        <f t="shared" si="149"/>
        <v>0</v>
      </c>
      <c r="BQ105" s="123">
        <f t="shared" si="149"/>
        <v>1</v>
      </c>
      <c r="BR105" s="123">
        <f t="shared" si="149"/>
        <v>0</v>
      </c>
      <c r="BS105" s="123">
        <f t="shared" si="149"/>
        <v>0</v>
      </c>
      <c r="BT105" s="123">
        <f t="shared" si="149"/>
        <v>0</v>
      </c>
      <c r="BU105" s="123">
        <f t="shared" si="149"/>
        <v>0</v>
      </c>
      <c r="BV105" s="123">
        <f t="shared" si="149"/>
        <v>0</v>
      </c>
      <c r="BW105" s="123">
        <f t="shared" si="149"/>
        <v>0</v>
      </c>
      <c r="BX105" s="123">
        <f t="shared" si="149"/>
        <v>0</v>
      </c>
      <c r="BY105" s="124">
        <v>0</v>
      </c>
      <c r="BZ105" s="124">
        <v>0</v>
      </c>
      <c r="CA105" s="124">
        <f t="shared" si="90"/>
        <v>0</v>
      </c>
      <c r="CB105" s="124">
        <f t="shared" si="91"/>
        <v>0</v>
      </c>
      <c r="CC105" s="124">
        <f t="shared" si="92"/>
        <v>0</v>
      </c>
      <c r="CD105" s="124">
        <f t="shared" si="93"/>
        <v>0</v>
      </c>
      <c r="CE105" s="124">
        <f t="shared" si="94"/>
        <v>0</v>
      </c>
      <c r="CF105" s="124">
        <f t="shared" si="95"/>
        <v>0</v>
      </c>
      <c r="CG105" s="124">
        <f t="shared" si="96"/>
        <v>0</v>
      </c>
      <c r="CH105" s="124">
        <f t="shared" si="97"/>
        <v>0</v>
      </c>
      <c r="CI105" s="124">
        <f t="shared" si="98"/>
        <v>0</v>
      </c>
      <c r="CJ105" s="124">
        <f t="shared" si="99"/>
        <v>0</v>
      </c>
      <c r="CK105" s="124">
        <f t="shared" si="100"/>
        <v>0</v>
      </c>
      <c r="CL105" s="124">
        <f t="shared" si="101"/>
        <v>0</v>
      </c>
      <c r="CM105" s="124">
        <f t="shared" si="102"/>
        <v>0</v>
      </c>
      <c r="CN105" s="124">
        <f t="shared" si="103"/>
        <v>0</v>
      </c>
      <c r="CO105" s="124">
        <f t="shared" si="104"/>
        <v>0</v>
      </c>
      <c r="CP105" s="124">
        <f t="shared" si="105"/>
        <v>0</v>
      </c>
      <c r="CQ105" s="138">
        <f t="shared" si="106"/>
        <v>954.28948088042273</v>
      </c>
      <c r="CR105" s="138">
        <f t="shared" si="107"/>
        <v>2913.6475150890324</v>
      </c>
      <c r="CS105" s="138">
        <f t="shared" si="108"/>
        <v>59074.934895617109</v>
      </c>
    </row>
    <row r="106" spans="1:97" x14ac:dyDescent="0.2">
      <c r="A106" s="115">
        <v>43709</v>
      </c>
      <c r="B106">
        <f t="shared" si="116"/>
        <v>2019</v>
      </c>
      <c r="C106">
        <f t="shared" si="117"/>
        <v>9</v>
      </c>
      <c r="D106" s="102">
        <v>25049312.13493976</v>
      </c>
      <c r="E106" s="131">
        <f>VLOOKUP($B106,'Historic CDM'!$L$5:$R$17,2,FALSE)/12</f>
        <v>1408690.5797202766</v>
      </c>
      <c r="F106" s="131">
        <f t="shared" si="86"/>
        <v>26458002.714660037</v>
      </c>
      <c r="G106" s="102">
        <v>6412383.0746987946</v>
      </c>
      <c r="H106" s="131">
        <f>VLOOKUP($B106,'Historic CDM'!$L$5:$R$17,3,FALSE)/12</f>
        <v>606940.22447486676</v>
      </c>
      <c r="I106" s="131">
        <f t="shared" si="87"/>
        <v>7019323.2991736615</v>
      </c>
      <c r="J106" s="102">
        <v>17525598.293975905</v>
      </c>
      <c r="K106" s="131">
        <f>VLOOKUP($B106,'Historic CDM'!$L$5:$R$17,4,FALSE)/12</f>
        <v>1598997.2617911876</v>
      </c>
      <c r="L106" s="131">
        <f t="shared" si="88"/>
        <v>19124595.555767093</v>
      </c>
      <c r="M106" s="102">
        <v>11885334.353659125</v>
      </c>
      <c r="N106" s="131">
        <f>VLOOKUP($B106,'Historic CDM'!$L$5:$R$17,5,FALSE)/12</f>
        <v>686795.02226259199</v>
      </c>
      <c r="O106" s="131">
        <f t="shared" si="66"/>
        <v>12572129.375921717</v>
      </c>
      <c r="P106" s="102">
        <v>12288578.038591607</v>
      </c>
      <c r="Q106" s="131">
        <f>VLOOKUP($B106,'Historic CDM'!$L$5:$R$17,6,FALSE)/12</f>
        <v>741809.76780742628</v>
      </c>
      <c r="R106" s="131">
        <f t="shared" si="67"/>
        <v>13030387.806399032</v>
      </c>
      <c r="S106" s="102">
        <v>88719.065060240959</v>
      </c>
      <c r="T106" s="102">
        <v>11546.788235294081</v>
      </c>
      <c r="U106" s="102">
        <v>504665.22409638547</v>
      </c>
      <c r="V106" s="102">
        <v>51429.449999999983</v>
      </c>
      <c r="W106" s="102">
        <v>26061.050000000003</v>
      </c>
      <c r="X106" s="102">
        <v>24253.11</v>
      </c>
      <c r="Y106" s="102">
        <v>1473.48</v>
      </c>
      <c r="Z106" s="102">
        <v>32.64753932014203</v>
      </c>
      <c r="AA106" s="41">
        <v>37192</v>
      </c>
      <c r="AB106" s="41">
        <v>2683</v>
      </c>
      <c r="AC106" s="41">
        <v>348</v>
      </c>
      <c r="AD106" s="41">
        <v>14</v>
      </c>
      <c r="AE106" s="41">
        <v>3</v>
      </c>
      <c r="AF106" s="41">
        <v>3279</v>
      </c>
      <c r="AG106" s="41">
        <v>237.58823529411688</v>
      </c>
      <c r="AH106" s="41">
        <v>216</v>
      </c>
      <c r="AI106" s="104">
        <f>Weather!C214</f>
        <v>17.566666666666666</v>
      </c>
      <c r="AJ106" s="104">
        <f>Weather!D214</f>
        <v>138.29999999999998</v>
      </c>
      <c r="AK106" s="104">
        <f>Weather!E214</f>
        <v>5.3000000000000007</v>
      </c>
      <c r="AL106" s="104">
        <f>Weather!F214</f>
        <v>84.499999999999986</v>
      </c>
      <c r="AM106" s="104">
        <f>Weather!G214</f>
        <v>11.500000000000004</v>
      </c>
      <c r="AN106" s="104">
        <f>Weather!H214</f>
        <v>38.4</v>
      </c>
      <c r="AO106" s="104">
        <f>Weather!I214</f>
        <v>25.400000000000002</v>
      </c>
      <c r="AP106" s="104">
        <f>Weather!J214</f>
        <v>11.699999999999998</v>
      </c>
      <c r="AQ106" s="104">
        <f>Weather!K214</f>
        <v>58.7</v>
      </c>
      <c r="AR106" s="104">
        <f>Weather!L214</f>
        <v>2.5999999999999979</v>
      </c>
      <c r="AS106" s="104">
        <f>Weather!M214</f>
        <v>109.6</v>
      </c>
      <c r="AT106" s="104">
        <f>Weather!N214</f>
        <v>0.19999999999999929</v>
      </c>
      <c r="AU106" s="104">
        <f>Weather!O214</f>
        <v>167.2</v>
      </c>
      <c r="AV106" s="104">
        <f>Weather!P214</f>
        <v>0</v>
      </c>
      <c r="AW106" s="104">
        <f>Weather!Q214</f>
        <v>227</v>
      </c>
      <c r="AX106" s="104">
        <f>Weather!R214</f>
        <v>0</v>
      </c>
      <c r="AY106" s="104">
        <f>Weather!S214</f>
        <v>286.99999999999994</v>
      </c>
      <c r="AZ106" s="119">
        <f>Economic!C106</f>
        <v>747589.4</v>
      </c>
      <c r="BA106" s="120">
        <f>Economic!D106</f>
        <v>7399.5</v>
      </c>
      <c r="BB106" s="120">
        <f>Economic!E106</f>
        <v>7464.3</v>
      </c>
      <c r="BC106" s="120">
        <f>Economic!F106</f>
        <v>3416.8</v>
      </c>
      <c r="BD106" s="120">
        <f>Economic!G106</f>
        <v>3440.4</v>
      </c>
      <c r="BE106" s="120">
        <f>Economic!H106</f>
        <v>408.3</v>
      </c>
      <c r="BF106" s="120">
        <f>Economic!I106</f>
        <v>412.1</v>
      </c>
      <c r="BG106" s="123">
        <f t="shared" si="81"/>
        <v>30</v>
      </c>
      <c r="BH106" s="123">
        <v>20</v>
      </c>
      <c r="BI106" s="123">
        <f t="shared" si="132"/>
        <v>105</v>
      </c>
      <c r="BJ106" s="123">
        <f t="shared" ref="BJ106:BX106" si="150">BJ94</f>
        <v>0</v>
      </c>
      <c r="BK106" s="123">
        <f t="shared" si="150"/>
        <v>0</v>
      </c>
      <c r="BL106" s="123">
        <f t="shared" si="150"/>
        <v>0</v>
      </c>
      <c r="BM106" s="123">
        <f t="shared" si="150"/>
        <v>0</v>
      </c>
      <c r="BN106" s="123">
        <f t="shared" si="150"/>
        <v>0</v>
      </c>
      <c r="BO106" s="123">
        <f t="shared" si="150"/>
        <v>0</v>
      </c>
      <c r="BP106" s="123">
        <f t="shared" si="150"/>
        <v>0</v>
      </c>
      <c r="BQ106" s="123">
        <f t="shared" si="150"/>
        <v>0</v>
      </c>
      <c r="BR106" s="123">
        <f t="shared" si="150"/>
        <v>1</v>
      </c>
      <c r="BS106" s="123">
        <f t="shared" si="150"/>
        <v>0</v>
      </c>
      <c r="BT106" s="123">
        <f t="shared" si="150"/>
        <v>0</v>
      </c>
      <c r="BU106" s="123">
        <f t="shared" si="150"/>
        <v>0</v>
      </c>
      <c r="BV106" s="123">
        <f t="shared" si="150"/>
        <v>0</v>
      </c>
      <c r="BW106" s="123">
        <f t="shared" si="150"/>
        <v>1</v>
      </c>
      <c r="BX106" s="123">
        <f t="shared" si="150"/>
        <v>1</v>
      </c>
      <c r="BY106" s="124">
        <v>0</v>
      </c>
      <c r="BZ106" s="124">
        <v>0</v>
      </c>
      <c r="CA106" s="124">
        <f t="shared" si="90"/>
        <v>0</v>
      </c>
      <c r="CB106" s="124">
        <f t="shared" si="91"/>
        <v>0</v>
      </c>
      <c r="CC106" s="124">
        <f t="shared" si="92"/>
        <v>0</v>
      </c>
      <c r="CD106" s="124">
        <f t="shared" si="93"/>
        <v>0</v>
      </c>
      <c r="CE106" s="124">
        <f t="shared" si="94"/>
        <v>0</v>
      </c>
      <c r="CF106" s="124">
        <f t="shared" si="95"/>
        <v>0</v>
      </c>
      <c r="CG106" s="124">
        <f t="shared" si="96"/>
        <v>0</v>
      </c>
      <c r="CH106" s="124">
        <f t="shared" si="97"/>
        <v>0</v>
      </c>
      <c r="CI106" s="124">
        <f t="shared" si="98"/>
        <v>0</v>
      </c>
      <c r="CJ106" s="124">
        <f t="shared" si="99"/>
        <v>0</v>
      </c>
      <c r="CK106" s="124">
        <f t="shared" si="100"/>
        <v>0</v>
      </c>
      <c r="CL106" s="124">
        <f t="shared" si="101"/>
        <v>0</v>
      </c>
      <c r="CM106" s="124">
        <f t="shared" si="102"/>
        <v>0</v>
      </c>
      <c r="CN106" s="124">
        <f t="shared" si="103"/>
        <v>0</v>
      </c>
      <c r="CO106" s="124">
        <f t="shared" si="104"/>
        <v>0</v>
      </c>
      <c r="CP106" s="124">
        <f t="shared" si="105"/>
        <v>0</v>
      </c>
      <c r="CQ106" s="138">
        <f t="shared" si="106"/>
        <v>711.38961912938362</v>
      </c>
      <c r="CR106" s="138">
        <f t="shared" si="107"/>
        <v>2616.2218781862325</v>
      </c>
      <c r="CS106" s="138">
        <f t="shared" si="108"/>
        <v>54955.734355652567</v>
      </c>
    </row>
    <row r="107" spans="1:97" x14ac:dyDescent="0.2">
      <c r="A107" s="114">
        <v>43739</v>
      </c>
      <c r="B107">
        <f t="shared" si="116"/>
        <v>2019</v>
      </c>
      <c r="C107">
        <f t="shared" si="117"/>
        <v>10</v>
      </c>
      <c r="D107" s="102">
        <v>22049631.412048209</v>
      </c>
      <c r="E107" s="131">
        <f>VLOOKUP($B107,'Historic CDM'!$L$5:$R$17,2,FALSE)/12</f>
        <v>1408690.5797202766</v>
      </c>
      <c r="F107" s="131">
        <f t="shared" si="86"/>
        <v>23458321.991768487</v>
      </c>
      <c r="G107" s="102">
        <v>6175914.5445783148</v>
      </c>
      <c r="H107" s="131">
        <f>VLOOKUP($B107,'Historic CDM'!$L$5:$R$17,3,FALSE)/12</f>
        <v>606940.22447486676</v>
      </c>
      <c r="I107" s="131">
        <f t="shared" si="87"/>
        <v>6782854.7690531816</v>
      </c>
      <c r="J107" s="102">
        <v>17638446.88192771</v>
      </c>
      <c r="K107" s="131">
        <f>VLOOKUP($B107,'Historic CDM'!$L$5:$R$17,4,FALSE)/12</f>
        <v>1598997.2617911876</v>
      </c>
      <c r="L107" s="131">
        <f t="shared" si="88"/>
        <v>19237444.143718898</v>
      </c>
      <c r="M107" s="102">
        <v>10948503.540465925</v>
      </c>
      <c r="N107" s="131">
        <f>VLOOKUP($B107,'Historic CDM'!$L$5:$R$17,5,FALSE)/12</f>
        <v>686795.02226259199</v>
      </c>
      <c r="O107" s="131">
        <f t="shared" si="66"/>
        <v>11635298.562728517</v>
      </c>
      <c r="P107" s="102">
        <v>12782172.060871294</v>
      </c>
      <c r="Q107" s="131">
        <f>VLOOKUP($B107,'Historic CDM'!$L$5:$R$17,6,FALSE)/12</f>
        <v>741809.76780742628</v>
      </c>
      <c r="R107" s="131">
        <f t="shared" si="67"/>
        <v>13523981.82867872</v>
      </c>
      <c r="S107" s="102">
        <v>88719.065060240959</v>
      </c>
      <c r="T107" s="102">
        <v>11535.352941176434</v>
      </c>
      <c r="U107" s="102">
        <v>593987.76867469877</v>
      </c>
      <c r="V107" s="102">
        <v>50357.210000000014</v>
      </c>
      <c r="W107" s="102">
        <v>23857.18</v>
      </c>
      <c r="X107" s="102">
        <v>23851.87</v>
      </c>
      <c r="Y107" s="102">
        <v>1473.92</v>
      </c>
      <c r="Z107" s="102">
        <v>32.607068112633151</v>
      </c>
      <c r="AA107" s="41">
        <v>37260</v>
      </c>
      <c r="AB107" s="41">
        <v>2694</v>
      </c>
      <c r="AC107" s="41">
        <v>351</v>
      </c>
      <c r="AD107" s="41">
        <v>14</v>
      </c>
      <c r="AE107" s="41">
        <v>3</v>
      </c>
      <c r="AF107" s="41">
        <v>3282</v>
      </c>
      <c r="AG107" s="41">
        <v>237.35294117646981</v>
      </c>
      <c r="AH107" s="41">
        <v>216</v>
      </c>
      <c r="AI107" s="104">
        <f>Weather!C215</f>
        <v>10.53548387096774</v>
      </c>
      <c r="AJ107" s="104">
        <f>Weather!D215</f>
        <v>356.50000000000006</v>
      </c>
      <c r="AK107" s="104">
        <f>Weather!E215</f>
        <v>1.1000000000000014</v>
      </c>
      <c r="AL107" s="104">
        <f>Weather!F215</f>
        <v>296.50000000000006</v>
      </c>
      <c r="AM107" s="104">
        <f>Weather!G215</f>
        <v>3.1000000000000014</v>
      </c>
      <c r="AN107" s="104">
        <f>Weather!H215</f>
        <v>236.5</v>
      </c>
      <c r="AO107" s="104">
        <f>Weather!I215</f>
        <v>5.1000000000000014</v>
      </c>
      <c r="AP107" s="104">
        <f>Weather!J215</f>
        <v>177.10000000000002</v>
      </c>
      <c r="AQ107" s="104">
        <f>Weather!K215</f>
        <v>7.7000000000000028</v>
      </c>
      <c r="AR107" s="104">
        <f>Weather!L215</f>
        <v>119.39999999999999</v>
      </c>
      <c r="AS107" s="104">
        <f>Weather!M215</f>
        <v>12.000000000000004</v>
      </c>
      <c r="AT107" s="104">
        <f>Weather!N215</f>
        <v>67.2</v>
      </c>
      <c r="AU107" s="104">
        <f>Weather!O215</f>
        <v>21.800000000000004</v>
      </c>
      <c r="AV107" s="104">
        <f>Weather!P215</f>
        <v>26.599999999999998</v>
      </c>
      <c r="AW107" s="104">
        <f>Weather!Q215</f>
        <v>43.2</v>
      </c>
      <c r="AX107" s="104">
        <f>Weather!R215</f>
        <v>5.7</v>
      </c>
      <c r="AY107" s="104">
        <f>Weather!S215</f>
        <v>84.300000000000011</v>
      </c>
      <c r="AZ107" s="119">
        <f>Economic!C107</f>
        <v>747589.4</v>
      </c>
      <c r="BA107" s="120">
        <f>Economic!D107</f>
        <v>7425.4</v>
      </c>
      <c r="BB107" s="120">
        <f>Economic!E107</f>
        <v>7466.9</v>
      </c>
      <c r="BC107" s="120">
        <f>Economic!F107</f>
        <v>3419.9</v>
      </c>
      <c r="BD107" s="120">
        <f>Economic!G107</f>
        <v>3425.4</v>
      </c>
      <c r="BE107" s="120">
        <f>Economic!H107</f>
        <v>415.6</v>
      </c>
      <c r="BF107" s="120">
        <f>Economic!I107</f>
        <v>421.8</v>
      </c>
      <c r="BG107" s="123">
        <f t="shared" si="81"/>
        <v>31</v>
      </c>
      <c r="BH107" s="123">
        <v>21</v>
      </c>
      <c r="BI107" s="123">
        <f t="shared" si="132"/>
        <v>106</v>
      </c>
      <c r="BJ107" s="123">
        <f t="shared" ref="BJ107:BX107" si="151">BJ95</f>
        <v>0</v>
      </c>
      <c r="BK107" s="123">
        <f t="shared" si="151"/>
        <v>0</v>
      </c>
      <c r="BL107" s="123">
        <f t="shared" si="151"/>
        <v>0</v>
      </c>
      <c r="BM107" s="123">
        <f t="shared" si="151"/>
        <v>0</v>
      </c>
      <c r="BN107" s="123">
        <f t="shared" si="151"/>
        <v>0</v>
      </c>
      <c r="BO107" s="123">
        <f t="shared" si="151"/>
        <v>0</v>
      </c>
      <c r="BP107" s="123">
        <f t="shared" si="151"/>
        <v>0</v>
      </c>
      <c r="BQ107" s="123">
        <f t="shared" si="151"/>
        <v>0</v>
      </c>
      <c r="BR107" s="123">
        <f t="shared" si="151"/>
        <v>0</v>
      </c>
      <c r="BS107" s="123">
        <f t="shared" si="151"/>
        <v>1</v>
      </c>
      <c r="BT107" s="123">
        <f t="shared" si="151"/>
        <v>0</v>
      </c>
      <c r="BU107" s="123">
        <f t="shared" si="151"/>
        <v>0</v>
      </c>
      <c r="BV107" s="123">
        <f t="shared" si="151"/>
        <v>0</v>
      </c>
      <c r="BW107" s="123">
        <f t="shared" si="151"/>
        <v>1</v>
      </c>
      <c r="BX107" s="123">
        <f t="shared" si="151"/>
        <v>1</v>
      </c>
      <c r="BY107" s="124">
        <v>0</v>
      </c>
      <c r="BZ107" s="124">
        <v>0</v>
      </c>
      <c r="CA107" s="124">
        <f t="shared" si="90"/>
        <v>0</v>
      </c>
      <c r="CB107" s="124">
        <f t="shared" si="91"/>
        <v>0</v>
      </c>
      <c r="CC107" s="124">
        <f t="shared" si="92"/>
        <v>0</v>
      </c>
      <c r="CD107" s="124">
        <f t="shared" si="93"/>
        <v>0</v>
      </c>
      <c r="CE107" s="124">
        <f t="shared" si="94"/>
        <v>0</v>
      </c>
      <c r="CF107" s="124">
        <f t="shared" si="95"/>
        <v>0</v>
      </c>
      <c r="CG107" s="124">
        <f t="shared" si="96"/>
        <v>0</v>
      </c>
      <c r="CH107" s="124">
        <f t="shared" si="97"/>
        <v>0</v>
      </c>
      <c r="CI107" s="124">
        <f t="shared" si="98"/>
        <v>0</v>
      </c>
      <c r="CJ107" s="124">
        <f t="shared" si="99"/>
        <v>0</v>
      </c>
      <c r="CK107" s="124">
        <f t="shared" si="100"/>
        <v>0</v>
      </c>
      <c r="CL107" s="124">
        <f t="shared" si="101"/>
        <v>0</v>
      </c>
      <c r="CM107" s="124">
        <f t="shared" si="102"/>
        <v>0</v>
      </c>
      <c r="CN107" s="124">
        <f t="shared" si="103"/>
        <v>0</v>
      </c>
      <c r="CO107" s="124">
        <f t="shared" si="104"/>
        <v>0</v>
      </c>
      <c r="CP107" s="124">
        <f t="shared" si="105"/>
        <v>0</v>
      </c>
      <c r="CQ107" s="138">
        <f t="shared" si="106"/>
        <v>629.58459451874626</v>
      </c>
      <c r="CR107" s="138">
        <f t="shared" si="107"/>
        <v>2517.7634629002159</v>
      </c>
      <c r="CS107" s="138">
        <f t="shared" si="108"/>
        <v>54807.533172988311</v>
      </c>
    </row>
    <row r="108" spans="1:97" x14ac:dyDescent="0.2">
      <c r="A108" s="115">
        <v>43770</v>
      </c>
      <c r="B108">
        <f t="shared" si="116"/>
        <v>2019</v>
      </c>
      <c r="C108">
        <f t="shared" si="117"/>
        <v>11</v>
      </c>
      <c r="D108" s="102">
        <v>21315185.031325318</v>
      </c>
      <c r="E108" s="131">
        <f>VLOOKUP($B108,'Historic CDM'!$L$5:$R$17,2,FALSE)/12</f>
        <v>1408690.5797202766</v>
      </c>
      <c r="F108" s="131">
        <f t="shared" si="86"/>
        <v>22723875.611045595</v>
      </c>
      <c r="G108" s="102">
        <v>6158689.3783132555</v>
      </c>
      <c r="H108" s="131">
        <f>VLOOKUP($B108,'Historic CDM'!$L$5:$R$17,3,FALSE)/12</f>
        <v>606940.22447486676</v>
      </c>
      <c r="I108" s="131">
        <f t="shared" si="87"/>
        <v>6765629.6027881224</v>
      </c>
      <c r="J108" s="102">
        <v>18056629.359036144</v>
      </c>
      <c r="K108" s="131">
        <f>VLOOKUP($B108,'Historic CDM'!$L$5:$R$17,4,FALSE)/12</f>
        <v>1598997.2617911876</v>
      </c>
      <c r="L108" s="131">
        <f t="shared" si="88"/>
        <v>19655626.620827332</v>
      </c>
      <c r="M108" s="102">
        <v>11281580.297379764</v>
      </c>
      <c r="N108" s="131">
        <f>VLOOKUP($B108,'Historic CDM'!$L$5:$R$17,5,FALSE)/12</f>
        <v>686795.02226259199</v>
      </c>
      <c r="O108" s="131">
        <f t="shared" si="66"/>
        <v>11968375.319642356</v>
      </c>
      <c r="P108" s="102">
        <v>12304182.872488562</v>
      </c>
      <c r="Q108" s="131">
        <f>VLOOKUP($B108,'Historic CDM'!$L$5:$R$17,6,FALSE)/12</f>
        <v>741809.76780742628</v>
      </c>
      <c r="R108" s="131">
        <f t="shared" si="67"/>
        <v>13045992.640295988</v>
      </c>
      <c r="S108" s="102">
        <v>88719.026506024093</v>
      </c>
      <c r="T108" s="102">
        <v>11523.917647058786</v>
      </c>
      <c r="U108" s="102">
        <v>604343.04578313243</v>
      </c>
      <c r="V108" s="102">
        <v>48118.239999999991</v>
      </c>
      <c r="W108" s="102">
        <v>24668.969999999998</v>
      </c>
      <c r="X108" s="102">
        <v>23456.09</v>
      </c>
      <c r="Y108" s="102">
        <v>1405.4499999999998</v>
      </c>
      <c r="Z108" s="102">
        <v>32.566596905124271</v>
      </c>
      <c r="AA108" s="41">
        <v>37298</v>
      </c>
      <c r="AB108" s="41">
        <v>2694</v>
      </c>
      <c r="AC108" s="41">
        <v>353</v>
      </c>
      <c r="AD108" s="41">
        <v>14</v>
      </c>
      <c r="AE108" s="41">
        <v>3</v>
      </c>
      <c r="AF108" s="41">
        <v>3282</v>
      </c>
      <c r="AG108" s="41">
        <v>237.11764705882274</v>
      </c>
      <c r="AH108" s="41">
        <v>216</v>
      </c>
      <c r="AI108" s="104">
        <f>Weather!C216</f>
        <v>0.89000000000000024</v>
      </c>
      <c r="AJ108" s="104">
        <f>Weather!D216</f>
        <v>633.30000000000018</v>
      </c>
      <c r="AK108" s="104">
        <f>Weather!E216</f>
        <v>0</v>
      </c>
      <c r="AL108" s="104">
        <f>Weather!F216</f>
        <v>573.30000000000018</v>
      </c>
      <c r="AM108" s="104">
        <f>Weather!G216</f>
        <v>0</v>
      </c>
      <c r="AN108" s="104">
        <f>Weather!H216</f>
        <v>513.30000000000007</v>
      </c>
      <c r="AO108" s="104">
        <f>Weather!I216</f>
        <v>0</v>
      </c>
      <c r="AP108" s="104">
        <f>Weather!J216</f>
        <v>453.3</v>
      </c>
      <c r="AQ108" s="104">
        <f>Weather!K216</f>
        <v>0</v>
      </c>
      <c r="AR108" s="104">
        <f>Weather!L216</f>
        <v>393.30000000000007</v>
      </c>
      <c r="AS108" s="104">
        <f>Weather!M216</f>
        <v>0</v>
      </c>
      <c r="AT108" s="104">
        <f>Weather!N216</f>
        <v>333.3</v>
      </c>
      <c r="AU108" s="104">
        <f>Weather!O216</f>
        <v>0</v>
      </c>
      <c r="AV108" s="104">
        <f>Weather!P216</f>
        <v>273.3</v>
      </c>
      <c r="AW108" s="104">
        <f>Weather!Q216</f>
        <v>0</v>
      </c>
      <c r="AX108" s="104">
        <f>Weather!R216</f>
        <v>213.29999999999995</v>
      </c>
      <c r="AY108" s="104">
        <f>Weather!S216</f>
        <v>0</v>
      </c>
      <c r="AZ108" s="119">
        <f>Economic!C108</f>
        <v>747589.4</v>
      </c>
      <c r="BA108" s="120">
        <f>Economic!D108</f>
        <v>7438.5</v>
      </c>
      <c r="BB108" s="120">
        <f>Economic!E108</f>
        <v>7455</v>
      </c>
      <c r="BC108" s="120">
        <f>Economic!F108</f>
        <v>3426.4</v>
      </c>
      <c r="BD108" s="120">
        <f>Economic!G108</f>
        <v>3423.7</v>
      </c>
      <c r="BE108" s="120">
        <f>Economic!H108</f>
        <v>415.7</v>
      </c>
      <c r="BF108" s="120">
        <f>Economic!I108</f>
        <v>422.7</v>
      </c>
      <c r="BG108" s="123">
        <f t="shared" si="81"/>
        <v>30</v>
      </c>
      <c r="BH108" s="123">
        <v>22</v>
      </c>
      <c r="BI108" s="123">
        <f t="shared" si="132"/>
        <v>107</v>
      </c>
      <c r="BJ108" s="123">
        <f t="shared" ref="BJ108:BX108" si="152">BJ96</f>
        <v>0</v>
      </c>
      <c r="BK108" s="123">
        <f t="shared" si="152"/>
        <v>0</v>
      </c>
      <c r="BL108" s="123">
        <f t="shared" si="152"/>
        <v>0</v>
      </c>
      <c r="BM108" s="123">
        <f t="shared" si="152"/>
        <v>0</v>
      </c>
      <c r="BN108" s="123">
        <f t="shared" si="152"/>
        <v>0</v>
      </c>
      <c r="BO108" s="123">
        <f t="shared" si="152"/>
        <v>0</v>
      </c>
      <c r="BP108" s="123">
        <f t="shared" si="152"/>
        <v>0</v>
      </c>
      <c r="BQ108" s="123">
        <f t="shared" si="152"/>
        <v>0</v>
      </c>
      <c r="BR108" s="123">
        <f t="shared" si="152"/>
        <v>0</v>
      </c>
      <c r="BS108" s="123">
        <f t="shared" si="152"/>
        <v>0</v>
      </c>
      <c r="BT108" s="123">
        <f t="shared" si="152"/>
        <v>1</v>
      </c>
      <c r="BU108" s="123">
        <f t="shared" si="152"/>
        <v>0</v>
      </c>
      <c r="BV108" s="123">
        <f t="shared" si="152"/>
        <v>0</v>
      </c>
      <c r="BW108" s="123">
        <f t="shared" si="152"/>
        <v>1</v>
      </c>
      <c r="BX108" s="123">
        <f t="shared" si="152"/>
        <v>1</v>
      </c>
      <c r="BY108" s="124">
        <v>0</v>
      </c>
      <c r="BZ108" s="124">
        <v>0</v>
      </c>
      <c r="CA108" s="124">
        <f t="shared" si="90"/>
        <v>0</v>
      </c>
      <c r="CB108" s="124">
        <f t="shared" si="91"/>
        <v>0</v>
      </c>
      <c r="CC108" s="124">
        <f t="shared" si="92"/>
        <v>0</v>
      </c>
      <c r="CD108" s="124">
        <f t="shared" si="93"/>
        <v>0</v>
      </c>
      <c r="CE108" s="124">
        <f t="shared" si="94"/>
        <v>0</v>
      </c>
      <c r="CF108" s="124">
        <f t="shared" si="95"/>
        <v>0</v>
      </c>
      <c r="CG108" s="124">
        <f t="shared" si="96"/>
        <v>0</v>
      </c>
      <c r="CH108" s="124">
        <f t="shared" si="97"/>
        <v>0</v>
      </c>
      <c r="CI108" s="124">
        <f t="shared" si="98"/>
        <v>0</v>
      </c>
      <c r="CJ108" s="124">
        <f t="shared" si="99"/>
        <v>0</v>
      </c>
      <c r="CK108" s="124">
        <f t="shared" si="100"/>
        <v>0</v>
      </c>
      <c r="CL108" s="124">
        <f t="shared" si="101"/>
        <v>0</v>
      </c>
      <c r="CM108" s="124">
        <f t="shared" si="102"/>
        <v>0</v>
      </c>
      <c r="CN108" s="124">
        <f t="shared" si="103"/>
        <v>0</v>
      </c>
      <c r="CO108" s="124">
        <f t="shared" si="104"/>
        <v>0</v>
      </c>
      <c r="CP108" s="124">
        <f t="shared" si="105"/>
        <v>0</v>
      </c>
      <c r="CQ108" s="138">
        <f t="shared" si="106"/>
        <v>609.25185294239895</v>
      </c>
      <c r="CR108" s="138">
        <f t="shared" si="107"/>
        <v>2511.3695630245443</v>
      </c>
      <c r="CS108" s="138">
        <f t="shared" si="108"/>
        <v>55681.661815374879</v>
      </c>
    </row>
    <row r="109" spans="1:97" x14ac:dyDescent="0.2">
      <c r="A109" s="114">
        <v>43800</v>
      </c>
      <c r="B109">
        <f t="shared" si="116"/>
        <v>2019</v>
      </c>
      <c r="C109">
        <f t="shared" si="117"/>
        <v>12</v>
      </c>
      <c r="D109" s="102">
        <v>28146546.1686747</v>
      </c>
      <c r="E109" s="131">
        <f>VLOOKUP($B109,'Historic CDM'!$L$5:$R$17,2,FALSE)/12</f>
        <v>1408690.5797202766</v>
      </c>
      <c r="F109" s="131">
        <f t="shared" si="86"/>
        <v>29555236.748394977</v>
      </c>
      <c r="G109" s="102">
        <v>7536491.3638554169</v>
      </c>
      <c r="H109" s="131">
        <f>VLOOKUP($B109,'Historic CDM'!$L$5:$R$17,3,FALSE)/12</f>
        <v>606940.22447486676</v>
      </c>
      <c r="I109" s="131">
        <f t="shared" si="87"/>
        <v>8143431.5883302838</v>
      </c>
      <c r="J109" s="102">
        <v>19169682.92048192</v>
      </c>
      <c r="K109" s="131">
        <f>VLOOKUP($B109,'Historic CDM'!$L$5:$R$17,4,FALSE)/12</f>
        <v>1598997.2617911876</v>
      </c>
      <c r="L109" s="131">
        <f t="shared" si="88"/>
        <v>20768680.182273109</v>
      </c>
      <c r="M109" s="102">
        <v>11958048.413813144</v>
      </c>
      <c r="N109" s="131">
        <f>VLOOKUP($B109,'Historic CDM'!$L$5:$R$17,5,FALSE)/12</f>
        <v>686795.02226259199</v>
      </c>
      <c r="O109" s="131">
        <f t="shared" si="66"/>
        <v>12644843.436075736</v>
      </c>
      <c r="P109" s="102">
        <v>10837252.208076388</v>
      </c>
      <c r="Q109" s="131">
        <f>VLOOKUP($B109,'Historic CDM'!$L$5:$R$17,6,FALSE)/12</f>
        <v>741809.76780742628</v>
      </c>
      <c r="R109" s="131">
        <f t="shared" si="67"/>
        <v>11579061.975883814</v>
      </c>
      <c r="S109" s="102">
        <v>88719.065060240959</v>
      </c>
      <c r="T109" s="102">
        <v>11512.482352941137</v>
      </c>
      <c r="U109" s="102">
        <v>637704.19277108437</v>
      </c>
      <c r="V109" s="102">
        <v>48389.92000000002</v>
      </c>
      <c r="W109" s="102">
        <v>25546.43</v>
      </c>
      <c r="X109" s="102">
        <v>23381.56</v>
      </c>
      <c r="Y109" s="102">
        <v>1363.83</v>
      </c>
      <c r="Z109" s="102">
        <v>32.526125697615392</v>
      </c>
      <c r="AA109" s="41">
        <v>37321</v>
      </c>
      <c r="AB109" s="41">
        <v>2697</v>
      </c>
      <c r="AC109" s="41">
        <v>353</v>
      </c>
      <c r="AD109" s="41">
        <v>14</v>
      </c>
      <c r="AE109" s="41">
        <v>3</v>
      </c>
      <c r="AF109" s="41">
        <v>3282</v>
      </c>
      <c r="AG109" s="41">
        <v>236.88235294117567</v>
      </c>
      <c r="AH109" s="41">
        <v>216</v>
      </c>
      <c r="AI109" s="104">
        <f>Weather!C217</f>
        <v>-0.78709677419354829</v>
      </c>
      <c r="AJ109" s="104">
        <f>Weather!D217</f>
        <v>706.39999999999986</v>
      </c>
      <c r="AK109" s="104">
        <f>Weather!E217</f>
        <v>0</v>
      </c>
      <c r="AL109" s="104">
        <f>Weather!F217</f>
        <v>644.4</v>
      </c>
      <c r="AM109" s="104">
        <f>Weather!G217</f>
        <v>0</v>
      </c>
      <c r="AN109" s="104">
        <f>Weather!H217</f>
        <v>582.4</v>
      </c>
      <c r="AO109" s="104">
        <f>Weather!I217</f>
        <v>0</v>
      </c>
      <c r="AP109" s="104">
        <f>Weather!J217</f>
        <v>520.4</v>
      </c>
      <c r="AQ109" s="104">
        <f>Weather!K217</f>
        <v>0</v>
      </c>
      <c r="AR109" s="104">
        <f>Weather!L217</f>
        <v>458.39999999999992</v>
      </c>
      <c r="AS109" s="104">
        <f>Weather!M217</f>
        <v>0</v>
      </c>
      <c r="AT109" s="104">
        <f>Weather!N217</f>
        <v>396.39999999999992</v>
      </c>
      <c r="AU109" s="104">
        <f>Weather!O217</f>
        <v>0</v>
      </c>
      <c r="AV109" s="104">
        <f>Weather!P217</f>
        <v>334.4</v>
      </c>
      <c r="AW109" s="104">
        <f>Weather!Q217</f>
        <v>0</v>
      </c>
      <c r="AX109" s="104">
        <f>Weather!R217</f>
        <v>272.40000000000003</v>
      </c>
      <c r="AY109" s="104">
        <f>Weather!S217</f>
        <v>0</v>
      </c>
      <c r="AZ109" s="119">
        <f>Economic!C109</f>
        <v>747589.4</v>
      </c>
      <c r="BA109" s="120">
        <f>Economic!D109</f>
        <v>7450.8</v>
      </c>
      <c r="BB109" s="120">
        <f>Economic!E109</f>
        <v>7459.6</v>
      </c>
      <c r="BC109" s="120">
        <f>Economic!F109</f>
        <v>3428.7</v>
      </c>
      <c r="BD109" s="120">
        <f>Economic!G109</f>
        <v>3428</v>
      </c>
      <c r="BE109" s="120">
        <f>Economic!H109</f>
        <v>417.2</v>
      </c>
      <c r="BF109" s="120">
        <f>Economic!I109</f>
        <v>425.6</v>
      </c>
      <c r="BG109" s="123">
        <f t="shared" si="81"/>
        <v>31</v>
      </c>
      <c r="BH109" s="123">
        <v>19</v>
      </c>
      <c r="BI109" s="123">
        <f t="shared" si="132"/>
        <v>108</v>
      </c>
      <c r="BJ109" s="123">
        <f t="shared" ref="BJ109:BX109" si="153">BJ97</f>
        <v>0</v>
      </c>
      <c r="BK109" s="123">
        <f t="shared" si="153"/>
        <v>0</v>
      </c>
      <c r="BL109" s="123">
        <f t="shared" si="153"/>
        <v>0</v>
      </c>
      <c r="BM109" s="123">
        <f t="shared" si="153"/>
        <v>0</v>
      </c>
      <c r="BN109" s="123">
        <f t="shared" si="153"/>
        <v>0</v>
      </c>
      <c r="BO109" s="123">
        <f t="shared" si="153"/>
        <v>0</v>
      </c>
      <c r="BP109" s="123">
        <f t="shared" si="153"/>
        <v>0</v>
      </c>
      <c r="BQ109" s="123">
        <f t="shared" si="153"/>
        <v>0</v>
      </c>
      <c r="BR109" s="123">
        <f t="shared" si="153"/>
        <v>0</v>
      </c>
      <c r="BS109" s="123">
        <f t="shared" si="153"/>
        <v>0</v>
      </c>
      <c r="BT109" s="123">
        <f t="shared" si="153"/>
        <v>0</v>
      </c>
      <c r="BU109" s="123">
        <f t="shared" si="153"/>
        <v>1</v>
      </c>
      <c r="BV109" s="123">
        <f t="shared" si="153"/>
        <v>0</v>
      </c>
      <c r="BW109" s="123">
        <f t="shared" si="153"/>
        <v>0</v>
      </c>
      <c r="BX109" s="123">
        <f t="shared" si="153"/>
        <v>0</v>
      </c>
      <c r="BY109" s="124">
        <v>0</v>
      </c>
      <c r="BZ109" s="124">
        <v>0</v>
      </c>
      <c r="CA109" s="124">
        <f t="shared" si="90"/>
        <v>0</v>
      </c>
      <c r="CB109" s="124">
        <f t="shared" si="91"/>
        <v>0</v>
      </c>
      <c r="CC109" s="124">
        <f t="shared" si="92"/>
        <v>0</v>
      </c>
      <c r="CD109" s="124">
        <f t="shared" si="93"/>
        <v>0</v>
      </c>
      <c r="CE109" s="124">
        <f t="shared" si="94"/>
        <v>0</v>
      </c>
      <c r="CF109" s="124">
        <f t="shared" si="95"/>
        <v>0</v>
      </c>
      <c r="CG109" s="124">
        <f t="shared" si="96"/>
        <v>0</v>
      </c>
      <c r="CH109" s="124">
        <f t="shared" si="97"/>
        <v>0</v>
      </c>
      <c r="CI109" s="124">
        <f t="shared" si="98"/>
        <v>0</v>
      </c>
      <c r="CJ109" s="124">
        <f t="shared" si="99"/>
        <v>0</v>
      </c>
      <c r="CK109" s="124">
        <f t="shared" si="100"/>
        <v>0</v>
      </c>
      <c r="CL109" s="124">
        <f t="shared" si="101"/>
        <v>0</v>
      </c>
      <c r="CM109" s="124">
        <f t="shared" si="102"/>
        <v>0</v>
      </c>
      <c r="CN109" s="124">
        <f t="shared" si="103"/>
        <v>0</v>
      </c>
      <c r="CO109" s="124">
        <f t="shared" si="104"/>
        <v>0</v>
      </c>
      <c r="CP109" s="124">
        <f t="shared" si="105"/>
        <v>0</v>
      </c>
      <c r="CQ109" s="138">
        <f t="shared" si="106"/>
        <v>791.9197435329969</v>
      </c>
      <c r="CR109" s="138">
        <f t="shared" si="107"/>
        <v>3019.4407075751888</v>
      </c>
      <c r="CS109" s="138">
        <f t="shared" si="108"/>
        <v>58834.788051765179</v>
      </c>
    </row>
    <row r="110" spans="1:97" x14ac:dyDescent="0.2">
      <c r="A110" s="115">
        <v>43831</v>
      </c>
      <c r="B110">
        <f t="shared" si="116"/>
        <v>2020</v>
      </c>
      <c r="C110">
        <f t="shared" si="117"/>
        <v>1</v>
      </c>
      <c r="D110" s="102">
        <v>29703689.253012061</v>
      </c>
      <c r="E110" s="131">
        <f>VLOOKUP($B110,'Historic CDM'!$L$5:$R$17,2,FALSE)/12</f>
        <v>1392643.6565677822</v>
      </c>
      <c r="F110" s="131">
        <f t="shared" si="86"/>
        <v>31096332.909579843</v>
      </c>
      <c r="G110" s="102">
        <v>8484041.1759036183</v>
      </c>
      <c r="H110" s="131">
        <f>VLOOKUP($B110,'Historic CDM'!$L$5:$R$17,3,FALSE)/12</f>
        <v>649812.80140259408</v>
      </c>
      <c r="I110" s="131">
        <f t="shared" si="87"/>
        <v>9133853.9773062132</v>
      </c>
      <c r="J110" s="102">
        <v>20604412.97349399</v>
      </c>
      <c r="K110" s="131">
        <f>VLOOKUP($B110,'Historic CDM'!$L$5:$R$17,4,FALSE)/12</f>
        <v>1636084.1636250485</v>
      </c>
      <c r="L110" s="131">
        <f t="shared" si="88"/>
        <v>22240497.13711904</v>
      </c>
      <c r="M110" s="102">
        <v>11310788.83130721</v>
      </c>
      <c r="N110" s="131">
        <f>VLOOKUP($B110,'Historic CDM'!$L$5:$R$17,5,FALSE)/12</f>
        <v>747647.29191658273</v>
      </c>
      <c r="O110" s="131">
        <f t="shared" si="66"/>
        <v>12058436.123223793</v>
      </c>
      <c r="P110" s="102">
        <v>11144181.052317485</v>
      </c>
      <c r="Q110" s="131">
        <f>VLOOKUP($B110,'Historic CDM'!$L$5:$R$17,6,FALSE)/12</f>
        <v>741125.63004474982</v>
      </c>
      <c r="R110" s="131">
        <f t="shared" si="67"/>
        <v>11885306.682362234</v>
      </c>
      <c r="S110" s="102">
        <v>88719.026506024078</v>
      </c>
      <c r="T110" s="102">
        <v>11501.047058823489</v>
      </c>
      <c r="U110" s="102">
        <v>611573.55180722894</v>
      </c>
      <c r="V110" s="102">
        <v>49518.389999999985</v>
      </c>
      <c r="W110" s="102">
        <v>25775.1</v>
      </c>
      <c r="X110" s="102">
        <v>22450.54</v>
      </c>
      <c r="Y110" s="102">
        <v>1345.1</v>
      </c>
      <c r="Z110" s="102">
        <v>32.485654490106512</v>
      </c>
      <c r="AA110" s="41">
        <v>37330</v>
      </c>
      <c r="AB110" s="41">
        <v>2693</v>
      </c>
      <c r="AC110" s="41">
        <v>351</v>
      </c>
      <c r="AD110" s="41">
        <v>14</v>
      </c>
      <c r="AE110" s="41">
        <v>3</v>
      </c>
      <c r="AF110" s="41">
        <v>3282</v>
      </c>
      <c r="AG110" s="41">
        <v>236.6470588235286</v>
      </c>
      <c r="AH110" s="41">
        <v>216</v>
      </c>
      <c r="AI110" s="104">
        <f>Weather!C218</f>
        <v>-1.5161290322580645</v>
      </c>
      <c r="AJ110" s="104">
        <f>Weather!D218</f>
        <v>729</v>
      </c>
      <c r="AK110" s="104">
        <f>Weather!E218</f>
        <v>0</v>
      </c>
      <c r="AL110" s="104">
        <f>Weather!F218</f>
        <v>667</v>
      </c>
      <c r="AM110" s="104">
        <f>Weather!G218</f>
        <v>0</v>
      </c>
      <c r="AN110" s="104">
        <f>Weather!H218</f>
        <v>605</v>
      </c>
      <c r="AO110" s="104">
        <f>Weather!I218</f>
        <v>0</v>
      </c>
      <c r="AP110" s="104">
        <f>Weather!J218</f>
        <v>543</v>
      </c>
      <c r="AQ110" s="104">
        <f>Weather!K218</f>
        <v>0</v>
      </c>
      <c r="AR110" s="104">
        <f>Weather!L218</f>
        <v>481</v>
      </c>
      <c r="AS110" s="104">
        <f>Weather!M218</f>
        <v>0</v>
      </c>
      <c r="AT110" s="104">
        <f>Weather!N218</f>
        <v>419</v>
      </c>
      <c r="AU110" s="104">
        <f>Weather!O218</f>
        <v>0</v>
      </c>
      <c r="AV110" s="104">
        <f>Weather!P218</f>
        <v>357</v>
      </c>
      <c r="AW110" s="104">
        <f>Weather!Q218</f>
        <v>0</v>
      </c>
      <c r="AX110" s="104">
        <f>Weather!R218</f>
        <v>295</v>
      </c>
      <c r="AY110" s="104">
        <f>Weather!S218</f>
        <v>0</v>
      </c>
      <c r="AZ110" s="119">
        <f>Economic!C110</f>
        <v>710048.9</v>
      </c>
      <c r="BA110" s="120">
        <f>Economic!D110</f>
        <v>7472.8</v>
      </c>
      <c r="BB110" s="120">
        <f>Economic!E110</f>
        <v>7437.3</v>
      </c>
      <c r="BC110" s="120">
        <f>Economic!F110</f>
        <v>3450.5</v>
      </c>
      <c r="BD110" s="120">
        <f>Economic!G110</f>
        <v>3444</v>
      </c>
      <c r="BE110" s="120">
        <f>Economic!H110</f>
        <v>414.9</v>
      </c>
      <c r="BF110" s="120">
        <f>Economic!I110</f>
        <v>418.3</v>
      </c>
      <c r="BG110" s="123">
        <f t="shared" si="81"/>
        <v>31</v>
      </c>
      <c r="BH110" s="123">
        <v>22</v>
      </c>
      <c r="BI110" s="123">
        <f t="shared" si="132"/>
        <v>109</v>
      </c>
      <c r="BJ110" s="123">
        <f t="shared" ref="BJ110:BX110" si="154">BJ98</f>
        <v>1</v>
      </c>
      <c r="BK110" s="123">
        <f t="shared" si="154"/>
        <v>0</v>
      </c>
      <c r="BL110" s="123">
        <f t="shared" si="154"/>
        <v>0</v>
      </c>
      <c r="BM110" s="123">
        <f t="shared" si="154"/>
        <v>0</v>
      </c>
      <c r="BN110" s="123">
        <f t="shared" si="154"/>
        <v>0</v>
      </c>
      <c r="BO110" s="123">
        <f t="shared" si="154"/>
        <v>0</v>
      </c>
      <c r="BP110" s="123">
        <f t="shared" si="154"/>
        <v>0</v>
      </c>
      <c r="BQ110" s="123">
        <f t="shared" si="154"/>
        <v>0</v>
      </c>
      <c r="BR110" s="123">
        <f t="shared" si="154"/>
        <v>0</v>
      </c>
      <c r="BS110" s="123">
        <f t="shared" si="154"/>
        <v>0</v>
      </c>
      <c r="BT110" s="123">
        <f t="shared" si="154"/>
        <v>0</v>
      </c>
      <c r="BU110" s="123">
        <f t="shared" si="154"/>
        <v>0</v>
      </c>
      <c r="BV110" s="123">
        <f t="shared" si="154"/>
        <v>0</v>
      </c>
      <c r="BW110" s="123">
        <f t="shared" si="154"/>
        <v>0</v>
      </c>
      <c r="BX110" s="123">
        <f t="shared" si="154"/>
        <v>0</v>
      </c>
      <c r="BY110" s="124">
        <v>0</v>
      </c>
      <c r="BZ110" s="124">
        <v>0</v>
      </c>
      <c r="CA110" s="124">
        <f t="shared" si="90"/>
        <v>0</v>
      </c>
      <c r="CB110" s="124">
        <f t="shared" si="91"/>
        <v>0</v>
      </c>
      <c r="CC110" s="124">
        <f t="shared" si="92"/>
        <v>0</v>
      </c>
      <c r="CD110" s="124">
        <f t="shared" si="93"/>
        <v>0</v>
      </c>
      <c r="CE110" s="124">
        <f t="shared" si="94"/>
        <v>0</v>
      </c>
      <c r="CF110" s="124">
        <f t="shared" si="95"/>
        <v>0</v>
      </c>
      <c r="CG110" s="124">
        <f t="shared" si="96"/>
        <v>0</v>
      </c>
      <c r="CH110" s="124">
        <f t="shared" si="97"/>
        <v>0</v>
      </c>
      <c r="CI110" s="124">
        <f t="shared" si="98"/>
        <v>0</v>
      </c>
      <c r="CJ110" s="124">
        <f t="shared" si="99"/>
        <v>0</v>
      </c>
      <c r="CK110" s="124">
        <f t="shared" si="100"/>
        <v>0</v>
      </c>
      <c r="CL110" s="124">
        <f t="shared" si="101"/>
        <v>0</v>
      </c>
      <c r="CM110" s="124">
        <f t="shared" si="102"/>
        <v>0</v>
      </c>
      <c r="CN110" s="124">
        <f t="shared" si="103"/>
        <v>0</v>
      </c>
      <c r="CO110" s="124">
        <f t="shared" si="104"/>
        <v>0</v>
      </c>
      <c r="CP110" s="124">
        <f t="shared" si="105"/>
        <v>0</v>
      </c>
      <c r="CQ110" s="138">
        <f t="shared" si="106"/>
        <v>833.01186470880907</v>
      </c>
      <c r="CR110" s="138">
        <f t="shared" si="107"/>
        <v>3391.7021824382523</v>
      </c>
      <c r="CS110" s="138">
        <f t="shared" si="108"/>
        <v>63363.239706891851</v>
      </c>
    </row>
    <row r="111" spans="1:97" x14ac:dyDescent="0.2">
      <c r="A111" s="114">
        <v>43862</v>
      </c>
      <c r="B111">
        <f t="shared" si="116"/>
        <v>2020</v>
      </c>
      <c r="C111">
        <f t="shared" si="117"/>
        <v>2</v>
      </c>
      <c r="D111" s="102">
        <v>25536377.551807232</v>
      </c>
      <c r="E111" s="131">
        <f>VLOOKUP($B111,'Historic CDM'!$L$5:$R$17,2,FALSE)/12</f>
        <v>1392643.6565677822</v>
      </c>
      <c r="F111" s="131">
        <f t="shared" si="86"/>
        <v>26929021.208375014</v>
      </c>
      <c r="G111" s="102">
        <v>7437125.9180722833</v>
      </c>
      <c r="H111" s="131">
        <f>VLOOKUP($B111,'Historic CDM'!$L$5:$R$17,3,FALSE)/12</f>
        <v>649812.80140259408</v>
      </c>
      <c r="I111" s="131">
        <f t="shared" si="87"/>
        <v>8086938.7194748772</v>
      </c>
      <c r="J111" s="102">
        <v>18719034.313253012</v>
      </c>
      <c r="K111" s="131">
        <f>VLOOKUP($B111,'Historic CDM'!$L$5:$R$17,4,FALSE)/12</f>
        <v>1636084.1636250485</v>
      </c>
      <c r="L111" s="131">
        <f t="shared" si="88"/>
        <v>20355118.476878062</v>
      </c>
      <c r="M111" s="102">
        <v>10239412.747614665</v>
      </c>
      <c r="N111" s="131">
        <f>VLOOKUP($B111,'Historic CDM'!$L$5:$R$17,5,FALSE)/12</f>
        <v>747647.29191658273</v>
      </c>
      <c r="O111" s="131">
        <f t="shared" si="66"/>
        <v>10987060.039531248</v>
      </c>
      <c r="P111" s="102">
        <v>11753520.648498109</v>
      </c>
      <c r="Q111" s="131">
        <f>VLOOKUP($B111,'Historic CDM'!$L$5:$R$17,6,FALSE)/12</f>
        <v>741125.63004474982</v>
      </c>
      <c r="R111" s="131">
        <f t="shared" si="67"/>
        <v>12494646.278542858</v>
      </c>
      <c r="S111" s="102">
        <v>88719.065060240959</v>
      </c>
      <c r="T111" s="102">
        <v>11489.611764705842</v>
      </c>
      <c r="U111" s="102">
        <v>498776.93493975903</v>
      </c>
      <c r="V111" s="102">
        <v>48446.83</v>
      </c>
      <c r="W111" s="102">
        <v>24406.199999999997</v>
      </c>
      <c r="X111" s="102">
        <v>23405.77</v>
      </c>
      <c r="Y111" s="102">
        <v>1266.2</v>
      </c>
      <c r="Z111" s="102">
        <v>32.445183282597633</v>
      </c>
      <c r="AA111" s="41">
        <v>37362</v>
      </c>
      <c r="AB111" s="41">
        <v>2694</v>
      </c>
      <c r="AC111" s="41">
        <v>352</v>
      </c>
      <c r="AD111" s="41">
        <v>14</v>
      </c>
      <c r="AE111" s="41">
        <v>3</v>
      </c>
      <c r="AF111" s="41">
        <v>3282</v>
      </c>
      <c r="AG111" s="41">
        <v>236.41176470588152</v>
      </c>
      <c r="AH111" s="41">
        <v>216</v>
      </c>
      <c r="AI111" s="104">
        <f>Weather!C219</f>
        <v>-3.0965517241379308</v>
      </c>
      <c r="AJ111" s="104">
        <f>Weather!D219</f>
        <v>727.8</v>
      </c>
      <c r="AK111" s="104">
        <f>Weather!E219</f>
        <v>0</v>
      </c>
      <c r="AL111" s="104">
        <f>Weather!F219</f>
        <v>669.80000000000007</v>
      </c>
      <c r="AM111" s="104">
        <f>Weather!G219</f>
        <v>0</v>
      </c>
      <c r="AN111" s="104">
        <f>Weather!H219</f>
        <v>611.79999999999995</v>
      </c>
      <c r="AO111" s="104">
        <f>Weather!I219</f>
        <v>0</v>
      </c>
      <c r="AP111" s="104">
        <f>Weather!J219</f>
        <v>553.80000000000007</v>
      </c>
      <c r="AQ111" s="104">
        <f>Weather!K219</f>
        <v>0</v>
      </c>
      <c r="AR111" s="104">
        <f>Weather!L219</f>
        <v>495.8</v>
      </c>
      <c r="AS111" s="104">
        <f>Weather!M219</f>
        <v>0</v>
      </c>
      <c r="AT111" s="104">
        <f>Weather!N219</f>
        <v>437.8</v>
      </c>
      <c r="AU111" s="104">
        <f>Weather!O219</f>
        <v>0</v>
      </c>
      <c r="AV111" s="104">
        <f>Weather!P219</f>
        <v>379.79999999999995</v>
      </c>
      <c r="AW111" s="104">
        <f>Weather!Q219</f>
        <v>0</v>
      </c>
      <c r="AX111" s="104">
        <f>Weather!R219</f>
        <v>321.8</v>
      </c>
      <c r="AY111" s="104">
        <f>Weather!S219</f>
        <v>0</v>
      </c>
      <c r="AZ111" s="119">
        <f>Economic!C111</f>
        <v>710048.9</v>
      </c>
      <c r="BA111" s="120">
        <f>Economic!D111</f>
        <v>7487.3</v>
      </c>
      <c r="BB111" s="120">
        <f>Economic!E111</f>
        <v>7414.9</v>
      </c>
      <c r="BC111" s="120">
        <f>Economic!F111</f>
        <v>3456.6</v>
      </c>
      <c r="BD111" s="120">
        <f>Economic!G111</f>
        <v>3441.2</v>
      </c>
      <c r="BE111" s="120">
        <f>Economic!H111</f>
        <v>416</v>
      </c>
      <c r="BF111" s="120">
        <f>Economic!I111</f>
        <v>415.6</v>
      </c>
      <c r="BG111" s="123">
        <f t="shared" si="81"/>
        <v>29</v>
      </c>
      <c r="BH111" s="123">
        <v>19</v>
      </c>
      <c r="BI111" s="123">
        <f t="shared" si="132"/>
        <v>110</v>
      </c>
      <c r="BJ111" s="123">
        <f t="shared" ref="BJ111:BX111" si="155">BJ99</f>
        <v>0</v>
      </c>
      <c r="BK111" s="123">
        <f t="shared" si="155"/>
        <v>1</v>
      </c>
      <c r="BL111" s="123">
        <f t="shared" si="155"/>
        <v>0</v>
      </c>
      <c r="BM111" s="123">
        <f t="shared" si="155"/>
        <v>0</v>
      </c>
      <c r="BN111" s="123">
        <f t="shared" si="155"/>
        <v>0</v>
      </c>
      <c r="BO111" s="123">
        <f t="shared" si="155"/>
        <v>0</v>
      </c>
      <c r="BP111" s="123">
        <f t="shared" si="155"/>
        <v>0</v>
      </c>
      <c r="BQ111" s="123">
        <f t="shared" si="155"/>
        <v>0</v>
      </c>
      <c r="BR111" s="123">
        <f t="shared" si="155"/>
        <v>0</v>
      </c>
      <c r="BS111" s="123">
        <f t="shared" si="155"/>
        <v>0</v>
      </c>
      <c r="BT111" s="123">
        <f t="shared" si="155"/>
        <v>0</v>
      </c>
      <c r="BU111" s="123">
        <f t="shared" si="155"/>
        <v>0</v>
      </c>
      <c r="BV111" s="123">
        <f t="shared" si="155"/>
        <v>0</v>
      </c>
      <c r="BW111" s="123">
        <f t="shared" si="155"/>
        <v>0</v>
      </c>
      <c r="BX111" s="123">
        <f t="shared" si="155"/>
        <v>0</v>
      </c>
      <c r="BY111" s="124">
        <v>0</v>
      </c>
      <c r="BZ111" s="124">
        <v>0</v>
      </c>
      <c r="CA111" s="124">
        <f t="shared" si="90"/>
        <v>0</v>
      </c>
      <c r="CB111" s="124">
        <f t="shared" si="91"/>
        <v>0</v>
      </c>
      <c r="CC111" s="124">
        <f t="shared" si="92"/>
        <v>0</v>
      </c>
      <c r="CD111" s="124">
        <f t="shared" si="93"/>
        <v>0</v>
      </c>
      <c r="CE111" s="124">
        <f t="shared" si="94"/>
        <v>0</v>
      </c>
      <c r="CF111" s="124">
        <f t="shared" si="95"/>
        <v>0</v>
      </c>
      <c r="CG111" s="124">
        <f t="shared" si="96"/>
        <v>0</v>
      </c>
      <c r="CH111" s="124">
        <f t="shared" si="97"/>
        <v>0</v>
      </c>
      <c r="CI111" s="124">
        <f t="shared" si="98"/>
        <v>0</v>
      </c>
      <c r="CJ111" s="124">
        <f t="shared" si="99"/>
        <v>0</v>
      </c>
      <c r="CK111" s="124">
        <f t="shared" si="100"/>
        <v>0</v>
      </c>
      <c r="CL111" s="124">
        <f t="shared" si="101"/>
        <v>0</v>
      </c>
      <c r="CM111" s="124">
        <f t="shared" si="102"/>
        <v>0</v>
      </c>
      <c r="CN111" s="124">
        <f t="shared" si="103"/>
        <v>0</v>
      </c>
      <c r="CO111" s="124">
        <f t="shared" si="104"/>
        <v>0</v>
      </c>
      <c r="CP111" s="124">
        <f t="shared" si="105"/>
        <v>0</v>
      </c>
      <c r="CQ111" s="138">
        <f t="shared" si="106"/>
        <v>720.75962765309714</v>
      </c>
      <c r="CR111" s="138">
        <f t="shared" si="107"/>
        <v>3001.8332292037408</v>
      </c>
      <c r="CS111" s="138">
        <f t="shared" si="108"/>
        <v>57827.041127494493</v>
      </c>
    </row>
    <row r="112" spans="1:97" x14ac:dyDescent="0.2">
      <c r="A112" s="115">
        <v>43891</v>
      </c>
      <c r="B112">
        <f t="shared" si="116"/>
        <v>2020</v>
      </c>
      <c r="C112">
        <f t="shared" si="117"/>
        <v>3</v>
      </c>
      <c r="D112" s="102">
        <v>24945910.043373495</v>
      </c>
      <c r="E112" s="131">
        <f>VLOOKUP($B112,'Historic CDM'!$L$5:$R$17,2,FALSE)/12</f>
        <v>1392643.6565677822</v>
      </c>
      <c r="F112" s="131">
        <f t="shared" si="86"/>
        <v>26338553.699941278</v>
      </c>
      <c r="G112" s="102">
        <v>7029333.0698795123</v>
      </c>
      <c r="H112" s="131">
        <f>VLOOKUP($B112,'Historic CDM'!$L$5:$R$17,3,FALSE)/12</f>
        <v>649812.80140259408</v>
      </c>
      <c r="I112" s="131">
        <f t="shared" si="87"/>
        <v>7679145.8712821063</v>
      </c>
      <c r="J112" s="102">
        <v>18127337.445783131</v>
      </c>
      <c r="K112" s="131">
        <f>VLOOKUP($B112,'Historic CDM'!$L$5:$R$17,4,FALSE)/12</f>
        <v>1636084.1636250485</v>
      </c>
      <c r="L112" s="131">
        <f t="shared" si="88"/>
        <v>19763421.609408177</v>
      </c>
      <c r="M112" s="102">
        <v>9976895.3165108711</v>
      </c>
      <c r="N112" s="131">
        <f>VLOOKUP($B112,'Historic CDM'!$L$5:$R$17,5,FALSE)/12</f>
        <v>747647.29191658273</v>
      </c>
      <c r="O112" s="131">
        <f t="shared" si="66"/>
        <v>10724542.608427454</v>
      </c>
      <c r="P112" s="102">
        <v>10116131.848020686</v>
      </c>
      <c r="Q112" s="131">
        <f>VLOOKUP($B112,'Historic CDM'!$L$5:$R$17,6,FALSE)/12</f>
        <v>741125.63004474982</v>
      </c>
      <c r="R112" s="131">
        <f t="shared" si="67"/>
        <v>10857257.478065435</v>
      </c>
      <c r="S112" s="102">
        <v>88719.065060240959</v>
      </c>
      <c r="T112" s="102">
        <v>11478.176470588194</v>
      </c>
      <c r="U112" s="102">
        <v>477724.51084337343</v>
      </c>
      <c r="V112" s="102">
        <v>46370.789999999994</v>
      </c>
      <c r="W112" s="102">
        <v>23871.35</v>
      </c>
      <c r="X112" s="102">
        <v>23548.05</v>
      </c>
      <c r="Y112" s="102">
        <v>1275.3500000000001</v>
      </c>
      <c r="Z112" s="102">
        <v>32.404712075088753</v>
      </c>
      <c r="AA112" s="41">
        <v>37440</v>
      </c>
      <c r="AB112" s="41">
        <v>2707</v>
      </c>
      <c r="AC112" s="41">
        <v>352</v>
      </c>
      <c r="AD112" s="41">
        <v>14</v>
      </c>
      <c r="AE112" s="41">
        <v>3</v>
      </c>
      <c r="AF112" s="41">
        <v>3282</v>
      </c>
      <c r="AG112" s="41">
        <v>236.17647058823445</v>
      </c>
      <c r="AH112" s="41">
        <v>216</v>
      </c>
      <c r="AI112" s="104">
        <f>Weather!C220</f>
        <v>3.2032258064516133</v>
      </c>
      <c r="AJ112" s="104">
        <f>Weather!D220</f>
        <v>582.70000000000005</v>
      </c>
      <c r="AK112" s="104">
        <f>Weather!E220</f>
        <v>0</v>
      </c>
      <c r="AL112" s="104">
        <f>Weather!F220</f>
        <v>520.69999999999993</v>
      </c>
      <c r="AM112" s="104">
        <f>Weather!G220</f>
        <v>0</v>
      </c>
      <c r="AN112" s="104">
        <f>Weather!H220</f>
        <v>458.69999999999993</v>
      </c>
      <c r="AO112" s="104">
        <f>Weather!I220</f>
        <v>0</v>
      </c>
      <c r="AP112" s="104">
        <f>Weather!J220</f>
        <v>396.7</v>
      </c>
      <c r="AQ112" s="104">
        <f>Weather!K220</f>
        <v>0</v>
      </c>
      <c r="AR112" s="104">
        <f>Weather!L220</f>
        <v>334.7</v>
      </c>
      <c r="AS112" s="104">
        <f>Weather!M220</f>
        <v>0</v>
      </c>
      <c r="AT112" s="104">
        <f>Weather!N220</f>
        <v>273.2000000000001</v>
      </c>
      <c r="AU112" s="104">
        <f>Weather!O220</f>
        <v>0.5</v>
      </c>
      <c r="AV112" s="104">
        <f>Weather!P220</f>
        <v>214.70000000000005</v>
      </c>
      <c r="AW112" s="104">
        <f>Weather!Q220</f>
        <v>4</v>
      </c>
      <c r="AX112" s="104">
        <f>Weather!R220</f>
        <v>156.70000000000002</v>
      </c>
      <c r="AY112" s="104">
        <f>Weather!S220</f>
        <v>8</v>
      </c>
      <c r="AZ112" s="119">
        <f>Economic!C112</f>
        <v>710048.9</v>
      </c>
      <c r="BA112" s="120">
        <f>Economic!D112</f>
        <v>7361.1</v>
      </c>
      <c r="BB112" s="120">
        <f>Economic!E112</f>
        <v>7246.6</v>
      </c>
      <c r="BC112" s="120">
        <f>Economic!F112</f>
        <v>3387</v>
      </c>
      <c r="BD112" s="120">
        <f>Economic!G112</f>
        <v>3351.8</v>
      </c>
      <c r="BE112" s="120">
        <f>Economic!H112</f>
        <v>411.5</v>
      </c>
      <c r="BF112" s="120">
        <f>Economic!I112</f>
        <v>405.2</v>
      </c>
      <c r="BG112" s="123">
        <f t="shared" si="81"/>
        <v>31</v>
      </c>
      <c r="BH112" s="123">
        <v>22</v>
      </c>
      <c r="BI112" s="123">
        <f t="shared" si="132"/>
        <v>111</v>
      </c>
      <c r="BJ112" s="123">
        <f t="shared" ref="BJ112:BX112" si="156">BJ100</f>
        <v>0</v>
      </c>
      <c r="BK112" s="123">
        <f t="shared" si="156"/>
        <v>0</v>
      </c>
      <c r="BL112" s="123">
        <f t="shared" si="156"/>
        <v>1</v>
      </c>
      <c r="BM112" s="123">
        <f t="shared" si="156"/>
        <v>0</v>
      </c>
      <c r="BN112" s="123">
        <f t="shared" si="156"/>
        <v>0</v>
      </c>
      <c r="BO112" s="123">
        <f t="shared" si="156"/>
        <v>0</v>
      </c>
      <c r="BP112" s="123">
        <f t="shared" si="156"/>
        <v>0</v>
      </c>
      <c r="BQ112" s="123">
        <f t="shared" si="156"/>
        <v>0</v>
      </c>
      <c r="BR112" s="123">
        <f t="shared" si="156"/>
        <v>0</v>
      </c>
      <c r="BS112" s="123">
        <f t="shared" si="156"/>
        <v>0</v>
      </c>
      <c r="BT112" s="123">
        <f t="shared" si="156"/>
        <v>0</v>
      </c>
      <c r="BU112" s="123">
        <f t="shared" si="156"/>
        <v>0</v>
      </c>
      <c r="BV112" s="123">
        <f t="shared" si="156"/>
        <v>1</v>
      </c>
      <c r="BW112" s="123">
        <f t="shared" si="156"/>
        <v>0</v>
      </c>
      <c r="BX112" s="123">
        <f t="shared" si="156"/>
        <v>1</v>
      </c>
      <c r="BY112" s="124">
        <v>1</v>
      </c>
      <c r="BZ112" s="128">
        <v>0.5</v>
      </c>
      <c r="CA112" s="124">
        <f t="shared" si="90"/>
        <v>582.70000000000005</v>
      </c>
      <c r="CB112" s="124">
        <f t="shared" si="91"/>
        <v>0</v>
      </c>
      <c r="CC112" s="124">
        <f t="shared" si="92"/>
        <v>520.69999999999993</v>
      </c>
      <c r="CD112" s="124">
        <f t="shared" si="93"/>
        <v>0</v>
      </c>
      <c r="CE112" s="124">
        <f t="shared" si="94"/>
        <v>458.69999999999993</v>
      </c>
      <c r="CF112" s="124">
        <f t="shared" si="95"/>
        <v>0</v>
      </c>
      <c r="CG112" s="124">
        <f t="shared" si="96"/>
        <v>396.7</v>
      </c>
      <c r="CH112" s="124">
        <f t="shared" si="97"/>
        <v>0</v>
      </c>
      <c r="CI112" s="124">
        <f t="shared" si="98"/>
        <v>334.7</v>
      </c>
      <c r="CJ112" s="124">
        <f t="shared" si="99"/>
        <v>0</v>
      </c>
      <c r="CK112" s="124">
        <f t="shared" si="100"/>
        <v>273.2000000000001</v>
      </c>
      <c r="CL112" s="124">
        <f t="shared" si="101"/>
        <v>0.5</v>
      </c>
      <c r="CM112" s="124">
        <f t="shared" si="102"/>
        <v>214.70000000000005</v>
      </c>
      <c r="CN112" s="124">
        <f t="shared" si="103"/>
        <v>4</v>
      </c>
      <c r="CO112" s="124">
        <f t="shared" si="104"/>
        <v>156.70000000000002</v>
      </c>
      <c r="CP112" s="124">
        <f t="shared" si="105"/>
        <v>8</v>
      </c>
      <c r="CQ112" s="138">
        <f t="shared" si="106"/>
        <v>703.48701121638032</v>
      </c>
      <c r="CR112" s="138">
        <f t="shared" si="107"/>
        <v>2836.7735025053958</v>
      </c>
      <c r="CS112" s="138">
        <f t="shared" si="108"/>
        <v>56146.08411763687</v>
      </c>
    </row>
    <row r="113" spans="1:97" x14ac:dyDescent="0.2">
      <c r="A113" s="114">
        <v>43922</v>
      </c>
      <c r="B113">
        <f t="shared" si="116"/>
        <v>2020</v>
      </c>
      <c r="C113">
        <f t="shared" si="117"/>
        <v>4</v>
      </c>
      <c r="D113" s="102">
        <v>25646430.178313266</v>
      </c>
      <c r="E113" s="131">
        <f>VLOOKUP($B113,'Historic CDM'!$L$5:$R$17,2,FALSE)/12</f>
        <v>1392643.6565677822</v>
      </c>
      <c r="F113" s="131">
        <f t="shared" si="86"/>
        <v>27039073.834881049</v>
      </c>
      <c r="G113" s="102">
        <v>6060516.9927710835</v>
      </c>
      <c r="H113" s="131">
        <f>VLOOKUP($B113,'Historic CDM'!$L$5:$R$17,3,FALSE)/12</f>
        <v>649812.80140259408</v>
      </c>
      <c r="I113" s="131">
        <f t="shared" si="87"/>
        <v>6710329.7941736775</v>
      </c>
      <c r="J113" s="102">
        <v>15453046.390361452</v>
      </c>
      <c r="K113" s="131">
        <f>VLOOKUP($B113,'Historic CDM'!$L$5:$R$17,4,FALSE)/12</f>
        <v>1636084.1636250485</v>
      </c>
      <c r="L113" s="131">
        <f t="shared" si="88"/>
        <v>17089130.553986501</v>
      </c>
      <c r="M113" s="102">
        <v>8271245.1009831922</v>
      </c>
      <c r="N113" s="131">
        <f>VLOOKUP($B113,'Historic CDM'!$L$5:$R$17,5,FALSE)/12</f>
        <v>747647.29191658273</v>
      </c>
      <c r="O113" s="131">
        <f t="shared" si="66"/>
        <v>9018892.392899774</v>
      </c>
      <c r="P113" s="102">
        <v>5929647.5134274904</v>
      </c>
      <c r="Q113" s="131">
        <f>VLOOKUP($B113,'Historic CDM'!$L$5:$R$17,6,FALSE)/12</f>
        <v>741125.63004474982</v>
      </c>
      <c r="R113" s="131">
        <f t="shared" si="67"/>
        <v>6670773.1434722403</v>
      </c>
      <c r="S113" s="102">
        <v>88719.065060240959</v>
      </c>
      <c r="T113" s="102">
        <v>11466.741176470547</v>
      </c>
      <c r="U113" s="102">
        <v>406120.26024096383</v>
      </c>
      <c r="V113" s="102">
        <v>40019.370000000003</v>
      </c>
      <c r="W113" s="102">
        <v>18469.099999999999</v>
      </c>
      <c r="X113" s="102">
        <v>5841.76</v>
      </c>
      <c r="Y113" s="102">
        <v>1279.1199999999999</v>
      </c>
      <c r="Z113" s="102">
        <v>32.364240867579873</v>
      </c>
      <c r="AA113" s="41">
        <v>37485</v>
      </c>
      <c r="AB113" s="41">
        <v>2708</v>
      </c>
      <c r="AC113" s="41">
        <v>351</v>
      </c>
      <c r="AD113" s="41">
        <v>14</v>
      </c>
      <c r="AE113" s="41">
        <v>3</v>
      </c>
      <c r="AF113" s="41">
        <v>3282</v>
      </c>
      <c r="AG113" s="41">
        <v>235.94117647058738</v>
      </c>
      <c r="AH113" s="41">
        <v>216</v>
      </c>
      <c r="AI113" s="104">
        <f>Weather!C221</f>
        <v>5.9233333333333338</v>
      </c>
      <c r="AJ113" s="104">
        <f>Weather!D221</f>
        <v>482.2999999999999</v>
      </c>
      <c r="AK113" s="104">
        <f>Weather!E221</f>
        <v>0</v>
      </c>
      <c r="AL113" s="104">
        <f>Weather!F221</f>
        <v>422.2999999999999</v>
      </c>
      <c r="AM113" s="104">
        <f>Weather!G221</f>
        <v>0</v>
      </c>
      <c r="AN113" s="104">
        <f>Weather!H221</f>
        <v>362.2999999999999</v>
      </c>
      <c r="AO113" s="104">
        <f>Weather!I221</f>
        <v>0</v>
      </c>
      <c r="AP113" s="104">
        <f>Weather!J221</f>
        <v>302.29999999999995</v>
      </c>
      <c r="AQ113" s="104">
        <f>Weather!K221</f>
        <v>0</v>
      </c>
      <c r="AR113" s="104">
        <f>Weather!L221</f>
        <v>242.3</v>
      </c>
      <c r="AS113" s="104">
        <f>Weather!M221</f>
        <v>0</v>
      </c>
      <c r="AT113" s="104">
        <f>Weather!N221</f>
        <v>182.29999999999998</v>
      </c>
      <c r="AU113" s="104">
        <f>Weather!O221</f>
        <v>0</v>
      </c>
      <c r="AV113" s="104">
        <f>Weather!P221</f>
        <v>125.50000000000001</v>
      </c>
      <c r="AW113" s="104">
        <f>Weather!Q221</f>
        <v>3.2000000000000011</v>
      </c>
      <c r="AX113" s="104">
        <f>Weather!R221</f>
        <v>77.599999999999994</v>
      </c>
      <c r="AY113" s="104">
        <f>Weather!S221</f>
        <v>15.300000000000002</v>
      </c>
      <c r="AZ113" s="119">
        <f>Economic!C113</f>
        <v>710048.9</v>
      </c>
      <c r="BA113" s="120">
        <f>Economic!D113</f>
        <v>6999.7</v>
      </c>
      <c r="BB113" s="120">
        <f>Economic!E113</f>
        <v>6905.7</v>
      </c>
      <c r="BC113" s="120">
        <f>Economic!F113</f>
        <v>3205.9</v>
      </c>
      <c r="BD113" s="120">
        <f>Economic!G113</f>
        <v>3174.9</v>
      </c>
      <c r="BE113" s="120">
        <f>Economic!H113</f>
        <v>394.4</v>
      </c>
      <c r="BF113" s="120">
        <f>Economic!I113</f>
        <v>387.5</v>
      </c>
      <c r="BG113" s="123">
        <f t="shared" si="81"/>
        <v>30</v>
      </c>
      <c r="BH113" s="123">
        <v>21</v>
      </c>
      <c r="BI113" s="123">
        <f t="shared" si="132"/>
        <v>112</v>
      </c>
      <c r="BJ113" s="123">
        <f t="shared" ref="BJ113:BX113" si="157">BJ101</f>
        <v>0</v>
      </c>
      <c r="BK113" s="123">
        <f t="shared" si="157"/>
        <v>0</v>
      </c>
      <c r="BL113" s="123">
        <f t="shared" si="157"/>
        <v>0</v>
      </c>
      <c r="BM113" s="123">
        <f t="shared" si="157"/>
        <v>1</v>
      </c>
      <c r="BN113" s="123">
        <f t="shared" si="157"/>
        <v>0</v>
      </c>
      <c r="BO113" s="123">
        <f t="shared" si="157"/>
        <v>0</v>
      </c>
      <c r="BP113" s="123">
        <f t="shared" si="157"/>
        <v>0</v>
      </c>
      <c r="BQ113" s="123">
        <f t="shared" si="157"/>
        <v>0</v>
      </c>
      <c r="BR113" s="123">
        <f t="shared" si="157"/>
        <v>0</v>
      </c>
      <c r="BS113" s="123">
        <f t="shared" si="157"/>
        <v>0</v>
      </c>
      <c r="BT113" s="123">
        <f t="shared" si="157"/>
        <v>0</v>
      </c>
      <c r="BU113" s="123">
        <f t="shared" si="157"/>
        <v>0</v>
      </c>
      <c r="BV113" s="123">
        <f t="shared" si="157"/>
        <v>1</v>
      </c>
      <c r="BW113" s="123">
        <f t="shared" si="157"/>
        <v>0</v>
      </c>
      <c r="BX113" s="123">
        <f t="shared" si="157"/>
        <v>1</v>
      </c>
      <c r="BY113" s="124">
        <v>1</v>
      </c>
      <c r="BZ113" s="128">
        <v>1</v>
      </c>
      <c r="CA113" s="124">
        <f t="shared" si="90"/>
        <v>482.2999999999999</v>
      </c>
      <c r="CB113" s="124">
        <f t="shared" si="91"/>
        <v>0</v>
      </c>
      <c r="CC113" s="124">
        <f t="shared" si="92"/>
        <v>422.2999999999999</v>
      </c>
      <c r="CD113" s="124">
        <f t="shared" si="93"/>
        <v>0</v>
      </c>
      <c r="CE113" s="124">
        <f t="shared" si="94"/>
        <v>362.2999999999999</v>
      </c>
      <c r="CF113" s="124">
        <f t="shared" si="95"/>
        <v>0</v>
      </c>
      <c r="CG113" s="124">
        <f t="shared" si="96"/>
        <v>302.29999999999995</v>
      </c>
      <c r="CH113" s="124">
        <f t="shared" si="97"/>
        <v>0</v>
      </c>
      <c r="CI113" s="124">
        <f t="shared" si="98"/>
        <v>242.3</v>
      </c>
      <c r="CJ113" s="124">
        <f t="shared" si="99"/>
        <v>0</v>
      </c>
      <c r="CK113" s="124">
        <f t="shared" si="100"/>
        <v>182.29999999999998</v>
      </c>
      <c r="CL113" s="124">
        <f t="shared" si="101"/>
        <v>0</v>
      </c>
      <c r="CM113" s="124">
        <f t="shared" si="102"/>
        <v>125.50000000000001</v>
      </c>
      <c r="CN113" s="124">
        <f t="shared" si="103"/>
        <v>3.2000000000000011</v>
      </c>
      <c r="CO113" s="124">
        <f t="shared" si="104"/>
        <v>77.599999999999994</v>
      </c>
      <c r="CP113" s="124">
        <f t="shared" si="105"/>
        <v>15.300000000000002</v>
      </c>
      <c r="CQ113" s="138">
        <f t="shared" si="106"/>
        <v>721.33050113061358</v>
      </c>
      <c r="CR113" s="138">
        <f t="shared" si="107"/>
        <v>2477.9652120286846</v>
      </c>
      <c r="CS113" s="138">
        <f t="shared" si="108"/>
        <v>48686.981635289179</v>
      </c>
    </row>
    <row r="114" spans="1:97" x14ac:dyDescent="0.2">
      <c r="A114" s="115">
        <v>43952</v>
      </c>
      <c r="B114">
        <f t="shared" si="116"/>
        <v>2020</v>
      </c>
      <c r="C114">
        <f t="shared" si="117"/>
        <v>5</v>
      </c>
      <c r="D114" s="102">
        <v>25915345.012048189</v>
      </c>
      <c r="E114" s="131">
        <f>VLOOKUP($B114,'Historic CDM'!$L$5:$R$17,2,FALSE)/12</f>
        <v>1392643.6565677822</v>
      </c>
      <c r="F114" s="131">
        <f t="shared" si="86"/>
        <v>27307988.668615971</v>
      </c>
      <c r="G114" s="102">
        <v>5500006.03373494</v>
      </c>
      <c r="H114" s="131">
        <f>VLOOKUP($B114,'Historic CDM'!$L$5:$R$17,3,FALSE)/12</f>
        <v>649812.80140259408</v>
      </c>
      <c r="I114" s="131">
        <f t="shared" si="87"/>
        <v>6149818.835137534</v>
      </c>
      <c r="J114" s="102">
        <v>15454141.214457823</v>
      </c>
      <c r="K114" s="131">
        <f>VLOOKUP($B114,'Historic CDM'!$L$5:$R$17,4,FALSE)/12</f>
        <v>1636084.1636250485</v>
      </c>
      <c r="L114" s="131">
        <f t="shared" si="88"/>
        <v>17090225.378082871</v>
      </c>
      <c r="M114" s="102">
        <v>9231299.0071196761</v>
      </c>
      <c r="N114" s="131">
        <f>VLOOKUP($B114,'Historic CDM'!$L$5:$R$17,5,FALSE)/12</f>
        <v>747647.29191658273</v>
      </c>
      <c r="O114" s="131">
        <f t="shared" ref="O114:O129" si="158">M114+N114</f>
        <v>9978946.2990362588</v>
      </c>
      <c r="P114" s="102">
        <v>7547735.756912671</v>
      </c>
      <c r="Q114" s="131">
        <f>VLOOKUP($B114,'Historic CDM'!$L$5:$R$17,6,FALSE)/12</f>
        <v>741125.63004474982</v>
      </c>
      <c r="R114" s="131">
        <f t="shared" ref="R114:R129" si="159">P114+Q114</f>
        <v>8288861.386957421</v>
      </c>
      <c r="S114" s="102">
        <v>88719.03614457832</v>
      </c>
      <c r="T114" s="102">
        <v>11455.305882352899</v>
      </c>
      <c r="U114" s="102">
        <v>363483.02650602406</v>
      </c>
      <c r="V114" s="102">
        <v>46073.799999999996</v>
      </c>
      <c r="W114" s="102">
        <v>20274.93</v>
      </c>
      <c r="X114" s="102">
        <v>22185.1</v>
      </c>
      <c r="Y114" s="102">
        <v>1279.1199999999999</v>
      </c>
      <c r="Z114" s="102">
        <v>32.323769660070994</v>
      </c>
      <c r="AA114" s="41">
        <v>37545</v>
      </c>
      <c r="AB114" s="41">
        <v>2709</v>
      </c>
      <c r="AC114" s="41">
        <v>353</v>
      </c>
      <c r="AD114" s="41">
        <v>14</v>
      </c>
      <c r="AE114" s="41">
        <v>3</v>
      </c>
      <c r="AF114" s="41">
        <v>3217.6470588235297</v>
      </c>
      <c r="AG114" s="41">
        <v>235.70588235294031</v>
      </c>
      <c r="AH114" s="41">
        <v>216</v>
      </c>
      <c r="AI114" s="104">
        <f>Weather!C222</f>
        <v>12.06774193548387</v>
      </c>
      <c r="AJ114" s="104">
        <f>Weather!D222</f>
        <v>313.79999999999995</v>
      </c>
      <c r="AK114" s="104">
        <f>Weather!E222</f>
        <v>5.8999999999999986</v>
      </c>
      <c r="AL114" s="104">
        <f>Weather!F222</f>
        <v>258.89999999999998</v>
      </c>
      <c r="AM114" s="104">
        <f>Weather!G222</f>
        <v>13</v>
      </c>
      <c r="AN114" s="104">
        <f>Weather!H222</f>
        <v>208.09999999999997</v>
      </c>
      <c r="AO114" s="104">
        <f>Weather!I222</f>
        <v>24.2</v>
      </c>
      <c r="AP114" s="104">
        <f>Weather!J222</f>
        <v>160.9</v>
      </c>
      <c r="AQ114" s="104">
        <f>Weather!K222</f>
        <v>39</v>
      </c>
      <c r="AR114" s="104">
        <f>Weather!L222</f>
        <v>116.19999999999999</v>
      </c>
      <c r="AS114" s="104">
        <f>Weather!M222</f>
        <v>56.300000000000004</v>
      </c>
      <c r="AT114" s="104">
        <f>Weather!N222</f>
        <v>82.2</v>
      </c>
      <c r="AU114" s="104">
        <f>Weather!O222</f>
        <v>84.300000000000011</v>
      </c>
      <c r="AV114" s="104">
        <f>Weather!P222</f>
        <v>57.5</v>
      </c>
      <c r="AW114" s="104">
        <f>Weather!Q222</f>
        <v>121.6</v>
      </c>
      <c r="AX114" s="104">
        <f>Weather!R222</f>
        <v>37.1</v>
      </c>
      <c r="AY114" s="104">
        <f>Weather!S222</f>
        <v>163.20000000000002</v>
      </c>
      <c r="AZ114" s="119">
        <f>Economic!C114</f>
        <v>710048.9</v>
      </c>
      <c r="BA114" s="120">
        <f>Economic!D114</f>
        <v>6621.5</v>
      </c>
      <c r="BB114" s="120">
        <f>Economic!E114</f>
        <v>6577.9</v>
      </c>
      <c r="BC114" s="120">
        <f>Economic!F114</f>
        <v>3004.2</v>
      </c>
      <c r="BD114" s="120">
        <f>Economic!G114</f>
        <v>2991.9</v>
      </c>
      <c r="BE114" s="120">
        <f>Economic!H114</f>
        <v>369.1</v>
      </c>
      <c r="BF114" s="120">
        <f>Economic!I114</f>
        <v>363.2</v>
      </c>
      <c r="BG114" s="123">
        <f t="shared" si="81"/>
        <v>31</v>
      </c>
      <c r="BH114" s="123">
        <v>20</v>
      </c>
      <c r="BI114" s="123">
        <f t="shared" si="132"/>
        <v>113</v>
      </c>
      <c r="BJ114" s="123">
        <f t="shared" ref="BJ114:BX114" si="160">BJ102</f>
        <v>0</v>
      </c>
      <c r="BK114" s="123">
        <f t="shared" si="160"/>
        <v>0</v>
      </c>
      <c r="BL114" s="123">
        <f t="shared" si="160"/>
        <v>0</v>
      </c>
      <c r="BM114" s="123">
        <f t="shared" si="160"/>
        <v>0</v>
      </c>
      <c r="BN114" s="123">
        <f t="shared" si="160"/>
        <v>1</v>
      </c>
      <c r="BO114" s="123">
        <f t="shared" si="160"/>
        <v>0</v>
      </c>
      <c r="BP114" s="123">
        <f t="shared" si="160"/>
        <v>0</v>
      </c>
      <c r="BQ114" s="123">
        <f t="shared" si="160"/>
        <v>0</v>
      </c>
      <c r="BR114" s="123">
        <f t="shared" si="160"/>
        <v>0</v>
      </c>
      <c r="BS114" s="123">
        <f t="shared" si="160"/>
        <v>0</v>
      </c>
      <c r="BT114" s="123">
        <f t="shared" si="160"/>
        <v>0</v>
      </c>
      <c r="BU114" s="123">
        <f t="shared" si="160"/>
        <v>0</v>
      </c>
      <c r="BV114" s="123">
        <f t="shared" si="160"/>
        <v>1</v>
      </c>
      <c r="BW114" s="123">
        <f t="shared" si="160"/>
        <v>0</v>
      </c>
      <c r="BX114" s="123">
        <f t="shared" si="160"/>
        <v>1</v>
      </c>
      <c r="BY114" s="124">
        <v>1</v>
      </c>
      <c r="BZ114" s="128">
        <v>1</v>
      </c>
      <c r="CA114" s="124">
        <f t="shared" si="90"/>
        <v>313.79999999999995</v>
      </c>
      <c r="CB114" s="124">
        <f t="shared" si="91"/>
        <v>5.8999999999999986</v>
      </c>
      <c r="CC114" s="124">
        <f t="shared" si="92"/>
        <v>258.89999999999998</v>
      </c>
      <c r="CD114" s="124">
        <f t="shared" si="93"/>
        <v>13</v>
      </c>
      <c r="CE114" s="124">
        <f t="shared" si="94"/>
        <v>208.09999999999997</v>
      </c>
      <c r="CF114" s="124">
        <f t="shared" si="95"/>
        <v>24.2</v>
      </c>
      <c r="CG114" s="124">
        <f t="shared" si="96"/>
        <v>160.9</v>
      </c>
      <c r="CH114" s="124">
        <f t="shared" si="97"/>
        <v>39</v>
      </c>
      <c r="CI114" s="124">
        <f t="shared" si="98"/>
        <v>116.19999999999999</v>
      </c>
      <c r="CJ114" s="124">
        <f t="shared" si="99"/>
        <v>56.300000000000004</v>
      </c>
      <c r="CK114" s="124">
        <f t="shared" si="100"/>
        <v>82.2</v>
      </c>
      <c r="CL114" s="124">
        <f t="shared" si="101"/>
        <v>84.300000000000011</v>
      </c>
      <c r="CM114" s="124">
        <f t="shared" si="102"/>
        <v>57.5</v>
      </c>
      <c r="CN114" s="124">
        <f t="shared" si="103"/>
        <v>121.6</v>
      </c>
      <c r="CO114" s="124">
        <f t="shared" si="104"/>
        <v>37.1</v>
      </c>
      <c r="CP114" s="124">
        <f t="shared" si="105"/>
        <v>163.20000000000002</v>
      </c>
      <c r="CQ114" s="138">
        <f t="shared" si="106"/>
        <v>727.34022289561779</v>
      </c>
      <c r="CR114" s="138">
        <f t="shared" si="107"/>
        <v>2270.1435345653504</v>
      </c>
      <c r="CS114" s="138">
        <f t="shared" si="108"/>
        <v>48414.236198535044</v>
      </c>
    </row>
    <row r="115" spans="1:97" x14ac:dyDescent="0.2">
      <c r="A115" s="114">
        <v>43983</v>
      </c>
      <c r="B115">
        <f t="shared" si="116"/>
        <v>2020</v>
      </c>
      <c r="C115">
        <f t="shared" si="117"/>
        <v>6</v>
      </c>
      <c r="D115" s="102">
        <v>37641354.804819241</v>
      </c>
      <c r="E115" s="131">
        <f>VLOOKUP($B115,'Historic CDM'!$L$5:$R$17,2,FALSE)/12</f>
        <v>1392643.6565677822</v>
      </c>
      <c r="F115" s="131">
        <f t="shared" si="86"/>
        <v>39033998.461387023</v>
      </c>
      <c r="G115" s="102">
        <v>6178943.248192776</v>
      </c>
      <c r="H115" s="131">
        <f>VLOOKUP($B115,'Historic CDM'!$L$5:$R$17,3,FALSE)/12</f>
        <v>649812.80140259408</v>
      </c>
      <c r="I115" s="131">
        <f t="shared" si="87"/>
        <v>6828756.04959537</v>
      </c>
      <c r="J115" s="102">
        <v>16762170.409638558</v>
      </c>
      <c r="K115" s="131">
        <f>VLOOKUP($B115,'Historic CDM'!$L$5:$R$17,4,FALSE)/12</f>
        <v>1636084.1636250485</v>
      </c>
      <c r="L115" s="131">
        <f t="shared" si="88"/>
        <v>18398254.573263608</v>
      </c>
      <c r="M115" s="102">
        <v>10579562.202741316</v>
      </c>
      <c r="N115" s="131">
        <f>VLOOKUP($B115,'Historic CDM'!$L$5:$R$17,5,FALSE)/12</f>
        <v>747647.29191658273</v>
      </c>
      <c r="O115" s="131">
        <f t="shared" si="158"/>
        <v>11327209.494657898</v>
      </c>
      <c r="P115" s="102">
        <v>10888921.762482593</v>
      </c>
      <c r="Q115" s="131">
        <f>VLOOKUP($B115,'Historic CDM'!$L$5:$R$17,6,FALSE)/12</f>
        <v>741125.63004474982</v>
      </c>
      <c r="R115" s="131">
        <f t="shared" si="159"/>
        <v>11630047.392527342</v>
      </c>
      <c r="S115" s="102">
        <v>88719.065060240959</v>
      </c>
      <c r="T115" s="102">
        <v>11443.870588235251</v>
      </c>
      <c r="U115" s="102">
        <v>327318.26506024093</v>
      </c>
      <c r="V115" s="102">
        <v>48567.37000000001</v>
      </c>
      <c r="W115" s="102">
        <v>23436.65</v>
      </c>
      <c r="X115" s="102">
        <v>24000.11</v>
      </c>
      <c r="Y115" s="102">
        <v>1271.1400000000001</v>
      </c>
      <c r="Z115" s="102">
        <v>32.283298452562114</v>
      </c>
      <c r="AA115" s="41">
        <v>37663</v>
      </c>
      <c r="AB115" s="41">
        <v>2721</v>
      </c>
      <c r="AC115" s="41">
        <v>349</v>
      </c>
      <c r="AD115" s="41">
        <v>15</v>
      </c>
      <c r="AE115" s="41">
        <v>3</v>
      </c>
      <c r="AF115" s="41">
        <v>3282.0000000000005</v>
      </c>
      <c r="AG115" s="41">
        <v>235.47058823529323</v>
      </c>
      <c r="AH115" s="41">
        <v>216</v>
      </c>
      <c r="AI115" s="104">
        <f>Weather!C223</f>
        <v>20.463333333333331</v>
      </c>
      <c r="AJ115" s="104">
        <f>Weather!D223</f>
        <v>71.5</v>
      </c>
      <c r="AK115" s="104">
        <f>Weather!E223</f>
        <v>25.400000000000002</v>
      </c>
      <c r="AL115" s="104">
        <f>Weather!F223</f>
        <v>41.600000000000009</v>
      </c>
      <c r="AM115" s="104">
        <f>Weather!G223</f>
        <v>55.499999999999993</v>
      </c>
      <c r="AN115" s="104">
        <f>Weather!H223</f>
        <v>23.799999999999997</v>
      </c>
      <c r="AO115" s="104">
        <f>Weather!I223</f>
        <v>97.700000000000017</v>
      </c>
      <c r="AP115" s="104">
        <f>Weather!J223</f>
        <v>9.2999999999999989</v>
      </c>
      <c r="AQ115" s="104">
        <f>Weather!K223</f>
        <v>143.20000000000002</v>
      </c>
      <c r="AR115" s="104">
        <f>Weather!L223</f>
        <v>2.0999999999999996</v>
      </c>
      <c r="AS115" s="104">
        <f>Weather!M223</f>
        <v>196.00000000000003</v>
      </c>
      <c r="AT115" s="104">
        <f>Weather!N223</f>
        <v>0</v>
      </c>
      <c r="AU115" s="104">
        <f>Weather!O223</f>
        <v>253.90000000000003</v>
      </c>
      <c r="AV115" s="104">
        <f>Weather!P223</f>
        <v>0</v>
      </c>
      <c r="AW115" s="104">
        <f>Weather!Q223</f>
        <v>313.89999999999998</v>
      </c>
      <c r="AX115" s="104">
        <f>Weather!R223</f>
        <v>0</v>
      </c>
      <c r="AY115" s="104">
        <f>Weather!S223</f>
        <v>373.9</v>
      </c>
      <c r="AZ115" s="119">
        <f>Economic!C115</f>
        <v>710048.9</v>
      </c>
      <c r="BA115" s="120">
        <f>Economic!D115</f>
        <v>6497.3</v>
      </c>
      <c r="BB115" s="120">
        <f>Economic!E115</f>
        <v>6533.5</v>
      </c>
      <c r="BC115" s="120">
        <f>Economic!F115</f>
        <v>2937.8</v>
      </c>
      <c r="BD115" s="120">
        <f>Economic!G115</f>
        <v>2954.3</v>
      </c>
      <c r="BE115" s="120">
        <f>Economic!H115</f>
        <v>359.3</v>
      </c>
      <c r="BF115" s="120">
        <f>Economic!I115</f>
        <v>357.9</v>
      </c>
      <c r="BG115" s="123">
        <f t="shared" si="81"/>
        <v>30</v>
      </c>
      <c r="BH115" s="123">
        <v>22</v>
      </c>
      <c r="BI115" s="123">
        <f t="shared" si="132"/>
        <v>114</v>
      </c>
      <c r="BJ115" s="123">
        <f t="shared" ref="BJ115:BX115" si="161">BJ103</f>
        <v>0</v>
      </c>
      <c r="BK115" s="123">
        <f t="shared" si="161"/>
        <v>0</v>
      </c>
      <c r="BL115" s="123">
        <f t="shared" si="161"/>
        <v>0</v>
      </c>
      <c r="BM115" s="123">
        <f t="shared" si="161"/>
        <v>0</v>
      </c>
      <c r="BN115" s="123">
        <f t="shared" si="161"/>
        <v>0</v>
      </c>
      <c r="BO115" s="123">
        <f t="shared" si="161"/>
        <v>1</v>
      </c>
      <c r="BP115" s="123">
        <f t="shared" si="161"/>
        <v>0</v>
      </c>
      <c r="BQ115" s="123">
        <f t="shared" si="161"/>
        <v>0</v>
      </c>
      <c r="BR115" s="123">
        <f t="shared" si="161"/>
        <v>0</v>
      </c>
      <c r="BS115" s="123">
        <f t="shared" si="161"/>
        <v>0</v>
      </c>
      <c r="BT115" s="123">
        <f t="shared" si="161"/>
        <v>0</v>
      </c>
      <c r="BU115" s="123">
        <f t="shared" si="161"/>
        <v>0</v>
      </c>
      <c r="BV115" s="123">
        <f t="shared" si="161"/>
        <v>0</v>
      </c>
      <c r="BW115" s="123">
        <f t="shared" si="161"/>
        <v>0</v>
      </c>
      <c r="BX115" s="123">
        <f t="shared" si="161"/>
        <v>0</v>
      </c>
      <c r="BY115" s="124">
        <v>1</v>
      </c>
      <c r="BZ115" s="128">
        <v>0.5</v>
      </c>
      <c r="CA115" s="124">
        <f t="shared" si="90"/>
        <v>71.5</v>
      </c>
      <c r="CB115" s="124">
        <f t="shared" si="91"/>
        <v>25.400000000000002</v>
      </c>
      <c r="CC115" s="124">
        <f t="shared" si="92"/>
        <v>41.600000000000009</v>
      </c>
      <c r="CD115" s="124">
        <f t="shared" si="93"/>
        <v>55.499999999999993</v>
      </c>
      <c r="CE115" s="124">
        <f t="shared" si="94"/>
        <v>23.799999999999997</v>
      </c>
      <c r="CF115" s="124">
        <f t="shared" si="95"/>
        <v>97.700000000000017</v>
      </c>
      <c r="CG115" s="124">
        <f t="shared" si="96"/>
        <v>9.2999999999999989</v>
      </c>
      <c r="CH115" s="124">
        <f t="shared" si="97"/>
        <v>143.20000000000002</v>
      </c>
      <c r="CI115" s="124">
        <f t="shared" si="98"/>
        <v>2.0999999999999996</v>
      </c>
      <c r="CJ115" s="124">
        <f t="shared" si="99"/>
        <v>196.00000000000003</v>
      </c>
      <c r="CK115" s="124">
        <f t="shared" si="100"/>
        <v>0</v>
      </c>
      <c r="CL115" s="124">
        <f t="shared" si="101"/>
        <v>253.90000000000003</v>
      </c>
      <c r="CM115" s="124">
        <f t="shared" si="102"/>
        <v>0</v>
      </c>
      <c r="CN115" s="124">
        <f t="shared" si="103"/>
        <v>313.89999999999998</v>
      </c>
      <c r="CO115" s="124">
        <f t="shared" si="104"/>
        <v>0</v>
      </c>
      <c r="CP115" s="124">
        <f t="shared" si="105"/>
        <v>373.9</v>
      </c>
      <c r="CQ115" s="138">
        <f t="shared" si="106"/>
        <v>1036.4017327718723</v>
      </c>
      <c r="CR115" s="138">
        <f t="shared" si="107"/>
        <v>2509.649411832183</v>
      </c>
      <c r="CS115" s="138">
        <f t="shared" si="108"/>
        <v>52717.061814508903</v>
      </c>
    </row>
    <row r="116" spans="1:97" x14ac:dyDescent="0.2">
      <c r="A116" s="115">
        <v>44013</v>
      </c>
      <c r="B116">
        <f t="shared" si="116"/>
        <v>2020</v>
      </c>
      <c r="C116">
        <f t="shared" si="117"/>
        <v>7</v>
      </c>
      <c r="D116" s="102">
        <v>44487853.166265093</v>
      </c>
      <c r="E116" s="131">
        <f>VLOOKUP($B116,'Historic CDM'!$L$5:$R$17,2,FALSE)/12</f>
        <v>1392643.6565677822</v>
      </c>
      <c r="F116" s="131">
        <f t="shared" si="86"/>
        <v>45880496.822832875</v>
      </c>
      <c r="G116" s="102">
        <v>7125657.9277108368</v>
      </c>
      <c r="H116" s="131">
        <f>VLOOKUP($B116,'Historic CDM'!$L$5:$R$17,3,FALSE)/12</f>
        <v>649812.80140259408</v>
      </c>
      <c r="I116" s="131">
        <f t="shared" si="87"/>
        <v>7775470.7291134307</v>
      </c>
      <c r="J116" s="102">
        <v>18797709.561445773</v>
      </c>
      <c r="K116" s="131">
        <f>VLOOKUP($B116,'Historic CDM'!$L$5:$R$17,4,FALSE)/12</f>
        <v>1636084.1636250485</v>
      </c>
      <c r="L116" s="131">
        <f t="shared" si="88"/>
        <v>20433793.725070819</v>
      </c>
      <c r="M116" s="102">
        <v>12823610.83934712</v>
      </c>
      <c r="N116" s="131">
        <f>VLOOKUP($B116,'Historic CDM'!$L$5:$R$17,5,FALSE)/12</f>
        <v>747647.29191658273</v>
      </c>
      <c r="O116" s="131">
        <f t="shared" si="158"/>
        <v>13571258.131263703</v>
      </c>
      <c r="P116" s="102">
        <v>11660147.4040183</v>
      </c>
      <c r="Q116" s="131">
        <f>VLOOKUP($B116,'Historic CDM'!$L$5:$R$17,6,FALSE)/12</f>
        <v>741125.63004474982</v>
      </c>
      <c r="R116" s="131">
        <f t="shared" si="159"/>
        <v>12401273.034063049</v>
      </c>
      <c r="S116" s="102">
        <v>88719.065060240959</v>
      </c>
      <c r="T116" s="102">
        <v>11432.435294117604</v>
      </c>
      <c r="U116" s="102">
        <v>351240.16385542165</v>
      </c>
      <c r="V116" s="102">
        <v>51047.829999999987</v>
      </c>
      <c r="W116" s="102">
        <v>24472.27</v>
      </c>
      <c r="X116" s="102">
        <v>24143.43</v>
      </c>
      <c r="Y116" s="102">
        <v>1270.69</v>
      </c>
      <c r="Z116" s="102">
        <v>32.242827245053235</v>
      </c>
      <c r="AA116" s="41">
        <v>37791</v>
      </c>
      <c r="AB116" s="41">
        <v>2724</v>
      </c>
      <c r="AC116" s="41">
        <v>351</v>
      </c>
      <c r="AD116" s="41">
        <v>15</v>
      </c>
      <c r="AE116" s="41">
        <v>3</v>
      </c>
      <c r="AF116" s="41">
        <v>3282.0000000000005</v>
      </c>
      <c r="AG116" s="41">
        <v>235.23529411764616</v>
      </c>
      <c r="AH116" s="41">
        <v>216</v>
      </c>
      <c r="AI116" s="104">
        <f>Weather!C224</f>
        <v>24.958064516129035</v>
      </c>
      <c r="AJ116" s="104">
        <f>Weather!D224</f>
        <v>1.5</v>
      </c>
      <c r="AK116" s="104">
        <f>Weather!E224</f>
        <v>93.199999999999989</v>
      </c>
      <c r="AL116" s="104">
        <f>Weather!F224</f>
        <v>0</v>
      </c>
      <c r="AM116" s="104">
        <f>Weather!G224</f>
        <v>153.70000000000002</v>
      </c>
      <c r="AN116" s="104">
        <f>Weather!H224</f>
        <v>0</v>
      </c>
      <c r="AO116" s="104">
        <f>Weather!I224</f>
        <v>215.70000000000002</v>
      </c>
      <c r="AP116" s="104">
        <f>Weather!J224</f>
        <v>0</v>
      </c>
      <c r="AQ116" s="104">
        <f>Weather!K224</f>
        <v>277.7</v>
      </c>
      <c r="AR116" s="104">
        <f>Weather!L224</f>
        <v>0</v>
      </c>
      <c r="AS116" s="104">
        <f>Weather!M224</f>
        <v>339.70000000000005</v>
      </c>
      <c r="AT116" s="104">
        <f>Weather!N224</f>
        <v>0</v>
      </c>
      <c r="AU116" s="104">
        <f>Weather!O224</f>
        <v>401.70000000000005</v>
      </c>
      <c r="AV116" s="104">
        <f>Weather!P224</f>
        <v>0</v>
      </c>
      <c r="AW116" s="104">
        <f>Weather!Q224</f>
        <v>463.70000000000005</v>
      </c>
      <c r="AX116" s="104">
        <f>Weather!R224</f>
        <v>0</v>
      </c>
      <c r="AY116" s="104">
        <f>Weather!S224</f>
        <v>525.70000000000005</v>
      </c>
      <c r="AZ116" s="119">
        <f>Economic!C116</f>
        <v>710048.9</v>
      </c>
      <c r="BA116" s="120">
        <f>Economic!D116</f>
        <v>6655.5</v>
      </c>
      <c r="BB116" s="120">
        <f>Economic!E116</f>
        <v>6731.6</v>
      </c>
      <c r="BC116" s="120">
        <f>Economic!F116</f>
        <v>2995.2</v>
      </c>
      <c r="BD116" s="120">
        <f>Economic!G116</f>
        <v>3031</v>
      </c>
      <c r="BE116" s="120">
        <f>Economic!H116</f>
        <v>368.1</v>
      </c>
      <c r="BF116" s="120">
        <f>Economic!I116</f>
        <v>369.3</v>
      </c>
      <c r="BG116" s="123">
        <f t="shared" si="81"/>
        <v>31</v>
      </c>
      <c r="BH116" s="123">
        <v>22</v>
      </c>
      <c r="BI116" s="123">
        <f t="shared" si="132"/>
        <v>115</v>
      </c>
      <c r="BJ116" s="123">
        <f t="shared" ref="BJ116:BX116" si="162">BJ104</f>
        <v>0</v>
      </c>
      <c r="BK116" s="123">
        <f t="shared" si="162"/>
        <v>0</v>
      </c>
      <c r="BL116" s="123">
        <f t="shared" si="162"/>
        <v>0</v>
      </c>
      <c r="BM116" s="123">
        <f t="shared" si="162"/>
        <v>0</v>
      </c>
      <c r="BN116" s="123">
        <f t="shared" si="162"/>
        <v>0</v>
      </c>
      <c r="BO116" s="123">
        <f t="shared" si="162"/>
        <v>0</v>
      </c>
      <c r="BP116" s="123">
        <f t="shared" si="162"/>
        <v>1</v>
      </c>
      <c r="BQ116" s="123">
        <f t="shared" si="162"/>
        <v>0</v>
      </c>
      <c r="BR116" s="123">
        <f t="shared" si="162"/>
        <v>0</v>
      </c>
      <c r="BS116" s="123">
        <f t="shared" si="162"/>
        <v>0</v>
      </c>
      <c r="BT116" s="123">
        <f t="shared" si="162"/>
        <v>0</v>
      </c>
      <c r="BU116" s="123">
        <f t="shared" si="162"/>
        <v>0</v>
      </c>
      <c r="BV116" s="123">
        <f t="shared" si="162"/>
        <v>0</v>
      </c>
      <c r="BW116" s="123">
        <f t="shared" si="162"/>
        <v>0</v>
      </c>
      <c r="BX116" s="123">
        <f t="shared" si="162"/>
        <v>0</v>
      </c>
      <c r="BY116" s="124">
        <v>1</v>
      </c>
      <c r="BZ116" s="128">
        <v>0.5</v>
      </c>
      <c r="CA116" s="124">
        <f t="shared" si="90"/>
        <v>1.5</v>
      </c>
      <c r="CB116" s="124">
        <f t="shared" si="91"/>
        <v>93.199999999999989</v>
      </c>
      <c r="CC116" s="124">
        <f t="shared" si="92"/>
        <v>0</v>
      </c>
      <c r="CD116" s="124">
        <f t="shared" si="93"/>
        <v>153.70000000000002</v>
      </c>
      <c r="CE116" s="124">
        <f t="shared" si="94"/>
        <v>0</v>
      </c>
      <c r="CF116" s="124">
        <f t="shared" si="95"/>
        <v>215.70000000000002</v>
      </c>
      <c r="CG116" s="124">
        <f t="shared" si="96"/>
        <v>0</v>
      </c>
      <c r="CH116" s="124">
        <f t="shared" si="97"/>
        <v>277.7</v>
      </c>
      <c r="CI116" s="124">
        <f t="shared" si="98"/>
        <v>0</v>
      </c>
      <c r="CJ116" s="124">
        <f t="shared" si="99"/>
        <v>339.70000000000005</v>
      </c>
      <c r="CK116" s="124">
        <f t="shared" si="100"/>
        <v>0</v>
      </c>
      <c r="CL116" s="124">
        <f t="shared" si="101"/>
        <v>401.70000000000005</v>
      </c>
      <c r="CM116" s="124">
        <f t="shared" si="102"/>
        <v>0</v>
      </c>
      <c r="CN116" s="124">
        <f t="shared" si="103"/>
        <v>463.70000000000005</v>
      </c>
      <c r="CO116" s="124">
        <f t="shared" si="104"/>
        <v>0</v>
      </c>
      <c r="CP116" s="124">
        <f t="shared" si="105"/>
        <v>525.70000000000005</v>
      </c>
      <c r="CQ116" s="138">
        <f t="shared" si="106"/>
        <v>1214.0588188413346</v>
      </c>
      <c r="CR116" s="138">
        <f t="shared" si="107"/>
        <v>2854.4312515100701</v>
      </c>
      <c r="CS116" s="138">
        <f t="shared" si="108"/>
        <v>58215.9365386633</v>
      </c>
    </row>
    <row r="117" spans="1:97" x14ac:dyDescent="0.2">
      <c r="A117" s="114">
        <v>44044</v>
      </c>
      <c r="B117">
        <f t="shared" si="116"/>
        <v>2020</v>
      </c>
      <c r="C117">
        <f t="shared" si="117"/>
        <v>8</v>
      </c>
      <c r="D117" s="102">
        <v>38799720.212048218</v>
      </c>
      <c r="E117" s="131">
        <f>VLOOKUP($B117,'Historic CDM'!$L$5:$R$17,2,FALSE)/12</f>
        <v>1392643.6565677822</v>
      </c>
      <c r="F117" s="131">
        <f t="shared" si="86"/>
        <v>40192363.868616</v>
      </c>
      <c r="G117" s="102">
        <v>6952279.6530120457</v>
      </c>
      <c r="H117" s="131">
        <f>VLOOKUP($B117,'Historic CDM'!$L$5:$R$17,3,FALSE)/12</f>
        <v>649812.80140259408</v>
      </c>
      <c r="I117" s="131">
        <f t="shared" si="87"/>
        <v>7602092.4544146396</v>
      </c>
      <c r="J117" s="102">
        <v>17872126.101204827</v>
      </c>
      <c r="K117" s="131">
        <f>VLOOKUP($B117,'Historic CDM'!$L$5:$R$17,4,FALSE)/12</f>
        <v>1636084.1636250485</v>
      </c>
      <c r="L117" s="131">
        <f t="shared" si="88"/>
        <v>19508210.264829874</v>
      </c>
      <c r="M117" s="102">
        <v>12544210.432508355</v>
      </c>
      <c r="N117" s="131">
        <f>VLOOKUP($B117,'Historic CDM'!$L$5:$R$17,5,FALSE)/12</f>
        <v>747647.29191658273</v>
      </c>
      <c r="O117" s="131">
        <f t="shared" si="158"/>
        <v>13291857.724424938</v>
      </c>
      <c r="P117" s="102">
        <v>12008399.025263574</v>
      </c>
      <c r="Q117" s="131">
        <f>VLOOKUP($B117,'Historic CDM'!$L$5:$R$17,6,FALSE)/12</f>
        <v>741125.63004474982</v>
      </c>
      <c r="R117" s="131">
        <f t="shared" si="159"/>
        <v>12749524.655308323</v>
      </c>
      <c r="S117" s="102">
        <v>88719.065060240959</v>
      </c>
      <c r="T117" s="102">
        <v>11421</v>
      </c>
      <c r="U117" s="102">
        <v>392552.78072289162</v>
      </c>
      <c r="V117" s="102">
        <v>50212.19000000001</v>
      </c>
      <c r="W117" s="102">
        <v>25084.95</v>
      </c>
      <c r="X117" s="102">
        <v>24306.69</v>
      </c>
      <c r="Y117" s="102">
        <v>1255.83</v>
      </c>
      <c r="Z117" s="102">
        <v>32.202356037544355</v>
      </c>
      <c r="AA117" s="41">
        <v>37841</v>
      </c>
      <c r="AB117" s="41">
        <v>2731</v>
      </c>
      <c r="AC117" s="41">
        <v>353</v>
      </c>
      <c r="AD117" s="41">
        <v>15</v>
      </c>
      <c r="AE117" s="41">
        <v>3</v>
      </c>
      <c r="AF117" s="41">
        <v>3271</v>
      </c>
      <c r="AG117" s="41">
        <v>235</v>
      </c>
      <c r="AH117" s="41">
        <v>216</v>
      </c>
      <c r="AI117" s="104">
        <f>Weather!C225</f>
        <v>22.06129032258065</v>
      </c>
      <c r="AJ117" s="104">
        <f>Weather!D225</f>
        <v>32.5</v>
      </c>
      <c r="AK117" s="104">
        <f>Weather!E225</f>
        <v>34.4</v>
      </c>
      <c r="AL117" s="104">
        <f>Weather!F225</f>
        <v>9.4999999999999964</v>
      </c>
      <c r="AM117" s="104">
        <f>Weather!G225</f>
        <v>73.400000000000006</v>
      </c>
      <c r="AN117" s="104">
        <f>Weather!H225</f>
        <v>0.80000000000000071</v>
      </c>
      <c r="AO117" s="104">
        <f>Weather!I225</f>
        <v>126.69999999999999</v>
      </c>
      <c r="AP117" s="104">
        <f>Weather!J225</f>
        <v>0</v>
      </c>
      <c r="AQ117" s="104">
        <f>Weather!K225</f>
        <v>187.89999999999998</v>
      </c>
      <c r="AR117" s="104">
        <f>Weather!L225</f>
        <v>0</v>
      </c>
      <c r="AS117" s="104">
        <f>Weather!M225</f>
        <v>249.89999999999998</v>
      </c>
      <c r="AT117" s="104">
        <f>Weather!N225</f>
        <v>0</v>
      </c>
      <c r="AU117" s="104">
        <f>Weather!O225</f>
        <v>311.89999999999998</v>
      </c>
      <c r="AV117" s="104">
        <f>Weather!P225</f>
        <v>0</v>
      </c>
      <c r="AW117" s="104">
        <f>Weather!Q225</f>
        <v>373.90000000000003</v>
      </c>
      <c r="AX117" s="104">
        <f>Weather!R225</f>
        <v>0</v>
      </c>
      <c r="AY117" s="104">
        <f>Weather!S225</f>
        <v>435.90000000000003</v>
      </c>
      <c r="AZ117" s="119">
        <f>Economic!C117</f>
        <v>710048.9</v>
      </c>
      <c r="BA117" s="120">
        <f>Economic!D117</f>
        <v>6872.3</v>
      </c>
      <c r="BB117" s="120">
        <f>Economic!E117</f>
        <v>6953.8</v>
      </c>
      <c r="BC117" s="120">
        <f>Economic!F117</f>
        <v>3117.5</v>
      </c>
      <c r="BD117" s="120">
        <f>Economic!G117</f>
        <v>3151.3</v>
      </c>
      <c r="BE117" s="120">
        <f>Economic!H117</f>
        <v>377.6</v>
      </c>
      <c r="BF117" s="120">
        <f>Economic!I117</f>
        <v>381.9</v>
      </c>
      <c r="BG117" s="123">
        <f t="shared" si="81"/>
        <v>31</v>
      </c>
      <c r="BH117" s="123">
        <v>20</v>
      </c>
      <c r="BI117" s="123">
        <f t="shared" si="132"/>
        <v>116</v>
      </c>
      <c r="BJ117" s="123">
        <f t="shared" ref="BJ117:BX117" si="163">BJ105</f>
        <v>0</v>
      </c>
      <c r="BK117" s="123">
        <f t="shared" si="163"/>
        <v>0</v>
      </c>
      <c r="BL117" s="123">
        <f t="shared" si="163"/>
        <v>0</v>
      </c>
      <c r="BM117" s="123">
        <f t="shared" si="163"/>
        <v>0</v>
      </c>
      <c r="BN117" s="123">
        <f t="shared" si="163"/>
        <v>0</v>
      </c>
      <c r="BO117" s="123">
        <f t="shared" si="163"/>
        <v>0</v>
      </c>
      <c r="BP117" s="123">
        <f t="shared" si="163"/>
        <v>0</v>
      </c>
      <c r="BQ117" s="123">
        <f t="shared" si="163"/>
        <v>1</v>
      </c>
      <c r="BR117" s="123">
        <f t="shared" si="163"/>
        <v>0</v>
      </c>
      <c r="BS117" s="123">
        <f t="shared" si="163"/>
        <v>0</v>
      </c>
      <c r="BT117" s="123">
        <f t="shared" si="163"/>
        <v>0</v>
      </c>
      <c r="BU117" s="123">
        <f t="shared" si="163"/>
        <v>0</v>
      </c>
      <c r="BV117" s="123">
        <f t="shared" si="163"/>
        <v>0</v>
      </c>
      <c r="BW117" s="123">
        <f t="shared" si="163"/>
        <v>0</v>
      </c>
      <c r="BX117" s="123">
        <f t="shared" si="163"/>
        <v>0</v>
      </c>
      <c r="BY117" s="124">
        <v>1</v>
      </c>
      <c r="BZ117" s="128">
        <v>0.5</v>
      </c>
      <c r="CA117" s="124">
        <f t="shared" si="90"/>
        <v>32.5</v>
      </c>
      <c r="CB117" s="124">
        <f t="shared" si="91"/>
        <v>34.4</v>
      </c>
      <c r="CC117" s="124">
        <f t="shared" si="92"/>
        <v>9.4999999999999964</v>
      </c>
      <c r="CD117" s="124">
        <f t="shared" si="93"/>
        <v>73.400000000000006</v>
      </c>
      <c r="CE117" s="124">
        <f t="shared" si="94"/>
        <v>0.80000000000000071</v>
      </c>
      <c r="CF117" s="124">
        <f t="shared" si="95"/>
        <v>126.69999999999999</v>
      </c>
      <c r="CG117" s="124">
        <f t="shared" si="96"/>
        <v>0</v>
      </c>
      <c r="CH117" s="124">
        <f t="shared" si="97"/>
        <v>187.89999999999998</v>
      </c>
      <c r="CI117" s="124">
        <f t="shared" si="98"/>
        <v>0</v>
      </c>
      <c r="CJ117" s="124">
        <f t="shared" si="99"/>
        <v>249.89999999999998</v>
      </c>
      <c r="CK117" s="124">
        <f t="shared" si="100"/>
        <v>0</v>
      </c>
      <c r="CL117" s="124">
        <f t="shared" si="101"/>
        <v>311.89999999999998</v>
      </c>
      <c r="CM117" s="124">
        <f t="shared" si="102"/>
        <v>0</v>
      </c>
      <c r="CN117" s="124">
        <f t="shared" si="103"/>
        <v>373.90000000000003</v>
      </c>
      <c r="CO117" s="124">
        <f t="shared" si="104"/>
        <v>0</v>
      </c>
      <c r="CP117" s="124">
        <f t="shared" si="105"/>
        <v>435.90000000000003</v>
      </c>
      <c r="CQ117" s="138">
        <f t="shared" si="106"/>
        <v>1062.1379949952698</v>
      </c>
      <c r="CR117" s="138">
        <f t="shared" si="107"/>
        <v>2783.6296061569533</v>
      </c>
      <c r="CS117" s="138">
        <f t="shared" si="108"/>
        <v>55264.051741727686</v>
      </c>
    </row>
    <row r="118" spans="1:97" x14ac:dyDescent="0.2">
      <c r="A118" s="115">
        <v>44075</v>
      </c>
      <c r="B118">
        <f t="shared" si="116"/>
        <v>2020</v>
      </c>
      <c r="C118">
        <f t="shared" si="117"/>
        <v>9</v>
      </c>
      <c r="D118" s="102">
        <v>27206302.631325286</v>
      </c>
      <c r="E118" s="131">
        <f>VLOOKUP($B118,'Historic CDM'!$L$5:$R$17,2,FALSE)/12</f>
        <v>1392643.6565677822</v>
      </c>
      <c r="F118" s="131">
        <f t="shared" si="86"/>
        <v>28598946.287893068</v>
      </c>
      <c r="G118" s="102">
        <v>6152713.3975903597</v>
      </c>
      <c r="H118" s="131">
        <f>VLOOKUP($B118,'Historic CDM'!$L$5:$R$17,3,FALSE)/12</f>
        <v>649812.80140259408</v>
      </c>
      <c r="I118" s="131">
        <f t="shared" si="87"/>
        <v>6802526.1989929536</v>
      </c>
      <c r="J118" s="102">
        <v>16777886.004819278</v>
      </c>
      <c r="K118" s="131">
        <f>VLOOKUP($B118,'Historic CDM'!$L$5:$R$17,4,FALSE)/12</f>
        <v>1636084.1636250485</v>
      </c>
      <c r="L118" s="131">
        <f t="shared" si="88"/>
        <v>18413970.168444328</v>
      </c>
      <c r="M118" s="102">
        <v>11097083.934712064</v>
      </c>
      <c r="N118" s="131">
        <f>VLOOKUP($B118,'Historic CDM'!$L$5:$R$17,5,FALSE)/12</f>
        <v>747647.29191658273</v>
      </c>
      <c r="O118" s="131">
        <f t="shared" si="158"/>
        <v>11844731.226628646</v>
      </c>
      <c r="P118" s="102">
        <v>12198346.847026058</v>
      </c>
      <c r="Q118" s="131">
        <f>VLOOKUP($B118,'Historic CDM'!$L$5:$R$17,6,FALSE)/12</f>
        <v>741125.63004474982</v>
      </c>
      <c r="R118" s="131">
        <f t="shared" si="159"/>
        <v>12939472.477070807</v>
      </c>
      <c r="S118" s="102">
        <v>89047.065060240959</v>
      </c>
      <c r="T118" s="102">
        <v>11440.44</v>
      </c>
      <c r="U118" s="102">
        <v>428190.09156626504</v>
      </c>
      <c r="V118" s="102">
        <v>47877.459999999985</v>
      </c>
      <c r="W118" s="102">
        <v>23402.489999999998</v>
      </c>
      <c r="X118" s="102">
        <v>24853.61</v>
      </c>
      <c r="Y118" s="102">
        <v>1250.19</v>
      </c>
      <c r="Z118" s="102">
        <v>32.161884830035476</v>
      </c>
      <c r="AA118" s="41">
        <v>37918</v>
      </c>
      <c r="AB118" s="41">
        <v>2734</v>
      </c>
      <c r="AC118" s="41">
        <v>353</v>
      </c>
      <c r="AD118" s="41">
        <v>15</v>
      </c>
      <c r="AE118" s="41">
        <v>3</v>
      </c>
      <c r="AF118" s="41">
        <v>3271</v>
      </c>
      <c r="AG118" s="41">
        <v>235.4</v>
      </c>
      <c r="AH118" s="41">
        <v>216</v>
      </c>
      <c r="AI118" s="104">
        <f>Weather!C226</f>
        <v>16.806666666666665</v>
      </c>
      <c r="AJ118" s="104">
        <f>Weather!D226</f>
        <v>159.69999999999999</v>
      </c>
      <c r="AK118" s="104">
        <f>Weather!E226</f>
        <v>3.8999999999999986</v>
      </c>
      <c r="AL118" s="104">
        <f>Weather!F226</f>
        <v>108.60000000000001</v>
      </c>
      <c r="AM118" s="104">
        <f>Weather!G226</f>
        <v>12.799999999999997</v>
      </c>
      <c r="AN118" s="104">
        <f>Weather!H226</f>
        <v>69.100000000000009</v>
      </c>
      <c r="AO118" s="104">
        <f>Weather!I226</f>
        <v>33.299999999999997</v>
      </c>
      <c r="AP118" s="104">
        <f>Weather!J226</f>
        <v>35.6</v>
      </c>
      <c r="AQ118" s="104">
        <f>Weather!K226</f>
        <v>59.8</v>
      </c>
      <c r="AR118" s="104">
        <f>Weather!L226</f>
        <v>15.899999999999999</v>
      </c>
      <c r="AS118" s="104">
        <f>Weather!M226</f>
        <v>100.10000000000001</v>
      </c>
      <c r="AT118" s="104">
        <f>Weather!N226</f>
        <v>4.7999999999999989</v>
      </c>
      <c r="AU118" s="104">
        <f>Weather!O226</f>
        <v>148.99999999999997</v>
      </c>
      <c r="AV118" s="104">
        <f>Weather!P226</f>
        <v>1.1999999999999993</v>
      </c>
      <c r="AW118" s="104">
        <f>Weather!Q226</f>
        <v>205.4</v>
      </c>
      <c r="AX118" s="104">
        <f>Weather!R226</f>
        <v>0</v>
      </c>
      <c r="AY118" s="104">
        <f>Weather!S226</f>
        <v>264.20000000000005</v>
      </c>
      <c r="AZ118" s="119">
        <f>Economic!C118</f>
        <v>710048.9</v>
      </c>
      <c r="BA118" s="120">
        <f>Economic!D118</f>
        <v>7020.1</v>
      </c>
      <c r="BB118" s="120">
        <f>Economic!E118</f>
        <v>7070.2</v>
      </c>
      <c r="BC118" s="120">
        <f>Economic!F118</f>
        <v>3214</v>
      </c>
      <c r="BD118" s="120">
        <f>Economic!G118</f>
        <v>3233.7</v>
      </c>
      <c r="BE118" s="120">
        <f>Economic!H118</f>
        <v>375.4</v>
      </c>
      <c r="BF118" s="120">
        <f>Economic!I118</f>
        <v>379.1</v>
      </c>
      <c r="BG118" s="123">
        <f t="shared" si="81"/>
        <v>30</v>
      </c>
      <c r="BH118" s="123">
        <v>21</v>
      </c>
      <c r="BI118" s="123">
        <f t="shared" si="132"/>
        <v>117</v>
      </c>
      <c r="BJ118" s="123">
        <f t="shared" ref="BJ118:BX118" si="164">BJ106</f>
        <v>0</v>
      </c>
      <c r="BK118" s="123">
        <f t="shared" si="164"/>
        <v>0</v>
      </c>
      <c r="BL118" s="123">
        <f t="shared" si="164"/>
        <v>0</v>
      </c>
      <c r="BM118" s="123">
        <f t="shared" si="164"/>
        <v>0</v>
      </c>
      <c r="BN118" s="123">
        <f t="shared" si="164"/>
        <v>0</v>
      </c>
      <c r="BO118" s="123">
        <f t="shared" si="164"/>
        <v>0</v>
      </c>
      <c r="BP118" s="123">
        <f t="shared" si="164"/>
        <v>0</v>
      </c>
      <c r="BQ118" s="123">
        <f t="shared" si="164"/>
        <v>0</v>
      </c>
      <c r="BR118" s="123">
        <f t="shared" si="164"/>
        <v>1</v>
      </c>
      <c r="BS118" s="123">
        <f t="shared" si="164"/>
        <v>0</v>
      </c>
      <c r="BT118" s="123">
        <f t="shared" si="164"/>
        <v>0</v>
      </c>
      <c r="BU118" s="123">
        <f t="shared" si="164"/>
        <v>0</v>
      </c>
      <c r="BV118" s="123">
        <f t="shared" si="164"/>
        <v>0</v>
      </c>
      <c r="BW118" s="123">
        <f t="shared" si="164"/>
        <v>1</v>
      </c>
      <c r="BX118" s="123">
        <f t="shared" si="164"/>
        <v>1</v>
      </c>
      <c r="BY118" s="124">
        <v>1</v>
      </c>
      <c r="BZ118" s="128">
        <v>0.5</v>
      </c>
      <c r="CA118" s="124">
        <f t="shared" si="90"/>
        <v>159.69999999999999</v>
      </c>
      <c r="CB118" s="124">
        <f t="shared" si="91"/>
        <v>3.8999999999999986</v>
      </c>
      <c r="CC118" s="124">
        <f t="shared" si="92"/>
        <v>108.60000000000001</v>
      </c>
      <c r="CD118" s="124">
        <f t="shared" si="93"/>
        <v>12.799999999999997</v>
      </c>
      <c r="CE118" s="124">
        <f t="shared" si="94"/>
        <v>69.100000000000009</v>
      </c>
      <c r="CF118" s="124">
        <f t="shared" si="95"/>
        <v>33.299999999999997</v>
      </c>
      <c r="CG118" s="124">
        <f t="shared" si="96"/>
        <v>35.6</v>
      </c>
      <c r="CH118" s="124">
        <f t="shared" si="97"/>
        <v>59.8</v>
      </c>
      <c r="CI118" s="124">
        <f t="shared" si="98"/>
        <v>15.899999999999999</v>
      </c>
      <c r="CJ118" s="124">
        <f t="shared" si="99"/>
        <v>100.10000000000001</v>
      </c>
      <c r="CK118" s="124">
        <f t="shared" si="100"/>
        <v>4.7999999999999989</v>
      </c>
      <c r="CL118" s="124">
        <f t="shared" si="101"/>
        <v>148.99999999999997</v>
      </c>
      <c r="CM118" s="124">
        <f t="shared" si="102"/>
        <v>1.1999999999999993</v>
      </c>
      <c r="CN118" s="124">
        <f t="shared" si="103"/>
        <v>205.4</v>
      </c>
      <c r="CO118" s="124">
        <f t="shared" si="104"/>
        <v>0</v>
      </c>
      <c r="CP118" s="124">
        <f t="shared" si="105"/>
        <v>264.20000000000005</v>
      </c>
      <c r="CQ118" s="138">
        <f t="shared" si="106"/>
        <v>754.23140165338543</v>
      </c>
      <c r="CR118" s="138">
        <f t="shared" si="107"/>
        <v>2488.1222381100783</v>
      </c>
      <c r="CS118" s="138">
        <f t="shared" si="108"/>
        <v>52164.221440352201</v>
      </c>
    </row>
    <row r="119" spans="1:97" x14ac:dyDescent="0.2">
      <c r="A119" s="114">
        <v>44105</v>
      </c>
      <c r="B119">
        <f t="shared" si="116"/>
        <v>2020</v>
      </c>
      <c r="C119">
        <f t="shared" si="117"/>
        <v>10</v>
      </c>
      <c r="D119" s="102">
        <v>24001107.065060236</v>
      </c>
      <c r="E119" s="131">
        <f>VLOOKUP($B119,'Historic CDM'!$L$5:$R$17,2,FALSE)/12</f>
        <v>1392643.6565677822</v>
      </c>
      <c r="F119" s="131">
        <f t="shared" si="86"/>
        <v>25393750.721628018</v>
      </c>
      <c r="G119" s="102">
        <v>6063787.8939759014</v>
      </c>
      <c r="H119" s="131">
        <f>VLOOKUP($B119,'Historic CDM'!$L$5:$R$17,3,FALSE)/12</f>
        <v>649812.80140259408</v>
      </c>
      <c r="I119" s="131">
        <f t="shared" si="87"/>
        <v>6713600.6953784954</v>
      </c>
      <c r="J119" s="102">
        <v>16717313.840963854</v>
      </c>
      <c r="K119" s="131">
        <f>VLOOKUP($B119,'Historic CDM'!$L$5:$R$17,4,FALSE)/12</f>
        <v>1636084.1636250485</v>
      </c>
      <c r="L119" s="131">
        <f t="shared" si="88"/>
        <v>18353398.004588902</v>
      </c>
      <c r="M119" s="102">
        <v>11108553.145735458</v>
      </c>
      <c r="N119" s="131">
        <f>VLOOKUP($B119,'Historic CDM'!$L$5:$R$17,5,FALSE)/12</f>
        <v>747647.29191658273</v>
      </c>
      <c r="O119" s="131">
        <f t="shared" si="158"/>
        <v>11856200.43765204</v>
      </c>
      <c r="P119" s="102">
        <v>12308080.007957032</v>
      </c>
      <c r="Q119" s="131">
        <f>VLOOKUP($B119,'Historic CDM'!$L$5:$R$17,6,FALSE)/12</f>
        <v>741125.63004474982</v>
      </c>
      <c r="R119" s="131">
        <f t="shared" si="159"/>
        <v>13049205.638001781</v>
      </c>
      <c r="S119" s="102">
        <v>87489.060240963852</v>
      </c>
      <c r="T119" s="102">
        <v>11459.880000000001</v>
      </c>
      <c r="U119" s="102">
        <v>496460.53012048185</v>
      </c>
      <c r="V119" s="102">
        <v>46176.710000000021</v>
      </c>
      <c r="W119" s="102">
        <v>22534.16</v>
      </c>
      <c r="X119" s="102">
        <v>24436.240000000002</v>
      </c>
      <c r="Y119" s="102">
        <v>1231.9100000000001</v>
      </c>
      <c r="Z119" s="102">
        <v>32.121413622526596</v>
      </c>
      <c r="AA119" s="41">
        <v>37985</v>
      </c>
      <c r="AB119" s="41">
        <v>2744</v>
      </c>
      <c r="AC119" s="41">
        <v>353</v>
      </c>
      <c r="AD119" s="41">
        <v>15</v>
      </c>
      <c r="AE119" s="41">
        <v>3</v>
      </c>
      <c r="AF119" s="41">
        <v>3271</v>
      </c>
      <c r="AG119" s="41">
        <v>235.8</v>
      </c>
      <c r="AH119" s="41">
        <v>215</v>
      </c>
      <c r="AI119" s="104">
        <f>Weather!C227</f>
        <v>9.2806451612903249</v>
      </c>
      <c r="AJ119" s="104">
        <f>Weather!D227</f>
        <v>394.29999999999995</v>
      </c>
      <c r="AK119" s="104">
        <f>Weather!E227</f>
        <v>0</v>
      </c>
      <c r="AL119" s="104">
        <f>Weather!F227</f>
        <v>332.3</v>
      </c>
      <c r="AM119" s="104">
        <f>Weather!G227</f>
        <v>0</v>
      </c>
      <c r="AN119" s="104">
        <f>Weather!H227</f>
        <v>270.3</v>
      </c>
      <c r="AO119" s="104">
        <f>Weather!I227</f>
        <v>0</v>
      </c>
      <c r="AP119" s="104">
        <f>Weather!J227</f>
        <v>208.8</v>
      </c>
      <c r="AQ119" s="104">
        <f>Weather!K227</f>
        <v>0.5</v>
      </c>
      <c r="AR119" s="104">
        <f>Weather!L227</f>
        <v>149.90000000000003</v>
      </c>
      <c r="AS119" s="104">
        <f>Weather!M227</f>
        <v>3.5999999999999996</v>
      </c>
      <c r="AT119" s="104">
        <f>Weather!N227</f>
        <v>98.9</v>
      </c>
      <c r="AU119" s="104">
        <f>Weather!O227</f>
        <v>14.599999999999998</v>
      </c>
      <c r="AV119" s="104">
        <f>Weather!P227</f>
        <v>60.7</v>
      </c>
      <c r="AW119" s="104">
        <f>Weather!Q227</f>
        <v>38.4</v>
      </c>
      <c r="AX119" s="104">
        <f>Weather!R227</f>
        <v>33</v>
      </c>
      <c r="AY119" s="104">
        <f>Weather!S227</f>
        <v>72.7</v>
      </c>
      <c r="AZ119" s="119">
        <f>Economic!C119</f>
        <v>710048.9</v>
      </c>
      <c r="BA119" s="120">
        <f>Economic!D119</f>
        <v>7125.4</v>
      </c>
      <c r="BB119" s="120">
        <f>Economic!E119</f>
        <v>7157.8</v>
      </c>
      <c r="BC119" s="120">
        <f>Economic!F119</f>
        <v>3300.1</v>
      </c>
      <c r="BD119" s="120">
        <f>Economic!G119</f>
        <v>3301.5</v>
      </c>
      <c r="BE119" s="120">
        <f>Economic!H119</f>
        <v>370.7</v>
      </c>
      <c r="BF119" s="120">
        <f>Economic!I119</f>
        <v>376.6</v>
      </c>
      <c r="BG119" s="123">
        <f t="shared" si="81"/>
        <v>31</v>
      </c>
      <c r="BH119" s="123">
        <v>21</v>
      </c>
      <c r="BI119" s="123">
        <f t="shared" si="132"/>
        <v>118</v>
      </c>
      <c r="BJ119" s="123">
        <f t="shared" ref="BJ119:BX119" si="165">BJ107</f>
        <v>0</v>
      </c>
      <c r="BK119" s="123">
        <f t="shared" si="165"/>
        <v>0</v>
      </c>
      <c r="BL119" s="123">
        <f t="shared" si="165"/>
        <v>0</v>
      </c>
      <c r="BM119" s="123">
        <f t="shared" si="165"/>
        <v>0</v>
      </c>
      <c r="BN119" s="123">
        <f t="shared" si="165"/>
        <v>0</v>
      </c>
      <c r="BO119" s="123">
        <f t="shared" si="165"/>
        <v>0</v>
      </c>
      <c r="BP119" s="123">
        <f t="shared" si="165"/>
        <v>0</v>
      </c>
      <c r="BQ119" s="123">
        <f t="shared" si="165"/>
        <v>0</v>
      </c>
      <c r="BR119" s="123">
        <f t="shared" si="165"/>
        <v>0</v>
      </c>
      <c r="BS119" s="123">
        <f t="shared" si="165"/>
        <v>1</v>
      </c>
      <c r="BT119" s="123">
        <f t="shared" si="165"/>
        <v>0</v>
      </c>
      <c r="BU119" s="123">
        <f t="shared" si="165"/>
        <v>0</v>
      </c>
      <c r="BV119" s="123">
        <f t="shared" si="165"/>
        <v>0</v>
      </c>
      <c r="BW119" s="123">
        <f t="shared" si="165"/>
        <v>1</v>
      </c>
      <c r="BX119" s="123">
        <f t="shared" si="165"/>
        <v>1</v>
      </c>
      <c r="BY119" s="124">
        <v>1</v>
      </c>
      <c r="BZ119" s="128">
        <v>0.5</v>
      </c>
      <c r="CA119" s="124">
        <f t="shared" si="90"/>
        <v>394.29999999999995</v>
      </c>
      <c r="CB119" s="124">
        <f t="shared" si="91"/>
        <v>0</v>
      </c>
      <c r="CC119" s="124">
        <f t="shared" si="92"/>
        <v>332.3</v>
      </c>
      <c r="CD119" s="124">
        <f t="shared" si="93"/>
        <v>0</v>
      </c>
      <c r="CE119" s="124">
        <f t="shared" si="94"/>
        <v>270.3</v>
      </c>
      <c r="CF119" s="124">
        <f t="shared" si="95"/>
        <v>0</v>
      </c>
      <c r="CG119" s="124">
        <f t="shared" si="96"/>
        <v>208.8</v>
      </c>
      <c r="CH119" s="124">
        <f t="shared" si="97"/>
        <v>0.5</v>
      </c>
      <c r="CI119" s="124">
        <f t="shared" si="98"/>
        <v>149.90000000000003</v>
      </c>
      <c r="CJ119" s="124">
        <f t="shared" si="99"/>
        <v>3.5999999999999996</v>
      </c>
      <c r="CK119" s="124">
        <f t="shared" si="100"/>
        <v>98.9</v>
      </c>
      <c r="CL119" s="124">
        <f t="shared" si="101"/>
        <v>14.599999999999998</v>
      </c>
      <c r="CM119" s="124">
        <f t="shared" si="102"/>
        <v>60.7</v>
      </c>
      <c r="CN119" s="124">
        <f t="shared" si="103"/>
        <v>38.4</v>
      </c>
      <c r="CO119" s="124">
        <f t="shared" si="104"/>
        <v>33</v>
      </c>
      <c r="CP119" s="124">
        <f t="shared" si="105"/>
        <v>72.7</v>
      </c>
      <c r="CQ119" s="138">
        <f t="shared" si="106"/>
        <v>668.52048760373873</v>
      </c>
      <c r="CR119" s="138">
        <f t="shared" si="107"/>
        <v>2446.6474837385185</v>
      </c>
      <c r="CS119" s="138">
        <f t="shared" si="108"/>
        <v>51992.628908183855</v>
      </c>
    </row>
    <row r="120" spans="1:97" x14ac:dyDescent="0.2">
      <c r="A120" s="115">
        <v>44136</v>
      </c>
      <c r="B120">
        <f t="shared" si="116"/>
        <v>2020</v>
      </c>
      <c r="C120">
        <f t="shared" si="117"/>
        <v>11</v>
      </c>
      <c r="D120" s="102">
        <v>21906254.004819274</v>
      </c>
      <c r="E120" s="131">
        <f>VLOOKUP($B120,'Historic CDM'!$L$5:$R$17,2,FALSE)/12</f>
        <v>1392643.6565677822</v>
      </c>
      <c r="F120" s="131">
        <f t="shared" si="86"/>
        <v>23298897.661387056</v>
      </c>
      <c r="G120" s="102">
        <v>5989978.6987951752</v>
      </c>
      <c r="H120" s="131">
        <f>VLOOKUP($B120,'Historic CDM'!$L$5:$R$17,3,FALSE)/12</f>
        <v>649812.80140259408</v>
      </c>
      <c r="I120" s="131">
        <f t="shared" si="87"/>
        <v>6639791.5001977691</v>
      </c>
      <c r="J120" s="102">
        <v>16714084.106024083</v>
      </c>
      <c r="K120" s="131">
        <f>VLOOKUP($B120,'Historic CDM'!$L$5:$R$17,4,FALSE)/12</f>
        <v>1636084.1636250485</v>
      </c>
      <c r="L120" s="131">
        <f t="shared" si="88"/>
        <v>18350168.269649133</v>
      </c>
      <c r="M120" s="102">
        <v>10827919.50404417</v>
      </c>
      <c r="N120" s="131">
        <f>VLOOKUP($B120,'Historic CDM'!$L$5:$R$17,5,FALSE)/12</f>
        <v>747647.29191658273</v>
      </c>
      <c r="O120" s="131">
        <f t="shared" si="158"/>
        <v>11575566.795960752</v>
      </c>
      <c r="P120" s="102">
        <v>12221833.170877263</v>
      </c>
      <c r="Q120" s="131">
        <f>VLOOKUP($B120,'Historic CDM'!$L$5:$R$17,6,FALSE)/12</f>
        <v>741125.63004474982</v>
      </c>
      <c r="R120" s="131">
        <f t="shared" si="159"/>
        <v>12962958.800922012</v>
      </c>
      <c r="S120" s="102">
        <v>87489.021686746972</v>
      </c>
      <c r="T120" s="102">
        <v>11479.320000000002</v>
      </c>
      <c r="U120" s="102">
        <v>523935.66265060235</v>
      </c>
      <c r="V120" s="102">
        <v>46659.349999999984</v>
      </c>
      <c r="W120" s="102">
        <v>23546.99</v>
      </c>
      <c r="X120" s="102">
        <v>24091.79</v>
      </c>
      <c r="Y120" s="102">
        <v>1218.46</v>
      </c>
      <c r="Z120" s="102">
        <v>32.080942415017716</v>
      </c>
      <c r="AA120" s="41">
        <v>38048</v>
      </c>
      <c r="AB120" s="41">
        <v>2753</v>
      </c>
      <c r="AC120" s="41">
        <v>357</v>
      </c>
      <c r="AD120" s="41">
        <v>15</v>
      </c>
      <c r="AE120" s="41">
        <v>3</v>
      </c>
      <c r="AF120" s="41">
        <v>2953</v>
      </c>
      <c r="AG120" s="41">
        <v>236.20000000000002</v>
      </c>
      <c r="AH120" s="41">
        <v>215</v>
      </c>
      <c r="AI120" s="104">
        <f>Weather!C228</f>
        <v>6.8400000000000016</v>
      </c>
      <c r="AJ120" s="104">
        <f>Weather!D228</f>
        <v>454.8</v>
      </c>
      <c r="AK120" s="104">
        <f>Weather!E228</f>
        <v>0</v>
      </c>
      <c r="AL120" s="104">
        <f>Weather!F228</f>
        <v>394.8</v>
      </c>
      <c r="AM120" s="104">
        <f>Weather!G228</f>
        <v>0</v>
      </c>
      <c r="AN120" s="104">
        <f>Weather!H228</f>
        <v>334.79999999999995</v>
      </c>
      <c r="AO120" s="104">
        <f>Weather!I228</f>
        <v>0</v>
      </c>
      <c r="AP120" s="104">
        <f>Weather!J228</f>
        <v>274.89999999999998</v>
      </c>
      <c r="AQ120" s="104">
        <f>Weather!K228</f>
        <v>0.10000000000000142</v>
      </c>
      <c r="AR120" s="104">
        <f>Weather!L228</f>
        <v>220.39999999999998</v>
      </c>
      <c r="AS120" s="104">
        <f>Weather!M228</f>
        <v>5.6000000000000014</v>
      </c>
      <c r="AT120" s="104">
        <f>Weather!N228</f>
        <v>170.79999999999995</v>
      </c>
      <c r="AU120" s="104">
        <f>Weather!O228</f>
        <v>16</v>
      </c>
      <c r="AV120" s="104">
        <f>Weather!P228</f>
        <v>127.39999999999999</v>
      </c>
      <c r="AW120" s="104">
        <f>Weather!Q228</f>
        <v>32.6</v>
      </c>
      <c r="AX120" s="104">
        <f>Weather!R228</f>
        <v>87.199999999999989</v>
      </c>
      <c r="AY120" s="104">
        <f>Weather!S228</f>
        <v>52.399999999999991</v>
      </c>
      <c r="AZ120" s="119">
        <f>Economic!C120</f>
        <v>710048.9</v>
      </c>
      <c r="BA120" s="120">
        <f>Economic!D120</f>
        <v>7202.6</v>
      </c>
      <c r="BB120" s="120">
        <f>Economic!E120</f>
        <v>7216.9</v>
      </c>
      <c r="BC120" s="120">
        <f>Economic!F120</f>
        <v>3351.5</v>
      </c>
      <c r="BD120" s="120">
        <f>Economic!G120</f>
        <v>3345.8</v>
      </c>
      <c r="BE120" s="120">
        <f>Economic!H120</f>
        <v>380.4</v>
      </c>
      <c r="BF120" s="120">
        <f>Economic!I120</f>
        <v>385.1</v>
      </c>
      <c r="BG120" s="123">
        <f t="shared" si="81"/>
        <v>30</v>
      </c>
      <c r="BH120" s="123">
        <v>21</v>
      </c>
      <c r="BI120" s="123">
        <f t="shared" si="132"/>
        <v>119</v>
      </c>
      <c r="BJ120" s="123">
        <f t="shared" ref="BJ120:BX120" si="166">BJ108</f>
        <v>0</v>
      </c>
      <c r="BK120" s="123">
        <f t="shared" si="166"/>
        <v>0</v>
      </c>
      <c r="BL120" s="123">
        <f t="shared" si="166"/>
        <v>0</v>
      </c>
      <c r="BM120" s="123">
        <f t="shared" si="166"/>
        <v>0</v>
      </c>
      <c r="BN120" s="123">
        <f t="shared" si="166"/>
        <v>0</v>
      </c>
      <c r="BO120" s="123">
        <f t="shared" si="166"/>
        <v>0</v>
      </c>
      <c r="BP120" s="123">
        <f t="shared" si="166"/>
        <v>0</v>
      </c>
      <c r="BQ120" s="123">
        <f t="shared" si="166"/>
        <v>0</v>
      </c>
      <c r="BR120" s="123">
        <f t="shared" si="166"/>
        <v>0</v>
      </c>
      <c r="BS120" s="123">
        <f t="shared" si="166"/>
        <v>0</v>
      </c>
      <c r="BT120" s="123">
        <f t="shared" si="166"/>
        <v>1</v>
      </c>
      <c r="BU120" s="123">
        <f t="shared" si="166"/>
        <v>0</v>
      </c>
      <c r="BV120" s="123">
        <f t="shared" si="166"/>
        <v>0</v>
      </c>
      <c r="BW120" s="123">
        <f t="shared" si="166"/>
        <v>1</v>
      </c>
      <c r="BX120" s="123">
        <f t="shared" si="166"/>
        <v>1</v>
      </c>
      <c r="BY120" s="124">
        <v>1</v>
      </c>
      <c r="BZ120" s="128">
        <v>0.5</v>
      </c>
      <c r="CA120" s="124">
        <f t="shared" si="90"/>
        <v>454.8</v>
      </c>
      <c r="CB120" s="124">
        <f t="shared" si="91"/>
        <v>0</v>
      </c>
      <c r="CC120" s="124">
        <f t="shared" si="92"/>
        <v>394.8</v>
      </c>
      <c r="CD120" s="124">
        <f t="shared" si="93"/>
        <v>0</v>
      </c>
      <c r="CE120" s="124">
        <f t="shared" si="94"/>
        <v>334.79999999999995</v>
      </c>
      <c r="CF120" s="124">
        <f t="shared" si="95"/>
        <v>0</v>
      </c>
      <c r="CG120" s="124">
        <f t="shared" si="96"/>
        <v>274.89999999999998</v>
      </c>
      <c r="CH120" s="124">
        <f t="shared" si="97"/>
        <v>0.10000000000000142</v>
      </c>
      <c r="CI120" s="124">
        <f t="shared" si="98"/>
        <v>220.39999999999998</v>
      </c>
      <c r="CJ120" s="124">
        <f t="shared" si="99"/>
        <v>5.6000000000000014</v>
      </c>
      <c r="CK120" s="124">
        <f t="shared" si="100"/>
        <v>170.79999999999995</v>
      </c>
      <c r="CL120" s="124">
        <f t="shared" si="101"/>
        <v>16</v>
      </c>
      <c r="CM120" s="124">
        <f t="shared" si="102"/>
        <v>127.39999999999999</v>
      </c>
      <c r="CN120" s="124">
        <f t="shared" si="103"/>
        <v>32.6</v>
      </c>
      <c r="CO120" s="124">
        <f t="shared" si="104"/>
        <v>87.199999999999989</v>
      </c>
      <c r="CP120" s="124">
        <f t="shared" si="105"/>
        <v>52.399999999999991</v>
      </c>
      <c r="CQ120" s="138">
        <f t="shared" si="106"/>
        <v>612.35538428792722</v>
      </c>
      <c r="CR120" s="138">
        <f t="shared" si="107"/>
        <v>2411.8385398466289</v>
      </c>
      <c r="CS120" s="138">
        <f t="shared" si="108"/>
        <v>51401.031567644633</v>
      </c>
    </row>
    <row r="121" spans="1:97" x14ac:dyDescent="0.2">
      <c r="A121" s="114">
        <v>44166</v>
      </c>
      <c r="B121">
        <f t="shared" si="116"/>
        <v>2020</v>
      </c>
      <c r="C121">
        <f t="shared" si="117"/>
        <v>12</v>
      </c>
      <c r="D121" s="102">
        <v>28015587.036144584</v>
      </c>
      <c r="E121" s="131">
        <f>VLOOKUP($B121,'Historic CDM'!$L$5:$R$17,2,FALSE)/12</f>
        <v>1392643.6565677822</v>
      </c>
      <c r="F121" s="131">
        <f t="shared" si="86"/>
        <v>29408230.692712367</v>
      </c>
      <c r="G121" s="102">
        <v>6720380.9831325309</v>
      </c>
      <c r="H121" s="131">
        <f>VLOOKUP($B121,'Historic CDM'!$L$5:$R$17,3,FALSE)/12</f>
        <v>649812.80140259408</v>
      </c>
      <c r="I121" s="131">
        <f t="shared" si="87"/>
        <v>7370193.7845351249</v>
      </c>
      <c r="J121" s="102">
        <v>17734017.175903622</v>
      </c>
      <c r="K121" s="131">
        <f>VLOOKUP($B121,'Historic CDM'!$L$5:$R$17,4,FALSE)/12</f>
        <v>1636084.1636250485</v>
      </c>
      <c r="L121" s="131">
        <f t="shared" si="88"/>
        <v>19370101.339528672</v>
      </c>
      <c r="M121" s="102">
        <v>10830480.999660967</v>
      </c>
      <c r="N121" s="131">
        <f>VLOOKUP($B121,'Historic CDM'!$L$5:$R$17,5,FALSE)/12</f>
        <v>747647.29191658273</v>
      </c>
      <c r="O121" s="131">
        <f t="shared" si="158"/>
        <v>11578128.29157755</v>
      </c>
      <c r="P121" s="102">
        <v>11402395.544062065</v>
      </c>
      <c r="Q121" s="131">
        <f>VLOOKUP($B121,'Historic CDM'!$L$5:$R$17,6,FALSE)/12</f>
        <v>741125.63004474982</v>
      </c>
      <c r="R121" s="131">
        <f t="shared" si="159"/>
        <v>12143521.174106814</v>
      </c>
      <c r="S121" s="102">
        <v>87489.060240963852</v>
      </c>
      <c r="T121" s="102">
        <v>11498.760000000002</v>
      </c>
      <c r="U121" s="102">
        <v>561065.39759036142</v>
      </c>
      <c r="V121" s="102">
        <v>46138.509999999995</v>
      </c>
      <c r="W121" s="102">
        <v>23128.059999999998</v>
      </c>
      <c r="X121" s="102">
        <v>24987.74</v>
      </c>
      <c r="Y121" s="102">
        <v>1199.93</v>
      </c>
      <c r="Z121" s="102">
        <v>32.040471207508837</v>
      </c>
      <c r="AA121" s="41">
        <v>38063</v>
      </c>
      <c r="AB121" s="41">
        <v>2781</v>
      </c>
      <c r="AC121" s="41">
        <v>358</v>
      </c>
      <c r="AD121" s="41">
        <v>15</v>
      </c>
      <c r="AE121" s="41">
        <v>3</v>
      </c>
      <c r="AF121" s="41">
        <v>2936.0000000000005</v>
      </c>
      <c r="AG121" s="41">
        <v>236.60000000000002</v>
      </c>
      <c r="AH121" s="41">
        <v>215</v>
      </c>
      <c r="AI121" s="104">
        <f>Weather!C229</f>
        <v>-0.30000000000000004</v>
      </c>
      <c r="AJ121" s="104">
        <f>Weather!D229</f>
        <v>691.29999999999984</v>
      </c>
      <c r="AK121" s="104">
        <f>Weather!E229</f>
        <v>0</v>
      </c>
      <c r="AL121" s="104">
        <f>Weather!F229</f>
        <v>629.29999999999984</v>
      </c>
      <c r="AM121" s="104">
        <f>Weather!G229</f>
        <v>0</v>
      </c>
      <c r="AN121" s="104">
        <f>Weather!H229</f>
        <v>567.29999999999995</v>
      </c>
      <c r="AO121" s="104">
        <f>Weather!I229</f>
        <v>0</v>
      </c>
      <c r="AP121" s="104">
        <f>Weather!J229</f>
        <v>505.3</v>
      </c>
      <c r="AQ121" s="104">
        <f>Weather!K229</f>
        <v>0</v>
      </c>
      <c r="AR121" s="104">
        <f>Weather!L229</f>
        <v>443.3</v>
      </c>
      <c r="AS121" s="104">
        <f>Weather!M229</f>
        <v>0</v>
      </c>
      <c r="AT121" s="104">
        <f>Weather!N229</f>
        <v>381.30000000000007</v>
      </c>
      <c r="AU121" s="104">
        <f>Weather!O229</f>
        <v>0</v>
      </c>
      <c r="AV121" s="104">
        <f>Weather!P229</f>
        <v>319.30000000000007</v>
      </c>
      <c r="AW121" s="104">
        <f>Weather!Q229</f>
        <v>0</v>
      </c>
      <c r="AX121" s="104">
        <f>Weather!R229</f>
        <v>257.3</v>
      </c>
      <c r="AY121" s="104">
        <f>Weather!S229</f>
        <v>0</v>
      </c>
      <c r="AZ121" s="119">
        <f>Economic!C121</f>
        <v>710048.9</v>
      </c>
      <c r="BA121" s="120">
        <f>Economic!D121</f>
        <v>7226</v>
      </c>
      <c r="BB121" s="120">
        <f>Economic!E121</f>
        <v>7236.4</v>
      </c>
      <c r="BC121" s="120">
        <f>Economic!F121</f>
        <v>3348.3</v>
      </c>
      <c r="BD121" s="120">
        <f>Economic!G121</f>
        <v>3347.4</v>
      </c>
      <c r="BE121" s="120">
        <f>Economic!H121</f>
        <v>391.3</v>
      </c>
      <c r="BF121" s="120">
        <f>Economic!I121</f>
        <v>397.4</v>
      </c>
      <c r="BG121" s="123">
        <f t="shared" si="81"/>
        <v>31</v>
      </c>
      <c r="BH121" s="123">
        <v>21</v>
      </c>
      <c r="BI121" s="123">
        <f t="shared" si="132"/>
        <v>120</v>
      </c>
      <c r="BJ121" s="123">
        <f t="shared" ref="BJ121:BX121" si="167">BJ109</f>
        <v>0</v>
      </c>
      <c r="BK121" s="123">
        <f t="shared" si="167"/>
        <v>0</v>
      </c>
      <c r="BL121" s="123">
        <f t="shared" si="167"/>
        <v>0</v>
      </c>
      <c r="BM121" s="123">
        <f t="shared" si="167"/>
        <v>0</v>
      </c>
      <c r="BN121" s="123">
        <f t="shared" si="167"/>
        <v>0</v>
      </c>
      <c r="BO121" s="123">
        <f t="shared" si="167"/>
        <v>0</v>
      </c>
      <c r="BP121" s="123">
        <f t="shared" si="167"/>
        <v>0</v>
      </c>
      <c r="BQ121" s="123">
        <f t="shared" si="167"/>
        <v>0</v>
      </c>
      <c r="BR121" s="123">
        <f t="shared" si="167"/>
        <v>0</v>
      </c>
      <c r="BS121" s="123">
        <f t="shared" si="167"/>
        <v>0</v>
      </c>
      <c r="BT121" s="123">
        <f t="shared" si="167"/>
        <v>0</v>
      </c>
      <c r="BU121" s="123">
        <f t="shared" si="167"/>
        <v>1</v>
      </c>
      <c r="BV121" s="123">
        <f t="shared" si="167"/>
        <v>0</v>
      </c>
      <c r="BW121" s="123">
        <f t="shared" si="167"/>
        <v>0</v>
      </c>
      <c r="BX121" s="123">
        <f t="shared" si="167"/>
        <v>0</v>
      </c>
      <c r="BY121" s="124">
        <v>1</v>
      </c>
      <c r="BZ121" s="128">
        <v>0.5</v>
      </c>
      <c r="CA121" s="124">
        <f t="shared" si="90"/>
        <v>691.29999999999984</v>
      </c>
      <c r="CB121" s="124">
        <f t="shared" si="91"/>
        <v>0</v>
      </c>
      <c r="CC121" s="124">
        <f t="shared" si="92"/>
        <v>629.29999999999984</v>
      </c>
      <c r="CD121" s="124">
        <f t="shared" si="93"/>
        <v>0</v>
      </c>
      <c r="CE121" s="124">
        <f t="shared" si="94"/>
        <v>567.29999999999995</v>
      </c>
      <c r="CF121" s="124">
        <f t="shared" si="95"/>
        <v>0</v>
      </c>
      <c r="CG121" s="124">
        <f t="shared" si="96"/>
        <v>505.3</v>
      </c>
      <c r="CH121" s="124">
        <f t="shared" si="97"/>
        <v>0</v>
      </c>
      <c r="CI121" s="124">
        <f t="shared" si="98"/>
        <v>443.3</v>
      </c>
      <c r="CJ121" s="124">
        <f t="shared" si="99"/>
        <v>0</v>
      </c>
      <c r="CK121" s="124">
        <f t="shared" si="100"/>
        <v>381.30000000000007</v>
      </c>
      <c r="CL121" s="124">
        <f t="shared" si="101"/>
        <v>0</v>
      </c>
      <c r="CM121" s="124">
        <f t="shared" si="102"/>
        <v>319.30000000000007</v>
      </c>
      <c r="CN121" s="124">
        <f t="shared" si="103"/>
        <v>0</v>
      </c>
      <c r="CO121" s="124">
        <f t="shared" si="104"/>
        <v>257.3</v>
      </c>
      <c r="CP121" s="124">
        <f t="shared" si="105"/>
        <v>0</v>
      </c>
      <c r="CQ121" s="138">
        <f t="shared" si="106"/>
        <v>772.61988526160224</v>
      </c>
      <c r="CR121" s="138">
        <f t="shared" si="107"/>
        <v>2650.1955356113358</v>
      </c>
      <c r="CS121" s="138">
        <f t="shared" si="108"/>
        <v>54106.428322705789</v>
      </c>
    </row>
    <row r="122" spans="1:97" x14ac:dyDescent="0.2">
      <c r="A122" s="115">
        <v>44197</v>
      </c>
      <c r="B122">
        <f t="shared" si="116"/>
        <v>2021</v>
      </c>
      <c r="C122">
        <f t="shared" si="117"/>
        <v>1</v>
      </c>
      <c r="D122" s="102">
        <v>32091025.21445784</v>
      </c>
      <c r="E122" s="131">
        <f>VLOOKUP($B122,'Historic CDM'!$L$5:$R$17,2,FALSE)/12</f>
        <v>1386307.1922259934</v>
      </c>
      <c r="F122" s="131">
        <f t="shared" si="86"/>
        <v>33477332.406683832</v>
      </c>
      <c r="G122" s="102">
        <v>8317144.8867469896</v>
      </c>
      <c r="H122" s="131">
        <f>VLOOKUP($B122,'Historic CDM'!$L$5:$R$17,3,FALSE)/12</f>
        <v>750051.28129892715</v>
      </c>
      <c r="I122" s="131">
        <f t="shared" si="87"/>
        <v>9067196.1680459175</v>
      </c>
      <c r="J122" s="102">
        <v>19055053.03132531</v>
      </c>
      <c r="K122" s="131">
        <f>VLOOKUP($B122,'Historic CDM'!$L$5:$R$17,4,FALSE)/12</f>
        <v>1631076.9652312491</v>
      </c>
      <c r="L122" s="131">
        <f t="shared" si="88"/>
        <v>20686129.996556558</v>
      </c>
      <c r="M122" s="102">
        <v>10810558.870538091</v>
      </c>
      <c r="N122" s="131">
        <f>VLOOKUP($B122,'Historic CDM'!$L$5:$R$17,5,FALSE)/12</f>
        <v>755729.15296031069</v>
      </c>
      <c r="O122" s="131">
        <f t="shared" si="158"/>
        <v>11566288.023498401</v>
      </c>
      <c r="P122" s="102">
        <v>11192163.497115577</v>
      </c>
      <c r="Q122" s="131">
        <f>VLOOKUP($B122,'Historic CDM'!$L$5:$R$17,6,FALSE)/12</f>
        <v>733613.47030779638</v>
      </c>
      <c r="R122" s="131">
        <f t="shared" si="159"/>
        <v>11925776.967423374</v>
      </c>
      <c r="S122" s="102">
        <v>87489.08915662652</v>
      </c>
      <c r="T122" s="102">
        <v>11518.2</v>
      </c>
      <c r="U122" s="102">
        <v>541085.61927710846</v>
      </c>
      <c r="V122" s="102">
        <v>45574.200000000004</v>
      </c>
      <c r="W122" s="102">
        <v>22843.62</v>
      </c>
      <c r="X122" s="102">
        <v>22923.19</v>
      </c>
      <c r="Y122" s="102">
        <v>1190.07</v>
      </c>
      <c r="Z122" s="102">
        <v>32</v>
      </c>
      <c r="AA122" s="41">
        <v>38101</v>
      </c>
      <c r="AB122" s="41">
        <v>2807</v>
      </c>
      <c r="AC122" s="41">
        <v>359</v>
      </c>
      <c r="AD122" s="41">
        <v>15</v>
      </c>
      <c r="AE122" s="41">
        <v>3</v>
      </c>
      <c r="AF122" s="41">
        <v>2933</v>
      </c>
      <c r="AG122" s="41">
        <v>237</v>
      </c>
      <c r="AH122" s="41">
        <v>215</v>
      </c>
      <c r="AI122" s="104">
        <f>Weather!C230</f>
        <v>-2.6451612903225805</v>
      </c>
      <c r="AJ122" s="104">
        <f>Weather!D230</f>
        <v>763.99999999999989</v>
      </c>
      <c r="AK122" s="104">
        <f>Weather!E230</f>
        <v>0</v>
      </c>
      <c r="AL122" s="104">
        <f>Weather!F230</f>
        <v>701.99999999999989</v>
      </c>
      <c r="AM122" s="104">
        <f>Weather!G230</f>
        <v>0</v>
      </c>
      <c r="AN122" s="104">
        <f>Weather!H230</f>
        <v>639.99999999999989</v>
      </c>
      <c r="AO122" s="104">
        <f>Weather!I230</f>
        <v>0</v>
      </c>
      <c r="AP122" s="104">
        <f>Weather!J230</f>
        <v>577.99999999999989</v>
      </c>
      <c r="AQ122" s="104">
        <f>Weather!K230</f>
        <v>0</v>
      </c>
      <c r="AR122" s="104">
        <f>Weather!L230</f>
        <v>516</v>
      </c>
      <c r="AS122" s="104">
        <f>Weather!M230</f>
        <v>0</v>
      </c>
      <c r="AT122" s="104">
        <f>Weather!N230</f>
        <v>453.99999999999994</v>
      </c>
      <c r="AU122" s="104">
        <f>Weather!O230</f>
        <v>0</v>
      </c>
      <c r="AV122" s="104">
        <f>Weather!P230</f>
        <v>392</v>
      </c>
      <c r="AW122" s="104">
        <f>Weather!Q230</f>
        <v>0</v>
      </c>
      <c r="AX122" s="104">
        <f>Weather!R230</f>
        <v>330</v>
      </c>
      <c r="AY122" s="104">
        <f>Weather!S230</f>
        <v>0</v>
      </c>
      <c r="AZ122" s="119">
        <f>Economic!C122</f>
        <v>742533.63717500004</v>
      </c>
      <c r="BA122" s="120">
        <f>Economic!D122</f>
        <v>7187.6</v>
      </c>
      <c r="BB122" s="120">
        <f>Economic!E122</f>
        <v>7159</v>
      </c>
      <c r="BC122" s="120">
        <f>Economic!F122</f>
        <v>3310.5</v>
      </c>
      <c r="BD122" s="120">
        <f>Economic!G122</f>
        <v>3305.4</v>
      </c>
      <c r="BE122" s="120">
        <f>Economic!H122</f>
        <v>398</v>
      </c>
      <c r="BF122" s="120">
        <f>Economic!I122</f>
        <v>399.7</v>
      </c>
      <c r="BG122" s="123">
        <f t="shared" si="81"/>
        <v>31</v>
      </c>
      <c r="BH122" s="123">
        <v>20</v>
      </c>
      <c r="BI122" s="123">
        <f t="shared" si="132"/>
        <v>121</v>
      </c>
      <c r="BJ122" s="123">
        <f t="shared" ref="BJ122:BX122" si="168">BJ110</f>
        <v>1</v>
      </c>
      <c r="BK122" s="123">
        <f t="shared" si="168"/>
        <v>0</v>
      </c>
      <c r="BL122" s="123">
        <f t="shared" si="168"/>
        <v>0</v>
      </c>
      <c r="BM122" s="123">
        <f t="shared" si="168"/>
        <v>0</v>
      </c>
      <c r="BN122" s="123">
        <f t="shared" si="168"/>
        <v>0</v>
      </c>
      <c r="BO122" s="123">
        <f t="shared" si="168"/>
        <v>0</v>
      </c>
      <c r="BP122" s="123">
        <f t="shared" si="168"/>
        <v>0</v>
      </c>
      <c r="BQ122" s="123">
        <f t="shared" si="168"/>
        <v>0</v>
      </c>
      <c r="BR122" s="123">
        <f t="shared" si="168"/>
        <v>0</v>
      </c>
      <c r="BS122" s="123">
        <f t="shared" si="168"/>
        <v>0</v>
      </c>
      <c r="BT122" s="123">
        <f t="shared" si="168"/>
        <v>0</v>
      </c>
      <c r="BU122" s="123">
        <f t="shared" si="168"/>
        <v>0</v>
      </c>
      <c r="BV122" s="123">
        <f t="shared" si="168"/>
        <v>0</v>
      </c>
      <c r="BW122" s="123">
        <f t="shared" si="168"/>
        <v>0</v>
      </c>
      <c r="BX122" s="123">
        <f t="shared" si="168"/>
        <v>0</v>
      </c>
      <c r="BY122" s="124">
        <v>1</v>
      </c>
      <c r="BZ122" s="128">
        <v>0.5</v>
      </c>
      <c r="CA122" s="124">
        <f t="shared" si="90"/>
        <v>763.99999999999989</v>
      </c>
      <c r="CB122" s="124">
        <f t="shared" si="91"/>
        <v>0</v>
      </c>
      <c r="CC122" s="124">
        <f t="shared" si="92"/>
        <v>701.99999999999989</v>
      </c>
      <c r="CD122" s="124">
        <f t="shared" si="93"/>
        <v>0</v>
      </c>
      <c r="CE122" s="124">
        <f t="shared" si="94"/>
        <v>639.99999999999989</v>
      </c>
      <c r="CF122" s="124">
        <f t="shared" si="95"/>
        <v>0</v>
      </c>
      <c r="CG122" s="124">
        <f t="shared" si="96"/>
        <v>577.99999999999989</v>
      </c>
      <c r="CH122" s="124">
        <f t="shared" si="97"/>
        <v>0</v>
      </c>
      <c r="CI122" s="124">
        <f t="shared" si="98"/>
        <v>516</v>
      </c>
      <c r="CJ122" s="124">
        <f t="shared" si="99"/>
        <v>0</v>
      </c>
      <c r="CK122" s="124">
        <f t="shared" si="100"/>
        <v>453.99999999999994</v>
      </c>
      <c r="CL122" s="124">
        <f t="shared" si="101"/>
        <v>0</v>
      </c>
      <c r="CM122" s="124">
        <f t="shared" si="102"/>
        <v>392</v>
      </c>
      <c r="CN122" s="124">
        <f t="shared" si="103"/>
        <v>0</v>
      </c>
      <c r="CO122" s="124">
        <f t="shared" si="104"/>
        <v>330</v>
      </c>
      <c r="CP122" s="124">
        <f t="shared" si="105"/>
        <v>0</v>
      </c>
      <c r="CQ122" s="138">
        <f t="shared" si="106"/>
        <v>878.64708030455449</v>
      </c>
      <c r="CR122" s="138">
        <f t="shared" si="107"/>
        <v>3230.2088236715063</v>
      </c>
      <c r="CS122" s="138">
        <f t="shared" si="108"/>
        <v>57621.532023834421</v>
      </c>
    </row>
    <row r="123" spans="1:97" x14ac:dyDescent="0.2">
      <c r="A123" s="114">
        <v>44228</v>
      </c>
      <c r="B123">
        <f t="shared" si="116"/>
        <v>2021</v>
      </c>
      <c r="C123">
        <f t="shared" si="117"/>
        <v>2</v>
      </c>
      <c r="D123" s="102">
        <v>30522858.187951799</v>
      </c>
      <c r="E123" s="131">
        <f>VLOOKUP($B123,'Historic CDM'!$L$5:$R$17,2,FALSE)/12</f>
        <v>1386307.1922259934</v>
      </c>
      <c r="F123" s="131">
        <f t="shared" si="86"/>
        <v>31909165.380177792</v>
      </c>
      <c r="G123" s="102">
        <v>7899265.667469875</v>
      </c>
      <c r="H123" s="131">
        <f>VLOOKUP($B123,'Historic CDM'!$L$5:$R$17,3,FALSE)/12</f>
        <v>750051.28129892715</v>
      </c>
      <c r="I123" s="131">
        <f t="shared" si="87"/>
        <v>8649316.948768802</v>
      </c>
      <c r="J123" s="102">
        <v>17768826.322891563</v>
      </c>
      <c r="K123" s="131">
        <f>VLOOKUP($B123,'Historic CDM'!$L$5:$R$17,4,FALSE)/12</f>
        <v>1631076.9652312491</v>
      </c>
      <c r="L123" s="131">
        <f t="shared" si="88"/>
        <v>19399903.28812281</v>
      </c>
      <c r="M123" s="102">
        <v>10503741.347411243</v>
      </c>
      <c r="N123" s="131">
        <f>VLOOKUP($B123,'Historic CDM'!$L$5:$R$17,5,FALSE)/12</f>
        <v>755729.15296031069</v>
      </c>
      <c r="O123" s="131">
        <f t="shared" si="158"/>
        <v>11259470.500371553</v>
      </c>
      <c r="P123" s="102">
        <v>10915348.488163913</v>
      </c>
      <c r="Q123" s="131">
        <f>VLOOKUP($B123,'Historic CDM'!$L$5:$R$17,6,FALSE)/12</f>
        <v>733613.47030779638</v>
      </c>
      <c r="R123" s="131">
        <f t="shared" si="159"/>
        <v>11648961.95847171</v>
      </c>
      <c r="S123" s="102">
        <v>87489.060240963838</v>
      </c>
      <c r="T123" s="102">
        <v>11518.2</v>
      </c>
      <c r="U123" s="102">
        <v>442485.11807228916</v>
      </c>
      <c r="V123" s="102">
        <v>47016.769999999982</v>
      </c>
      <c r="W123" s="102">
        <v>22564.54</v>
      </c>
      <c r="X123" s="102">
        <v>23808.2</v>
      </c>
      <c r="Y123" s="102">
        <v>1163.42</v>
      </c>
      <c r="Z123" s="102">
        <v>32</v>
      </c>
      <c r="AA123" s="41">
        <v>38138</v>
      </c>
      <c r="AB123" s="41">
        <v>2848</v>
      </c>
      <c r="AC123" s="41">
        <v>359</v>
      </c>
      <c r="AD123" s="41">
        <v>15</v>
      </c>
      <c r="AE123" s="41">
        <v>3</v>
      </c>
      <c r="AF123" s="41">
        <v>2921</v>
      </c>
      <c r="AG123" s="41">
        <v>237</v>
      </c>
      <c r="AH123" s="41">
        <v>215</v>
      </c>
      <c r="AI123" s="104">
        <f>Weather!C231</f>
        <v>-5.3464285714285724</v>
      </c>
      <c r="AJ123" s="104">
        <f>Weather!D231</f>
        <v>765.69999999999993</v>
      </c>
      <c r="AK123" s="104">
        <f>Weather!E231</f>
        <v>0</v>
      </c>
      <c r="AL123" s="104">
        <f>Weather!F231</f>
        <v>709.7</v>
      </c>
      <c r="AM123" s="104">
        <f>Weather!G231</f>
        <v>0</v>
      </c>
      <c r="AN123" s="104">
        <f>Weather!H231</f>
        <v>653.70000000000005</v>
      </c>
      <c r="AO123" s="104">
        <f>Weather!I231</f>
        <v>0</v>
      </c>
      <c r="AP123" s="104">
        <f>Weather!J231</f>
        <v>597.70000000000005</v>
      </c>
      <c r="AQ123" s="104">
        <f>Weather!K231</f>
        <v>0</v>
      </c>
      <c r="AR123" s="104">
        <f>Weather!L231</f>
        <v>541.69999999999993</v>
      </c>
      <c r="AS123" s="104">
        <f>Weather!M231</f>
        <v>0</v>
      </c>
      <c r="AT123" s="104">
        <f>Weather!N231</f>
        <v>485.7</v>
      </c>
      <c r="AU123" s="104">
        <f>Weather!O231</f>
        <v>0</v>
      </c>
      <c r="AV123" s="104">
        <f>Weather!P231</f>
        <v>429.7</v>
      </c>
      <c r="AW123" s="104">
        <f>Weather!Q231</f>
        <v>0</v>
      </c>
      <c r="AX123" s="104">
        <f>Weather!R231</f>
        <v>373.70000000000005</v>
      </c>
      <c r="AY123" s="104">
        <f>Weather!S231</f>
        <v>0</v>
      </c>
      <c r="AZ123" s="119">
        <f>Economic!C123</f>
        <v>742533.63717500004</v>
      </c>
      <c r="BA123" s="120">
        <f>Economic!D123</f>
        <v>7170.1</v>
      </c>
      <c r="BB123" s="120">
        <f>Economic!E123</f>
        <v>7107.3</v>
      </c>
      <c r="BC123" s="120">
        <f>Economic!F123</f>
        <v>3272.2</v>
      </c>
      <c r="BD123" s="120">
        <f>Economic!G123</f>
        <v>3255.3</v>
      </c>
      <c r="BE123" s="120">
        <f>Economic!H123</f>
        <v>401.9</v>
      </c>
      <c r="BF123" s="120">
        <f>Economic!I123</f>
        <v>399</v>
      </c>
      <c r="BG123" s="123">
        <f t="shared" si="81"/>
        <v>28</v>
      </c>
      <c r="BH123" s="123">
        <v>19</v>
      </c>
      <c r="BI123" s="123">
        <f t="shared" si="132"/>
        <v>122</v>
      </c>
      <c r="BJ123" s="123">
        <f t="shared" ref="BJ123:BX123" si="169">BJ111</f>
        <v>0</v>
      </c>
      <c r="BK123" s="123">
        <f t="shared" si="169"/>
        <v>1</v>
      </c>
      <c r="BL123" s="123">
        <f t="shared" si="169"/>
        <v>0</v>
      </c>
      <c r="BM123" s="123">
        <f t="shared" si="169"/>
        <v>0</v>
      </c>
      <c r="BN123" s="123">
        <f t="shared" si="169"/>
        <v>0</v>
      </c>
      <c r="BO123" s="123">
        <f t="shared" si="169"/>
        <v>0</v>
      </c>
      <c r="BP123" s="123">
        <f t="shared" si="169"/>
        <v>0</v>
      </c>
      <c r="BQ123" s="123">
        <f t="shared" si="169"/>
        <v>0</v>
      </c>
      <c r="BR123" s="123">
        <f t="shared" si="169"/>
        <v>0</v>
      </c>
      <c r="BS123" s="123">
        <f t="shared" si="169"/>
        <v>0</v>
      </c>
      <c r="BT123" s="123">
        <f t="shared" si="169"/>
        <v>0</v>
      </c>
      <c r="BU123" s="123">
        <f t="shared" si="169"/>
        <v>0</v>
      </c>
      <c r="BV123" s="123">
        <f t="shared" si="169"/>
        <v>0</v>
      </c>
      <c r="BW123" s="123">
        <f t="shared" si="169"/>
        <v>0</v>
      </c>
      <c r="BX123" s="123">
        <f t="shared" si="169"/>
        <v>0</v>
      </c>
      <c r="BY123" s="124">
        <v>1</v>
      </c>
      <c r="BZ123" s="128">
        <v>0.5</v>
      </c>
      <c r="CA123" s="124">
        <f t="shared" si="90"/>
        <v>765.69999999999993</v>
      </c>
      <c r="CB123" s="124">
        <f t="shared" si="91"/>
        <v>0</v>
      </c>
      <c r="CC123" s="124">
        <f t="shared" si="92"/>
        <v>709.7</v>
      </c>
      <c r="CD123" s="124">
        <f t="shared" si="93"/>
        <v>0</v>
      </c>
      <c r="CE123" s="124">
        <f t="shared" si="94"/>
        <v>653.70000000000005</v>
      </c>
      <c r="CF123" s="124">
        <f t="shared" si="95"/>
        <v>0</v>
      </c>
      <c r="CG123" s="124">
        <f t="shared" si="96"/>
        <v>597.70000000000005</v>
      </c>
      <c r="CH123" s="124">
        <f t="shared" si="97"/>
        <v>0</v>
      </c>
      <c r="CI123" s="124">
        <f t="shared" si="98"/>
        <v>541.69999999999993</v>
      </c>
      <c r="CJ123" s="124">
        <f t="shared" si="99"/>
        <v>0</v>
      </c>
      <c r="CK123" s="124">
        <f t="shared" si="100"/>
        <v>485.7</v>
      </c>
      <c r="CL123" s="124">
        <f t="shared" si="101"/>
        <v>0</v>
      </c>
      <c r="CM123" s="124">
        <f t="shared" si="102"/>
        <v>429.7</v>
      </c>
      <c r="CN123" s="124">
        <f t="shared" si="103"/>
        <v>0</v>
      </c>
      <c r="CO123" s="124">
        <f t="shared" si="104"/>
        <v>373.70000000000005</v>
      </c>
      <c r="CP123" s="124">
        <f t="shared" si="105"/>
        <v>0</v>
      </c>
      <c r="CQ123" s="138">
        <f t="shared" si="106"/>
        <v>836.67642194603263</v>
      </c>
      <c r="CR123" s="138">
        <f t="shared" si="107"/>
        <v>3036.9792657193825</v>
      </c>
      <c r="CS123" s="138">
        <f t="shared" si="108"/>
        <v>54038.727822069108</v>
      </c>
    </row>
    <row r="124" spans="1:97" x14ac:dyDescent="0.2">
      <c r="A124" s="115">
        <v>44256</v>
      </c>
      <c r="B124">
        <f t="shared" si="116"/>
        <v>2021</v>
      </c>
      <c r="C124">
        <f t="shared" si="117"/>
        <v>3</v>
      </c>
      <c r="D124" s="102">
        <v>26534307.575903594</v>
      </c>
      <c r="E124" s="131">
        <f>VLOOKUP($B124,'Historic CDM'!$L$5:$R$17,2,FALSE)/12</f>
        <v>1386307.1922259934</v>
      </c>
      <c r="F124" s="131">
        <f t="shared" si="86"/>
        <v>27920614.768129587</v>
      </c>
      <c r="G124" s="102">
        <v>7196997.5518072229</v>
      </c>
      <c r="H124" s="131">
        <f>VLOOKUP($B124,'Historic CDM'!$L$5:$R$17,3,FALSE)/12</f>
        <v>750051.28129892715</v>
      </c>
      <c r="I124" s="131">
        <f t="shared" si="87"/>
        <v>7947048.8331061499</v>
      </c>
      <c r="J124" s="102">
        <v>17829411.836144578</v>
      </c>
      <c r="K124" s="131">
        <f>VLOOKUP($B124,'Historic CDM'!$L$5:$R$17,4,FALSE)/12</f>
        <v>1631076.9652312491</v>
      </c>
      <c r="L124" s="131">
        <f t="shared" si="88"/>
        <v>19460488.801375829</v>
      </c>
      <c r="M124" s="102">
        <v>11364838.175037533</v>
      </c>
      <c r="N124" s="131">
        <f>VLOOKUP($B124,'Historic CDM'!$L$5:$R$17,5,FALSE)/12</f>
        <v>755729.15296031069</v>
      </c>
      <c r="O124" s="131">
        <f t="shared" si="158"/>
        <v>12120567.327997845</v>
      </c>
      <c r="P124" s="102">
        <v>12538809.309727471</v>
      </c>
      <c r="Q124" s="131">
        <f>VLOOKUP($B124,'Historic CDM'!$L$5:$R$17,6,FALSE)/12</f>
        <v>733613.47030779638</v>
      </c>
      <c r="R124" s="131">
        <f t="shared" si="159"/>
        <v>13272422.780035269</v>
      </c>
      <c r="S124" s="102">
        <v>87260.057831325306</v>
      </c>
      <c r="T124" s="102">
        <v>11518.2</v>
      </c>
      <c r="U124" s="102">
        <v>435335.913253012</v>
      </c>
      <c r="V124" s="102">
        <v>45599.830000000024</v>
      </c>
      <c r="W124" s="102">
        <v>23453.919999999998</v>
      </c>
      <c r="X124" s="102">
        <v>24005.17</v>
      </c>
      <c r="Y124" s="102">
        <v>1162.19</v>
      </c>
      <c r="Z124" s="102">
        <v>32</v>
      </c>
      <c r="AA124" s="41">
        <v>38255</v>
      </c>
      <c r="AB124" s="41">
        <v>2849</v>
      </c>
      <c r="AC124" s="41">
        <v>359</v>
      </c>
      <c r="AD124" s="41">
        <v>15</v>
      </c>
      <c r="AE124" s="41">
        <v>3</v>
      </c>
      <c r="AF124" s="41">
        <v>2895</v>
      </c>
      <c r="AG124" s="41">
        <v>237</v>
      </c>
      <c r="AH124" s="41">
        <v>215</v>
      </c>
      <c r="AI124" s="104">
        <f>Weather!C232</f>
        <v>3.1387096774193552</v>
      </c>
      <c r="AJ124" s="104">
        <f>Weather!D232</f>
        <v>584.69999999999993</v>
      </c>
      <c r="AK124" s="104">
        <f>Weather!E232</f>
        <v>0</v>
      </c>
      <c r="AL124" s="104">
        <f>Weather!F232</f>
        <v>522.70000000000005</v>
      </c>
      <c r="AM124" s="104">
        <f>Weather!G232</f>
        <v>0</v>
      </c>
      <c r="AN124" s="104">
        <f>Weather!H232</f>
        <v>460.70000000000005</v>
      </c>
      <c r="AO124" s="104">
        <f>Weather!I232</f>
        <v>0</v>
      </c>
      <c r="AP124" s="104">
        <f>Weather!J232</f>
        <v>398.70000000000005</v>
      </c>
      <c r="AQ124" s="104">
        <f>Weather!K232</f>
        <v>0</v>
      </c>
      <c r="AR124" s="104">
        <f>Weather!L232</f>
        <v>337.20000000000005</v>
      </c>
      <c r="AS124" s="104">
        <f>Weather!M232</f>
        <v>0.5</v>
      </c>
      <c r="AT124" s="104">
        <f>Weather!N232</f>
        <v>277.70000000000005</v>
      </c>
      <c r="AU124" s="104">
        <f>Weather!O232</f>
        <v>3</v>
      </c>
      <c r="AV124" s="104">
        <f>Weather!P232</f>
        <v>222.10000000000002</v>
      </c>
      <c r="AW124" s="104">
        <f>Weather!Q232</f>
        <v>9.4</v>
      </c>
      <c r="AX124" s="104">
        <f>Weather!R232</f>
        <v>168.29999999999998</v>
      </c>
      <c r="AY124" s="104">
        <f>Weather!S232</f>
        <v>17.600000000000001</v>
      </c>
      <c r="AZ124" s="119">
        <f>Economic!C124</f>
        <v>742533.63717500004</v>
      </c>
      <c r="BA124" s="120">
        <f>Economic!D124</f>
        <v>7213.1</v>
      </c>
      <c r="BB124" s="120">
        <f>Economic!E124</f>
        <v>7105.6</v>
      </c>
      <c r="BC124" s="120">
        <f>Economic!F124</f>
        <v>3271.6</v>
      </c>
      <c r="BD124" s="120">
        <f>Economic!G124</f>
        <v>3236.4</v>
      </c>
      <c r="BE124" s="120">
        <f>Economic!H124</f>
        <v>408.4</v>
      </c>
      <c r="BF124" s="120">
        <f>Economic!I124</f>
        <v>400.7</v>
      </c>
      <c r="BG124" s="123">
        <f t="shared" si="81"/>
        <v>31</v>
      </c>
      <c r="BH124" s="123">
        <v>23</v>
      </c>
      <c r="BI124" s="123">
        <f t="shared" si="132"/>
        <v>123</v>
      </c>
      <c r="BJ124" s="123">
        <f t="shared" ref="BJ124:BX124" si="170">BJ112</f>
        <v>0</v>
      </c>
      <c r="BK124" s="123">
        <f t="shared" si="170"/>
        <v>0</v>
      </c>
      <c r="BL124" s="123">
        <f t="shared" si="170"/>
        <v>1</v>
      </c>
      <c r="BM124" s="123">
        <f t="shared" si="170"/>
        <v>0</v>
      </c>
      <c r="BN124" s="123">
        <f t="shared" si="170"/>
        <v>0</v>
      </c>
      <c r="BO124" s="123">
        <f t="shared" si="170"/>
        <v>0</v>
      </c>
      <c r="BP124" s="123">
        <f t="shared" si="170"/>
        <v>0</v>
      </c>
      <c r="BQ124" s="123">
        <f t="shared" si="170"/>
        <v>0</v>
      </c>
      <c r="BR124" s="123">
        <f t="shared" si="170"/>
        <v>0</v>
      </c>
      <c r="BS124" s="123">
        <f t="shared" si="170"/>
        <v>0</v>
      </c>
      <c r="BT124" s="123">
        <f t="shared" si="170"/>
        <v>0</v>
      </c>
      <c r="BU124" s="123">
        <f t="shared" si="170"/>
        <v>0</v>
      </c>
      <c r="BV124" s="123">
        <f t="shared" si="170"/>
        <v>1</v>
      </c>
      <c r="BW124" s="123">
        <f t="shared" si="170"/>
        <v>0</v>
      </c>
      <c r="BX124" s="123">
        <f t="shared" si="170"/>
        <v>1</v>
      </c>
      <c r="BY124" s="124">
        <v>1</v>
      </c>
      <c r="BZ124" s="128">
        <v>0.5</v>
      </c>
      <c r="CA124" s="124">
        <f t="shared" si="90"/>
        <v>584.69999999999993</v>
      </c>
      <c r="CB124" s="124">
        <f t="shared" si="91"/>
        <v>0</v>
      </c>
      <c r="CC124" s="124">
        <f t="shared" si="92"/>
        <v>522.70000000000005</v>
      </c>
      <c r="CD124" s="124">
        <f t="shared" si="93"/>
        <v>0</v>
      </c>
      <c r="CE124" s="124">
        <f t="shared" si="94"/>
        <v>460.70000000000005</v>
      </c>
      <c r="CF124" s="124">
        <f t="shared" si="95"/>
        <v>0</v>
      </c>
      <c r="CG124" s="124">
        <f t="shared" si="96"/>
        <v>398.70000000000005</v>
      </c>
      <c r="CH124" s="124">
        <f t="shared" si="97"/>
        <v>0</v>
      </c>
      <c r="CI124" s="124">
        <f t="shared" si="98"/>
        <v>337.20000000000005</v>
      </c>
      <c r="CJ124" s="124">
        <f t="shared" si="99"/>
        <v>0.5</v>
      </c>
      <c r="CK124" s="124">
        <f t="shared" si="100"/>
        <v>277.70000000000005</v>
      </c>
      <c r="CL124" s="124">
        <f t="shared" si="101"/>
        <v>3</v>
      </c>
      <c r="CM124" s="124">
        <f t="shared" si="102"/>
        <v>222.10000000000002</v>
      </c>
      <c r="CN124" s="124">
        <f t="shared" si="103"/>
        <v>9.4</v>
      </c>
      <c r="CO124" s="124">
        <f t="shared" si="104"/>
        <v>168.29999999999998</v>
      </c>
      <c r="CP124" s="124">
        <f t="shared" si="105"/>
        <v>17.600000000000001</v>
      </c>
      <c r="CQ124" s="138">
        <f t="shared" si="106"/>
        <v>729.85530696979708</v>
      </c>
      <c r="CR124" s="138">
        <f t="shared" si="107"/>
        <v>2789.4169298371885</v>
      </c>
      <c r="CS124" s="138">
        <f t="shared" si="108"/>
        <v>54207.489697425706</v>
      </c>
    </row>
    <row r="125" spans="1:97" x14ac:dyDescent="0.2">
      <c r="A125" s="114">
        <v>44287</v>
      </c>
      <c r="B125">
        <f t="shared" si="116"/>
        <v>2021</v>
      </c>
      <c r="C125">
        <f t="shared" si="117"/>
        <v>4</v>
      </c>
      <c r="D125" s="102">
        <v>24380831.836144578</v>
      </c>
      <c r="E125" s="131">
        <f>VLOOKUP($B125,'Historic CDM'!$L$5:$R$17,2,FALSE)/12</f>
        <v>1386307.1922259934</v>
      </c>
      <c r="F125" s="131">
        <f t="shared" si="86"/>
        <v>25767139.02837057</v>
      </c>
      <c r="G125" s="102">
        <v>6547512.9831325319</v>
      </c>
      <c r="H125" s="131">
        <f>VLOOKUP($B125,'Historic CDM'!$L$5:$R$17,3,FALSE)/12</f>
        <v>750051.28129892715</v>
      </c>
      <c r="I125" s="131">
        <f t="shared" si="87"/>
        <v>7297564.2644314589</v>
      </c>
      <c r="J125" s="102">
        <v>16123617.619277105</v>
      </c>
      <c r="K125" s="131">
        <f>VLOOKUP($B125,'Historic CDM'!$L$5:$R$17,4,FALSE)/12</f>
        <v>1631076.9652312491</v>
      </c>
      <c r="L125" s="131">
        <f t="shared" si="88"/>
        <v>17754694.584508352</v>
      </c>
      <c r="M125" s="102">
        <v>10297118.176974861</v>
      </c>
      <c r="N125" s="131">
        <f>VLOOKUP($B125,'Historic CDM'!$L$5:$R$17,5,FALSE)/12</f>
        <v>755729.15296031069</v>
      </c>
      <c r="O125" s="131">
        <f t="shared" si="158"/>
        <v>11052847.329935171</v>
      </c>
      <c r="P125" s="102">
        <v>10546382.862542272</v>
      </c>
      <c r="Q125" s="131">
        <f>VLOOKUP($B125,'Historic CDM'!$L$5:$R$17,6,FALSE)/12</f>
        <v>733613.47030779638</v>
      </c>
      <c r="R125" s="131">
        <f t="shared" si="159"/>
        <v>11279996.332850069</v>
      </c>
      <c r="S125" s="102">
        <v>86917.060240963852</v>
      </c>
      <c r="T125" s="102">
        <v>11518.2</v>
      </c>
      <c r="U125" s="102">
        <v>368994.39999999991</v>
      </c>
      <c r="V125" s="102">
        <v>43520</v>
      </c>
      <c r="W125" s="102">
        <v>22266.84</v>
      </c>
      <c r="X125" s="102">
        <v>22589.83</v>
      </c>
      <c r="Y125" s="102">
        <v>1162.19</v>
      </c>
      <c r="Z125" s="102">
        <v>32</v>
      </c>
      <c r="AA125" s="41">
        <v>38336</v>
      </c>
      <c r="AB125" s="41">
        <v>2861</v>
      </c>
      <c r="AC125" s="41">
        <v>359</v>
      </c>
      <c r="AD125" s="41">
        <v>15</v>
      </c>
      <c r="AE125" s="41">
        <v>3</v>
      </c>
      <c r="AF125" s="41">
        <v>2890</v>
      </c>
      <c r="AG125" s="41">
        <v>237</v>
      </c>
      <c r="AH125" s="41">
        <v>214</v>
      </c>
      <c r="AI125" s="104">
        <f>Weather!C233</f>
        <v>7.9200000000000017</v>
      </c>
      <c r="AJ125" s="104">
        <f>Weather!D233</f>
        <v>422.39999999999992</v>
      </c>
      <c r="AK125" s="104">
        <f>Weather!E233</f>
        <v>0</v>
      </c>
      <c r="AL125" s="104">
        <f>Weather!F233</f>
        <v>362.4</v>
      </c>
      <c r="AM125" s="104">
        <f>Weather!G233</f>
        <v>0</v>
      </c>
      <c r="AN125" s="104">
        <f>Weather!H233</f>
        <v>302.39999999999998</v>
      </c>
      <c r="AO125" s="104">
        <f>Weather!I233</f>
        <v>0</v>
      </c>
      <c r="AP125" s="104">
        <f>Weather!J233</f>
        <v>242.4</v>
      </c>
      <c r="AQ125" s="104">
        <f>Weather!K233</f>
        <v>0</v>
      </c>
      <c r="AR125" s="104">
        <f>Weather!L233</f>
        <v>185.99999999999997</v>
      </c>
      <c r="AS125" s="104">
        <f>Weather!M233</f>
        <v>3.5999999999999996</v>
      </c>
      <c r="AT125" s="104">
        <f>Weather!N233</f>
        <v>134.30000000000001</v>
      </c>
      <c r="AU125" s="104">
        <f>Weather!O233</f>
        <v>11.9</v>
      </c>
      <c r="AV125" s="104">
        <f>Weather!P233</f>
        <v>87.600000000000023</v>
      </c>
      <c r="AW125" s="104">
        <f>Weather!Q233</f>
        <v>25.2</v>
      </c>
      <c r="AX125" s="104">
        <f>Weather!R233</f>
        <v>52.4</v>
      </c>
      <c r="AY125" s="104">
        <f>Weather!S233</f>
        <v>50</v>
      </c>
      <c r="AZ125" s="119">
        <f>Economic!C125</f>
        <v>742533.63717500004</v>
      </c>
      <c r="BA125" s="120">
        <f>Economic!D125</f>
        <v>7256.5</v>
      </c>
      <c r="BB125" s="120">
        <f>Economic!E125</f>
        <v>7163.1</v>
      </c>
      <c r="BC125" s="120">
        <f>Economic!F125</f>
        <v>3276.5</v>
      </c>
      <c r="BD125" s="120">
        <f>Economic!G125</f>
        <v>3244.5</v>
      </c>
      <c r="BE125" s="120">
        <f>Economic!H125</f>
        <v>415</v>
      </c>
      <c r="BF125" s="120">
        <f>Economic!I125</f>
        <v>406.8</v>
      </c>
      <c r="BG125" s="123">
        <f t="shared" si="81"/>
        <v>30</v>
      </c>
      <c r="BH125" s="123">
        <v>21</v>
      </c>
      <c r="BI125" s="123">
        <f t="shared" si="132"/>
        <v>124</v>
      </c>
      <c r="BJ125" s="123">
        <f t="shared" ref="BJ125:BX125" si="171">BJ113</f>
        <v>0</v>
      </c>
      <c r="BK125" s="123">
        <f t="shared" si="171"/>
        <v>0</v>
      </c>
      <c r="BL125" s="123">
        <f t="shared" si="171"/>
        <v>0</v>
      </c>
      <c r="BM125" s="123">
        <f t="shared" si="171"/>
        <v>1</v>
      </c>
      <c r="BN125" s="123">
        <f t="shared" si="171"/>
        <v>0</v>
      </c>
      <c r="BO125" s="123">
        <f t="shared" si="171"/>
        <v>0</v>
      </c>
      <c r="BP125" s="123">
        <f t="shared" si="171"/>
        <v>0</v>
      </c>
      <c r="BQ125" s="123">
        <f t="shared" si="171"/>
        <v>0</v>
      </c>
      <c r="BR125" s="123">
        <f t="shared" si="171"/>
        <v>0</v>
      </c>
      <c r="BS125" s="123">
        <f t="shared" si="171"/>
        <v>0</v>
      </c>
      <c r="BT125" s="123">
        <f t="shared" si="171"/>
        <v>0</v>
      </c>
      <c r="BU125" s="123">
        <f t="shared" si="171"/>
        <v>0</v>
      </c>
      <c r="BV125" s="123">
        <f t="shared" si="171"/>
        <v>1</v>
      </c>
      <c r="BW125" s="123">
        <f t="shared" si="171"/>
        <v>0</v>
      </c>
      <c r="BX125" s="123">
        <f t="shared" si="171"/>
        <v>1</v>
      </c>
      <c r="BY125" s="124">
        <v>1</v>
      </c>
      <c r="BZ125" s="128">
        <v>0.5</v>
      </c>
      <c r="CA125" s="124">
        <f t="shared" si="90"/>
        <v>422.39999999999992</v>
      </c>
      <c r="CB125" s="124">
        <f t="shared" si="91"/>
        <v>0</v>
      </c>
      <c r="CC125" s="124">
        <f t="shared" si="92"/>
        <v>362.4</v>
      </c>
      <c r="CD125" s="124">
        <f t="shared" si="93"/>
        <v>0</v>
      </c>
      <c r="CE125" s="124">
        <f t="shared" si="94"/>
        <v>302.39999999999998</v>
      </c>
      <c r="CF125" s="124">
        <f t="shared" si="95"/>
        <v>0</v>
      </c>
      <c r="CG125" s="124">
        <f t="shared" si="96"/>
        <v>242.4</v>
      </c>
      <c r="CH125" s="124">
        <f t="shared" si="97"/>
        <v>0</v>
      </c>
      <c r="CI125" s="124">
        <f t="shared" si="98"/>
        <v>185.99999999999997</v>
      </c>
      <c r="CJ125" s="124">
        <f t="shared" si="99"/>
        <v>3.5999999999999996</v>
      </c>
      <c r="CK125" s="124">
        <f t="shared" si="100"/>
        <v>134.30000000000001</v>
      </c>
      <c r="CL125" s="124">
        <f t="shared" si="101"/>
        <v>11.9</v>
      </c>
      <c r="CM125" s="124">
        <f t="shared" si="102"/>
        <v>87.600000000000023</v>
      </c>
      <c r="CN125" s="124">
        <f t="shared" si="103"/>
        <v>25.2</v>
      </c>
      <c r="CO125" s="124">
        <f t="shared" si="104"/>
        <v>52.4</v>
      </c>
      <c r="CP125" s="124">
        <f t="shared" si="105"/>
        <v>50</v>
      </c>
      <c r="CQ125" s="138">
        <f t="shared" si="106"/>
        <v>672.13947799380662</v>
      </c>
      <c r="CR125" s="138">
        <f t="shared" si="107"/>
        <v>2550.7040420941835</v>
      </c>
      <c r="CS125" s="138">
        <f t="shared" si="108"/>
        <v>49455.973773003767</v>
      </c>
    </row>
    <row r="126" spans="1:97" x14ac:dyDescent="0.2">
      <c r="A126" s="115">
        <v>44317</v>
      </c>
      <c r="B126">
        <f t="shared" si="116"/>
        <v>2021</v>
      </c>
      <c r="C126">
        <f t="shared" si="117"/>
        <v>5</v>
      </c>
      <c r="D126" s="102">
        <v>26420547.893975921</v>
      </c>
      <c r="E126" s="131">
        <f>VLOOKUP($B126,'Historic CDM'!$L$5:$R$17,2,FALSE)/12</f>
        <v>1386307.1922259934</v>
      </c>
      <c r="F126" s="131">
        <f t="shared" si="86"/>
        <v>27806855.086201914</v>
      </c>
      <c r="G126" s="102">
        <v>5916481.4457831262</v>
      </c>
      <c r="H126" s="131">
        <f>VLOOKUP($B126,'Historic CDM'!$L$5:$R$17,3,FALSE)/12</f>
        <v>750051.28129892715</v>
      </c>
      <c r="I126" s="131">
        <f t="shared" si="87"/>
        <v>6666532.7270820532</v>
      </c>
      <c r="J126" s="102">
        <v>16293057.002409624</v>
      </c>
      <c r="K126" s="131">
        <f>VLOOKUP($B126,'Historic CDM'!$L$5:$R$17,4,FALSE)/12</f>
        <v>1631076.9652312491</v>
      </c>
      <c r="L126" s="131">
        <f t="shared" si="88"/>
        <v>17924133.967640873</v>
      </c>
      <c r="M126" s="102">
        <v>10868369.806751585</v>
      </c>
      <c r="N126" s="131">
        <f>VLOOKUP($B126,'Historic CDM'!$L$5:$R$17,5,FALSE)/12</f>
        <v>755729.15296031069</v>
      </c>
      <c r="O126" s="131">
        <f t="shared" si="158"/>
        <v>11624098.959711894</v>
      </c>
      <c r="P126" s="102">
        <v>11136327.252834693</v>
      </c>
      <c r="Q126" s="131">
        <f>VLOOKUP($B126,'Historic CDM'!$L$5:$R$17,6,FALSE)/12</f>
        <v>733613.47030779638</v>
      </c>
      <c r="R126" s="131">
        <f t="shared" si="159"/>
        <v>11869940.72314249</v>
      </c>
      <c r="S126" s="102">
        <v>86917.118072289159</v>
      </c>
      <c r="T126" s="102">
        <v>11518.2</v>
      </c>
      <c r="U126" s="102">
        <v>330254.85301204812</v>
      </c>
      <c r="V126" s="102">
        <v>47797.02</v>
      </c>
      <c r="W126" s="102">
        <v>21402.12</v>
      </c>
      <c r="X126" s="102">
        <v>22336.52</v>
      </c>
      <c r="Y126" s="102">
        <v>1162.19</v>
      </c>
      <c r="Z126" s="102">
        <v>32</v>
      </c>
      <c r="AA126" s="41">
        <v>38428</v>
      </c>
      <c r="AB126" s="41">
        <v>2864</v>
      </c>
      <c r="AC126" s="41">
        <v>359</v>
      </c>
      <c r="AD126" s="41">
        <v>15</v>
      </c>
      <c r="AE126" s="41">
        <v>3</v>
      </c>
      <c r="AF126" s="41">
        <v>2834.4230769230767</v>
      </c>
      <c r="AG126" s="41">
        <v>237</v>
      </c>
      <c r="AH126" s="41">
        <v>214</v>
      </c>
      <c r="AI126" s="104">
        <f>Weather!C234</f>
        <v>13.60322580645161</v>
      </c>
      <c r="AJ126" s="104">
        <f>Weather!D234</f>
        <v>266.10000000000002</v>
      </c>
      <c r="AK126" s="104">
        <f>Weather!E234</f>
        <v>5.7999999999999972</v>
      </c>
      <c r="AL126" s="104">
        <f>Weather!F234</f>
        <v>212.50000000000003</v>
      </c>
      <c r="AM126" s="104">
        <f>Weather!G234</f>
        <v>14.199999999999996</v>
      </c>
      <c r="AN126" s="104">
        <f>Weather!H234</f>
        <v>164.2</v>
      </c>
      <c r="AO126" s="104">
        <f>Weather!I234</f>
        <v>27.899999999999995</v>
      </c>
      <c r="AP126" s="104">
        <f>Weather!J234</f>
        <v>118.79999999999998</v>
      </c>
      <c r="AQ126" s="104">
        <f>Weather!K234</f>
        <v>44.499999999999986</v>
      </c>
      <c r="AR126" s="104">
        <f>Weather!L234</f>
        <v>80.299999999999983</v>
      </c>
      <c r="AS126" s="104">
        <f>Weather!M234</f>
        <v>67.999999999999986</v>
      </c>
      <c r="AT126" s="104">
        <f>Weather!N234</f>
        <v>49.7</v>
      </c>
      <c r="AU126" s="104">
        <f>Weather!O234</f>
        <v>99.40000000000002</v>
      </c>
      <c r="AV126" s="104">
        <f>Weather!P234</f>
        <v>25.399999999999995</v>
      </c>
      <c r="AW126" s="104">
        <f>Weather!Q234</f>
        <v>137.09999999999997</v>
      </c>
      <c r="AX126" s="104">
        <f>Weather!R234</f>
        <v>8.6</v>
      </c>
      <c r="AY126" s="104">
        <f>Weather!S234</f>
        <v>182.3</v>
      </c>
      <c r="AZ126" s="119">
        <f>Economic!C126</f>
        <v>742533.63717500004</v>
      </c>
      <c r="BA126" s="120">
        <f>Economic!D126</f>
        <v>7255.8</v>
      </c>
      <c r="BB126" s="120">
        <f>Economic!E126</f>
        <v>7211.3</v>
      </c>
      <c r="BC126" s="120">
        <f>Economic!F126</f>
        <v>3278.1</v>
      </c>
      <c r="BD126" s="120">
        <f>Economic!G126</f>
        <v>3265.7</v>
      </c>
      <c r="BE126" s="120">
        <f>Economic!H126</f>
        <v>412.9</v>
      </c>
      <c r="BF126" s="120">
        <f>Economic!I126</f>
        <v>406.1</v>
      </c>
      <c r="BG126" s="123">
        <f t="shared" si="81"/>
        <v>31</v>
      </c>
      <c r="BH126" s="123">
        <v>20</v>
      </c>
      <c r="BI126" s="123">
        <f t="shared" si="132"/>
        <v>125</v>
      </c>
      <c r="BJ126" s="123">
        <f t="shared" ref="BJ126:BX126" si="172">BJ114</f>
        <v>0</v>
      </c>
      <c r="BK126" s="123">
        <f t="shared" si="172"/>
        <v>0</v>
      </c>
      <c r="BL126" s="123">
        <f t="shared" si="172"/>
        <v>0</v>
      </c>
      <c r="BM126" s="123">
        <f t="shared" si="172"/>
        <v>0</v>
      </c>
      <c r="BN126" s="123">
        <f t="shared" si="172"/>
        <v>1</v>
      </c>
      <c r="BO126" s="123">
        <f t="shared" si="172"/>
        <v>0</v>
      </c>
      <c r="BP126" s="123">
        <f t="shared" si="172"/>
        <v>0</v>
      </c>
      <c r="BQ126" s="123">
        <f t="shared" si="172"/>
        <v>0</v>
      </c>
      <c r="BR126" s="123">
        <f t="shared" si="172"/>
        <v>0</v>
      </c>
      <c r="BS126" s="123">
        <f t="shared" si="172"/>
        <v>0</v>
      </c>
      <c r="BT126" s="123">
        <f t="shared" si="172"/>
        <v>0</v>
      </c>
      <c r="BU126" s="123">
        <f t="shared" si="172"/>
        <v>0</v>
      </c>
      <c r="BV126" s="123">
        <f t="shared" si="172"/>
        <v>1</v>
      </c>
      <c r="BW126" s="123">
        <f t="shared" si="172"/>
        <v>0</v>
      </c>
      <c r="BX126" s="123">
        <f t="shared" si="172"/>
        <v>1</v>
      </c>
      <c r="BY126" s="124">
        <v>1</v>
      </c>
      <c r="BZ126" s="128">
        <v>0.5</v>
      </c>
      <c r="CA126" s="124">
        <f t="shared" si="90"/>
        <v>266.10000000000002</v>
      </c>
      <c r="CB126" s="124">
        <f t="shared" si="91"/>
        <v>5.7999999999999972</v>
      </c>
      <c r="CC126" s="124">
        <f t="shared" si="92"/>
        <v>212.50000000000003</v>
      </c>
      <c r="CD126" s="124">
        <f t="shared" si="93"/>
        <v>14.199999999999996</v>
      </c>
      <c r="CE126" s="124">
        <f t="shared" si="94"/>
        <v>164.2</v>
      </c>
      <c r="CF126" s="124">
        <f t="shared" si="95"/>
        <v>27.899999999999995</v>
      </c>
      <c r="CG126" s="124">
        <f t="shared" si="96"/>
        <v>118.79999999999998</v>
      </c>
      <c r="CH126" s="124">
        <f t="shared" si="97"/>
        <v>44.499999999999986</v>
      </c>
      <c r="CI126" s="124">
        <f t="shared" si="98"/>
        <v>80.299999999999983</v>
      </c>
      <c r="CJ126" s="124">
        <f t="shared" si="99"/>
        <v>67.999999999999986</v>
      </c>
      <c r="CK126" s="124">
        <f t="shared" si="100"/>
        <v>49.7</v>
      </c>
      <c r="CL126" s="124">
        <f t="shared" si="101"/>
        <v>99.40000000000002</v>
      </c>
      <c r="CM126" s="124">
        <f t="shared" si="102"/>
        <v>25.399999999999995</v>
      </c>
      <c r="CN126" s="124">
        <f t="shared" si="103"/>
        <v>137.09999999999997</v>
      </c>
      <c r="CO126" s="124">
        <f t="shared" si="104"/>
        <v>8.6</v>
      </c>
      <c r="CP126" s="124">
        <f t="shared" si="105"/>
        <v>182.3</v>
      </c>
      <c r="CQ126" s="138">
        <f t="shared" si="106"/>
        <v>723.60921948063685</v>
      </c>
      <c r="CR126" s="138">
        <f t="shared" si="107"/>
        <v>2327.699974539823</v>
      </c>
      <c r="CS126" s="138">
        <f t="shared" si="108"/>
        <v>49927.949770587387</v>
      </c>
    </row>
    <row r="127" spans="1:97" x14ac:dyDescent="0.2">
      <c r="A127" s="114">
        <v>44348</v>
      </c>
      <c r="B127">
        <f t="shared" si="116"/>
        <v>2021</v>
      </c>
      <c r="C127">
        <f t="shared" si="117"/>
        <v>6</v>
      </c>
      <c r="D127" s="102">
        <v>35429511.624096349</v>
      </c>
      <c r="E127" s="131">
        <f>VLOOKUP($B127,'Historic CDM'!$L$5:$R$17,2,FALSE)/12</f>
        <v>1386307.1922259934</v>
      </c>
      <c r="F127" s="131">
        <f t="shared" si="86"/>
        <v>36815818.816322342</v>
      </c>
      <c r="G127" s="102">
        <v>6502732.9156626537</v>
      </c>
      <c r="H127" s="131">
        <f>VLOOKUP($B127,'Historic CDM'!$L$5:$R$17,3,FALSE)/12</f>
        <v>750051.28129892715</v>
      </c>
      <c r="I127" s="131">
        <f t="shared" si="87"/>
        <v>7252784.1969615808</v>
      </c>
      <c r="J127" s="102">
        <v>17880539.209638555</v>
      </c>
      <c r="K127" s="131">
        <f>VLOOKUP($B127,'Historic CDM'!$L$5:$R$17,4,FALSE)/12</f>
        <v>1631076.9652312491</v>
      </c>
      <c r="L127" s="131">
        <f t="shared" si="88"/>
        <v>19511616.174869806</v>
      </c>
      <c r="M127" s="102">
        <v>12216644.713517703</v>
      </c>
      <c r="N127" s="131">
        <f>VLOOKUP($B127,'Historic CDM'!$L$5:$R$17,5,FALSE)/12</f>
        <v>755729.15296031069</v>
      </c>
      <c r="O127" s="131">
        <f t="shared" si="158"/>
        <v>12972373.866478015</v>
      </c>
      <c r="P127" s="102">
        <v>11511054.207280684</v>
      </c>
      <c r="Q127" s="131">
        <f>VLOOKUP($B127,'Historic CDM'!$L$5:$R$17,6,FALSE)/12</f>
        <v>733613.47030779638</v>
      </c>
      <c r="R127" s="131">
        <f t="shared" si="159"/>
        <v>12244667.677588481</v>
      </c>
      <c r="S127" s="102">
        <v>86917.060240963852</v>
      </c>
      <c r="T127" s="102">
        <v>11518.2</v>
      </c>
      <c r="U127" s="102">
        <v>299263.1614457831</v>
      </c>
      <c r="V127" s="102">
        <v>51656.179999999993</v>
      </c>
      <c r="W127" s="102">
        <v>23749.61</v>
      </c>
      <c r="X127" s="102">
        <v>23131.55</v>
      </c>
      <c r="Y127" s="102">
        <v>1162.19</v>
      </c>
      <c r="Z127" s="102">
        <v>32</v>
      </c>
      <c r="AA127" s="41">
        <v>38487</v>
      </c>
      <c r="AB127" s="41">
        <v>2867</v>
      </c>
      <c r="AC127" s="41">
        <v>360</v>
      </c>
      <c r="AD127" s="41">
        <v>15</v>
      </c>
      <c r="AE127" s="41">
        <v>3</v>
      </c>
      <c r="AF127" s="41">
        <v>2890</v>
      </c>
      <c r="AG127" s="41">
        <v>237</v>
      </c>
      <c r="AH127" s="41">
        <v>214</v>
      </c>
      <c r="AI127" s="104">
        <f>Weather!C235</f>
        <v>21.833333333333329</v>
      </c>
      <c r="AJ127" s="104">
        <f>Weather!D235</f>
        <v>42.099999999999994</v>
      </c>
      <c r="AK127" s="104">
        <f>Weather!E235</f>
        <v>37.1</v>
      </c>
      <c r="AL127" s="104">
        <f>Weather!F235</f>
        <v>19.399999999999999</v>
      </c>
      <c r="AM127" s="104">
        <f>Weather!G235</f>
        <v>74.400000000000006</v>
      </c>
      <c r="AN127" s="104">
        <f>Weather!H235</f>
        <v>7</v>
      </c>
      <c r="AO127" s="104">
        <f>Weather!I235</f>
        <v>122</v>
      </c>
      <c r="AP127" s="104">
        <f>Weather!J235</f>
        <v>1.1999999999999993</v>
      </c>
      <c r="AQ127" s="104">
        <f>Weather!K235</f>
        <v>176.20000000000005</v>
      </c>
      <c r="AR127" s="104">
        <f>Weather!L235</f>
        <v>0</v>
      </c>
      <c r="AS127" s="104">
        <f>Weather!M235</f>
        <v>235.00000000000006</v>
      </c>
      <c r="AT127" s="104">
        <f>Weather!N235</f>
        <v>0</v>
      </c>
      <c r="AU127" s="104">
        <f>Weather!O235</f>
        <v>295.00000000000006</v>
      </c>
      <c r="AV127" s="104">
        <f>Weather!P235</f>
        <v>0</v>
      </c>
      <c r="AW127" s="104">
        <f>Weather!Q235</f>
        <v>355.00000000000006</v>
      </c>
      <c r="AX127" s="104">
        <f>Weather!R235</f>
        <v>0</v>
      </c>
      <c r="AY127" s="104">
        <f>Weather!S235</f>
        <v>415.00000000000011</v>
      </c>
      <c r="AZ127" s="119">
        <f>Economic!C127</f>
        <v>742533.63717500004</v>
      </c>
      <c r="BA127" s="120">
        <f>Economic!D127</f>
        <v>7233.3</v>
      </c>
      <c r="BB127" s="120">
        <f>Economic!E127</f>
        <v>7273.4</v>
      </c>
      <c r="BC127" s="120">
        <f>Economic!F127</f>
        <v>3288.5</v>
      </c>
      <c r="BD127" s="120">
        <f>Economic!G127</f>
        <v>3303.6</v>
      </c>
      <c r="BE127" s="120">
        <f>Economic!H127</f>
        <v>406.3</v>
      </c>
      <c r="BF127" s="120">
        <f>Economic!I127</f>
        <v>402.8</v>
      </c>
      <c r="BG127" s="123">
        <f>BG79</f>
        <v>30</v>
      </c>
      <c r="BH127" s="123">
        <v>22</v>
      </c>
      <c r="BI127" s="123">
        <f t="shared" si="132"/>
        <v>126</v>
      </c>
      <c r="BJ127" s="123">
        <f t="shared" ref="BJ127:BX127" si="173">BJ115</f>
        <v>0</v>
      </c>
      <c r="BK127" s="123">
        <f t="shared" si="173"/>
        <v>0</v>
      </c>
      <c r="BL127" s="123">
        <f t="shared" si="173"/>
        <v>0</v>
      </c>
      <c r="BM127" s="123">
        <f t="shared" si="173"/>
        <v>0</v>
      </c>
      <c r="BN127" s="123">
        <f t="shared" si="173"/>
        <v>0</v>
      </c>
      <c r="BO127" s="123">
        <f t="shared" si="173"/>
        <v>1</v>
      </c>
      <c r="BP127" s="123">
        <f t="shared" si="173"/>
        <v>0</v>
      </c>
      <c r="BQ127" s="123">
        <f t="shared" si="173"/>
        <v>0</v>
      </c>
      <c r="BR127" s="123">
        <f t="shared" si="173"/>
        <v>0</v>
      </c>
      <c r="BS127" s="123">
        <f t="shared" si="173"/>
        <v>0</v>
      </c>
      <c r="BT127" s="123">
        <f t="shared" si="173"/>
        <v>0</v>
      </c>
      <c r="BU127" s="123">
        <f t="shared" si="173"/>
        <v>0</v>
      </c>
      <c r="BV127" s="123">
        <f t="shared" si="173"/>
        <v>0</v>
      </c>
      <c r="BW127" s="123">
        <f t="shared" si="173"/>
        <v>0</v>
      </c>
      <c r="BX127" s="123">
        <f t="shared" si="173"/>
        <v>0</v>
      </c>
      <c r="BY127" s="124">
        <v>1</v>
      </c>
      <c r="BZ127" s="128">
        <v>0.5</v>
      </c>
      <c r="CA127" s="124">
        <f t="shared" si="90"/>
        <v>42.099999999999994</v>
      </c>
      <c r="CB127" s="124">
        <f t="shared" si="91"/>
        <v>37.1</v>
      </c>
      <c r="CC127" s="124">
        <f t="shared" si="92"/>
        <v>19.399999999999999</v>
      </c>
      <c r="CD127" s="124">
        <f t="shared" si="93"/>
        <v>74.400000000000006</v>
      </c>
      <c r="CE127" s="124">
        <f t="shared" si="94"/>
        <v>7</v>
      </c>
      <c r="CF127" s="124">
        <f t="shared" si="95"/>
        <v>122</v>
      </c>
      <c r="CG127" s="124">
        <f t="shared" si="96"/>
        <v>1.1999999999999993</v>
      </c>
      <c r="CH127" s="124">
        <f t="shared" si="97"/>
        <v>176.20000000000005</v>
      </c>
      <c r="CI127" s="124">
        <f t="shared" si="98"/>
        <v>0</v>
      </c>
      <c r="CJ127" s="124">
        <f t="shared" si="99"/>
        <v>235.00000000000006</v>
      </c>
      <c r="CK127" s="124">
        <f t="shared" si="100"/>
        <v>0</v>
      </c>
      <c r="CL127" s="124">
        <f t="shared" si="101"/>
        <v>295.00000000000006</v>
      </c>
      <c r="CM127" s="124">
        <f t="shared" si="102"/>
        <v>0</v>
      </c>
      <c r="CN127" s="124">
        <f t="shared" si="103"/>
        <v>355.00000000000006</v>
      </c>
      <c r="CO127" s="124">
        <f t="shared" si="104"/>
        <v>0</v>
      </c>
      <c r="CP127" s="124">
        <f t="shared" si="105"/>
        <v>415.00000000000011</v>
      </c>
      <c r="CQ127" s="138">
        <f>F127/AA127</f>
        <v>956.57803456549857</v>
      </c>
      <c r="CR127" s="138">
        <f>I127/AB127</f>
        <v>2529.7468423305131</v>
      </c>
      <c r="CS127" s="138">
        <f>L127/AC127</f>
        <v>54198.933819082791</v>
      </c>
    </row>
    <row r="128" spans="1:97" x14ac:dyDescent="0.2">
      <c r="A128" s="115">
        <v>44378</v>
      </c>
      <c r="B128">
        <v>2021</v>
      </c>
      <c r="C128">
        <f t="shared" si="117"/>
        <v>7</v>
      </c>
      <c r="D128" s="102">
        <v>37354488.337349385</v>
      </c>
      <c r="E128" s="131">
        <f>VLOOKUP($B128,'Historic CDM'!$L$5:$R$17,2,FALSE)/12</f>
        <v>1386307.1922259934</v>
      </c>
      <c r="F128" s="131">
        <f t="shared" si="86"/>
        <v>38740795.529575378</v>
      </c>
      <c r="G128" s="102">
        <v>7081289.7349397596</v>
      </c>
      <c r="H128" s="131">
        <f>VLOOKUP($B128,'Historic CDM'!$L$5:$R$17,3,FALSE)/12</f>
        <v>750051.28129892715</v>
      </c>
      <c r="I128" s="131">
        <f t="shared" si="87"/>
        <v>7831341.0162386866</v>
      </c>
      <c r="J128" s="102">
        <v>18099821.706024084</v>
      </c>
      <c r="K128" s="131">
        <f>VLOOKUP($B128,'Historic CDM'!$L$5:$R$17,4,FALSE)/12</f>
        <v>1631076.9652312491</v>
      </c>
      <c r="L128" s="131">
        <f t="shared" si="88"/>
        <v>19730898.671255335</v>
      </c>
      <c r="M128" s="102">
        <v>12632983.600523077</v>
      </c>
      <c r="N128" s="131">
        <f>VLOOKUP($B128,'Historic CDM'!$L$5:$R$17,5,FALSE)/12</f>
        <v>755729.15296031069</v>
      </c>
      <c r="O128" s="131">
        <f t="shared" si="158"/>
        <v>13388712.753483389</v>
      </c>
      <c r="P128" s="102">
        <v>10228166.620250644</v>
      </c>
      <c r="Q128" s="131">
        <f>VLOOKUP($B128,'Historic CDM'!$L$5:$R$17,6,FALSE)/12</f>
        <v>733613.47030779638</v>
      </c>
      <c r="R128" s="131">
        <f t="shared" si="159"/>
        <v>10961780.090558441</v>
      </c>
      <c r="S128" s="102">
        <v>86917.060240963852</v>
      </c>
      <c r="T128" s="102">
        <v>11518.2</v>
      </c>
      <c r="U128" s="102">
        <v>321247.87469879515</v>
      </c>
      <c r="V128" s="102">
        <v>50468.699999999983</v>
      </c>
      <c r="W128" s="102">
        <v>24114.989999999998</v>
      </c>
      <c r="X128" s="102">
        <v>21651.65</v>
      </c>
      <c r="Y128" s="102">
        <v>1162.19</v>
      </c>
      <c r="Z128" s="102">
        <v>32</v>
      </c>
      <c r="AA128" s="41">
        <v>38553</v>
      </c>
      <c r="AB128" s="41">
        <v>2870</v>
      </c>
      <c r="AC128" s="41">
        <v>360</v>
      </c>
      <c r="AD128" s="41">
        <v>15</v>
      </c>
      <c r="AE128" s="41">
        <v>3</v>
      </c>
      <c r="AF128" s="41">
        <v>2890</v>
      </c>
      <c r="AG128" s="41">
        <v>237</v>
      </c>
      <c r="AH128" s="41">
        <v>214</v>
      </c>
      <c r="AI128" s="104">
        <f>Weather!C236</f>
        <v>21.364516129032253</v>
      </c>
      <c r="AJ128" s="104">
        <f>Weather!D236</f>
        <v>46.800000000000011</v>
      </c>
      <c r="AK128" s="104">
        <f>Weather!E236</f>
        <v>27.099999999999998</v>
      </c>
      <c r="AL128" s="104">
        <f>Weather!F236</f>
        <v>16</v>
      </c>
      <c r="AM128" s="104">
        <f>Weather!G236</f>
        <v>58.3</v>
      </c>
      <c r="AN128" s="104">
        <f>Weather!H236</f>
        <v>4.4000000000000021</v>
      </c>
      <c r="AO128" s="104">
        <f>Weather!I236</f>
        <v>108.69999999999997</v>
      </c>
      <c r="AP128" s="104">
        <f>Weather!J236</f>
        <v>0</v>
      </c>
      <c r="AQ128" s="104">
        <f>Weather!K236</f>
        <v>166.3</v>
      </c>
      <c r="AR128" s="104">
        <f>Weather!L236</f>
        <v>0</v>
      </c>
      <c r="AS128" s="104">
        <f>Weather!M236</f>
        <v>228.30000000000004</v>
      </c>
      <c r="AT128" s="104">
        <f>Weather!N236</f>
        <v>0</v>
      </c>
      <c r="AU128" s="104">
        <f>Weather!O236</f>
        <v>290.3</v>
      </c>
      <c r="AV128" s="104">
        <f>Weather!P236</f>
        <v>0</v>
      </c>
      <c r="AW128" s="104">
        <f>Weather!Q236</f>
        <v>352.3</v>
      </c>
      <c r="AX128" s="104">
        <f>Weather!R236</f>
        <v>0</v>
      </c>
      <c r="AY128" s="104">
        <f>Weather!S236</f>
        <v>414.3</v>
      </c>
      <c r="AZ128" s="119">
        <f>Economic!C128</f>
        <v>742533.63717500004</v>
      </c>
      <c r="BA128" s="120">
        <f>Economic!D128</f>
        <v>7285.9</v>
      </c>
      <c r="BB128" s="120">
        <f>Economic!E128</f>
        <v>7372.5</v>
      </c>
      <c r="BC128" s="120">
        <f>Economic!F128</f>
        <v>3332.9</v>
      </c>
      <c r="BD128" s="120">
        <f>Economic!G128</f>
        <v>3365.1</v>
      </c>
      <c r="BE128" s="120">
        <f>Economic!H128</f>
        <v>403.8</v>
      </c>
      <c r="BF128" s="120">
        <f>Economic!I128</f>
        <v>402.4</v>
      </c>
      <c r="BG128" s="123">
        <f>BG80</f>
        <v>31</v>
      </c>
      <c r="BH128" s="123">
        <v>21</v>
      </c>
      <c r="BI128" s="123">
        <f t="shared" si="132"/>
        <v>127</v>
      </c>
      <c r="BJ128" s="123">
        <f t="shared" ref="BJ128:BX128" si="174">BJ116</f>
        <v>0</v>
      </c>
      <c r="BK128" s="123">
        <f t="shared" si="174"/>
        <v>0</v>
      </c>
      <c r="BL128" s="123">
        <f t="shared" si="174"/>
        <v>0</v>
      </c>
      <c r="BM128" s="123">
        <f t="shared" si="174"/>
        <v>0</v>
      </c>
      <c r="BN128" s="123">
        <f t="shared" si="174"/>
        <v>0</v>
      </c>
      <c r="BO128" s="123">
        <f t="shared" si="174"/>
        <v>0</v>
      </c>
      <c r="BP128" s="123">
        <f t="shared" si="174"/>
        <v>1</v>
      </c>
      <c r="BQ128" s="123">
        <f t="shared" si="174"/>
        <v>0</v>
      </c>
      <c r="BR128" s="123">
        <f t="shared" si="174"/>
        <v>0</v>
      </c>
      <c r="BS128" s="123">
        <f t="shared" si="174"/>
        <v>0</v>
      </c>
      <c r="BT128" s="123">
        <f t="shared" si="174"/>
        <v>0</v>
      </c>
      <c r="BU128" s="123">
        <f t="shared" si="174"/>
        <v>0</v>
      </c>
      <c r="BV128" s="123">
        <f t="shared" si="174"/>
        <v>0</v>
      </c>
      <c r="BW128" s="123">
        <f t="shared" si="174"/>
        <v>0</v>
      </c>
      <c r="BX128" s="123">
        <f t="shared" si="174"/>
        <v>0</v>
      </c>
      <c r="BY128" s="124">
        <v>1</v>
      </c>
      <c r="BZ128" s="128">
        <v>0.5</v>
      </c>
      <c r="CA128" s="124">
        <f t="shared" si="90"/>
        <v>46.800000000000011</v>
      </c>
      <c r="CB128" s="124">
        <f t="shared" si="91"/>
        <v>27.099999999999998</v>
      </c>
      <c r="CC128" s="124">
        <f t="shared" si="92"/>
        <v>16</v>
      </c>
      <c r="CD128" s="124">
        <f t="shared" si="93"/>
        <v>58.3</v>
      </c>
      <c r="CE128" s="124">
        <f t="shared" si="94"/>
        <v>4.4000000000000021</v>
      </c>
      <c r="CF128" s="124">
        <f t="shared" si="95"/>
        <v>108.69999999999997</v>
      </c>
      <c r="CG128" s="124">
        <f t="shared" si="96"/>
        <v>0</v>
      </c>
      <c r="CH128" s="124">
        <f t="shared" si="97"/>
        <v>166.3</v>
      </c>
      <c r="CI128" s="124">
        <f t="shared" si="98"/>
        <v>0</v>
      </c>
      <c r="CJ128" s="124">
        <f t="shared" si="99"/>
        <v>228.30000000000004</v>
      </c>
      <c r="CK128" s="124">
        <f t="shared" si="100"/>
        <v>0</v>
      </c>
      <c r="CL128" s="124">
        <f t="shared" si="101"/>
        <v>290.3</v>
      </c>
      <c r="CM128" s="124">
        <f t="shared" si="102"/>
        <v>0</v>
      </c>
      <c r="CN128" s="124">
        <f t="shared" si="103"/>
        <v>352.3</v>
      </c>
      <c r="CO128" s="124">
        <f t="shared" si="104"/>
        <v>0</v>
      </c>
      <c r="CP128" s="124">
        <f t="shared" si="105"/>
        <v>414.3</v>
      </c>
      <c r="CQ128" s="138">
        <f>F128/AA128</f>
        <v>1004.8711002924643</v>
      </c>
      <c r="CR128" s="138">
        <f>I128/AB128</f>
        <v>2728.6902495605182</v>
      </c>
      <c r="CS128" s="138">
        <f>L128/AC128</f>
        <v>54808.05186459815</v>
      </c>
    </row>
    <row r="129" spans="1:97" x14ac:dyDescent="0.2">
      <c r="A129" s="114">
        <v>44409</v>
      </c>
      <c r="B129">
        <v>2021</v>
      </c>
      <c r="C129">
        <f t="shared" si="117"/>
        <v>8</v>
      </c>
      <c r="D129" s="102">
        <v>40364094.120481901</v>
      </c>
      <c r="E129" s="131">
        <f>VLOOKUP($B129,'Historic CDM'!$L$5:$R$17,2,FALSE)/12</f>
        <v>1386307.1922259934</v>
      </c>
      <c r="F129" s="131">
        <f t="shared" si="86"/>
        <v>41750401.312707894</v>
      </c>
      <c r="G129" s="102">
        <v>7851599.4891566234</v>
      </c>
      <c r="H129" s="131">
        <f>VLOOKUP($B129,'Historic CDM'!$L$5:$R$17,3,FALSE)/12</f>
        <v>750051.28129892715</v>
      </c>
      <c r="I129" s="131">
        <f t="shared" si="87"/>
        <v>8601650.7704555504</v>
      </c>
      <c r="J129" s="102">
        <v>19993946.689156614</v>
      </c>
      <c r="K129" s="131">
        <f>VLOOKUP($B129,'Historic CDM'!$L$5:$R$17,4,FALSE)/12</f>
        <v>1631076.9652312491</v>
      </c>
      <c r="L129" s="131">
        <f t="shared" si="88"/>
        <v>21625023.654387861</v>
      </c>
      <c r="M129" s="102">
        <v>12198840.05424517</v>
      </c>
      <c r="N129" s="131">
        <f>VLOOKUP($B129,'Historic CDM'!$L$5:$R$17,5,FALSE)/12</f>
        <v>755729.15296031069</v>
      </c>
      <c r="O129" s="131">
        <f t="shared" si="158"/>
        <v>12954569.207205482</v>
      </c>
      <c r="P129" s="102">
        <v>12735258.832305549</v>
      </c>
      <c r="Q129" s="131">
        <f>VLOOKUP($B129,'Historic CDM'!$L$5:$R$17,6,FALSE)/12</f>
        <v>733613.47030779638</v>
      </c>
      <c r="R129" s="131">
        <f t="shared" si="159"/>
        <v>13468872.302613346</v>
      </c>
      <c r="S129" s="102">
        <v>86917.060240963852</v>
      </c>
      <c r="T129" s="102">
        <v>11518.2</v>
      </c>
      <c r="U129" s="102">
        <v>364254.00481927709</v>
      </c>
      <c r="V129" s="102">
        <v>54447.399999999994</v>
      </c>
      <c r="W129" s="102">
        <v>22914.33</v>
      </c>
      <c r="X129" s="102">
        <v>24033.8</v>
      </c>
      <c r="Y129" s="102">
        <v>1165.3</v>
      </c>
      <c r="Z129" s="102">
        <v>32</v>
      </c>
      <c r="AA129" s="41">
        <v>38570</v>
      </c>
      <c r="AB129" s="41">
        <v>2898</v>
      </c>
      <c r="AC129" s="41">
        <v>331</v>
      </c>
      <c r="AD129" s="41">
        <v>14</v>
      </c>
      <c r="AE129" s="41">
        <v>3</v>
      </c>
      <c r="AF129" s="41">
        <v>2890</v>
      </c>
      <c r="AG129" s="41">
        <v>237</v>
      </c>
      <c r="AH129" s="41">
        <v>214</v>
      </c>
      <c r="AI129" s="104">
        <f>Weather!C237</f>
        <v>23.787096774193543</v>
      </c>
      <c r="AJ129" s="104">
        <f>Weather!D237</f>
        <v>17.2</v>
      </c>
      <c r="AK129" s="104">
        <f>Weather!E237</f>
        <v>72.599999999999994</v>
      </c>
      <c r="AL129" s="104">
        <f>Weather!F237</f>
        <v>3.9000000000000021</v>
      </c>
      <c r="AM129" s="104">
        <f>Weather!G237</f>
        <v>121.30000000000001</v>
      </c>
      <c r="AN129" s="104">
        <f>Weather!H237</f>
        <v>0</v>
      </c>
      <c r="AO129" s="104">
        <f>Weather!I237</f>
        <v>179.4</v>
      </c>
      <c r="AP129" s="104">
        <f>Weather!J237</f>
        <v>0</v>
      </c>
      <c r="AQ129" s="104">
        <f>Weather!K237</f>
        <v>241.4</v>
      </c>
      <c r="AR129" s="104">
        <f>Weather!L237</f>
        <v>0</v>
      </c>
      <c r="AS129" s="104">
        <f>Weather!M237</f>
        <v>303.39999999999998</v>
      </c>
      <c r="AT129" s="104">
        <f>Weather!N237</f>
        <v>0</v>
      </c>
      <c r="AU129" s="104">
        <f>Weather!O237</f>
        <v>365.40000000000003</v>
      </c>
      <c r="AV129" s="104">
        <f>Weather!P237</f>
        <v>0</v>
      </c>
      <c r="AW129" s="104">
        <f>Weather!Q237</f>
        <v>427.40000000000003</v>
      </c>
      <c r="AX129" s="104">
        <f>Weather!R237</f>
        <v>0</v>
      </c>
      <c r="AY129" s="104">
        <f>Weather!S237</f>
        <v>489.40000000000003</v>
      </c>
      <c r="AZ129" s="119">
        <f>Economic!C129</f>
        <v>742533.63717500004</v>
      </c>
      <c r="BA129" s="120">
        <f>Economic!D129</f>
        <v>7366.7</v>
      </c>
      <c r="BB129" s="120">
        <f>Economic!E129</f>
        <v>7458.5</v>
      </c>
      <c r="BC129" s="120">
        <f>Economic!F129</f>
        <v>3403.5</v>
      </c>
      <c r="BD129" s="120">
        <f>Economic!G129</f>
        <v>3437.9</v>
      </c>
      <c r="BE129" s="120">
        <f>Economic!H129</f>
        <v>408.5</v>
      </c>
      <c r="BF129" s="120">
        <f>Economic!I129</f>
        <v>407.7</v>
      </c>
      <c r="BG129" s="123">
        <f>BG81</f>
        <v>31</v>
      </c>
      <c r="BH129" s="123">
        <v>21</v>
      </c>
      <c r="BI129" s="123">
        <f t="shared" si="132"/>
        <v>128</v>
      </c>
      <c r="BJ129" s="123">
        <f t="shared" ref="BJ129:BX129" si="175">BJ117</f>
        <v>0</v>
      </c>
      <c r="BK129" s="123">
        <f t="shared" si="175"/>
        <v>0</v>
      </c>
      <c r="BL129" s="123">
        <f t="shared" si="175"/>
        <v>0</v>
      </c>
      <c r="BM129" s="123">
        <f t="shared" si="175"/>
        <v>0</v>
      </c>
      <c r="BN129" s="123">
        <f t="shared" si="175"/>
        <v>0</v>
      </c>
      <c r="BO129" s="123">
        <f t="shared" si="175"/>
        <v>0</v>
      </c>
      <c r="BP129" s="123">
        <f t="shared" si="175"/>
        <v>0</v>
      </c>
      <c r="BQ129" s="123">
        <f t="shared" si="175"/>
        <v>1</v>
      </c>
      <c r="BR129" s="123">
        <f t="shared" si="175"/>
        <v>0</v>
      </c>
      <c r="BS129" s="123">
        <f t="shared" si="175"/>
        <v>0</v>
      </c>
      <c r="BT129" s="123">
        <f t="shared" si="175"/>
        <v>0</v>
      </c>
      <c r="BU129" s="123">
        <f t="shared" si="175"/>
        <v>0</v>
      </c>
      <c r="BV129" s="123">
        <f t="shared" si="175"/>
        <v>0</v>
      </c>
      <c r="BW129" s="123">
        <f t="shared" si="175"/>
        <v>0</v>
      </c>
      <c r="BX129" s="123">
        <f t="shared" si="175"/>
        <v>0</v>
      </c>
      <c r="BY129" s="124">
        <v>1</v>
      </c>
      <c r="BZ129" s="128">
        <v>0.5</v>
      </c>
      <c r="CA129" s="124">
        <f t="shared" si="90"/>
        <v>17.2</v>
      </c>
      <c r="CB129" s="124">
        <f t="shared" si="91"/>
        <v>72.599999999999994</v>
      </c>
      <c r="CC129" s="124">
        <f t="shared" si="92"/>
        <v>3.9000000000000021</v>
      </c>
      <c r="CD129" s="124">
        <f t="shared" si="93"/>
        <v>121.30000000000001</v>
      </c>
      <c r="CE129" s="124">
        <f t="shared" si="94"/>
        <v>0</v>
      </c>
      <c r="CF129" s="124">
        <f t="shared" si="95"/>
        <v>179.4</v>
      </c>
      <c r="CG129" s="124">
        <f t="shared" si="96"/>
        <v>0</v>
      </c>
      <c r="CH129" s="124">
        <f t="shared" si="97"/>
        <v>241.4</v>
      </c>
      <c r="CI129" s="124">
        <f t="shared" si="98"/>
        <v>0</v>
      </c>
      <c r="CJ129" s="124">
        <f t="shared" si="99"/>
        <v>303.39999999999998</v>
      </c>
      <c r="CK129" s="124">
        <f t="shared" si="100"/>
        <v>0</v>
      </c>
      <c r="CL129" s="124">
        <f t="shared" si="101"/>
        <v>365.40000000000003</v>
      </c>
      <c r="CM129" s="124">
        <f t="shared" si="102"/>
        <v>0</v>
      </c>
      <c r="CN129" s="124">
        <f t="shared" si="103"/>
        <v>427.40000000000003</v>
      </c>
      <c r="CO129" s="124">
        <f t="shared" si="104"/>
        <v>0</v>
      </c>
      <c r="CP129" s="124">
        <f t="shared" si="105"/>
        <v>489.40000000000003</v>
      </c>
      <c r="CQ129" s="138">
        <f>F129/AA129</f>
        <v>1082.4579028443841</v>
      </c>
      <c r="CR129" s="138">
        <f>I129/AB129</f>
        <v>2968.1334611647862</v>
      </c>
      <c r="CS129" s="138">
        <f>L129/AC129</f>
        <v>65332.397747395349</v>
      </c>
    </row>
    <row r="130" spans="1:97" x14ac:dyDescent="0.2">
      <c r="A130" s="115">
        <v>44440</v>
      </c>
      <c r="B130">
        <f t="shared" ref="B130:B131" si="176">YEAR(A130)</f>
        <v>2021</v>
      </c>
      <c r="C130">
        <f t="shared" si="117"/>
        <v>9</v>
      </c>
      <c r="D130" s="102">
        <v>30965429.060240969</v>
      </c>
      <c r="E130" s="131">
        <f>VLOOKUP($B130,'Historic CDM'!$L$5:$R$17,2,FALSE)/12</f>
        <v>1386307.1922259934</v>
      </c>
      <c r="F130" s="131">
        <f t="shared" ref="F130:F133" si="177">D130+E130</f>
        <v>32351736.252466962</v>
      </c>
      <c r="G130" s="102">
        <v>7157403.4891566234</v>
      </c>
      <c r="H130" s="131">
        <f>VLOOKUP($B130,'Historic CDM'!$L$5:$R$17,3,FALSE)/12</f>
        <v>750051.28129892715</v>
      </c>
      <c r="I130" s="131">
        <f t="shared" ref="I130:I133" si="178">G130+H130</f>
        <v>7907454.7704555504</v>
      </c>
      <c r="J130" s="102">
        <v>17725189.908433735</v>
      </c>
      <c r="K130" s="131">
        <f>VLOOKUP($B130,'Historic CDM'!$L$5:$R$17,4,FALSE)/12</f>
        <v>1631076.9652312491</v>
      </c>
      <c r="L130" s="131">
        <f t="shared" ref="L130:L133" si="179">J130+K130</f>
        <v>19356266.873664983</v>
      </c>
      <c r="M130" s="102">
        <v>11094764.372548068</v>
      </c>
      <c r="N130" s="131">
        <f>VLOOKUP($B130,'Historic CDM'!$L$5:$R$17,5,FALSE)/12</f>
        <v>755729.15296031069</v>
      </c>
      <c r="O130" s="131">
        <f t="shared" ref="O130:O133" si="180">M130+N130</f>
        <v>11850493.525508378</v>
      </c>
      <c r="P130" s="102">
        <v>11545291.893773623</v>
      </c>
      <c r="Q130" s="131">
        <f>VLOOKUP($B130,'Historic CDM'!$L$5:$R$17,6,FALSE)/12</f>
        <v>733613.47030779638</v>
      </c>
      <c r="R130" s="131">
        <f t="shared" ref="R130:R133" si="181">P130+Q130</f>
        <v>12278905.36408142</v>
      </c>
      <c r="S130" s="102">
        <v>87612.038554216866</v>
      </c>
      <c r="T130" s="102">
        <v>11518.2</v>
      </c>
      <c r="U130" s="102">
        <v>399581.75421686744</v>
      </c>
      <c r="V130" s="102">
        <v>50625.150000000009</v>
      </c>
      <c r="W130" s="102">
        <v>21713.040000000001</v>
      </c>
      <c r="X130" s="102">
        <v>22892.639999999999</v>
      </c>
      <c r="Y130" s="102">
        <v>1166.6600000000001</v>
      </c>
      <c r="Z130" s="102">
        <v>32</v>
      </c>
      <c r="AA130" s="41">
        <v>38649</v>
      </c>
      <c r="AB130" s="41">
        <v>2914</v>
      </c>
      <c r="AC130" s="41">
        <v>320</v>
      </c>
      <c r="AD130" s="41">
        <v>12</v>
      </c>
      <c r="AE130" s="41">
        <v>3</v>
      </c>
      <c r="AF130" s="41">
        <v>2890</v>
      </c>
      <c r="AG130" s="41">
        <v>237</v>
      </c>
      <c r="AH130" s="41">
        <v>219</v>
      </c>
      <c r="AI130" s="104">
        <f>Weather!C238</f>
        <v>17.643333333333334</v>
      </c>
      <c r="AJ130" s="104">
        <f>Weather!D238</f>
        <v>130.9</v>
      </c>
      <c r="AK130" s="104">
        <f>Weather!E238</f>
        <v>0.19999999999999929</v>
      </c>
      <c r="AL130" s="104">
        <f>Weather!F238</f>
        <v>75.7</v>
      </c>
      <c r="AM130" s="104">
        <f>Weather!G238</f>
        <v>5</v>
      </c>
      <c r="AN130" s="104">
        <f>Weather!H238</f>
        <v>35.600000000000009</v>
      </c>
      <c r="AO130" s="104">
        <f>Weather!I238</f>
        <v>24.900000000000002</v>
      </c>
      <c r="AP130" s="104">
        <f>Weather!J238</f>
        <v>14.3</v>
      </c>
      <c r="AQ130" s="104">
        <f>Weather!K238</f>
        <v>63.599999999999994</v>
      </c>
      <c r="AR130" s="104">
        <f>Weather!L238</f>
        <v>3</v>
      </c>
      <c r="AS130" s="104">
        <f>Weather!M238</f>
        <v>112.3</v>
      </c>
      <c r="AT130" s="104">
        <f>Weather!N238</f>
        <v>0</v>
      </c>
      <c r="AU130" s="104">
        <f>Weather!O238</f>
        <v>169.29999999999998</v>
      </c>
      <c r="AV130" s="104">
        <f>Weather!P238</f>
        <v>0</v>
      </c>
      <c r="AW130" s="104">
        <f>Weather!Q238</f>
        <v>229.29999999999998</v>
      </c>
      <c r="AX130" s="104">
        <f>Weather!R238</f>
        <v>0</v>
      </c>
      <c r="AY130" s="104">
        <f>Weather!S238</f>
        <v>289.3</v>
      </c>
      <c r="AZ130" s="119">
        <f>Economic!C130</f>
        <v>742533.63717500004</v>
      </c>
      <c r="BA130" s="120">
        <f>Economic!D130</f>
        <v>7433</v>
      </c>
      <c r="BB130" s="120">
        <f>Economic!E130</f>
        <v>7485</v>
      </c>
      <c r="BC130" s="120">
        <f>Economic!F130</f>
        <v>3457.1</v>
      </c>
      <c r="BD130" s="120">
        <f>Economic!G130</f>
        <v>3476.2</v>
      </c>
      <c r="BE130" s="120">
        <f>Economic!H130</f>
        <v>413.5</v>
      </c>
      <c r="BF130" s="120">
        <f>Economic!I130</f>
        <v>412.3</v>
      </c>
      <c r="BG130" s="123">
        <f t="shared" ref="BG130:BG133" si="182">BG82</f>
        <v>30</v>
      </c>
      <c r="BH130" s="123">
        <v>21</v>
      </c>
      <c r="BI130" s="123">
        <f t="shared" si="132"/>
        <v>129</v>
      </c>
      <c r="BJ130" s="123">
        <f t="shared" ref="BJ130:BX130" si="183">BJ118</f>
        <v>0</v>
      </c>
      <c r="BK130" s="123">
        <f t="shared" si="183"/>
        <v>0</v>
      </c>
      <c r="BL130" s="123">
        <f t="shared" si="183"/>
        <v>0</v>
      </c>
      <c r="BM130" s="123">
        <f t="shared" si="183"/>
        <v>0</v>
      </c>
      <c r="BN130" s="123">
        <f t="shared" si="183"/>
        <v>0</v>
      </c>
      <c r="BO130" s="123">
        <f t="shared" si="183"/>
        <v>0</v>
      </c>
      <c r="BP130" s="123">
        <f t="shared" si="183"/>
        <v>0</v>
      </c>
      <c r="BQ130" s="123">
        <f t="shared" si="183"/>
        <v>0</v>
      </c>
      <c r="BR130" s="123">
        <f t="shared" si="183"/>
        <v>1</v>
      </c>
      <c r="BS130" s="123">
        <f t="shared" si="183"/>
        <v>0</v>
      </c>
      <c r="BT130" s="123">
        <f t="shared" si="183"/>
        <v>0</v>
      </c>
      <c r="BU130" s="123">
        <f t="shared" si="183"/>
        <v>0</v>
      </c>
      <c r="BV130" s="123">
        <f t="shared" si="183"/>
        <v>0</v>
      </c>
      <c r="BW130" s="123">
        <f t="shared" si="183"/>
        <v>1</v>
      </c>
      <c r="BX130" s="123">
        <f t="shared" si="183"/>
        <v>1</v>
      </c>
      <c r="BY130" s="124">
        <v>1</v>
      </c>
      <c r="BZ130" s="128">
        <v>0.5</v>
      </c>
      <c r="CA130" s="124">
        <f t="shared" ref="CA130:CA133" si="184">$BY130*AJ130</f>
        <v>130.9</v>
      </c>
      <c r="CB130" s="124">
        <f t="shared" ref="CB130:CB133" si="185">$BY130*AK130</f>
        <v>0.19999999999999929</v>
      </c>
      <c r="CC130" s="124">
        <f t="shared" ref="CC130:CC133" si="186">$BY130*AL130</f>
        <v>75.7</v>
      </c>
      <c r="CD130" s="124">
        <f t="shared" ref="CD130:CD133" si="187">$BY130*AM130</f>
        <v>5</v>
      </c>
      <c r="CE130" s="124">
        <f t="shared" ref="CE130:CE133" si="188">$BY130*AN130</f>
        <v>35.600000000000009</v>
      </c>
      <c r="CF130" s="124">
        <f t="shared" ref="CF130:CF133" si="189">$BY130*AO130</f>
        <v>24.900000000000002</v>
      </c>
      <c r="CG130" s="124">
        <f t="shared" ref="CG130:CG133" si="190">$BY130*AP130</f>
        <v>14.3</v>
      </c>
      <c r="CH130" s="124">
        <f t="shared" ref="CH130:CH133" si="191">$BY130*AQ130</f>
        <v>63.599999999999994</v>
      </c>
      <c r="CI130" s="124">
        <f t="shared" ref="CI130:CI133" si="192">$BY130*AR130</f>
        <v>3</v>
      </c>
      <c r="CJ130" s="124">
        <f t="shared" ref="CJ130:CJ133" si="193">$BY130*AS130</f>
        <v>112.3</v>
      </c>
      <c r="CK130" s="124">
        <f t="shared" ref="CK130:CK133" si="194">$BY130*AT130</f>
        <v>0</v>
      </c>
      <c r="CL130" s="124">
        <f t="shared" ref="CL130:CL133" si="195">$BY130*AU130</f>
        <v>169.29999999999998</v>
      </c>
      <c r="CM130" s="124">
        <f t="shared" ref="CM130:CM133" si="196">$BY130*AV130</f>
        <v>0</v>
      </c>
      <c r="CN130" s="124">
        <f t="shared" ref="CN130:CN133" si="197">$BY130*AW130</f>
        <v>229.29999999999998</v>
      </c>
      <c r="CO130" s="124">
        <f t="shared" ref="CO130:CO133" si="198">$BY130*AX130</f>
        <v>0</v>
      </c>
      <c r="CP130" s="124">
        <f t="shared" ref="CP130:CP133" si="199">$BY130*AY130</f>
        <v>289.3</v>
      </c>
      <c r="CQ130" s="138">
        <f t="shared" ref="CQ130:CQ133" si="200">F130/AA130</f>
        <v>837.06528635843006</v>
      </c>
      <c r="CR130" s="138">
        <f t="shared" ref="CR130:CR133" si="201">I130/AB130</f>
        <v>2713.6083632311429</v>
      </c>
      <c r="CS130" s="138">
        <f t="shared" ref="CS130:CS133" si="202">L130/AC130</f>
        <v>60488.333980203068</v>
      </c>
    </row>
    <row r="131" spans="1:97" x14ac:dyDescent="0.2">
      <c r="A131" s="114">
        <v>44470</v>
      </c>
      <c r="B131">
        <f t="shared" si="176"/>
        <v>2021</v>
      </c>
      <c r="C131">
        <f t="shared" si="117"/>
        <v>10</v>
      </c>
      <c r="D131" s="102">
        <v>24701351.469879605</v>
      </c>
      <c r="E131" s="131">
        <f>VLOOKUP($B131,'Historic CDM'!$L$5:$R$17,2,FALSE)/12</f>
        <v>1386307.1922259934</v>
      </c>
      <c r="F131" s="131">
        <f t="shared" si="177"/>
        <v>26087658.662105598</v>
      </c>
      <c r="G131" s="102">
        <v>6765314.053012046</v>
      </c>
      <c r="H131" s="131">
        <f>VLOOKUP($B131,'Historic CDM'!$L$5:$R$17,3,FALSE)/12</f>
        <v>750051.28129892715</v>
      </c>
      <c r="I131" s="131">
        <f t="shared" si="178"/>
        <v>7515365.3343109731</v>
      </c>
      <c r="J131" s="102">
        <v>17543608.713253014</v>
      </c>
      <c r="K131" s="131">
        <f>VLOOKUP($B131,'Historic CDM'!$L$5:$R$17,4,FALSE)/12</f>
        <v>1631076.9652312491</v>
      </c>
      <c r="L131" s="131">
        <f t="shared" si="179"/>
        <v>19174685.678484261</v>
      </c>
      <c r="M131" s="102">
        <v>10869820.254758559</v>
      </c>
      <c r="N131" s="131">
        <f>VLOOKUP($B131,'Historic CDM'!$L$5:$R$17,5,FALSE)/12</f>
        <v>755729.15296031069</v>
      </c>
      <c r="O131" s="131">
        <f t="shared" si="180"/>
        <v>11625549.407718871</v>
      </c>
      <c r="P131" s="102">
        <v>11319923.841257211</v>
      </c>
      <c r="Q131" s="131">
        <f>VLOOKUP($B131,'Historic CDM'!$L$5:$R$17,6,FALSE)/12</f>
        <v>733613.47030779638</v>
      </c>
      <c r="R131" s="131">
        <f t="shared" si="181"/>
        <v>12053537.311565008</v>
      </c>
      <c r="S131" s="102">
        <v>84047.460240963846</v>
      </c>
      <c r="T131" s="102">
        <v>11518.2</v>
      </c>
      <c r="U131" s="102">
        <v>471510.87228915654</v>
      </c>
      <c r="V131" s="102">
        <v>47494.19</v>
      </c>
      <c r="W131" s="102">
        <v>21367.08</v>
      </c>
      <c r="X131" s="102">
        <v>22964.68</v>
      </c>
      <c r="Y131" s="102">
        <v>1170</v>
      </c>
      <c r="Z131" s="102">
        <v>32</v>
      </c>
      <c r="AA131" s="41">
        <v>38774</v>
      </c>
      <c r="AB131" s="41">
        <v>2906</v>
      </c>
      <c r="AC131" s="41">
        <v>320</v>
      </c>
      <c r="AD131" s="41">
        <v>12</v>
      </c>
      <c r="AE131" s="41">
        <v>3</v>
      </c>
      <c r="AF131" s="41">
        <v>2890</v>
      </c>
      <c r="AG131" s="41">
        <v>237</v>
      </c>
      <c r="AH131" s="41">
        <v>221</v>
      </c>
      <c r="AI131" s="104">
        <f>Weather!C239</f>
        <v>13.49677419354839</v>
      </c>
      <c r="AJ131" s="104">
        <f>Weather!D239</f>
        <v>263.60000000000002</v>
      </c>
      <c r="AK131" s="104">
        <f>Weather!E239</f>
        <v>0</v>
      </c>
      <c r="AL131" s="104">
        <f>Weather!F239</f>
        <v>201.6</v>
      </c>
      <c r="AM131" s="104">
        <f>Weather!G239</f>
        <v>0</v>
      </c>
      <c r="AN131" s="104">
        <f>Weather!H239</f>
        <v>145.19999999999999</v>
      </c>
      <c r="AO131" s="104">
        <f>Weather!I239</f>
        <v>5.5999999999999979</v>
      </c>
      <c r="AP131" s="104">
        <f>Weather!J239</f>
        <v>102.60000000000001</v>
      </c>
      <c r="AQ131" s="104">
        <f>Weather!K239</f>
        <v>24.999999999999993</v>
      </c>
      <c r="AR131" s="104">
        <f>Weather!L239</f>
        <v>68.600000000000009</v>
      </c>
      <c r="AS131" s="104">
        <f>Weather!M239</f>
        <v>52.999999999999986</v>
      </c>
      <c r="AT131" s="104">
        <f>Weather!N239</f>
        <v>40.099999999999994</v>
      </c>
      <c r="AU131" s="104">
        <f>Weather!O239</f>
        <v>86.499999999999986</v>
      </c>
      <c r="AV131" s="104">
        <f>Weather!P239</f>
        <v>20.499999999999996</v>
      </c>
      <c r="AW131" s="104">
        <f>Weather!Q239</f>
        <v>128.89999999999998</v>
      </c>
      <c r="AX131" s="104">
        <f>Weather!R239</f>
        <v>6.5000000000000009</v>
      </c>
      <c r="AY131" s="104">
        <f>Weather!S239</f>
        <v>176.89999999999998</v>
      </c>
      <c r="AZ131" s="119">
        <f>Economic!C131</f>
        <v>742533.63717500004</v>
      </c>
      <c r="BA131" s="120">
        <f>Economic!D131</f>
        <v>7487.5</v>
      </c>
      <c r="BB131" s="120">
        <f>Economic!E131</f>
        <v>7514.2</v>
      </c>
      <c r="BC131" s="120">
        <f>Economic!F131</f>
        <v>3499.8</v>
      </c>
      <c r="BD131" s="120">
        <f>Economic!G131</f>
        <v>3503.1</v>
      </c>
      <c r="BE131" s="120">
        <f>Economic!H131</f>
        <v>412.6</v>
      </c>
      <c r="BF131" s="120">
        <f>Economic!I131</f>
        <v>413.1</v>
      </c>
      <c r="BG131" s="123">
        <f t="shared" si="182"/>
        <v>31</v>
      </c>
      <c r="BH131" s="123">
        <v>20</v>
      </c>
      <c r="BI131" s="123">
        <f t="shared" si="132"/>
        <v>130</v>
      </c>
      <c r="BJ131" s="123">
        <f t="shared" ref="BJ131:BX131" si="203">BJ119</f>
        <v>0</v>
      </c>
      <c r="BK131" s="123">
        <f t="shared" si="203"/>
        <v>0</v>
      </c>
      <c r="BL131" s="123">
        <f t="shared" si="203"/>
        <v>0</v>
      </c>
      <c r="BM131" s="123">
        <f t="shared" si="203"/>
        <v>0</v>
      </c>
      <c r="BN131" s="123">
        <f t="shared" si="203"/>
        <v>0</v>
      </c>
      <c r="BO131" s="123">
        <f t="shared" si="203"/>
        <v>0</v>
      </c>
      <c r="BP131" s="123">
        <f t="shared" si="203"/>
        <v>0</v>
      </c>
      <c r="BQ131" s="123">
        <f t="shared" si="203"/>
        <v>0</v>
      </c>
      <c r="BR131" s="123">
        <f t="shared" si="203"/>
        <v>0</v>
      </c>
      <c r="BS131" s="123">
        <f t="shared" si="203"/>
        <v>1</v>
      </c>
      <c r="BT131" s="123">
        <f t="shared" si="203"/>
        <v>0</v>
      </c>
      <c r="BU131" s="123">
        <f t="shared" si="203"/>
        <v>0</v>
      </c>
      <c r="BV131" s="123">
        <f t="shared" si="203"/>
        <v>0</v>
      </c>
      <c r="BW131" s="123">
        <f t="shared" si="203"/>
        <v>1</v>
      </c>
      <c r="BX131" s="123">
        <f t="shared" si="203"/>
        <v>1</v>
      </c>
      <c r="BY131" s="124">
        <v>1</v>
      </c>
      <c r="BZ131" s="128">
        <v>0.5</v>
      </c>
      <c r="CA131" s="124">
        <f t="shared" si="184"/>
        <v>263.60000000000002</v>
      </c>
      <c r="CB131" s="124">
        <f t="shared" si="185"/>
        <v>0</v>
      </c>
      <c r="CC131" s="124">
        <f t="shared" si="186"/>
        <v>201.6</v>
      </c>
      <c r="CD131" s="124">
        <f t="shared" si="187"/>
        <v>0</v>
      </c>
      <c r="CE131" s="124">
        <f t="shared" si="188"/>
        <v>145.19999999999999</v>
      </c>
      <c r="CF131" s="124">
        <f t="shared" si="189"/>
        <v>5.5999999999999979</v>
      </c>
      <c r="CG131" s="124">
        <f t="shared" si="190"/>
        <v>102.60000000000001</v>
      </c>
      <c r="CH131" s="124">
        <f t="shared" si="191"/>
        <v>24.999999999999993</v>
      </c>
      <c r="CI131" s="124">
        <f t="shared" si="192"/>
        <v>68.600000000000009</v>
      </c>
      <c r="CJ131" s="124">
        <f t="shared" si="193"/>
        <v>52.999999999999986</v>
      </c>
      <c r="CK131" s="124">
        <f t="shared" si="194"/>
        <v>40.099999999999994</v>
      </c>
      <c r="CL131" s="124">
        <f t="shared" si="195"/>
        <v>86.499999999999986</v>
      </c>
      <c r="CM131" s="124">
        <f t="shared" si="196"/>
        <v>20.499999999999996</v>
      </c>
      <c r="CN131" s="124">
        <f t="shared" si="197"/>
        <v>128.89999999999998</v>
      </c>
      <c r="CO131" s="124">
        <f t="shared" si="198"/>
        <v>6.5000000000000009</v>
      </c>
      <c r="CP131" s="124">
        <f t="shared" si="199"/>
        <v>176.89999999999998</v>
      </c>
      <c r="CQ131" s="138">
        <f t="shared" si="200"/>
        <v>672.81319085226176</v>
      </c>
      <c r="CR131" s="138">
        <f t="shared" si="201"/>
        <v>2586.1546229562882</v>
      </c>
      <c r="CS131" s="138">
        <f t="shared" si="202"/>
        <v>59920.892745263314</v>
      </c>
    </row>
    <row r="132" spans="1:97" x14ac:dyDescent="0.2">
      <c r="A132" s="115">
        <v>44501</v>
      </c>
      <c r="B132">
        <v>2021</v>
      </c>
      <c r="C132">
        <f t="shared" si="117"/>
        <v>11</v>
      </c>
      <c r="D132" s="102">
        <v>23015449.214457814</v>
      </c>
      <c r="E132" s="131">
        <f>VLOOKUP($B132,'Historic CDM'!$L$5:$R$17,2,FALSE)/12</f>
        <v>1386307.1922259934</v>
      </c>
      <c r="F132" s="131">
        <f t="shared" si="177"/>
        <v>24401756.406683806</v>
      </c>
      <c r="G132" s="102">
        <v>6721158.9108433723</v>
      </c>
      <c r="H132" s="131">
        <f>VLOOKUP($B132,'Historic CDM'!$L$5:$R$17,3,FALSE)/12</f>
        <v>750051.28129892715</v>
      </c>
      <c r="I132" s="131">
        <f t="shared" si="178"/>
        <v>7471210.1921422994</v>
      </c>
      <c r="J132" s="102">
        <v>17668488.221686747</v>
      </c>
      <c r="K132" s="131">
        <f>VLOOKUP($B132,'Historic CDM'!$L$5:$R$17,4,FALSE)/12</f>
        <v>1631076.9652312491</v>
      </c>
      <c r="L132" s="131">
        <f t="shared" si="179"/>
        <v>19299565.186917998</v>
      </c>
      <c r="M132" s="102">
        <v>10129183.745822636</v>
      </c>
      <c r="N132" s="131">
        <f>VLOOKUP($B132,'Historic CDM'!$L$5:$R$17,5,FALSE)/12</f>
        <v>755729.15296031069</v>
      </c>
      <c r="O132" s="131">
        <f t="shared" si="180"/>
        <v>10884912.898782946</v>
      </c>
      <c r="P132" s="102">
        <v>12553202.138452359</v>
      </c>
      <c r="Q132" s="131">
        <f>VLOOKUP($B132,'Historic CDM'!$L$5:$R$17,6,FALSE)/12</f>
        <v>733613.47030779638</v>
      </c>
      <c r="R132" s="131">
        <f t="shared" si="181"/>
        <v>13286815.608760156</v>
      </c>
      <c r="S132" s="102">
        <v>84246.004819277106</v>
      </c>
      <c r="T132" s="102">
        <v>11518.2</v>
      </c>
      <c r="U132" s="102">
        <v>504476.81927710836</v>
      </c>
      <c r="V132" s="102">
        <v>47696.419999999984</v>
      </c>
      <c r="W132" s="102">
        <v>19928.359999999997</v>
      </c>
      <c r="X132" s="102">
        <v>24272.66</v>
      </c>
      <c r="Y132" s="102">
        <v>1173.2</v>
      </c>
      <c r="Z132" s="102">
        <v>32</v>
      </c>
      <c r="AA132" s="41">
        <v>38781</v>
      </c>
      <c r="AB132" s="41">
        <v>2907</v>
      </c>
      <c r="AC132" s="41">
        <v>322</v>
      </c>
      <c r="AD132" s="41">
        <v>12</v>
      </c>
      <c r="AE132" s="41">
        <v>3</v>
      </c>
      <c r="AF132" s="41">
        <v>2890</v>
      </c>
      <c r="AG132" s="41">
        <v>237</v>
      </c>
      <c r="AH132" s="41">
        <v>221</v>
      </c>
      <c r="AI132" s="104">
        <f>Weather!C240</f>
        <v>4.2099999999999982</v>
      </c>
      <c r="AJ132" s="104">
        <f>Weather!D240</f>
        <v>533.69999999999982</v>
      </c>
      <c r="AK132" s="104">
        <f>Weather!E240</f>
        <v>0</v>
      </c>
      <c r="AL132" s="104">
        <f>Weather!F240</f>
        <v>473.69999999999987</v>
      </c>
      <c r="AM132" s="104">
        <f>Weather!G240</f>
        <v>0</v>
      </c>
      <c r="AN132" s="104">
        <f>Weather!H240</f>
        <v>413.7</v>
      </c>
      <c r="AO132" s="104">
        <f>Weather!I240</f>
        <v>0</v>
      </c>
      <c r="AP132" s="104">
        <f>Weather!J240</f>
        <v>353.7</v>
      </c>
      <c r="AQ132" s="104">
        <f>Weather!K240</f>
        <v>0</v>
      </c>
      <c r="AR132" s="104">
        <f>Weather!L240</f>
        <v>293.70000000000005</v>
      </c>
      <c r="AS132" s="104">
        <f>Weather!M240</f>
        <v>0</v>
      </c>
      <c r="AT132" s="104">
        <f>Weather!N240</f>
        <v>233.70000000000005</v>
      </c>
      <c r="AU132" s="104">
        <f>Weather!O240</f>
        <v>0</v>
      </c>
      <c r="AV132" s="104">
        <f>Weather!P240</f>
        <v>175.30000000000004</v>
      </c>
      <c r="AW132" s="104">
        <f>Weather!Q240</f>
        <v>1.5999999999999996</v>
      </c>
      <c r="AX132" s="104">
        <f>Weather!R240</f>
        <v>124.60000000000002</v>
      </c>
      <c r="AY132" s="104">
        <f>Weather!S240</f>
        <v>10.9</v>
      </c>
      <c r="AZ132" s="119">
        <f>Economic!C132</f>
        <v>742533.63717500004</v>
      </c>
      <c r="BA132" s="120">
        <f>Economic!D132</f>
        <v>7538.6</v>
      </c>
      <c r="BB132" s="120">
        <f>Economic!E132</f>
        <v>7552.6</v>
      </c>
      <c r="BC132" s="120">
        <f>Economic!F132</f>
        <v>3513.1</v>
      </c>
      <c r="BD132" s="120">
        <f>Economic!G132</f>
        <v>3525.8</v>
      </c>
      <c r="BE132" s="120">
        <f>Economic!H132</f>
        <v>413.3</v>
      </c>
      <c r="BF132" s="120">
        <f>Economic!I132</f>
        <v>413.3</v>
      </c>
      <c r="BG132" s="123">
        <f t="shared" si="182"/>
        <v>30</v>
      </c>
      <c r="BH132" s="123">
        <v>22</v>
      </c>
      <c r="BI132" s="123">
        <f t="shared" si="132"/>
        <v>131</v>
      </c>
      <c r="BJ132" s="123">
        <f t="shared" ref="BJ132:BX132" si="204">BJ120</f>
        <v>0</v>
      </c>
      <c r="BK132" s="123">
        <f t="shared" si="204"/>
        <v>0</v>
      </c>
      <c r="BL132" s="123">
        <f t="shared" si="204"/>
        <v>0</v>
      </c>
      <c r="BM132" s="123">
        <f t="shared" si="204"/>
        <v>0</v>
      </c>
      <c r="BN132" s="123">
        <f t="shared" si="204"/>
        <v>0</v>
      </c>
      <c r="BO132" s="123">
        <f t="shared" si="204"/>
        <v>0</v>
      </c>
      <c r="BP132" s="123">
        <f t="shared" si="204"/>
        <v>0</v>
      </c>
      <c r="BQ132" s="123">
        <f t="shared" si="204"/>
        <v>0</v>
      </c>
      <c r="BR132" s="123">
        <f t="shared" si="204"/>
        <v>0</v>
      </c>
      <c r="BS132" s="123">
        <f t="shared" si="204"/>
        <v>0</v>
      </c>
      <c r="BT132" s="123">
        <f t="shared" si="204"/>
        <v>1</v>
      </c>
      <c r="BU132" s="123">
        <f t="shared" si="204"/>
        <v>0</v>
      </c>
      <c r="BV132" s="123">
        <f t="shared" si="204"/>
        <v>0</v>
      </c>
      <c r="BW132" s="123">
        <f t="shared" si="204"/>
        <v>1</v>
      </c>
      <c r="BX132" s="123">
        <f t="shared" si="204"/>
        <v>1</v>
      </c>
      <c r="BY132" s="124">
        <v>1</v>
      </c>
      <c r="BZ132" s="128">
        <v>0.5</v>
      </c>
      <c r="CA132" s="124">
        <f t="shared" si="184"/>
        <v>533.69999999999982</v>
      </c>
      <c r="CB132" s="124">
        <f t="shared" si="185"/>
        <v>0</v>
      </c>
      <c r="CC132" s="124">
        <f t="shared" si="186"/>
        <v>473.69999999999987</v>
      </c>
      <c r="CD132" s="124">
        <f t="shared" si="187"/>
        <v>0</v>
      </c>
      <c r="CE132" s="124">
        <f t="shared" si="188"/>
        <v>413.7</v>
      </c>
      <c r="CF132" s="124">
        <f t="shared" si="189"/>
        <v>0</v>
      </c>
      <c r="CG132" s="124">
        <f t="shared" si="190"/>
        <v>353.7</v>
      </c>
      <c r="CH132" s="124">
        <f t="shared" si="191"/>
        <v>0</v>
      </c>
      <c r="CI132" s="124">
        <f t="shared" si="192"/>
        <v>293.70000000000005</v>
      </c>
      <c r="CJ132" s="124">
        <f t="shared" si="193"/>
        <v>0</v>
      </c>
      <c r="CK132" s="124">
        <f t="shared" si="194"/>
        <v>233.70000000000005</v>
      </c>
      <c r="CL132" s="124">
        <f t="shared" si="195"/>
        <v>0</v>
      </c>
      <c r="CM132" s="124">
        <f t="shared" si="196"/>
        <v>175.30000000000004</v>
      </c>
      <c r="CN132" s="124">
        <f t="shared" si="197"/>
        <v>1.5999999999999996</v>
      </c>
      <c r="CO132" s="124">
        <f t="shared" si="198"/>
        <v>124.60000000000002</v>
      </c>
      <c r="CP132" s="124">
        <f t="shared" si="199"/>
        <v>10.9</v>
      </c>
      <c r="CQ132" s="138">
        <f t="shared" si="200"/>
        <v>629.21937048255086</v>
      </c>
      <c r="CR132" s="138">
        <f t="shared" si="201"/>
        <v>2570.0757454909872</v>
      </c>
      <c r="CS132" s="138">
        <f t="shared" si="202"/>
        <v>59936.537847571424</v>
      </c>
    </row>
    <row r="133" spans="1:97" x14ac:dyDescent="0.2">
      <c r="A133" s="114">
        <v>44531</v>
      </c>
      <c r="B133">
        <v>2021</v>
      </c>
      <c r="C133">
        <f t="shared" si="117"/>
        <v>12</v>
      </c>
      <c r="D133" s="102">
        <v>28628265.918072276</v>
      </c>
      <c r="E133" s="131">
        <f>VLOOKUP($B133,'Historic CDM'!$L$5:$R$17,2,FALSE)/12</f>
        <v>1386307.1922259934</v>
      </c>
      <c r="F133" s="131">
        <f t="shared" si="177"/>
        <v>30014573.110298268</v>
      </c>
      <c r="G133" s="102">
        <v>7522268.6361445729</v>
      </c>
      <c r="H133" s="131">
        <f>VLOOKUP($B133,'Historic CDM'!$L$5:$R$17,3,FALSE)/12</f>
        <v>750051.28129892715</v>
      </c>
      <c r="I133" s="131">
        <f t="shared" si="178"/>
        <v>8272319.9174434999</v>
      </c>
      <c r="J133" s="102">
        <v>18227991.315662645</v>
      </c>
      <c r="K133" s="131">
        <f>VLOOKUP($B133,'Historic CDM'!$L$5:$R$17,4,FALSE)/12</f>
        <v>1631076.9652312491</v>
      </c>
      <c r="L133" s="131">
        <f t="shared" si="179"/>
        <v>19859068.280893892</v>
      </c>
      <c r="M133" s="102">
        <v>9414029.3214510567</v>
      </c>
      <c r="N133" s="131">
        <f>VLOOKUP($B133,'Historic CDM'!$L$5:$R$17,5,FALSE)/12</f>
        <v>755729.15296031069</v>
      </c>
      <c r="O133" s="131">
        <f t="shared" si="180"/>
        <v>10169758.474411368</v>
      </c>
      <c r="P133" s="102">
        <v>11508958.95166103</v>
      </c>
      <c r="Q133" s="131">
        <f>VLOOKUP($B133,'Historic CDM'!$L$5:$R$17,6,FALSE)/12</f>
        <v>733613.47030779638</v>
      </c>
      <c r="R133" s="131">
        <f t="shared" si="181"/>
        <v>12242572.421968827</v>
      </c>
      <c r="S133" s="102">
        <v>84168.067469879505</v>
      </c>
      <c r="T133" s="102">
        <v>11518.2</v>
      </c>
      <c r="U133" s="102">
        <v>551272.8385542169</v>
      </c>
      <c r="V133" s="102">
        <v>48345.66</v>
      </c>
      <c r="W133" s="102">
        <v>19897.02</v>
      </c>
      <c r="X133" s="102">
        <v>24603.53</v>
      </c>
      <c r="Y133" s="102">
        <v>1178.98</v>
      </c>
      <c r="Z133" s="102">
        <v>32</v>
      </c>
      <c r="AA133" s="41">
        <v>38823</v>
      </c>
      <c r="AB133" s="41">
        <v>2918</v>
      </c>
      <c r="AC133" s="41">
        <v>327</v>
      </c>
      <c r="AD133" s="41">
        <v>12</v>
      </c>
      <c r="AE133" s="41">
        <v>3</v>
      </c>
      <c r="AF133" s="41">
        <v>2890</v>
      </c>
      <c r="AG133" s="41">
        <v>237</v>
      </c>
      <c r="AH133" s="41">
        <v>221</v>
      </c>
      <c r="AI133" s="104">
        <f>Weather!C241</f>
        <v>1.6967741935483871</v>
      </c>
      <c r="AJ133" s="104">
        <f>Weather!D241</f>
        <v>629.4000000000002</v>
      </c>
      <c r="AK133" s="104">
        <f>Weather!E241</f>
        <v>0</v>
      </c>
      <c r="AL133" s="104">
        <f>Weather!F241</f>
        <v>567.40000000000009</v>
      </c>
      <c r="AM133" s="104">
        <f>Weather!G241</f>
        <v>0</v>
      </c>
      <c r="AN133" s="104">
        <f>Weather!H241</f>
        <v>505.4</v>
      </c>
      <c r="AO133" s="104">
        <f>Weather!I241</f>
        <v>0</v>
      </c>
      <c r="AP133" s="104">
        <f>Weather!J241</f>
        <v>443.4</v>
      </c>
      <c r="AQ133" s="104">
        <f>Weather!K241</f>
        <v>0</v>
      </c>
      <c r="AR133" s="104">
        <f>Weather!L241</f>
        <v>381.4</v>
      </c>
      <c r="AS133" s="104">
        <f>Weather!M241</f>
        <v>0</v>
      </c>
      <c r="AT133" s="104">
        <f>Weather!N241</f>
        <v>319.39999999999998</v>
      </c>
      <c r="AU133" s="104">
        <f>Weather!O241</f>
        <v>0</v>
      </c>
      <c r="AV133" s="104">
        <f>Weather!P241</f>
        <v>257.8</v>
      </c>
      <c r="AW133" s="104">
        <f>Weather!Q241</f>
        <v>0.40000000000000036</v>
      </c>
      <c r="AX133" s="104">
        <f>Weather!R241</f>
        <v>199.59999999999997</v>
      </c>
      <c r="AY133" s="104">
        <f>Weather!S241</f>
        <v>4.2000000000000011</v>
      </c>
      <c r="AZ133" s="119">
        <f>Economic!C133</f>
        <v>742533.63717500004</v>
      </c>
      <c r="BA133" s="120">
        <f>Economic!D133</f>
        <v>7585.1</v>
      </c>
      <c r="BB133" s="120">
        <f>Economic!E133</f>
        <v>7601.7</v>
      </c>
      <c r="BC133" s="120">
        <f>Economic!F133</f>
        <v>3539.2</v>
      </c>
      <c r="BD133" s="120">
        <f>Economic!G133</f>
        <v>3557.3</v>
      </c>
      <c r="BE133" s="120">
        <f>Economic!H133</f>
        <v>412.2</v>
      </c>
      <c r="BF133" s="120">
        <f>Economic!I133</f>
        <v>416.9</v>
      </c>
      <c r="BG133" s="123">
        <f t="shared" si="182"/>
        <v>31</v>
      </c>
      <c r="BH133" s="123">
        <v>21</v>
      </c>
      <c r="BI133" s="123">
        <f t="shared" si="132"/>
        <v>132</v>
      </c>
      <c r="BJ133" s="123">
        <f t="shared" ref="BJ133:BX133" si="205">BJ121</f>
        <v>0</v>
      </c>
      <c r="BK133" s="123">
        <f t="shared" si="205"/>
        <v>0</v>
      </c>
      <c r="BL133" s="123">
        <f t="shared" si="205"/>
        <v>0</v>
      </c>
      <c r="BM133" s="123">
        <f t="shared" si="205"/>
        <v>0</v>
      </c>
      <c r="BN133" s="123">
        <f t="shared" si="205"/>
        <v>0</v>
      </c>
      <c r="BO133" s="123">
        <f t="shared" si="205"/>
        <v>0</v>
      </c>
      <c r="BP133" s="123">
        <f t="shared" si="205"/>
        <v>0</v>
      </c>
      <c r="BQ133" s="123">
        <f t="shared" si="205"/>
        <v>0</v>
      </c>
      <c r="BR133" s="123">
        <f t="shared" si="205"/>
        <v>0</v>
      </c>
      <c r="BS133" s="123">
        <f t="shared" si="205"/>
        <v>0</v>
      </c>
      <c r="BT133" s="123">
        <f t="shared" si="205"/>
        <v>0</v>
      </c>
      <c r="BU133" s="123">
        <f t="shared" si="205"/>
        <v>1</v>
      </c>
      <c r="BV133" s="123">
        <f t="shared" si="205"/>
        <v>0</v>
      </c>
      <c r="BW133" s="123">
        <f t="shared" si="205"/>
        <v>0</v>
      </c>
      <c r="BX133" s="123">
        <f t="shared" si="205"/>
        <v>0</v>
      </c>
      <c r="BY133" s="124">
        <v>1</v>
      </c>
      <c r="BZ133" s="128">
        <v>0.5</v>
      </c>
      <c r="CA133" s="124">
        <f t="shared" si="184"/>
        <v>629.4000000000002</v>
      </c>
      <c r="CB133" s="124">
        <f t="shared" si="185"/>
        <v>0</v>
      </c>
      <c r="CC133" s="124">
        <f t="shared" si="186"/>
        <v>567.40000000000009</v>
      </c>
      <c r="CD133" s="124">
        <f t="shared" si="187"/>
        <v>0</v>
      </c>
      <c r="CE133" s="124">
        <f t="shared" si="188"/>
        <v>505.4</v>
      </c>
      <c r="CF133" s="124">
        <f t="shared" si="189"/>
        <v>0</v>
      </c>
      <c r="CG133" s="124">
        <f t="shared" si="190"/>
        <v>443.4</v>
      </c>
      <c r="CH133" s="124">
        <f t="shared" si="191"/>
        <v>0</v>
      </c>
      <c r="CI133" s="124">
        <f t="shared" si="192"/>
        <v>381.4</v>
      </c>
      <c r="CJ133" s="124">
        <f t="shared" si="193"/>
        <v>0</v>
      </c>
      <c r="CK133" s="124">
        <f t="shared" si="194"/>
        <v>319.39999999999998</v>
      </c>
      <c r="CL133" s="124">
        <f t="shared" si="195"/>
        <v>0</v>
      </c>
      <c r="CM133" s="124">
        <f t="shared" si="196"/>
        <v>257.8</v>
      </c>
      <c r="CN133" s="124">
        <f t="shared" si="197"/>
        <v>0.40000000000000036</v>
      </c>
      <c r="CO133" s="124">
        <f t="shared" si="198"/>
        <v>199.59999999999997</v>
      </c>
      <c r="CP133" s="124">
        <f t="shared" si="199"/>
        <v>4.2000000000000011</v>
      </c>
      <c r="CQ133" s="138">
        <f t="shared" si="200"/>
        <v>773.11318317230166</v>
      </c>
      <c r="CR133" s="138">
        <f t="shared" si="201"/>
        <v>2834.928004607094</v>
      </c>
      <c r="CS133" s="138">
        <f t="shared" si="202"/>
        <v>60731.095660225968</v>
      </c>
    </row>
    <row r="134" spans="1:97" x14ac:dyDescent="0.2">
      <c r="A134" s="115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41"/>
      <c r="AB134" s="41"/>
      <c r="AC134" s="41"/>
      <c r="AD134" s="41"/>
      <c r="AE134" s="41"/>
      <c r="AF134" s="41"/>
      <c r="AG134" s="41"/>
      <c r="AH134" s="41"/>
    </row>
    <row r="135" spans="1:97" x14ac:dyDescent="0.2">
      <c r="A135" s="11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AE146"/>
  <sheetViews>
    <sheetView zoomScale="90" zoomScaleNormal="90" workbookViewId="0">
      <pane xSplit="1" ySplit="2" topLeftCell="B3" activePane="bottomRight" state="frozen"/>
      <selection activeCell="V159" sqref="V159"/>
      <selection pane="topRight" activeCell="V159" sqref="V159"/>
      <selection pane="bottomLeft" activeCell="V159" sqref="V159"/>
      <selection pane="bottomRight" activeCell="AB41" sqref="AB41"/>
    </sheetView>
  </sheetViews>
  <sheetFormatPr defaultRowHeight="12.75" x14ac:dyDescent="0.2"/>
  <cols>
    <col min="1" max="1" width="14.42578125" bestFit="1" customWidth="1"/>
    <col min="2" max="2" width="11.140625" style="5" bestFit="1" customWidth="1"/>
    <col min="3" max="3" width="10.140625" style="5" bestFit="1" customWidth="1"/>
    <col min="4" max="4" width="4.140625" style="5" customWidth="1"/>
    <col min="5" max="5" width="11.140625" style="5" bestFit="1" customWidth="1"/>
    <col min="6" max="6" width="10.140625" style="5" bestFit="1" customWidth="1"/>
    <col min="7" max="7" width="3.28515625" style="5" customWidth="1"/>
    <col min="8" max="8" width="11.140625" style="5" bestFit="1" customWidth="1"/>
    <col min="9" max="9" width="10.140625" style="5" bestFit="1" customWidth="1"/>
    <col min="10" max="10" width="5.140625" style="5" customWidth="1"/>
    <col min="11" max="11" width="11.140625" style="5" bestFit="1" customWidth="1"/>
    <col min="12" max="12" width="10.140625" style="5" bestFit="1" customWidth="1"/>
    <col min="13" max="13" width="3" style="5" customWidth="1"/>
    <col min="14" max="14" width="11.140625" style="5" bestFit="1" customWidth="1"/>
    <col min="15" max="15" width="10.140625" style="5" bestFit="1" customWidth="1"/>
    <col min="16" max="16" width="3.28515625" style="5" customWidth="1"/>
    <col min="17" max="17" width="12.7109375" style="5" bestFit="1" customWidth="1"/>
    <col min="18" max="18" width="10.140625" style="5" bestFit="1" customWidth="1"/>
    <col min="19" max="19" width="5" style="5" customWidth="1"/>
    <col min="20" max="20" width="12.7109375" style="5" bestFit="1" customWidth="1"/>
    <col min="21" max="21" width="10.140625" style="5" bestFit="1" customWidth="1"/>
    <col min="22" max="22" width="4.85546875" style="5" customWidth="1"/>
    <col min="23" max="23" width="12.7109375" style="5" bestFit="1" customWidth="1"/>
    <col min="24" max="24" width="12.5703125" style="5" customWidth="1"/>
    <col min="25" max="25" width="4.28515625" style="5" customWidth="1"/>
    <col min="26" max="26" width="8.140625" style="5" bestFit="1" customWidth="1"/>
    <col min="27" max="27" width="12.7109375" style="5" bestFit="1" customWidth="1"/>
    <col min="28" max="28" width="11.7109375" style="5" bestFit="1" customWidth="1"/>
    <col min="29" max="29" width="10.7109375" style="5" bestFit="1" customWidth="1"/>
    <col min="30" max="30" width="11.85546875" style="5" bestFit="1" customWidth="1"/>
    <col min="31" max="31" width="9.140625" style="5"/>
  </cols>
  <sheetData>
    <row r="2" spans="1:30" x14ac:dyDescent="0.2">
      <c r="B2" s="332" t="s">
        <v>302</v>
      </c>
      <c r="C2" s="332"/>
      <c r="D2" s="40"/>
      <c r="E2" s="329" t="s">
        <v>217</v>
      </c>
      <c r="F2" s="329"/>
      <c r="G2" s="46"/>
      <c r="H2" s="329" t="s">
        <v>219</v>
      </c>
      <c r="I2" s="329"/>
      <c r="J2" s="46"/>
      <c r="K2" s="329" t="s">
        <v>193</v>
      </c>
      <c r="L2" s="329"/>
      <c r="M2" s="46"/>
      <c r="N2" s="329" t="s">
        <v>201</v>
      </c>
      <c r="O2" s="329"/>
      <c r="P2" s="46"/>
      <c r="Q2" s="329" t="s">
        <v>306</v>
      </c>
      <c r="R2" s="329"/>
      <c r="S2" s="46"/>
      <c r="T2" s="329" t="s">
        <v>202</v>
      </c>
      <c r="U2" s="329"/>
      <c r="V2" s="46"/>
      <c r="W2" s="329" t="s">
        <v>307</v>
      </c>
      <c r="X2" s="329"/>
      <c r="Y2" s="47"/>
      <c r="Z2" s="40" t="s">
        <v>63</v>
      </c>
      <c r="AB2" s="39" t="s">
        <v>311</v>
      </c>
    </row>
    <row r="3" spans="1:30" x14ac:dyDescent="0.2">
      <c r="B3" s="45" t="s">
        <v>203</v>
      </c>
      <c r="C3" s="45" t="s">
        <v>312</v>
      </c>
      <c r="D3" s="45"/>
      <c r="E3" s="45" t="s">
        <v>203</v>
      </c>
      <c r="F3" s="45" t="s">
        <v>312</v>
      </c>
      <c r="G3" s="46"/>
      <c r="H3" s="45" t="s">
        <v>203</v>
      </c>
      <c r="I3" s="45" t="s">
        <v>312</v>
      </c>
      <c r="J3" s="46"/>
      <c r="K3" s="45" t="s">
        <v>203</v>
      </c>
      <c r="L3" s="45" t="s">
        <v>312</v>
      </c>
      <c r="M3" s="46"/>
      <c r="N3" s="45" t="s">
        <v>203</v>
      </c>
      <c r="O3" s="45" t="s">
        <v>312</v>
      </c>
      <c r="P3" s="46"/>
      <c r="Q3" s="45" t="s">
        <v>204</v>
      </c>
      <c r="R3" s="45" t="s">
        <v>312</v>
      </c>
      <c r="S3" s="47"/>
      <c r="T3" s="45" t="s">
        <v>204</v>
      </c>
      <c r="U3" s="45" t="s">
        <v>312</v>
      </c>
      <c r="V3" s="47"/>
      <c r="W3" s="45" t="s">
        <v>204</v>
      </c>
      <c r="X3" s="45" t="s">
        <v>312</v>
      </c>
      <c r="Y3" s="47"/>
      <c r="Z3" s="40"/>
      <c r="AB3" s="39"/>
    </row>
    <row r="4" spans="1:30" x14ac:dyDescent="0.2">
      <c r="A4" s="3">
        <v>2000</v>
      </c>
      <c r="B4" s="142">
        <v>9354</v>
      </c>
      <c r="C4" s="215"/>
      <c r="D4" s="142"/>
      <c r="E4" s="142">
        <v>1715</v>
      </c>
      <c r="F4" s="215"/>
      <c r="G4" s="142"/>
      <c r="H4" s="142">
        <v>183</v>
      </c>
      <c r="I4" s="215"/>
      <c r="J4" s="142"/>
      <c r="K4" s="141">
        <v>12</v>
      </c>
      <c r="L4" s="215"/>
      <c r="M4" s="141"/>
      <c r="N4" s="141">
        <v>1</v>
      </c>
      <c r="O4" s="215"/>
      <c r="P4" s="141"/>
      <c r="Q4" s="206">
        <v>2242</v>
      </c>
      <c r="R4" s="215"/>
      <c r="S4" s="206"/>
      <c r="T4" s="141">
        <v>328</v>
      </c>
      <c r="U4" s="215"/>
      <c r="V4" s="141"/>
      <c r="W4" s="142">
        <v>0</v>
      </c>
      <c r="X4" s="215"/>
      <c r="Y4" s="142"/>
      <c r="Z4" s="142">
        <f t="shared" ref="Z4:Z24" si="0">B4+E4+H4+K4+N4+Q4+T4+W4</f>
        <v>13835</v>
      </c>
      <c r="AB4" s="258">
        <f t="shared" ref="AB4:AB17" si="1">+B4+E4+H4+K4+N4</f>
        <v>11265</v>
      </c>
      <c r="AC4" s="256"/>
    </row>
    <row r="5" spans="1:30" x14ac:dyDescent="0.2">
      <c r="A5" s="3">
        <v>2001</v>
      </c>
      <c r="B5" s="141">
        <v>9551</v>
      </c>
      <c r="C5" s="215">
        <f t="shared" ref="C5:C25" si="2">B5/B4</f>
        <v>1.0210605088732094</v>
      </c>
      <c r="D5" s="141"/>
      <c r="E5" s="141">
        <v>1705</v>
      </c>
      <c r="F5" s="215">
        <f t="shared" ref="F5:F25" si="3">E5/E4</f>
        <v>0.99416909620991256</v>
      </c>
      <c r="G5" s="141"/>
      <c r="H5" s="141">
        <v>188.5</v>
      </c>
      <c r="I5" s="215">
        <f t="shared" ref="I5:I25" si="4">H5/H4</f>
        <v>1.0300546448087431</v>
      </c>
      <c r="J5" s="141"/>
      <c r="K5" s="141">
        <v>11</v>
      </c>
      <c r="L5" s="215">
        <f t="shared" ref="L5:L25" si="5">K5/K4</f>
        <v>0.91666666666666663</v>
      </c>
      <c r="M5" s="141"/>
      <c r="N5" s="141">
        <v>1</v>
      </c>
      <c r="O5" s="215">
        <f t="shared" ref="O5:O25" si="6">N5/N4</f>
        <v>1</v>
      </c>
      <c r="P5" s="141"/>
      <c r="Q5" s="206">
        <v>2263.5</v>
      </c>
      <c r="R5" s="215">
        <f t="shared" ref="R5:R25" si="7">Q5/Q4</f>
        <v>1.0095896520963425</v>
      </c>
      <c r="S5" s="206"/>
      <c r="T5" s="141">
        <v>328.5</v>
      </c>
      <c r="U5" s="215">
        <f t="shared" ref="U5:U25" si="8">T5/T4</f>
        <v>1.0015243902439024</v>
      </c>
      <c r="V5" s="141"/>
      <c r="W5" s="141">
        <v>55</v>
      </c>
      <c r="X5" s="215"/>
      <c r="Y5" s="141"/>
      <c r="Z5" s="142">
        <f t="shared" si="0"/>
        <v>14103.5</v>
      </c>
      <c r="AB5" s="258">
        <f t="shared" si="1"/>
        <v>11456.5</v>
      </c>
      <c r="AC5" s="256"/>
    </row>
    <row r="6" spans="1:30" x14ac:dyDescent="0.2">
      <c r="A6" s="3">
        <v>2002</v>
      </c>
      <c r="B6" s="141">
        <v>11003.5</v>
      </c>
      <c r="C6" s="215">
        <f t="shared" si="2"/>
        <v>1.152078316406659</v>
      </c>
      <c r="D6" s="141"/>
      <c r="E6" s="141">
        <v>1706.5</v>
      </c>
      <c r="F6" s="215">
        <f t="shared" si="3"/>
        <v>1.0008797653958945</v>
      </c>
      <c r="G6" s="141"/>
      <c r="H6" s="141">
        <v>205</v>
      </c>
      <c r="I6" s="215">
        <f t="shared" si="4"/>
        <v>1.0875331564986737</v>
      </c>
      <c r="J6" s="141"/>
      <c r="K6" s="141">
        <v>10</v>
      </c>
      <c r="L6" s="215">
        <f t="shared" si="5"/>
        <v>0.90909090909090906</v>
      </c>
      <c r="M6" s="141"/>
      <c r="N6" s="141">
        <v>1.5</v>
      </c>
      <c r="O6" s="215">
        <f t="shared" si="6"/>
        <v>1.5</v>
      </c>
      <c r="P6" s="141"/>
      <c r="Q6" s="206">
        <v>2315.5</v>
      </c>
      <c r="R6" s="215">
        <f t="shared" si="7"/>
        <v>1.0229732714822177</v>
      </c>
      <c r="S6" s="206"/>
      <c r="T6" s="141">
        <v>315</v>
      </c>
      <c r="U6" s="215">
        <f t="shared" si="8"/>
        <v>0.95890410958904104</v>
      </c>
      <c r="V6" s="141"/>
      <c r="W6" s="141">
        <v>112</v>
      </c>
      <c r="X6" s="215">
        <f t="shared" ref="X6:X25" si="9">W6/W5</f>
        <v>2.0363636363636362</v>
      </c>
      <c r="Y6" s="141"/>
      <c r="Z6" s="142">
        <f t="shared" si="0"/>
        <v>15669</v>
      </c>
      <c r="AB6" s="258">
        <f t="shared" si="1"/>
        <v>12926.5</v>
      </c>
      <c r="AC6" s="256"/>
    </row>
    <row r="7" spans="1:30" x14ac:dyDescent="0.2">
      <c r="A7" s="3">
        <v>2003</v>
      </c>
      <c r="B7" s="141">
        <v>13067.5</v>
      </c>
      <c r="C7" s="215">
        <f t="shared" si="2"/>
        <v>1.1875766801472258</v>
      </c>
      <c r="D7" s="141"/>
      <c r="E7" s="141">
        <v>1736.5</v>
      </c>
      <c r="F7" s="215">
        <f t="shared" si="3"/>
        <v>1.0175798417814239</v>
      </c>
      <c r="G7" s="141"/>
      <c r="H7" s="141">
        <v>215</v>
      </c>
      <c r="I7" s="215">
        <f t="shared" si="4"/>
        <v>1.0487804878048781</v>
      </c>
      <c r="J7" s="141"/>
      <c r="K7" s="141">
        <v>10</v>
      </c>
      <c r="L7" s="215">
        <f t="shared" si="5"/>
        <v>1</v>
      </c>
      <c r="M7" s="141"/>
      <c r="N7" s="141">
        <v>2</v>
      </c>
      <c r="O7" s="215">
        <f t="shared" si="6"/>
        <v>1.3333333333333333</v>
      </c>
      <c r="P7" s="141"/>
      <c r="Q7" s="206">
        <v>2378</v>
      </c>
      <c r="R7" s="215">
        <f t="shared" si="7"/>
        <v>1.0269920103649319</v>
      </c>
      <c r="S7" s="206"/>
      <c r="T7" s="141">
        <v>306</v>
      </c>
      <c r="U7" s="215">
        <f t="shared" si="8"/>
        <v>0.97142857142857142</v>
      </c>
      <c r="V7" s="141"/>
      <c r="W7" s="141">
        <v>118</v>
      </c>
      <c r="X7" s="215">
        <f t="shared" si="9"/>
        <v>1.0535714285714286</v>
      </c>
      <c r="Y7" s="141"/>
      <c r="Z7" s="142">
        <f t="shared" si="0"/>
        <v>17833</v>
      </c>
      <c r="AB7" s="258">
        <f t="shared" si="1"/>
        <v>15031</v>
      </c>
      <c r="AC7" s="256"/>
    </row>
    <row r="8" spans="1:30" x14ac:dyDescent="0.2">
      <c r="A8" s="3">
        <v>2004</v>
      </c>
      <c r="B8" s="141">
        <v>14790.5</v>
      </c>
      <c r="C8" s="215">
        <f t="shared" si="2"/>
        <v>1.1318538358523054</v>
      </c>
      <c r="D8" s="141"/>
      <c r="E8" s="141">
        <v>1781.5</v>
      </c>
      <c r="F8" s="215">
        <f t="shared" si="3"/>
        <v>1.0259141952202706</v>
      </c>
      <c r="G8" s="141"/>
      <c r="H8" s="141">
        <v>220.5</v>
      </c>
      <c r="I8" s="215">
        <f t="shared" si="4"/>
        <v>1.0255813953488373</v>
      </c>
      <c r="J8" s="141"/>
      <c r="K8" s="141">
        <v>10</v>
      </c>
      <c r="L8" s="215">
        <f t="shared" si="5"/>
        <v>1</v>
      </c>
      <c r="M8" s="141"/>
      <c r="N8" s="141">
        <v>2</v>
      </c>
      <c r="O8" s="215">
        <f t="shared" si="6"/>
        <v>1</v>
      </c>
      <c r="P8" s="141"/>
      <c r="Q8" s="206">
        <v>2437</v>
      </c>
      <c r="R8" s="215">
        <f t="shared" si="7"/>
        <v>1.0248107653490328</v>
      </c>
      <c r="S8" s="206"/>
      <c r="T8" s="141">
        <v>310</v>
      </c>
      <c r="U8" s="215">
        <f t="shared" si="8"/>
        <v>1.0130718954248366</v>
      </c>
      <c r="V8" s="141"/>
      <c r="W8" s="141">
        <v>129.5</v>
      </c>
      <c r="X8" s="215">
        <f t="shared" si="9"/>
        <v>1.097457627118644</v>
      </c>
      <c r="Y8" s="141"/>
      <c r="Z8" s="142">
        <f t="shared" si="0"/>
        <v>19681</v>
      </c>
      <c r="AB8" s="258">
        <f t="shared" si="1"/>
        <v>16804.5</v>
      </c>
      <c r="AC8" s="256"/>
    </row>
    <row r="9" spans="1:30" x14ac:dyDescent="0.2">
      <c r="A9" s="3">
        <v>2005</v>
      </c>
      <c r="B9" s="141">
        <v>16685.5</v>
      </c>
      <c r="C9" s="215">
        <f t="shared" si="2"/>
        <v>1.1281227815151618</v>
      </c>
      <c r="D9" s="141"/>
      <c r="E9" s="141">
        <v>1896.5</v>
      </c>
      <c r="F9" s="215">
        <f t="shared" si="3"/>
        <v>1.0645523435307325</v>
      </c>
      <c r="G9" s="141"/>
      <c r="H9" s="141">
        <v>236.5</v>
      </c>
      <c r="I9" s="215">
        <f t="shared" si="4"/>
        <v>1.0725623582766439</v>
      </c>
      <c r="J9" s="141"/>
      <c r="K9" s="141">
        <v>10.5</v>
      </c>
      <c r="L9" s="215">
        <f t="shared" si="5"/>
        <v>1.05</v>
      </c>
      <c r="M9" s="141"/>
      <c r="N9" s="141">
        <v>2</v>
      </c>
      <c r="O9" s="215">
        <f t="shared" si="6"/>
        <v>1</v>
      </c>
      <c r="P9" s="141"/>
      <c r="Q9" s="206">
        <v>2497.5</v>
      </c>
      <c r="R9" s="215">
        <f t="shared" si="7"/>
        <v>1.0248256052523594</v>
      </c>
      <c r="S9" s="206"/>
      <c r="T9" s="141">
        <v>303.5</v>
      </c>
      <c r="U9" s="215">
        <f t="shared" si="8"/>
        <v>0.9790322580645161</v>
      </c>
      <c r="V9" s="141"/>
      <c r="W9" s="141">
        <v>138</v>
      </c>
      <c r="X9" s="215">
        <f t="shared" si="9"/>
        <v>1.0656370656370657</v>
      </c>
      <c r="Y9" s="141"/>
      <c r="Z9" s="142">
        <f t="shared" si="0"/>
        <v>21770</v>
      </c>
      <c r="AB9" s="258">
        <f t="shared" si="1"/>
        <v>18831</v>
      </c>
      <c r="AC9" s="256"/>
    </row>
    <row r="10" spans="1:30" x14ac:dyDescent="0.2">
      <c r="A10" s="3">
        <v>2006</v>
      </c>
      <c r="B10" s="141">
        <v>18165.5</v>
      </c>
      <c r="C10" s="215">
        <f t="shared" si="2"/>
        <v>1.0886997692607354</v>
      </c>
      <c r="D10" s="141"/>
      <c r="E10" s="141">
        <v>1994</v>
      </c>
      <c r="F10" s="215">
        <f t="shared" si="3"/>
        <v>1.0514104930134458</v>
      </c>
      <c r="G10" s="141"/>
      <c r="H10" s="141">
        <v>244.5</v>
      </c>
      <c r="I10" s="215">
        <f t="shared" si="4"/>
        <v>1.0338266384778012</v>
      </c>
      <c r="J10" s="141"/>
      <c r="K10" s="141">
        <v>12</v>
      </c>
      <c r="L10" s="215">
        <f t="shared" si="5"/>
        <v>1.1428571428571428</v>
      </c>
      <c r="M10" s="141"/>
      <c r="N10" s="141">
        <v>2</v>
      </c>
      <c r="O10" s="215">
        <f t="shared" si="6"/>
        <v>1</v>
      </c>
      <c r="P10" s="141"/>
      <c r="Q10" s="206">
        <v>2554</v>
      </c>
      <c r="R10" s="215">
        <f t="shared" si="7"/>
        <v>1.0226226226226227</v>
      </c>
      <c r="S10" s="206"/>
      <c r="T10" s="141">
        <v>296.5</v>
      </c>
      <c r="U10" s="215">
        <f t="shared" si="8"/>
        <v>0.97693574958813834</v>
      </c>
      <c r="V10" s="141"/>
      <c r="W10" s="141">
        <v>140.5</v>
      </c>
      <c r="X10" s="215">
        <f t="shared" si="9"/>
        <v>1.0181159420289856</v>
      </c>
      <c r="Y10" s="141"/>
      <c r="Z10" s="142">
        <f t="shared" si="0"/>
        <v>23409</v>
      </c>
      <c r="AB10" s="258">
        <f t="shared" si="1"/>
        <v>20418</v>
      </c>
      <c r="AC10" s="256"/>
    </row>
    <row r="11" spans="1:30" x14ac:dyDescent="0.2">
      <c r="A11" s="3">
        <v>2007</v>
      </c>
      <c r="B11" s="141">
        <v>19512.5</v>
      </c>
      <c r="C11" s="215">
        <f t="shared" si="2"/>
        <v>1.0741515510170379</v>
      </c>
      <c r="D11" s="141"/>
      <c r="E11" s="141">
        <v>2023.2162883845126</v>
      </c>
      <c r="F11" s="215">
        <f t="shared" si="3"/>
        <v>1.0146521004937374</v>
      </c>
      <c r="G11" s="141"/>
      <c r="H11" s="141">
        <v>259</v>
      </c>
      <c r="I11" s="215">
        <f t="shared" si="4"/>
        <v>1.0593047034764826</v>
      </c>
      <c r="J11" s="141"/>
      <c r="K11" s="141">
        <v>13.5</v>
      </c>
      <c r="L11" s="215">
        <f t="shared" si="5"/>
        <v>1.125</v>
      </c>
      <c r="M11" s="141"/>
      <c r="N11" s="141">
        <v>2</v>
      </c>
      <c r="O11" s="215">
        <f t="shared" si="6"/>
        <v>1</v>
      </c>
      <c r="P11" s="141"/>
      <c r="Q11" s="206">
        <v>2606.5</v>
      </c>
      <c r="R11" s="215">
        <f t="shared" si="7"/>
        <v>1.0205559906029757</v>
      </c>
      <c r="S11" s="206"/>
      <c r="T11" s="141">
        <v>292.5</v>
      </c>
      <c r="U11" s="215">
        <f t="shared" si="8"/>
        <v>0.98650927487352447</v>
      </c>
      <c r="V11" s="141"/>
      <c r="W11" s="141">
        <v>155.28371161548731</v>
      </c>
      <c r="X11" s="215">
        <f t="shared" si="9"/>
        <v>1.105222146729447</v>
      </c>
      <c r="Y11" s="141"/>
      <c r="Z11" s="142">
        <f t="shared" si="0"/>
        <v>24864.5</v>
      </c>
      <c r="AB11" s="258">
        <f t="shared" si="1"/>
        <v>21810.216288384512</v>
      </c>
      <c r="AC11" s="256"/>
    </row>
    <row r="12" spans="1:30" x14ac:dyDescent="0.2">
      <c r="A12" s="3">
        <v>2008</v>
      </c>
      <c r="B12" s="141">
        <v>21530</v>
      </c>
      <c r="C12" s="215">
        <f t="shared" si="2"/>
        <v>1.103395259449071</v>
      </c>
      <c r="D12" s="141"/>
      <c r="E12" s="141">
        <v>2091.9998004488557</v>
      </c>
      <c r="F12" s="215">
        <f t="shared" si="3"/>
        <v>1.0339971126464511</v>
      </c>
      <c r="G12" s="141"/>
      <c r="H12" s="141">
        <v>273.5</v>
      </c>
      <c r="I12" s="215">
        <f t="shared" si="4"/>
        <v>1.055984555984556</v>
      </c>
      <c r="J12" s="141"/>
      <c r="K12" s="141">
        <v>14</v>
      </c>
      <c r="L12" s="215">
        <f t="shared" si="5"/>
        <v>1.037037037037037</v>
      </c>
      <c r="M12" s="141"/>
      <c r="N12" s="141">
        <v>2</v>
      </c>
      <c r="O12" s="215">
        <f t="shared" si="6"/>
        <v>1</v>
      </c>
      <c r="P12" s="141"/>
      <c r="Q12" s="206">
        <v>2671.5</v>
      </c>
      <c r="R12" s="215">
        <f t="shared" si="7"/>
        <v>1.0249376558603491</v>
      </c>
      <c r="S12" s="206"/>
      <c r="T12" s="141">
        <v>289</v>
      </c>
      <c r="U12" s="215">
        <f t="shared" si="8"/>
        <v>0.98803418803418808</v>
      </c>
      <c r="V12" s="141"/>
      <c r="W12" s="141">
        <v>172.50019955114414</v>
      </c>
      <c r="X12" s="215">
        <f t="shared" si="9"/>
        <v>1.110871177385869</v>
      </c>
      <c r="Y12" s="141"/>
      <c r="Z12" s="142">
        <f t="shared" si="0"/>
        <v>27044.5</v>
      </c>
      <c r="AB12" s="258">
        <f t="shared" si="1"/>
        <v>23911.499800448855</v>
      </c>
      <c r="AC12" s="256"/>
    </row>
    <row r="13" spans="1:30" x14ac:dyDescent="0.2">
      <c r="A13" s="3">
        <v>2009</v>
      </c>
      <c r="B13" s="141">
        <v>23793.5</v>
      </c>
      <c r="C13" s="215">
        <f t="shared" si="2"/>
        <v>1.1051323734324199</v>
      </c>
      <c r="D13" s="141"/>
      <c r="E13" s="141">
        <v>2169.2835120643431</v>
      </c>
      <c r="F13" s="215">
        <f t="shared" si="3"/>
        <v>1.0369425042960834</v>
      </c>
      <c r="G13" s="141"/>
      <c r="H13" s="141">
        <v>274.5</v>
      </c>
      <c r="I13" s="215">
        <f t="shared" si="4"/>
        <v>1.0036563071297988</v>
      </c>
      <c r="J13" s="141"/>
      <c r="K13" s="141">
        <v>13.167</v>
      </c>
      <c r="L13" s="215">
        <f t="shared" si="5"/>
        <v>0.9405</v>
      </c>
      <c r="M13" s="141"/>
      <c r="N13" s="141">
        <v>2</v>
      </c>
      <c r="O13" s="215">
        <f t="shared" si="6"/>
        <v>1</v>
      </c>
      <c r="P13" s="141"/>
      <c r="Q13" s="206">
        <v>2741.5</v>
      </c>
      <c r="R13" s="215">
        <f t="shared" si="7"/>
        <v>1.0262025079543329</v>
      </c>
      <c r="S13" s="206"/>
      <c r="T13" s="141">
        <v>283.5</v>
      </c>
      <c r="U13" s="215">
        <f t="shared" si="8"/>
        <v>0.98096885813148793</v>
      </c>
      <c r="V13" s="141"/>
      <c r="W13" s="141">
        <v>179.7164879356568</v>
      </c>
      <c r="X13" s="215">
        <f t="shared" si="9"/>
        <v>1.0418335074584835</v>
      </c>
      <c r="Y13" s="141"/>
      <c r="Z13" s="142">
        <f t="shared" si="0"/>
        <v>29457.167000000001</v>
      </c>
      <c r="AB13" s="258">
        <f t="shared" si="1"/>
        <v>26252.450512064344</v>
      </c>
      <c r="AC13" s="256"/>
    </row>
    <row r="14" spans="1:30" x14ac:dyDescent="0.2">
      <c r="A14" s="3">
        <v>2010</v>
      </c>
      <c r="B14" s="142">
        <v>25709.5</v>
      </c>
      <c r="C14" s="215">
        <f t="shared" si="2"/>
        <v>1.0805261941286486</v>
      </c>
      <c r="D14" s="142"/>
      <c r="E14" s="142">
        <v>2243</v>
      </c>
      <c r="F14" s="215">
        <f t="shared" si="3"/>
        <v>1.0339819518867346</v>
      </c>
      <c r="G14" s="142"/>
      <c r="H14" s="142">
        <v>266</v>
      </c>
      <c r="I14" s="215">
        <f t="shared" si="4"/>
        <v>0.96903460837887068</v>
      </c>
      <c r="J14" s="142"/>
      <c r="K14" s="142">
        <v>12.667</v>
      </c>
      <c r="L14" s="215">
        <f t="shared" si="5"/>
        <v>0.96202627781575145</v>
      </c>
      <c r="M14" s="142"/>
      <c r="N14" s="142">
        <v>2</v>
      </c>
      <c r="O14" s="215">
        <f t="shared" si="6"/>
        <v>1</v>
      </c>
      <c r="P14" s="142"/>
      <c r="Q14" s="207">
        <v>2784.5</v>
      </c>
      <c r="R14" s="215">
        <f t="shared" si="7"/>
        <v>1.0156848440634689</v>
      </c>
      <c r="S14" s="207"/>
      <c r="T14" s="142">
        <v>272.5</v>
      </c>
      <c r="U14" s="215">
        <f t="shared" si="8"/>
        <v>0.96119929453262787</v>
      </c>
      <c r="V14" s="142"/>
      <c r="W14" s="142">
        <v>183.5</v>
      </c>
      <c r="X14" s="215">
        <f t="shared" si="9"/>
        <v>1.0210526708361771</v>
      </c>
      <c r="Y14" s="142"/>
      <c r="Z14" s="142">
        <f t="shared" si="0"/>
        <v>31473.667000000001</v>
      </c>
      <c r="AB14" s="258">
        <f t="shared" si="1"/>
        <v>28233.167000000001</v>
      </c>
      <c r="AC14" s="256"/>
      <c r="AD14" s="257"/>
    </row>
    <row r="15" spans="1:30" x14ac:dyDescent="0.2">
      <c r="A15" s="3">
        <v>2011</v>
      </c>
      <c r="B15" s="142">
        <f>AVERAGEIFS(Data!AA:AA,Data!B:B,'Rate Class Customer Model'!A15)</f>
        <v>27124.416666666668</v>
      </c>
      <c r="C15" s="215">
        <f t="shared" si="2"/>
        <v>1.0550347796210222</v>
      </c>
      <c r="D15" s="142"/>
      <c r="E15" s="142">
        <f>AVERAGEIFS(Data!AB:AB,Data!$B:$B,'Rate Class Customer Model'!$A15)</f>
        <v>2331.25</v>
      </c>
      <c r="F15" s="215">
        <f t="shared" si="3"/>
        <v>1.0393446277307179</v>
      </c>
      <c r="G15" s="142"/>
      <c r="H15" s="142">
        <f>AVERAGEIFS(Data!AC:AC,Data!$B:$B,'Rate Class Customer Model'!$A15)</f>
        <v>263.58333333333331</v>
      </c>
      <c r="I15" s="215">
        <f t="shared" si="4"/>
        <v>0.99091478696741853</v>
      </c>
      <c r="J15" s="142"/>
      <c r="K15" s="142">
        <v>12.5</v>
      </c>
      <c r="L15" s="215">
        <f t="shared" si="5"/>
        <v>0.98681613641746269</v>
      </c>
      <c r="M15" s="142"/>
      <c r="N15" s="142">
        <v>2</v>
      </c>
      <c r="O15" s="215">
        <f t="shared" si="6"/>
        <v>1</v>
      </c>
      <c r="P15" s="142"/>
      <c r="Q15" s="207">
        <v>2847.5</v>
      </c>
      <c r="R15" s="215">
        <f t="shared" si="7"/>
        <v>1.0226252469024959</v>
      </c>
      <c r="S15" s="207"/>
      <c r="T15" s="142">
        <v>265.5</v>
      </c>
      <c r="U15" s="215">
        <f t="shared" si="8"/>
        <v>0.97431192660550459</v>
      </c>
      <c r="V15" s="142"/>
      <c r="W15" s="142">
        <v>185.5</v>
      </c>
      <c r="X15" s="215">
        <f t="shared" si="9"/>
        <v>1.0108991825613078</v>
      </c>
      <c r="Y15" s="142"/>
      <c r="Z15" s="142">
        <f t="shared" si="0"/>
        <v>33032.25</v>
      </c>
      <c r="AB15" s="258">
        <f t="shared" si="1"/>
        <v>29733.75</v>
      </c>
      <c r="AC15" s="256"/>
      <c r="AD15" s="257"/>
    </row>
    <row r="16" spans="1:30" x14ac:dyDescent="0.2">
      <c r="A16" s="3">
        <v>2012</v>
      </c>
      <c r="B16" s="142">
        <f>AVERAGEIFS(Data!AA:AA,Data!B:B,'Rate Class Customer Model'!A16)</f>
        <v>28837.75</v>
      </c>
      <c r="C16" s="215">
        <f t="shared" si="2"/>
        <v>1.0631657209218017</v>
      </c>
      <c r="D16" s="142"/>
      <c r="E16" s="142">
        <f>AVERAGEIFS(Data!AB:AB,Data!$B:$B,'Rate Class Customer Model'!$A16)</f>
        <v>2401.6666666666665</v>
      </c>
      <c r="F16" s="215">
        <f t="shared" si="3"/>
        <v>1.0302055406613047</v>
      </c>
      <c r="G16" s="142"/>
      <c r="H16" s="142">
        <f>AVERAGEIFS(Data!AC:AC,Data!$B:$B,'Rate Class Customer Model'!$A16)</f>
        <v>271.33333333333331</v>
      </c>
      <c r="I16" s="215">
        <f t="shared" si="4"/>
        <v>1.0294024660132786</v>
      </c>
      <c r="J16" s="142"/>
      <c r="K16" s="142">
        <v>12</v>
      </c>
      <c r="L16" s="215">
        <f t="shared" si="5"/>
        <v>0.96</v>
      </c>
      <c r="M16" s="142"/>
      <c r="N16" s="142">
        <v>2</v>
      </c>
      <c r="O16" s="215">
        <f t="shared" si="6"/>
        <v>1</v>
      </c>
      <c r="P16" s="142"/>
      <c r="Q16" s="207">
        <v>2945.5</v>
      </c>
      <c r="R16" s="215">
        <f t="shared" si="7"/>
        <v>1.03441615452151</v>
      </c>
      <c r="S16" s="207"/>
      <c r="T16" s="142">
        <v>265</v>
      </c>
      <c r="U16" s="215">
        <f t="shared" si="8"/>
        <v>0.99811676082862522</v>
      </c>
      <c r="V16" s="142"/>
      <c r="W16" s="142">
        <v>189.5</v>
      </c>
      <c r="X16" s="215">
        <f t="shared" si="9"/>
        <v>1.0215633423180592</v>
      </c>
      <c r="Y16" s="142"/>
      <c r="Z16" s="142">
        <f t="shared" si="0"/>
        <v>34924.75</v>
      </c>
      <c r="AB16" s="258">
        <f t="shared" si="1"/>
        <v>31524.75</v>
      </c>
      <c r="AC16" s="257"/>
      <c r="AD16" s="57"/>
    </row>
    <row r="17" spans="1:31" x14ac:dyDescent="0.2">
      <c r="A17" s="3">
        <v>2013</v>
      </c>
      <c r="B17" s="142">
        <f>AVERAGEIFS(Data!AA:AA,Data!B:B,'Rate Class Customer Model'!A17)</f>
        <v>30730.666666666668</v>
      </c>
      <c r="C17" s="215">
        <f>B17/B16</f>
        <v>1.0656402342993703</v>
      </c>
      <c r="D17" s="142"/>
      <c r="E17" s="142">
        <f>AVERAGEIFS(Data!AB:AB,Data!$B:$B,'Rate Class Customer Model'!$A17)</f>
        <v>2458.1666666666665</v>
      </c>
      <c r="F17" s="215">
        <f t="shared" si="3"/>
        <v>1.0235253296321998</v>
      </c>
      <c r="G17" s="142"/>
      <c r="H17" s="142">
        <f>AVERAGEIFS(Data!AC:AC,Data!$B:$B,'Rate Class Customer Model'!$A17)</f>
        <v>272.16666666666669</v>
      </c>
      <c r="I17" s="215">
        <f t="shared" si="4"/>
        <v>1.0030712530712531</v>
      </c>
      <c r="J17" s="142"/>
      <c r="K17" s="142">
        <v>11.5</v>
      </c>
      <c r="L17" s="215">
        <f t="shared" si="5"/>
        <v>0.95833333333333337</v>
      </c>
      <c r="M17" s="142"/>
      <c r="N17" s="142">
        <v>2.5</v>
      </c>
      <c r="O17" s="215">
        <f t="shared" si="6"/>
        <v>1.25</v>
      </c>
      <c r="P17" s="142"/>
      <c r="Q17" s="207">
        <v>3018.5</v>
      </c>
      <c r="R17" s="215">
        <f t="shared" si="7"/>
        <v>1.0247835681548125</v>
      </c>
      <c r="S17" s="207"/>
      <c r="T17" s="142">
        <v>260.5</v>
      </c>
      <c r="U17" s="215">
        <f t="shared" si="8"/>
        <v>0.98301886792452831</v>
      </c>
      <c r="V17" s="142"/>
      <c r="W17" s="142">
        <v>192</v>
      </c>
      <c r="X17" s="215">
        <f t="shared" si="9"/>
        <v>1.0131926121372032</v>
      </c>
      <c r="Y17" s="142"/>
      <c r="Z17" s="142">
        <f t="shared" si="0"/>
        <v>36946</v>
      </c>
      <c r="AB17" s="258">
        <f t="shared" si="1"/>
        <v>33475</v>
      </c>
      <c r="AC17" s="257"/>
      <c r="AD17" s="57"/>
    </row>
    <row r="18" spans="1:31" x14ac:dyDescent="0.2">
      <c r="A18" s="3">
        <v>2014</v>
      </c>
      <c r="B18" s="142">
        <f>AVERAGEIFS(Data!AA:AA,Data!B:B,'Rate Class Customer Model'!A18)</f>
        <v>31706.916666666668</v>
      </c>
      <c r="C18" s="215">
        <f t="shared" si="2"/>
        <v>1.03176794081916</v>
      </c>
      <c r="D18" s="142"/>
      <c r="E18" s="142">
        <f>AVERAGEIFS(Data!AB:AB,Data!$B:$B,'Rate Class Customer Model'!$A18)</f>
        <v>2510.0833333333335</v>
      </c>
      <c r="F18" s="215">
        <f t="shared" si="3"/>
        <v>1.0211200759373518</v>
      </c>
      <c r="G18" s="142"/>
      <c r="H18" s="142">
        <f>AVERAGEIFS(Data!AC:AC,Data!$B:$B,'Rate Class Customer Model'!$A18)</f>
        <v>279.5</v>
      </c>
      <c r="I18" s="215">
        <f t="shared" si="4"/>
        <v>1.0269442743417023</v>
      </c>
      <c r="J18" s="142"/>
      <c r="K18" s="142">
        <v>11.5</v>
      </c>
      <c r="L18" s="215">
        <f t="shared" si="5"/>
        <v>1</v>
      </c>
      <c r="M18" s="142"/>
      <c r="N18" s="142">
        <v>3</v>
      </c>
      <c r="O18" s="215">
        <f t="shared" si="6"/>
        <v>1.2</v>
      </c>
      <c r="P18" s="142"/>
      <c r="Q18" s="207">
        <v>3071.5</v>
      </c>
      <c r="R18" s="215">
        <f t="shared" si="7"/>
        <v>1.0175583899287726</v>
      </c>
      <c r="S18" s="207"/>
      <c r="T18" s="142">
        <v>253.5</v>
      </c>
      <c r="U18" s="215">
        <f t="shared" si="8"/>
        <v>0.97312859884836855</v>
      </c>
      <c r="V18" s="142"/>
      <c r="W18" s="142">
        <v>190.5</v>
      </c>
      <c r="X18" s="215">
        <f t="shared" si="9"/>
        <v>0.9921875</v>
      </c>
      <c r="Y18" s="142"/>
      <c r="Z18" s="142">
        <f t="shared" si="0"/>
        <v>38026.5</v>
      </c>
      <c r="AB18" s="258">
        <f t="shared" ref="AB18:AB26" si="10">+B18+E18+H18+K18+N18</f>
        <v>34511</v>
      </c>
      <c r="AC18" s="257"/>
      <c r="AD18" s="57"/>
    </row>
    <row r="19" spans="1:31" x14ac:dyDescent="0.2">
      <c r="A19" s="3">
        <f>A18+1</f>
        <v>2015</v>
      </c>
      <c r="B19" s="142">
        <f>AVERAGEIFS(Data!AA:AA,Data!$B:$B,'Rate Class Customer Model'!$A19)</f>
        <v>32717.583333333332</v>
      </c>
      <c r="C19" s="215">
        <f t="shared" si="2"/>
        <v>1.0318752743223745</v>
      </c>
      <c r="D19" s="142"/>
      <c r="E19" s="142">
        <f>AVERAGEIFS(Data!AB:AB,Data!$B:$B,'Rate Class Customer Model'!$A19)</f>
        <v>2551.8333333333335</v>
      </c>
      <c r="F19" s="215">
        <f t="shared" si="3"/>
        <v>1.0166329139138808</v>
      </c>
      <c r="G19" s="142"/>
      <c r="H19" s="142">
        <f>AVERAGEIFS(Data!AC:AC,Data!$B:$B,'Rate Class Customer Model'!$A19)</f>
        <v>290.58333333333331</v>
      </c>
      <c r="I19" s="215">
        <f t="shared" si="4"/>
        <v>1.0396541443053071</v>
      </c>
      <c r="J19" s="142"/>
      <c r="K19" s="142">
        <f>AVERAGEIFS(Data!AD:AD,Data!$B:$B,'Rate Class Customer Model'!$A19)</f>
        <v>12.583333333333334</v>
      </c>
      <c r="L19" s="215">
        <f t="shared" si="5"/>
        <v>1.0942028985507246</v>
      </c>
      <c r="M19" s="142"/>
      <c r="N19" s="142">
        <f>AVERAGEIFS(Data!AE:AE,Data!$B:$B,'Rate Class Customer Model'!$A19)</f>
        <v>3</v>
      </c>
      <c r="O19" s="215">
        <f t="shared" si="6"/>
        <v>1</v>
      </c>
      <c r="P19" s="142"/>
      <c r="Q19" s="207">
        <f>AVERAGEIFS(Data!AF:AF,Data!$B:$B,'Rate Class Customer Model'!$A19)</f>
        <v>3127.6666666666665</v>
      </c>
      <c r="R19" s="215">
        <f t="shared" si="7"/>
        <v>1.0182863964403928</v>
      </c>
      <c r="S19" s="207"/>
      <c r="T19" s="142">
        <f>AVERAGEIFS(Data!AG:AG,Data!$B:$B,'Rate Class Customer Model'!$A19)</f>
        <v>249.47058823529406</v>
      </c>
      <c r="U19" s="215">
        <f t="shared" si="8"/>
        <v>0.98410488455737299</v>
      </c>
      <c r="V19" s="142"/>
      <c r="W19" s="142">
        <f>AVERAGEIFS(Data!AH:AH,Data!$B:$B,'Rate Class Customer Model'!$A19)</f>
        <v>207.16666666666666</v>
      </c>
      <c r="X19" s="215">
        <f t="shared" si="9"/>
        <v>1.0874890638670165</v>
      </c>
      <c r="Y19" s="142"/>
      <c r="Z19" s="142">
        <f t="shared" si="0"/>
        <v>39159.887254901958</v>
      </c>
      <c r="AB19" s="258">
        <f t="shared" si="10"/>
        <v>35575.583333333336</v>
      </c>
      <c r="AC19" s="257"/>
      <c r="AD19" s="57"/>
    </row>
    <row r="20" spans="1:31" x14ac:dyDescent="0.2">
      <c r="A20" s="3">
        <f t="shared" ref="A20:A25" si="11">A19+1</f>
        <v>2016</v>
      </c>
      <c r="B20" s="142">
        <f>AVERAGEIFS(Data!AA:AA,Data!$B:$B,'Rate Class Customer Model'!$A20)</f>
        <v>33532.916666666664</v>
      </c>
      <c r="C20" s="215">
        <f t="shared" si="2"/>
        <v>1.0249203409991059</v>
      </c>
      <c r="D20" s="142"/>
      <c r="E20" s="142">
        <f>AVERAGEIFS(Data!AB:AB,Data!$B:$B,'Rate Class Customer Model'!$A20)</f>
        <v>2602.9166666666665</v>
      </c>
      <c r="F20" s="215">
        <f t="shared" si="3"/>
        <v>1.0200182875057147</v>
      </c>
      <c r="G20" s="142"/>
      <c r="H20" s="142">
        <f>AVERAGEIFS(Data!AC:AC,Data!$B:$B,'Rate Class Customer Model'!$A20)</f>
        <v>297.66666666666669</v>
      </c>
      <c r="I20" s="215">
        <f t="shared" si="4"/>
        <v>1.0243762546601665</v>
      </c>
      <c r="J20" s="142"/>
      <c r="K20" s="142">
        <f>AVERAGEIFS(Data!AD:AD,Data!$B:$B,'Rate Class Customer Model'!$A20)</f>
        <v>13.5</v>
      </c>
      <c r="L20" s="215">
        <f t="shared" si="5"/>
        <v>1.0728476821192052</v>
      </c>
      <c r="M20" s="142"/>
      <c r="N20" s="142">
        <f>AVERAGEIFS(Data!AE:AE,Data!$B:$B,'Rate Class Customer Model'!$A20)</f>
        <v>3</v>
      </c>
      <c r="O20" s="215">
        <f t="shared" si="6"/>
        <v>1</v>
      </c>
      <c r="P20" s="142"/>
      <c r="Q20" s="207">
        <f>AVERAGEIFS(Data!AF:AF,Data!$B:$B,'Rate Class Customer Model'!$A20)</f>
        <v>3165</v>
      </c>
      <c r="R20" s="215">
        <f t="shared" si="7"/>
        <v>1.011936480869658</v>
      </c>
      <c r="S20" s="207"/>
      <c r="T20" s="142">
        <f>AVERAGEIFS(Data!AG:AG,Data!$B:$B,'Rate Class Customer Model'!$A20)</f>
        <v>246.64705882352919</v>
      </c>
      <c r="U20" s="215">
        <f t="shared" si="8"/>
        <v>0.98868191464277233</v>
      </c>
      <c r="V20" s="142"/>
      <c r="W20" s="142">
        <f>AVERAGEIFS(Data!AH:AH,Data!$B:$B,'Rate Class Customer Model'!$A20)</f>
        <v>222.41666666666666</v>
      </c>
      <c r="X20" s="215">
        <f t="shared" si="9"/>
        <v>1.0736122284794851</v>
      </c>
      <c r="Y20" s="142"/>
      <c r="Z20" s="142">
        <f t="shared" si="0"/>
        <v>40084.063725490189</v>
      </c>
      <c r="AB20" s="258">
        <f t="shared" si="10"/>
        <v>36449.999999999993</v>
      </c>
      <c r="AC20" s="257"/>
      <c r="AD20" s="57"/>
    </row>
    <row r="21" spans="1:31" x14ac:dyDescent="0.2">
      <c r="A21" s="3">
        <f t="shared" si="11"/>
        <v>2017</v>
      </c>
      <c r="B21" s="142">
        <f>AVERAGEIFS(Data!AA:AA,Data!$B:$B,'Rate Class Customer Model'!$A21)</f>
        <v>34343.25</v>
      </c>
      <c r="C21" s="215">
        <f t="shared" si="2"/>
        <v>1.0241653102051467</v>
      </c>
      <c r="D21" s="142"/>
      <c r="E21" s="142">
        <f>AVERAGEIFS(Data!AB:AB,Data!$B:$B,'Rate Class Customer Model'!$A21)</f>
        <v>2646.3333333333335</v>
      </c>
      <c r="F21" s="215">
        <f t="shared" si="3"/>
        <v>1.0166800064030737</v>
      </c>
      <c r="G21" s="142"/>
      <c r="H21" s="142">
        <f>AVERAGEIFS(Data!AC:AC,Data!$B:$B,'Rate Class Customer Model'!$A21)</f>
        <v>319.25</v>
      </c>
      <c r="I21" s="215">
        <f t="shared" si="4"/>
        <v>1.0725083986562149</v>
      </c>
      <c r="J21" s="142"/>
      <c r="K21" s="142">
        <f>AVERAGEIFS(Data!AD:AD,Data!$B:$B,'Rate Class Customer Model'!$A21)</f>
        <v>15</v>
      </c>
      <c r="L21" s="215">
        <f t="shared" si="5"/>
        <v>1.1111111111111112</v>
      </c>
      <c r="M21" s="142"/>
      <c r="N21" s="142">
        <f>AVERAGEIFS(Data!AE:AE,Data!$B:$B,'Rate Class Customer Model'!$A21)</f>
        <v>3</v>
      </c>
      <c r="O21" s="215">
        <f t="shared" si="6"/>
        <v>1</v>
      </c>
      <c r="P21" s="142"/>
      <c r="Q21" s="207">
        <f>AVERAGEIFS(Data!AF:AF,Data!$B:$B,'Rate Class Customer Model'!$A21)</f>
        <v>3230.8333333333335</v>
      </c>
      <c r="R21" s="215">
        <f t="shared" si="7"/>
        <v>1.0208004212743549</v>
      </c>
      <c r="S21" s="207"/>
      <c r="T21" s="142">
        <f>AVERAGEIFS(Data!AG:AG,Data!$B:$B,'Rate Class Customer Model'!$A21)</f>
        <v>243.82352941176433</v>
      </c>
      <c r="U21" s="215">
        <f t="shared" si="8"/>
        <v>0.98855234915335011</v>
      </c>
      <c r="V21" s="142"/>
      <c r="W21" s="142">
        <f>AVERAGEIFS(Data!AH:AH,Data!$B:$B,'Rate Class Customer Model'!$A21)</f>
        <v>215.58333333333334</v>
      </c>
      <c r="X21" s="215">
        <f t="shared" si="9"/>
        <v>0.96927688272761348</v>
      </c>
      <c r="Y21" s="142"/>
      <c r="Z21" s="142">
        <f t="shared" si="0"/>
        <v>41017.073529411769</v>
      </c>
      <c r="AB21" s="258">
        <f t="shared" si="10"/>
        <v>37326.833333333336</v>
      </c>
      <c r="AC21" s="257"/>
      <c r="AD21" s="57"/>
    </row>
    <row r="22" spans="1:31" x14ac:dyDescent="0.2">
      <c r="A22" s="3">
        <f t="shared" si="11"/>
        <v>2018</v>
      </c>
      <c r="B22" s="142">
        <f>AVERAGEIFS(Data!AA:AA,Data!$B:$B,'Rate Class Customer Model'!$A22)</f>
        <v>35796.166666666664</v>
      </c>
      <c r="C22" s="215">
        <f t="shared" si="2"/>
        <v>1.0423057417881727</v>
      </c>
      <c r="D22" s="142"/>
      <c r="E22" s="142">
        <f>AVERAGEIFS(Data!AB:AB,Data!$B:$B,'Rate Class Customer Model'!$A22)</f>
        <v>2685.9166666666665</v>
      </c>
      <c r="F22" s="215">
        <f t="shared" si="3"/>
        <v>1.0149578032497795</v>
      </c>
      <c r="G22" s="142"/>
      <c r="H22" s="142">
        <f>AVERAGEIFS(Data!AC:AC,Data!$B:$B,'Rate Class Customer Model'!$A22)</f>
        <v>329.66666666666669</v>
      </c>
      <c r="I22" s="215">
        <f t="shared" si="4"/>
        <v>1.0326285565126598</v>
      </c>
      <c r="J22" s="142"/>
      <c r="K22" s="142">
        <f>AVERAGEIFS(Data!AD:AD,Data!$B:$B,'Rate Class Customer Model'!$A22)</f>
        <v>14.166666666666666</v>
      </c>
      <c r="L22" s="215">
        <f t="shared" si="5"/>
        <v>0.94444444444444442</v>
      </c>
      <c r="M22" s="142"/>
      <c r="N22" s="142">
        <f>AVERAGEIFS(Data!AE:AE,Data!$B:$B,'Rate Class Customer Model'!$A22)</f>
        <v>3</v>
      </c>
      <c r="O22" s="215">
        <f t="shared" si="6"/>
        <v>1</v>
      </c>
      <c r="P22" s="142"/>
      <c r="Q22" s="207">
        <f>AVERAGEIFS(Data!AF:AF,Data!$B:$B,'Rate Class Customer Model'!$A22)</f>
        <v>3261.8852459016393</v>
      </c>
      <c r="R22" s="215">
        <f t="shared" si="7"/>
        <v>1.0096111155744047</v>
      </c>
      <c r="S22" s="207"/>
      <c r="T22" s="142">
        <f>AVERAGEIFS(Data!AG:AG,Data!$B:$B,'Rate Class Customer Model'!$A22)</f>
        <v>240.99999999999946</v>
      </c>
      <c r="U22" s="215">
        <f t="shared" si="8"/>
        <v>0.98841978287092813</v>
      </c>
      <c r="V22" s="142"/>
      <c r="W22" s="142">
        <f>AVERAGEIFS(Data!AH:AH,Data!$B:$B,'Rate Class Customer Model'!$A22)</f>
        <v>219.08333333333334</v>
      </c>
      <c r="X22" s="215">
        <f t="shared" si="9"/>
        <v>1.016235021260147</v>
      </c>
      <c r="Y22" s="142"/>
      <c r="Z22" s="142">
        <f t="shared" si="0"/>
        <v>42550.885245901634</v>
      </c>
      <c r="AB22" s="258">
        <f t="shared" si="10"/>
        <v>38828.916666666657</v>
      </c>
      <c r="AC22" s="257"/>
      <c r="AD22" s="57"/>
    </row>
    <row r="23" spans="1:31" x14ac:dyDescent="0.2">
      <c r="A23" s="3">
        <f t="shared" si="11"/>
        <v>2019</v>
      </c>
      <c r="B23" s="142">
        <f>AVERAGEIFS(Data!AA:AA,Data!$B:$B,'Rate Class Customer Model'!$A23)</f>
        <v>37001.166666666664</v>
      </c>
      <c r="C23" s="215">
        <f t="shared" si="2"/>
        <v>1.0336628223692481</v>
      </c>
      <c r="D23" s="142"/>
      <c r="E23" s="142">
        <f>AVERAGEIFS(Data!AB:AB,Data!$B:$B,'Rate Class Customer Model'!$A23)</f>
        <v>2691.6666666666665</v>
      </c>
      <c r="F23" s="215">
        <f t="shared" si="3"/>
        <v>1.0021407961279514</v>
      </c>
      <c r="G23" s="142"/>
      <c r="H23" s="142">
        <f>AVERAGEIFS(Data!AC:AC,Data!$B:$B,'Rate Class Customer Model'!$A23)</f>
        <v>342.33333333333331</v>
      </c>
      <c r="I23" s="215">
        <f t="shared" si="4"/>
        <v>1.0384226491405459</v>
      </c>
      <c r="J23" s="142"/>
      <c r="K23" s="142">
        <f>AVERAGEIFS(Data!AD:AD,Data!$B:$B,'Rate Class Customer Model'!$A23)</f>
        <v>14</v>
      </c>
      <c r="L23" s="215">
        <f t="shared" si="5"/>
        <v>0.9882352941176471</v>
      </c>
      <c r="M23" s="142"/>
      <c r="N23" s="142">
        <f>AVERAGEIFS(Data!AE:AE,Data!$B:$B,'Rate Class Customer Model'!$A23)</f>
        <v>3</v>
      </c>
      <c r="O23" s="215">
        <f t="shared" si="6"/>
        <v>1</v>
      </c>
      <c r="P23" s="142"/>
      <c r="Q23" s="207">
        <f>AVERAGEIFS(Data!AF:AF,Data!$B:$B,'Rate Class Customer Model'!$A23)</f>
        <v>3279.25</v>
      </c>
      <c r="R23" s="215">
        <f t="shared" si="7"/>
        <v>1.0053235331071744</v>
      </c>
      <c r="S23" s="207"/>
      <c r="T23" s="142">
        <f>AVERAGEIFS(Data!AG:AG,Data!$B:$B,'Rate Class Customer Model'!$A23)</f>
        <v>238.17647058823459</v>
      </c>
      <c r="U23" s="215">
        <f t="shared" si="8"/>
        <v>0.98828411032462704</v>
      </c>
      <c r="V23" s="142"/>
      <c r="W23" s="142">
        <f>AVERAGEIFS(Data!AH:AH,Data!$B:$B,'Rate Class Customer Model'!$A23)</f>
        <v>216.66666666666666</v>
      </c>
      <c r="X23" s="215">
        <f t="shared" si="9"/>
        <v>0.98896918980600979</v>
      </c>
      <c r="Y23" s="142"/>
      <c r="Z23" s="142">
        <f t="shared" si="0"/>
        <v>43786.259803921566</v>
      </c>
      <c r="AB23" s="258">
        <f t="shared" si="10"/>
        <v>40052.166666666664</v>
      </c>
      <c r="AC23" s="257"/>
      <c r="AD23" s="57"/>
    </row>
    <row r="24" spans="1:31" x14ac:dyDescent="0.2">
      <c r="A24" s="3">
        <f t="shared" si="11"/>
        <v>2020</v>
      </c>
      <c r="B24" s="142">
        <f>AVERAGEIFS(Data!AA:AA,Data!$B:$B,'Rate Class Customer Model'!$A24)</f>
        <v>37705.916666666664</v>
      </c>
      <c r="C24" s="215">
        <f t="shared" si="2"/>
        <v>1.019046696725779</v>
      </c>
      <c r="D24" s="142"/>
      <c r="E24" s="142">
        <f>AVERAGEIFS(Data!AB:AB,Data!$B:$B,'Rate Class Customer Model'!$A24)</f>
        <v>2724.9166666666665</v>
      </c>
      <c r="F24" s="215">
        <f t="shared" si="3"/>
        <v>1.0123529411764707</v>
      </c>
      <c r="G24" s="142"/>
      <c r="H24" s="142">
        <f>AVERAGEIFS(Data!AC:AC,Data!$B:$B,'Rate Class Customer Model'!$A24)</f>
        <v>352.75</v>
      </c>
      <c r="I24" s="215">
        <f t="shared" si="4"/>
        <v>1.0304284323271666</v>
      </c>
      <c r="J24" s="142"/>
      <c r="K24" s="142">
        <f>AVERAGEIFS(Data!AD:AD,Data!$B:$B,'Rate Class Customer Model'!$A24)</f>
        <v>14.583333333333334</v>
      </c>
      <c r="L24" s="215">
        <f t="shared" si="5"/>
        <v>1.0416666666666667</v>
      </c>
      <c r="M24" s="142"/>
      <c r="N24" s="142">
        <f>AVERAGEIFS(Data!AE:AE,Data!$B:$B,'Rate Class Customer Model'!$A24)</f>
        <v>3</v>
      </c>
      <c r="O24" s="215">
        <f t="shared" si="6"/>
        <v>1</v>
      </c>
      <c r="P24" s="142"/>
      <c r="Q24" s="207">
        <f>AVERAGEIFS(Data!AF:AF,Data!$B:$B,'Rate Class Customer Model'!$A24)</f>
        <v>3217.6372549019611</v>
      </c>
      <c r="R24" s="215">
        <f t="shared" si="7"/>
        <v>0.98121133030478347</v>
      </c>
      <c r="S24" s="207"/>
      <c r="T24" s="142">
        <f>AVERAGEIFS(Data!AG:AG,Data!$B:$B,'Rate Class Customer Model'!$A24)</f>
        <v>235.88235294117598</v>
      </c>
      <c r="U24" s="215">
        <f t="shared" si="8"/>
        <v>0.99036799209681492</v>
      </c>
      <c r="V24" s="142"/>
      <c r="W24" s="142">
        <f>AVERAGEIFS(Data!AH:AH,Data!$B:$B,'Rate Class Customer Model'!$A24)</f>
        <v>215.75</v>
      </c>
      <c r="X24" s="215">
        <f t="shared" si="9"/>
        <v>0.99576923076923085</v>
      </c>
      <c r="Y24" s="142"/>
      <c r="Z24" s="142">
        <f t="shared" si="0"/>
        <v>44470.436274509797</v>
      </c>
      <c r="AB24" s="258">
        <f t="shared" si="10"/>
        <v>40801.166666666664</v>
      </c>
      <c r="AC24" s="257"/>
      <c r="AD24" s="57"/>
    </row>
    <row r="25" spans="1:31" x14ac:dyDescent="0.2">
      <c r="A25" s="3">
        <f t="shared" si="11"/>
        <v>2021</v>
      </c>
      <c r="B25" s="142">
        <f>AVERAGEIFS(Data!AA:AA,Data!$B:$B,'Rate Class Customer Model'!$A25)</f>
        <v>38491.25</v>
      </c>
      <c r="C25" s="215">
        <f t="shared" si="2"/>
        <v>1.0208278541608191</v>
      </c>
      <c r="D25" s="142"/>
      <c r="E25" s="142">
        <f>AVERAGEIFS(Data!AB:AB,Data!$B:$B,'Rate Class Customer Model'!$A25)</f>
        <v>2875.75</v>
      </c>
      <c r="F25" s="215">
        <f t="shared" si="3"/>
        <v>1.0553533747209396</v>
      </c>
      <c r="G25" s="142"/>
      <c r="H25" s="142">
        <f>AVERAGEIFS(Data!AC:AC,Data!$B:$B,'Rate Class Customer Model'!$A25)</f>
        <v>344.58333333333331</v>
      </c>
      <c r="I25" s="215">
        <f t="shared" si="4"/>
        <v>0.97684857075360254</v>
      </c>
      <c r="J25" s="142"/>
      <c r="K25" s="142">
        <f>AVERAGEIFS(Data!AD:AD,Data!$B:$B,'Rate Class Customer Model'!$A25)</f>
        <v>13.916666666666666</v>
      </c>
      <c r="L25" s="215">
        <f t="shared" si="5"/>
        <v>0.95428571428571418</v>
      </c>
      <c r="M25" s="142"/>
      <c r="N25" s="142">
        <f>AVERAGEIFS(Data!AE:AE,Data!$B:$B,'Rate Class Customer Model'!$A25)</f>
        <v>3</v>
      </c>
      <c r="O25" s="215">
        <f t="shared" si="6"/>
        <v>1</v>
      </c>
      <c r="P25" s="142"/>
      <c r="Q25" s="207">
        <f>AVERAGEIFS(Data!AF:AF,Data!$B:$B,'Rate Class Customer Model'!$A25)</f>
        <v>2891.9519230769233</v>
      </c>
      <c r="R25" s="215">
        <f t="shared" si="7"/>
        <v>0.8987812155242586</v>
      </c>
      <c r="S25" s="207"/>
      <c r="T25" s="142">
        <f>AVERAGEIFS(Data!AG:AG,Data!$B:$B,'Rate Class Customer Model'!$A25)</f>
        <v>237</v>
      </c>
      <c r="U25" s="215">
        <f t="shared" si="8"/>
        <v>1.0047381546134684</v>
      </c>
      <c r="V25" s="142"/>
      <c r="W25" s="142">
        <f>AVERAGEIFS(Data!AH:AH,Data!$B:$B,'Rate Class Customer Model'!$A25)</f>
        <v>216.41666666666666</v>
      </c>
      <c r="X25" s="215">
        <f t="shared" si="9"/>
        <v>1.0030899961375048</v>
      </c>
      <c r="Y25" s="142"/>
      <c r="Z25" s="142">
        <f>B25+E25+H25+K25+N25+Q25+T25+W25</f>
        <v>45073.868589743586</v>
      </c>
      <c r="AB25" s="258">
        <f t="shared" si="10"/>
        <v>41728.5</v>
      </c>
      <c r="AC25" s="257"/>
      <c r="AD25" s="57"/>
    </row>
    <row r="26" spans="1:31" x14ac:dyDescent="0.2">
      <c r="A26" s="3">
        <v>2022</v>
      </c>
      <c r="B26" s="218">
        <f>B25+B44</f>
        <v>39241.25</v>
      </c>
      <c r="C26" s="216">
        <f>GEOMEAN(C17:C24)</f>
        <v>1.0340844711015764</v>
      </c>
      <c r="D26" s="214"/>
      <c r="E26" s="218">
        <f>F26*E25</f>
        <v>2921.5020158639936</v>
      </c>
      <c r="F26" s="216">
        <f>GEOMEAN(F17:F24)</f>
        <v>1.0159095943193928</v>
      </c>
      <c r="G26" s="214"/>
      <c r="H26" s="218">
        <f>I26*H25</f>
        <v>356.07358069640776</v>
      </c>
      <c r="I26" s="216">
        <f>GEOMEAN(I17:I24)</f>
        <v>1.0333453369666006</v>
      </c>
      <c r="J26" s="214"/>
      <c r="K26" s="218">
        <f>ROUND(K25*L26,0)</f>
        <v>14</v>
      </c>
      <c r="L26" s="216">
        <f>GEOMEAN(L17:L25)</f>
        <v>1.016600788267966</v>
      </c>
      <c r="M26" s="214"/>
      <c r="N26" s="218">
        <f>ROUND(N25*O26,0)</f>
        <v>3</v>
      </c>
      <c r="O26" s="216">
        <f>GEOMEAN(O17:O25)</f>
        <v>1.0460819186432146</v>
      </c>
      <c r="P26" s="214"/>
      <c r="Q26" s="218">
        <f>R26*Q25</f>
        <v>2924.0737740938407</v>
      </c>
      <c r="R26" s="216">
        <f>GEOMEAN(R17:R24)</f>
        <v>1.0111073253882938</v>
      </c>
      <c r="S26" s="214"/>
      <c r="T26" s="218">
        <f>U26*T25</f>
        <v>234.07753306777536</v>
      </c>
      <c r="U26" s="216">
        <f>GEOMEAN(U17:U25)</f>
        <v>0.98766891589778638</v>
      </c>
      <c r="V26" s="214"/>
      <c r="W26" s="218">
        <f>X26*W25</f>
        <v>219.63409450959887</v>
      </c>
      <c r="X26" s="216">
        <f>GEOMEAN(X17:X25)</f>
        <v>1.0148668209916005</v>
      </c>
      <c r="Y26" s="214"/>
      <c r="Z26" s="214">
        <f>B26+E26+H26+K26+N26+Q26+T26+W26</f>
        <v>45913.610998231627</v>
      </c>
      <c r="AB26" s="258">
        <f t="shared" si="10"/>
        <v>42535.825596560404</v>
      </c>
      <c r="AC26" s="257"/>
      <c r="AD26" s="57"/>
    </row>
    <row r="27" spans="1:31" x14ac:dyDescent="0.2">
      <c r="A27" s="3">
        <v>2023</v>
      </c>
      <c r="B27" s="218">
        <f>B26+B45</f>
        <v>40191.25</v>
      </c>
      <c r="C27" s="216">
        <f>C26</f>
        <v>1.0340844711015764</v>
      </c>
      <c r="D27" s="214"/>
      <c r="E27" s="218">
        <f>E26*F27</f>
        <v>2967.9819277396778</v>
      </c>
      <c r="F27" s="216">
        <f>F26</f>
        <v>1.0159095943193928</v>
      </c>
      <c r="G27" s="214"/>
      <c r="H27" s="218">
        <f>H26*I27</f>
        <v>367.9469742296335</v>
      </c>
      <c r="I27" s="216">
        <f>I26</f>
        <v>1.0333453369666006</v>
      </c>
      <c r="J27" s="214"/>
      <c r="K27" s="218">
        <f>ROUND(K26*L27,0)</f>
        <v>14</v>
      </c>
      <c r="L27" s="216">
        <f>L26</f>
        <v>1.016600788267966</v>
      </c>
      <c r="M27" s="214"/>
      <c r="N27" s="218">
        <f>ROUND(N26*O27,0)</f>
        <v>3</v>
      </c>
      <c r="O27" s="216">
        <f>O26</f>
        <v>1.0460819186432146</v>
      </c>
      <c r="P27" s="214"/>
      <c r="Q27" s="218">
        <f>Q26*R27</f>
        <v>2956.5524129620776</v>
      </c>
      <c r="R27" s="216">
        <f>R26</f>
        <v>1.0111073253882938</v>
      </c>
      <c r="S27" s="214"/>
      <c r="T27" s="218">
        <f>T26*U27</f>
        <v>231.19110332107795</v>
      </c>
      <c r="U27" s="216">
        <f>U26</f>
        <v>0.98766891589778638</v>
      </c>
      <c r="V27" s="214"/>
      <c r="W27" s="218">
        <f>W26*X27</f>
        <v>222.89935527632534</v>
      </c>
      <c r="X27" s="216">
        <f>X26</f>
        <v>1.0148668209916005</v>
      </c>
      <c r="Y27" s="214"/>
      <c r="Z27" s="214">
        <f>B27+E27+H27+K27+N27+Q27+T27+W27</f>
        <v>46954.821773528791</v>
      </c>
      <c r="AB27" s="5">
        <f>+B27+E27+H27+K27+N27</f>
        <v>43544.17890196931</v>
      </c>
      <c r="AC27" s="257"/>
      <c r="AD27" s="57"/>
    </row>
    <row r="28" spans="1:31" x14ac:dyDescent="0.2">
      <c r="A28" s="12"/>
      <c r="C28" s="257">
        <f>GEOMEAN(C17:C25)</f>
        <v>1.0326030529249244</v>
      </c>
      <c r="F28" s="257">
        <f>GEOMEAN(F17:F25)</f>
        <v>1.0202184080257937</v>
      </c>
      <c r="I28" s="257">
        <f>GEOMEAN(I17:I25)</f>
        <v>1.0269099134365283</v>
      </c>
      <c r="L28" s="257">
        <f>GEOMEAN(L17:L25)</f>
        <v>1.016600788267966</v>
      </c>
      <c r="O28" s="257">
        <f>GEOMEAN(O17:O25)</f>
        <v>1.0460819186432146</v>
      </c>
      <c r="R28" s="257">
        <f>GEOMEAN(R17:R25)</f>
        <v>0.99796353176205166</v>
      </c>
      <c r="U28" s="257">
        <f>GEOMEAN(U17:U25)</f>
        <v>0.98766891589778638</v>
      </c>
      <c r="X28" s="257">
        <f>GEOMEAN(X17:X25)</f>
        <v>1.0148668209916005</v>
      </c>
      <c r="AC28" s="257"/>
    </row>
    <row r="29" spans="1:31" s="197" customFormat="1" ht="25.5" customHeight="1" x14ac:dyDescent="0.2">
      <c r="A29" s="220"/>
      <c r="B29" s="330" t="s">
        <v>313</v>
      </c>
      <c r="C29" s="330"/>
      <c r="D29" s="205"/>
      <c r="E29" s="330" t="s">
        <v>314</v>
      </c>
      <c r="F29" s="330"/>
      <c r="G29" s="205"/>
      <c r="H29" s="330" t="s">
        <v>314</v>
      </c>
      <c r="I29" s="330"/>
      <c r="J29" s="205"/>
      <c r="K29" s="330" t="s">
        <v>315</v>
      </c>
      <c r="L29" s="330"/>
      <c r="M29" s="205"/>
      <c r="N29" s="330" t="s">
        <v>316</v>
      </c>
      <c r="O29" s="330"/>
      <c r="P29" s="205"/>
      <c r="Q29" s="330" t="s">
        <v>314</v>
      </c>
      <c r="R29" s="330"/>
      <c r="S29" s="205"/>
      <c r="T29" s="330" t="s">
        <v>317</v>
      </c>
      <c r="U29" s="330"/>
      <c r="V29" s="205"/>
      <c r="W29" s="330" t="s">
        <v>318</v>
      </c>
      <c r="X29" s="330"/>
      <c r="Y29" s="205"/>
      <c r="Z29" s="205"/>
      <c r="AA29" s="205"/>
      <c r="AB29" s="205"/>
      <c r="AC29" s="205"/>
      <c r="AD29" s="205"/>
      <c r="AE29" s="205"/>
    </row>
    <row r="30" spans="1:31" x14ac:dyDescent="0.2">
      <c r="A30" s="12"/>
      <c r="B30" s="39"/>
      <c r="C30" s="39"/>
      <c r="E30" s="331" t="s">
        <v>319</v>
      </c>
      <c r="F30" s="331"/>
      <c r="G30" s="331"/>
      <c r="H30" s="331"/>
      <c r="I30" s="331"/>
      <c r="J30" s="331"/>
      <c r="K30" s="331"/>
      <c r="L30" s="331"/>
      <c r="N30" s="39"/>
      <c r="O30" s="39"/>
      <c r="Q30" s="39"/>
      <c r="R30" s="39"/>
      <c r="T30" s="39"/>
      <c r="U30" s="39"/>
      <c r="W30" s="39"/>
      <c r="X30" s="39"/>
    </row>
    <row r="31" spans="1:31" x14ac:dyDescent="0.2">
      <c r="A31" s="12" t="s">
        <v>320</v>
      </c>
    </row>
    <row r="32" spans="1:31" x14ac:dyDescent="0.2">
      <c r="A32" s="3">
        <v>2022</v>
      </c>
      <c r="B32" s="38">
        <f>AVERAGE(B60:B71)</f>
        <v>39229.25</v>
      </c>
      <c r="C32" s="38"/>
      <c r="D32" s="38"/>
      <c r="E32" s="38">
        <f>AVERAGE(E60:E71)</f>
        <v>2943.0857992373026</v>
      </c>
      <c r="F32" s="38"/>
      <c r="G32" s="38"/>
      <c r="H32" s="38">
        <f>AVERAGE(H60:H71)</f>
        <v>332.7072304649999</v>
      </c>
      <c r="I32" s="38"/>
      <c r="J32" s="38"/>
      <c r="K32" s="38">
        <f>AVERAGE(K60:K71)</f>
        <v>12</v>
      </c>
      <c r="L32" s="38"/>
      <c r="M32" s="38"/>
      <c r="N32" s="38">
        <f>AVERAGE(N60:N71)</f>
        <v>3</v>
      </c>
      <c r="O32" s="38"/>
      <c r="P32" s="38"/>
      <c r="Q32" s="38">
        <f>AVERAGE(Q60:Q71)</f>
        <v>2904.6832348918383</v>
      </c>
      <c r="R32" s="38"/>
      <c r="S32" s="38"/>
      <c r="T32" s="38">
        <f>AVERAGE(T60:T71)</f>
        <v>234.07753306777542</v>
      </c>
      <c r="U32" s="38"/>
      <c r="V32" s="38"/>
      <c r="W32" s="38">
        <f>AVERAGE(W60:W71)</f>
        <v>219.59999999999994</v>
      </c>
      <c r="X32" s="38"/>
      <c r="Y32" s="15"/>
    </row>
    <row r="33" spans="1:30" x14ac:dyDescent="0.2">
      <c r="A33" s="3">
        <v>2023</v>
      </c>
      <c r="B33" s="38">
        <f>AVERAGE(B72:B83)</f>
        <v>40087.583333333314</v>
      </c>
      <c r="C33" s="38"/>
      <c r="D33" s="38"/>
      <c r="E33" s="38">
        <f>AVERAGE(E72:E83)</f>
        <v>2989.9091003503345</v>
      </c>
      <c r="F33" s="38"/>
      <c r="G33" s="38"/>
      <c r="H33" s="38">
        <f>AVERAGE(H72:H83)</f>
        <v>343.80146517608017</v>
      </c>
      <c r="I33" s="38"/>
      <c r="J33" s="38"/>
      <c r="K33" s="38">
        <f>AVERAGE(K72:K83)</f>
        <v>12</v>
      </c>
      <c r="L33" s="38"/>
      <c r="M33" s="38"/>
      <c r="N33" s="38">
        <f>AVERAGE(N72:N83)</f>
        <v>3</v>
      </c>
      <c r="O33" s="38"/>
      <c r="P33" s="38"/>
      <c r="Q33" s="38">
        <f>AVERAGE(Q72:Q83)</f>
        <v>2919.41159236661</v>
      </c>
      <c r="R33" s="38"/>
      <c r="S33" s="38"/>
      <c r="T33" s="38">
        <f>AVERAGE(T72:T83)</f>
        <v>231.19110332107812</v>
      </c>
      <c r="U33" s="38"/>
      <c r="V33" s="38"/>
      <c r="W33" s="38">
        <f>AVERAGE(W72:W83)</f>
        <v>222.86475388975543</v>
      </c>
      <c r="X33" s="38"/>
      <c r="Y33" s="15"/>
    </row>
    <row r="34" spans="1:30" x14ac:dyDescent="0.2">
      <c r="A34" s="3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15"/>
    </row>
    <row r="35" spans="1:30" x14ac:dyDescent="0.2">
      <c r="A35" s="222" t="s">
        <v>321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</row>
    <row r="36" spans="1:30" x14ac:dyDescent="0.2">
      <c r="A36" s="3">
        <v>2022</v>
      </c>
      <c r="B36" s="15">
        <f>B40-B32</f>
        <v>0</v>
      </c>
      <c r="C36" s="15"/>
      <c r="D36" s="15"/>
      <c r="E36" s="15">
        <f>E40-E32</f>
        <v>0</v>
      </c>
      <c r="F36" s="15"/>
      <c r="G36" s="15"/>
      <c r="H36" s="15">
        <f>H40-H32</f>
        <v>0</v>
      </c>
      <c r="I36" s="15"/>
      <c r="J36" s="15"/>
      <c r="K36" s="15">
        <f>K40-K32</f>
        <v>0</v>
      </c>
      <c r="L36" s="15"/>
      <c r="M36" s="15"/>
      <c r="N36" s="15">
        <f>N40-N32</f>
        <v>0</v>
      </c>
      <c r="O36" s="15"/>
      <c r="P36" s="15"/>
      <c r="Q36" s="15">
        <f>Q40-Q32</f>
        <v>0</v>
      </c>
      <c r="R36" s="15"/>
      <c r="S36" s="15"/>
      <c r="T36" s="15">
        <f>T40-T32</f>
        <v>0</v>
      </c>
      <c r="U36" s="15"/>
      <c r="V36" s="15"/>
      <c r="W36" s="15">
        <f>W40-W32</f>
        <v>0</v>
      </c>
      <c r="X36" s="15"/>
      <c r="Y36" s="15"/>
    </row>
    <row r="37" spans="1:30" x14ac:dyDescent="0.2">
      <c r="A37" s="3">
        <v>2023</v>
      </c>
      <c r="B37" s="15">
        <f>B41-B33</f>
        <v>0</v>
      </c>
      <c r="E37" s="15">
        <f>E41-E33</f>
        <v>0</v>
      </c>
      <c r="F37" s="15"/>
      <c r="G37" s="15"/>
      <c r="H37" s="15">
        <f>H41-H33</f>
        <v>0</v>
      </c>
      <c r="I37" s="15"/>
      <c r="J37" s="15"/>
      <c r="K37" s="15">
        <f>K41-K33</f>
        <v>0</v>
      </c>
      <c r="L37" s="15"/>
      <c r="M37" s="15"/>
      <c r="N37" s="15">
        <f>N41-N33</f>
        <v>0</v>
      </c>
      <c r="O37" s="15"/>
      <c r="P37" s="15"/>
      <c r="Q37" s="15">
        <f>Q41-Q33</f>
        <v>0</v>
      </c>
      <c r="R37" s="15"/>
      <c r="S37" s="15"/>
      <c r="T37" s="15">
        <f>T41-T33</f>
        <v>0</v>
      </c>
      <c r="U37" s="15"/>
      <c r="V37" s="15"/>
      <c r="W37" s="15">
        <f>W41-W33</f>
        <v>0</v>
      </c>
      <c r="X37" s="15"/>
      <c r="Y37" s="15"/>
    </row>
    <row r="38" spans="1:30" x14ac:dyDescent="0.2">
      <c r="A38" s="12"/>
    </row>
    <row r="39" spans="1:30" x14ac:dyDescent="0.2">
      <c r="A39" s="12" t="s">
        <v>322</v>
      </c>
    </row>
    <row r="40" spans="1:30" x14ac:dyDescent="0.2">
      <c r="A40" s="28">
        <v>2022</v>
      </c>
      <c r="B40" s="5">
        <f>B32</f>
        <v>39229.25</v>
      </c>
      <c r="C40" s="219">
        <f>B40/B25</f>
        <v>1.0191731887117201</v>
      </c>
      <c r="E40" s="5">
        <f>E32</f>
        <v>2943.0857992373026</v>
      </c>
      <c r="F40" s="219">
        <f>E40/E25</f>
        <v>1.0234150392896819</v>
      </c>
      <c r="H40" s="5">
        <f>H32</f>
        <v>332.7072304649999</v>
      </c>
      <c r="I40" s="219">
        <f>H40/H25</f>
        <v>0.96553488889480021</v>
      </c>
      <c r="K40" s="5">
        <f>K32</f>
        <v>12</v>
      </c>
      <c r="L40" s="219">
        <f>K40/K25</f>
        <v>0.86227544910179643</v>
      </c>
      <c r="N40" s="5">
        <f>N26</f>
        <v>3</v>
      </c>
      <c r="O40" s="219">
        <f>N40/N25</f>
        <v>1</v>
      </c>
      <c r="Q40" s="5">
        <f>Q32</f>
        <v>2904.6832348918383</v>
      </c>
      <c r="R40" s="219">
        <f>Q40/Q25</f>
        <v>1.0044023248496363</v>
      </c>
      <c r="T40" s="5">
        <f>T26</f>
        <v>234.07753306777536</v>
      </c>
      <c r="U40" s="219">
        <f>T40/T25</f>
        <v>0.98766891589778638</v>
      </c>
      <c r="W40" s="5">
        <f>W32</f>
        <v>219.59999999999994</v>
      </c>
      <c r="X40" s="219">
        <f>W40/W25</f>
        <v>1.0147092799383901</v>
      </c>
      <c r="Z40" s="214">
        <f>B40+E40+H40+K40+N40+Q40+T40+W40</f>
        <v>45878.403797661922</v>
      </c>
      <c r="AB40" s="258">
        <f>+B40+E40+H40+K40+N40</f>
        <v>42520.043029702305</v>
      </c>
      <c r="AC40" s="257"/>
      <c r="AD40" s="57"/>
    </row>
    <row r="41" spans="1:30" x14ac:dyDescent="0.2">
      <c r="A41" s="28">
        <v>2023</v>
      </c>
      <c r="B41" s="5">
        <f>B33</f>
        <v>40087.583333333314</v>
      </c>
      <c r="C41" s="219">
        <f>B41/B40</f>
        <v>1.0218799322784227</v>
      </c>
      <c r="E41" s="5">
        <f>E33</f>
        <v>2989.9091003503345</v>
      </c>
      <c r="F41" s="219">
        <f>E41/E40</f>
        <v>1.015909594319393</v>
      </c>
      <c r="H41" s="5">
        <f>H33</f>
        <v>343.80146517608017</v>
      </c>
      <c r="I41" s="219">
        <f>H41/H40</f>
        <v>1.0333453369666019</v>
      </c>
      <c r="K41" s="5">
        <f>K33</f>
        <v>12</v>
      </c>
      <c r="L41" s="219">
        <f>K41/K40</f>
        <v>1</v>
      </c>
      <c r="N41" s="5">
        <f>N27</f>
        <v>3</v>
      </c>
      <c r="O41" s="219">
        <f>N41/N40</f>
        <v>1</v>
      </c>
      <c r="Q41" s="5">
        <f>Q33</f>
        <v>2919.41159236661</v>
      </c>
      <c r="R41" s="219">
        <f>Q41/Q40</f>
        <v>1.0050705554732615</v>
      </c>
      <c r="T41" s="5">
        <f>T27</f>
        <v>231.19110332107795</v>
      </c>
      <c r="U41" s="219">
        <f>T41/T40</f>
        <v>0.98766891589778638</v>
      </c>
      <c r="W41" s="5">
        <f>W33</f>
        <v>222.86475388975543</v>
      </c>
      <c r="X41" s="219">
        <f>W41/W40</f>
        <v>1.0148668209916005</v>
      </c>
      <c r="Z41" s="214">
        <f>B41+E41+H41+K41+N41+Q41+T41+W41</f>
        <v>46809.761348437176</v>
      </c>
      <c r="AB41" s="258">
        <f>+B41+E41+H41+K41+N41</f>
        <v>43436.293898859731</v>
      </c>
      <c r="AC41" s="257"/>
      <c r="AD41" s="57"/>
    </row>
    <row r="42" spans="1:30" x14ac:dyDescent="0.2">
      <c r="A42" s="12"/>
    </row>
    <row r="43" spans="1:30" x14ac:dyDescent="0.2">
      <c r="A43" s="221" t="s">
        <v>323</v>
      </c>
      <c r="C43" s="14"/>
      <c r="D43" s="194"/>
      <c r="F43" s="14"/>
      <c r="G43" s="15"/>
      <c r="I43" s="14"/>
      <c r="J43" s="15"/>
      <c r="L43" s="14"/>
      <c r="M43" s="15"/>
      <c r="O43" s="14"/>
      <c r="P43" s="15"/>
      <c r="R43" s="14"/>
      <c r="S43" s="15"/>
      <c r="U43" s="14"/>
      <c r="V43" s="15"/>
      <c r="X43" s="14"/>
      <c r="Y43" s="15"/>
    </row>
    <row r="44" spans="1:30" x14ac:dyDescent="0.2">
      <c r="A44" s="3">
        <v>2022</v>
      </c>
      <c r="B44" s="152">
        <v>750</v>
      </c>
      <c r="C44" s="14"/>
      <c r="D44" s="194"/>
      <c r="E44" s="5">
        <f>E26-E25</f>
        <v>45.75201586399362</v>
      </c>
      <c r="F44" s="14"/>
      <c r="G44" s="15"/>
      <c r="H44" s="5">
        <f>H26-H25</f>
        <v>11.490247363074445</v>
      </c>
      <c r="I44" s="14"/>
      <c r="J44" s="15"/>
      <c r="K44" s="5">
        <f>K26-K25</f>
        <v>8.3333333333333925E-2</v>
      </c>
      <c r="L44" s="14"/>
      <c r="M44" s="15"/>
      <c r="N44" s="5">
        <f>N26-N25</f>
        <v>0</v>
      </c>
      <c r="O44" s="14"/>
      <c r="P44" s="15"/>
      <c r="Q44" s="5">
        <f>Q26-Q25</f>
        <v>32.12185101691739</v>
      </c>
      <c r="R44" s="14"/>
      <c r="S44" s="15"/>
      <c r="T44" s="5">
        <f>T26-T25</f>
        <v>-2.922466932224637</v>
      </c>
      <c r="U44" s="14"/>
      <c r="V44" s="15"/>
      <c r="W44" s="5">
        <f>W26-W25</f>
        <v>3.2174278429322101</v>
      </c>
      <c r="X44" s="14"/>
      <c r="Y44" s="15"/>
    </row>
    <row r="45" spans="1:30" x14ac:dyDescent="0.2">
      <c r="A45" s="3">
        <v>2023</v>
      </c>
      <c r="B45" s="152">
        <v>950</v>
      </c>
      <c r="C45" s="14"/>
      <c r="D45" s="194"/>
      <c r="E45" s="5">
        <f>E27-E26</f>
        <v>46.479911875684138</v>
      </c>
      <c r="F45" s="14"/>
      <c r="G45" s="15"/>
      <c r="H45" s="5">
        <f>H27-H26</f>
        <v>11.873393533225737</v>
      </c>
      <c r="I45" s="14"/>
      <c r="J45" s="15"/>
      <c r="K45" s="5">
        <f>K27-K26</f>
        <v>0</v>
      </c>
      <c r="L45" s="14"/>
      <c r="M45" s="15"/>
      <c r="N45" s="5">
        <f>N27-N26</f>
        <v>0</v>
      </c>
      <c r="O45" s="14"/>
      <c r="P45" s="15"/>
      <c r="Q45" s="5">
        <f>Q27-Q26</f>
        <v>32.478638868236885</v>
      </c>
      <c r="R45" s="14"/>
      <c r="S45" s="15"/>
      <c r="T45" s="5">
        <f>T27-T26</f>
        <v>-2.8864297466974165</v>
      </c>
      <c r="U45" s="14"/>
      <c r="V45" s="15"/>
      <c r="W45" s="5">
        <f>W27-W26</f>
        <v>3.2652607667264704</v>
      </c>
      <c r="X45" s="14"/>
      <c r="Y45" s="15"/>
    </row>
    <row r="46" spans="1:30" x14ac:dyDescent="0.2">
      <c r="A46" s="12"/>
    </row>
    <row r="47" spans="1:30" x14ac:dyDescent="0.2">
      <c r="A47" s="12"/>
    </row>
    <row r="48" spans="1:30" x14ac:dyDescent="0.2">
      <c r="A48" s="217">
        <v>44197</v>
      </c>
      <c r="B48" s="5">
        <f>Data!AA122</f>
        <v>38101</v>
      </c>
      <c r="E48" s="5">
        <f>Data!AB122</f>
        <v>2807</v>
      </c>
      <c r="H48" s="5">
        <f>Data!AC122</f>
        <v>359</v>
      </c>
      <c r="K48" s="5">
        <f>Data!AD122</f>
        <v>15</v>
      </c>
      <c r="N48" s="5">
        <f>Data!AE122</f>
        <v>3</v>
      </c>
      <c r="Q48" s="5">
        <f>Data!AF122</f>
        <v>2933</v>
      </c>
      <c r="T48" s="5">
        <f>Data!AG122</f>
        <v>237</v>
      </c>
      <c r="W48" s="5">
        <f>Data!AH122</f>
        <v>215</v>
      </c>
    </row>
    <row r="49" spans="1:28" x14ac:dyDescent="0.2">
      <c r="A49" s="217">
        <v>44228</v>
      </c>
      <c r="B49" s="5">
        <f>Data!AA123</f>
        <v>38138</v>
      </c>
      <c r="E49" s="5">
        <f>Data!AB123</f>
        <v>2848</v>
      </c>
      <c r="H49" s="5">
        <f>Data!AC123</f>
        <v>359</v>
      </c>
      <c r="K49" s="5">
        <f>Data!AD123</f>
        <v>15</v>
      </c>
      <c r="N49" s="5">
        <f>Data!AE123</f>
        <v>3</v>
      </c>
      <c r="Q49" s="5">
        <f>Data!AF123</f>
        <v>2921</v>
      </c>
      <c r="T49" s="5">
        <f>Data!AG123</f>
        <v>237</v>
      </c>
      <c r="W49" s="5">
        <f>Data!AH123</f>
        <v>215</v>
      </c>
    </row>
    <row r="50" spans="1:28" x14ac:dyDescent="0.2">
      <c r="A50" s="217">
        <v>44256</v>
      </c>
      <c r="B50" s="5">
        <f>Data!AA124</f>
        <v>38255</v>
      </c>
      <c r="E50" s="5">
        <f>Data!AB124</f>
        <v>2849</v>
      </c>
      <c r="H50" s="5">
        <f>Data!AC124</f>
        <v>359</v>
      </c>
      <c r="K50" s="5">
        <f>Data!AD124</f>
        <v>15</v>
      </c>
      <c r="N50" s="5">
        <f>Data!AE124</f>
        <v>3</v>
      </c>
      <c r="Q50" s="5">
        <f>Data!AF124</f>
        <v>2895</v>
      </c>
      <c r="T50" s="5">
        <f>Data!AG124</f>
        <v>237</v>
      </c>
      <c r="W50" s="5">
        <f>Data!AH124</f>
        <v>215</v>
      </c>
    </row>
    <row r="51" spans="1:28" x14ac:dyDescent="0.2">
      <c r="A51" s="217">
        <v>44287</v>
      </c>
      <c r="B51" s="5">
        <f>Data!AA125</f>
        <v>38336</v>
      </c>
      <c r="E51" s="5">
        <f>Data!AB125</f>
        <v>2861</v>
      </c>
      <c r="H51" s="5">
        <f>Data!AC125</f>
        <v>359</v>
      </c>
      <c r="K51" s="5">
        <f>Data!AD125</f>
        <v>15</v>
      </c>
      <c r="N51" s="5">
        <f>Data!AE125</f>
        <v>3</v>
      </c>
      <c r="Q51" s="5">
        <f>Data!AF125</f>
        <v>2890</v>
      </c>
      <c r="T51" s="5">
        <f>Data!AG125</f>
        <v>237</v>
      </c>
      <c r="W51" s="5">
        <f>Data!AH125</f>
        <v>214</v>
      </c>
    </row>
    <row r="52" spans="1:28" x14ac:dyDescent="0.2">
      <c r="A52" s="217">
        <v>44317</v>
      </c>
      <c r="B52" s="5">
        <f>Data!AA126</f>
        <v>38428</v>
      </c>
      <c r="E52" s="5">
        <f>Data!AB126</f>
        <v>2864</v>
      </c>
      <c r="H52" s="5">
        <f>Data!AC126</f>
        <v>359</v>
      </c>
      <c r="K52" s="5">
        <f>Data!AD126</f>
        <v>15</v>
      </c>
      <c r="N52" s="5">
        <f>Data!AE126</f>
        <v>3</v>
      </c>
      <c r="Q52" s="5">
        <f>Data!AF126</f>
        <v>2834.4230769230767</v>
      </c>
      <c r="T52" s="5">
        <f>Data!AG126</f>
        <v>237</v>
      </c>
      <c r="W52" s="5">
        <f>Data!AH126</f>
        <v>214</v>
      </c>
    </row>
    <row r="53" spans="1:28" x14ac:dyDescent="0.2">
      <c r="A53" s="217">
        <v>44348</v>
      </c>
      <c r="B53" s="5">
        <f>Data!AA127</f>
        <v>38487</v>
      </c>
      <c r="E53" s="5">
        <f>Data!AB127</f>
        <v>2867</v>
      </c>
      <c r="H53" s="5">
        <f>Data!AC127</f>
        <v>360</v>
      </c>
      <c r="K53" s="5">
        <f>Data!AD127</f>
        <v>15</v>
      </c>
      <c r="N53" s="5">
        <f>Data!AE127</f>
        <v>3</v>
      </c>
      <c r="Q53" s="5">
        <f>Data!AF127</f>
        <v>2890</v>
      </c>
      <c r="T53" s="5">
        <f>Data!AG127</f>
        <v>237</v>
      </c>
      <c r="W53" s="5">
        <f>Data!AH127</f>
        <v>214</v>
      </c>
    </row>
    <row r="54" spans="1:28" x14ac:dyDescent="0.2">
      <c r="A54" s="217">
        <v>44378</v>
      </c>
      <c r="B54" s="5">
        <f>Data!AA128</f>
        <v>38553</v>
      </c>
      <c r="C54" s="14"/>
      <c r="D54" s="14"/>
      <c r="E54" s="5">
        <f>Data!AB128</f>
        <v>2870</v>
      </c>
      <c r="F54" s="14"/>
      <c r="G54" s="14"/>
      <c r="H54" s="5">
        <f>Data!AC128</f>
        <v>360</v>
      </c>
      <c r="I54" s="14"/>
      <c r="K54" s="5">
        <f>Data!AD128</f>
        <v>15</v>
      </c>
      <c r="N54" s="5">
        <f>Data!AE128</f>
        <v>3</v>
      </c>
      <c r="Q54" s="5">
        <f>Data!AF128</f>
        <v>2890</v>
      </c>
      <c r="T54" s="5">
        <f>Data!AG128</f>
        <v>237</v>
      </c>
      <c r="W54" s="5">
        <f>Data!AH128</f>
        <v>214</v>
      </c>
      <c r="X54" s="14"/>
      <c r="Y54" s="14"/>
    </row>
    <row r="55" spans="1:28" x14ac:dyDescent="0.2">
      <c r="A55" s="217">
        <v>44409</v>
      </c>
      <c r="B55" s="5">
        <f>Data!AA129</f>
        <v>38570</v>
      </c>
      <c r="C55" s="14"/>
      <c r="D55" s="14"/>
      <c r="E55" s="5">
        <f>Data!AB129</f>
        <v>2898</v>
      </c>
      <c r="F55" s="14"/>
      <c r="G55" s="14"/>
      <c r="H55" s="5">
        <f>Data!AC129</f>
        <v>331</v>
      </c>
      <c r="I55" s="14"/>
      <c r="K55" s="5">
        <f>Data!AD129</f>
        <v>14</v>
      </c>
      <c r="N55" s="5">
        <f>Data!AE129</f>
        <v>3</v>
      </c>
      <c r="Q55" s="5">
        <f>Data!AF129</f>
        <v>2890</v>
      </c>
      <c r="T55" s="5">
        <f>Data!AG129</f>
        <v>237</v>
      </c>
      <c r="W55" s="5">
        <f>Data!AH129</f>
        <v>214</v>
      </c>
      <c r="X55" s="14"/>
      <c r="Y55" s="14"/>
    </row>
    <row r="56" spans="1:28" x14ac:dyDescent="0.2">
      <c r="A56" s="217">
        <v>44440</v>
      </c>
      <c r="B56" s="5">
        <f>Data!AA130</f>
        <v>38649</v>
      </c>
      <c r="C56" s="14"/>
      <c r="D56" s="14"/>
      <c r="E56" s="5">
        <f>Data!AB130</f>
        <v>2914</v>
      </c>
      <c r="F56" s="14"/>
      <c r="G56" s="14"/>
      <c r="H56" s="5">
        <f>Data!AC130</f>
        <v>320</v>
      </c>
      <c r="I56" s="14"/>
      <c r="K56" s="5">
        <f>Data!AD130</f>
        <v>12</v>
      </c>
      <c r="N56" s="5">
        <f>Data!AE130</f>
        <v>3</v>
      </c>
      <c r="Q56" s="5">
        <f>Data!AF130</f>
        <v>2890</v>
      </c>
      <c r="T56" s="5">
        <f>Data!AG130</f>
        <v>237</v>
      </c>
      <c r="W56" s="5">
        <f>Data!AH130</f>
        <v>219</v>
      </c>
      <c r="X56" s="14"/>
      <c r="Y56" s="14"/>
    </row>
    <row r="57" spans="1:28" x14ac:dyDescent="0.2">
      <c r="A57" s="217">
        <v>44470</v>
      </c>
      <c r="B57" s="5">
        <f>Data!AA131</f>
        <v>38774</v>
      </c>
      <c r="C57" s="14"/>
      <c r="D57" s="14"/>
      <c r="E57" s="5">
        <f>Data!AB131</f>
        <v>2906</v>
      </c>
      <c r="F57" s="14"/>
      <c r="G57" s="14"/>
      <c r="H57" s="5">
        <f>Data!AC131</f>
        <v>320</v>
      </c>
      <c r="I57" s="14"/>
      <c r="K57" s="5">
        <f>Data!AD131</f>
        <v>12</v>
      </c>
      <c r="N57" s="5">
        <f>Data!AE131</f>
        <v>3</v>
      </c>
      <c r="Q57" s="5">
        <f>Data!AF131</f>
        <v>2890</v>
      </c>
      <c r="T57" s="5">
        <f>Data!AG131</f>
        <v>237</v>
      </c>
      <c r="W57" s="5">
        <f>Data!AH131</f>
        <v>221</v>
      </c>
      <c r="X57" s="14"/>
      <c r="Y57" s="14"/>
    </row>
    <row r="58" spans="1:28" x14ac:dyDescent="0.2">
      <c r="A58" s="217">
        <v>44501</v>
      </c>
      <c r="B58" s="5">
        <f>Data!AA132</f>
        <v>38781</v>
      </c>
      <c r="C58" s="14"/>
      <c r="D58" s="14"/>
      <c r="E58" s="5">
        <f>Data!AB132</f>
        <v>2907</v>
      </c>
      <c r="F58" s="14"/>
      <c r="G58" s="14"/>
      <c r="H58" s="5">
        <f>Data!AC132</f>
        <v>322</v>
      </c>
      <c r="I58" s="14"/>
      <c r="K58" s="5">
        <f>Data!AD132</f>
        <v>12</v>
      </c>
      <c r="N58" s="5">
        <f>Data!AE132</f>
        <v>3</v>
      </c>
      <c r="Q58" s="5">
        <f>Data!AF132</f>
        <v>2890</v>
      </c>
      <c r="T58" s="5">
        <f>Data!AG132</f>
        <v>237</v>
      </c>
      <c r="W58" s="5">
        <f>Data!AH132</f>
        <v>221</v>
      </c>
      <c r="X58" s="14"/>
      <c r="Y58" s="14"/>
    </row>
    <row r="59" spans="1:28" x14ac:dyDescent="0.2">
      <c r="A59" s="217">
        <v>44531</v>
      </c>
      <c r="B59" s="5">
        <f>Data!AA133</f>
        <v>38823</v>
      </c>
      <c r="C59" s="14"/>
      <c r="D59" s="14"/>
      <c r="E59" s="5">
        <f>Data!AB133</f>
        <v>2918</v>
      </c>
      <c r="F59" s="14"/>
      <c r="G59" s="14"/>
      <c r="H59" s="5">
        <f>Data!AC133</f>
        <v>327</v>
      </c>
      <c r="I59" s="14"/>
      <c r="K59" s="5">
        <f>Data!AD133</f>
        <v>12</v>
      </c>
      <c r="N59" s="5">
        <f>Data!AE133</f>
        <v>3</v>
      </c>
      <c r="Q59" s="5">
        <f>Data!AF133</f>
        <v>2890</v>
      </c>
      <c r="T59" s="5">
        <f>Data!AG133</f>
        <v>237</v>
      </c>
      <c r="W59" s="5">
        <f>Data!AH133</f>
        <v>221</v>
      </c>
      <c r="X59" s="14"/>
      <c r="Y59" s="14"/>
    </row>
    <row r="60" spans="1:28" x14ac:dyDescent="0.2">
      <c r="A60" s="217">
        <v>44562</v>
      </c>
      <c r="B60" s="5">
        <f t="shared" ref="B60:B71" si="12">B59+$B$44/12</f>
        <v>38885.5</v>
      </c>
      <c r="C60" s="14">
        <f>B60/B59</f>
        <v>1.0016098704376273</v>
      </c>
      <c r="D60" s="14"/>
      <c r="E60" s="5">
        <f>E59*F60</f>
        <v>2921.8407564334648</v>
      </c>
      <c r="F60" s="14">
        <f>F$26^(1/12)</f>
        <v>1.0013162290724691</v>
      </c>
      <c r="G60" s="14"/>
      <c r="H60" s="5">
        <v>327.72813357770286</v>
      </c>
      <c r="I60" s="14"/>
      <c r="J60" s="14"/>
      <c r="K60" s="5">
        <v>12</v>
      </c>
      <c r="L60" s="14"/>
      <c r="M60" s="14"/>
      <c r="N60" s="5">
        <v>3</v>
      </c>
      <c r="O60" s="14"/>
      <c r="P60" s="14"/>
      <c r="Q60" s="5">
        <v>2890</v>
      </c>
      <c r="R60" s="14"/>
      <c r="S60" s="14"/>
      <c r="T60" s="5">
        <v>235.41099709289853</v>
      </c>
      <c r="U60" s="14"/>
      <c r="V60" s="14"/>
      <c r="W60" s="5">
        <v>218.11771482818034</v>
      </c>
      <c r="X60" s="14"/>
      <c r="Y60" s="14"/>
      <c r="AB60" s="37"/>
    </row>
    <row r="61" spans="1:28" x14ac:dyDescent="0.2">
      <c r="A61" s="217">
        <v>44593</v>
      </c>
      <c r="B61" s="5">
        <f t="shared" si="12"/>
        <v>38948</v>
      </c>
      <c r="C61" s="14">
        <f>B61/B60</f>
        <v>1.0016072829203688</v>
      </c>
      <c r="D61" s="14"/>
      <c r="E61" s="5">
        <f>E60*F61</f>
        <v>2925.6865681822078</v>
      </c>
      <c r="F61" s="14">
        <f>F$26^(1/12)</f>
        <v>1.0013162290724691</v>
      </c>
      <c r="G61" s="14"/>
      <c r="H61" s="5">
        <f>H60*I61</f>
        <v>328.62518858474152</v>
      </c>
      <c r="I61" s="14">
        <f>I$26^(1/12)</f>
        <v>1.0027371925542241</v>
      </c>
      <c r="J61" s="14"/>
      <c r="K61" s="5">
        <f>K60*L61</f>
        <v>12</v>
      </c>
      <c r="L61" s="14">
        <v>1</v>
      </c>
      <c r="M61" s="14"/>
      <c r="N61" s="5">
        <f>N60*O61</f>
        <v>3</v>
      </c>
      <c r="O61" s="14">
        <v>1</v>
      </c>
      <c r="P61" s="14"/>
      <c r="Q61" s="5">
        <f>Q60*R61</f>
        <v>2892.6614919446065</v>
      </c>
      <c r="R61" s="14">
        <f>R$26^(1/12)</f>
        <v>1.000920931468722</v>
      </c>
      <c r="S61" s="14"/>
      <c r="T61" s="5">
        <f>T60*U61</f>
        <v>235.16771296526861</v>
      </c>
      <c r="U61" s="14">
        <f>U$26^(1/12)</f>
        <v>0.9989665558082067</v>
      </c>
      <c r="V61" s="14"/>
      <c r="W61" s="5">
        <f>W60*X61</f>
        <v>218.3861172365564</v>
      </c>
      <c r="X61" s="14">
        <f>X$26^(1/12)</f>
        <v>1.0012305392461474</v>
      </c>
      <c r="Y61" s="14"/>
    </row>
    <row r="62" spans="1:28" x14ac:dyDescent="0.2">
      <c r="A62" s="217">
        <v>44621</v>
      </c>
      <c r="B62" s="5">
        <f t="shared" si="12"/>
        <v>39010.5</v>
      </c>
      <c r="C62" s="14">
        <f t="shared" ref="C62:C83" si="13">B62/B61</f>
        <v>1.0016047037075075</v>
      </c>
      <c r="D62" s="14"/>
      <c r="E62" s="5">
        <f t="shared" ref="E62:E83" si="14">E61*F62</f>
        <v>2929.5374419001814</v>
      </c>
      <c r="F62" s="14">
        <f t="shared" ref="F62:F83" si="15">F61</f>
        <v>1.0013162290724691</v>
      </c>
      <c r="G62" s="14"/>
      <c r="H62" s="5">
        <f t="shared" ref="H62:H83" si="16">H61*I62</f>
        <v>329.52469900406618</v>
      </c>
      <c r="I62" s="14">
        <f t="shared" ref="I62:I83" si="17">I61</f>
        <v>1.0027371925542241</v>
      </c>
      <c r="J62" s="14"/>
      <c r="K62" s="5">
        <f t="shared" ref="K62:K83" si="18">K61*L62</f>
        <v>12</v>
      </c>
      <c r="L62" s="14">
        <f t="shared" ref="L62:L83" si="19">L61</f>
        <v>1</v>
      </c>
      <c r="M62" s="14"/>
      <c r="N62" s="5">
        <f t="shared" ref="N62:N83" si="20">N61*O62</f>
        <v>3</v>
      </c>
      <c r="O62" s="14">
        <f t="shared" ref="O62:O83" si="21">O61</f>
        <v>1</v>
      </c>
      <c r="P62" s="14"/>
      <c r="Q62" s="5">
        <f t="shared" ref="Q62:Q83" si="22">Q61*R62</f>
        <v>2895.3254349408985</v>
      </c>
      <c r="R62" s="14">
        <f t="shared" ref="R62:R83" si="23">R61</f>
        <v>1.000920931468722</v>
      </c>
      <c r="S62" s="14"/>
      <c r="T62" s="5">
        <f t="shared" ref="T62:T83" si="24">T61*U62</f>
        <v>234.92468025820733</v>
      </c>
      <c r="U62" s="14">
        <f t="shared" ref="U62:U83" si="25">U61</f>
        <v>0.9989665558082067</v>
      </c>
      <c r="V62" s="14"/>
      <c r="W62" s="5">
        <f t="shared" ref="W62:W83" si="26">W61*X62</f>
        <v>218.65484992462973</v>
      </c>
      <c r="X62" s="14">
        <f t="shared" ref="X62:X83" si="27">X61</f>
        <v>1.0012305392461474</v>
      </c>
      <c r="Y62" s="14"/>
    </row>
    <row r="63" spans="1:28" x14ac:dyDescent="0.2">
      <c r="A63" s="217">
        <v>44652</v>
      </c>
      <c r="B63" s="5">
        <f t="shared" si="12"/>
        <v>39073</v>
      </c>
      <c r="C63" s="14">
        <f t="shared" si="13"/>
        <v>1.0016021327591289</v>
      </c>
      <c r="D63" s="14"/>
      <c r="E63" s="5">
        <f t="shared" si="14"/>
        <v>2933.3933842500974</v>
      </c>
      <c r="F63" s="14">
        <f t="shared" si="15"/>
        <v>1.0013162290724691</v>
      </c>
      <c r="G63" s="14"/>
      <c r="H63" s="5">
        <f t="shared" si="16"/>
        <v>330.42667155661303</v>
      </c>
      <c r="I63" s="14">
        <f t="shared" si="17"/>
        <v>1.0027371925542241</v>
      </c>
      <c r="J63" s="14"/>
      <c r="K63" s="5">
        <f t="shared" si="18"/>
        <v>12</v>
      </c>
      <c r="L63" s="14">
        <f t="shared" si="19"/>
        <v>1</v>
      </c>
      <c r="M63" s="14"/>
      <c r="N63" s="5">
        <f t="shared" si="20"/>
        <v>3</v>
      </c>
      <c r="O63" s="14">
        <f t="shared" si="21"/>
        <v>1</v>
      </c>
      <c r="P63" s="14"/>
      <c r="Q63" s="5">
        <f t="shared" si="22"/>
        <v>2897.9918312461268</v>
      </c>
      <c r="R63" s="14">
        <f t="shared" si="23"/>
        <v>1.000920931468722</v>
      </c>
      <c r="S63" s="14"/>
      <c r="T63" s="5">
        <f t="shared" si="24"/>
        <v>234.68189871188559</v>
      </c>
      <c r="U63" s="14">
        <f t="shared" si="25"/>
        <v>0.9989665558082067</v>
      </c>
      <c r="V63" s="14"/>
      <c r="W63" s="5">
        <f t="shared" si="26"/>
        <v>218.92391329882244</v>
      </c>
      <c r="X63" s="14">
        <f t="shared" si="27"/>
        <v>1.0012305392461474</v>
      </c>
      <c r="Y63" s="14"/>
    </row>
    <row r="64" spans="1:28" x14ac:dyDescent="0.2">
      <c r="A64" s="217">
        <v>44682</v>
      </c>
      <c r="B64" s="5">
        <f t="shared" si="12"/>
        <v>39135.5</v>
      </c>
      <c r="C64" s="14">
        <f t="shared" si="13"/>
        <v>1.0015995700355744</v>
      </c>
      <c r="D64" s="14"/>
      <c r="E64" s="5">
        <f t="shared" si="14"/>
        <v>2937.2544019034358</v>
      </c>
      <c r="F64" s="14">
        <f t="shared" si="15"/>
        <v>1.0013162290724691</v>
      </c>
      <c r="G64" s="14"/>
      <c r="H64" s="5">
        <f t="shared" si="16"/>
        <v>331.33111298171485</v>
      </c>
      <c r="I64" s="14">
        <f t="shared" si="17"/>
        <v>1.0027371925542241</v>
      </c>
      <c r="J64" s="14"/>
      <c r="K64" s="5">
        <f t="shared" si="18"/>
        <v>12</v>
      </c>
      <c r="L64" s="14">
        <f t="shared" si="19"/>
        <v>1</v>
      </c>
      <c r="M64" s="14"/>
      <c r="N64" s="5">
        <f t="shared" si="20"/>
        <v>3</v>
      </c>
      <c r="O64" s="14">
        <f t="shared" si="21"/>
        <v>1</v>
      </c>
      <c r="P64" s="14"/>
      <c r="Q64" s="5">
        <f t="shared" si="22"/>
        <v>2900.6606831196204</v>
      </c>
      <c r="R64" s="14">
        <f t="shared" si="23"/>
        <v>1.000920931468722</v>
      </c>
      <c r="S64" s="14"/>
      <c r="T64" s="5">
        <f t="shared" si="24"/>
        <v>234.43936806674279</v>
      </c>
      <c r="U64" s="14">
        <f t="shared" si="25"/>
        <v>0.9989665558082067</v>
      </c>
      <c r="V64" s="14"/>
      <c r="W64" s="5">
        <f t="shared" si="26"/>
        <v>219.19330776605679</v>
      </c>
      <c r="X64" s="14">
        <f t="shared" si="27"/>
        <v>1.0012305392461474</v>
      </c>
      <c r="Y64" s="14"/>
    </row>
    <row r="65" spans="1:25" x14ac:dyDescent="0.2">
      <c r="A65" s="217">
        <v>44713</v>
      </c>
      <c r="B65" s="5">
        <f t="shared" si="12"/>
        <v>39198</v>
      </c>
      <c r="C65" s="14">
        <f t="shared" si="13"/>
        <v>1.0015970154974383</v>
      </c>
      <c r="D65" s="14"/>
      <c r="E65" s="5">
        <f t="shared" si="14"/>
        <v>2941.1205015404589</v>
      </c>
      <c r="F65" s="14">
        <f t="shared" si="15"/>
        <v>1.0013162290724691</v>
      </c>
      <c r="G65" s="14"/>
      <c r="H65" s="5">
        <f t="shared" si="16"/>
        <v>332.23803003715119</v>
      </c>
      <c r="I65" s="14">
        <f t="shared" si="17"/>
        <v>1.0027371925542241</v>
      </c>
      <c r="J65" s="14"/>
      <c r="K65" s="5">
        <f t="shared" si="18"/>
        <v>12</v>
      </c>
      <c r="L65" s="14">
        <f t="shared" si="19"/>
        <v>1</v>
      </c>
      <c r="M65" s="14"/>
      <c r="N65" s="5">
        <f t="shared" si="20"/>
        <v>3</v>
      </c>
      <c r="O65" s="14">
        <f t="shared" si="21"/>
        <v>1</v>
      </c>
      <c r="P65" s="14"/>
      <c r="Q65" s="5">
        <f t="shared" si="22"/>
        <v>2903.3319928227897</v>
      </c>
      <c r="R65" s="14">
        <f t="shared" si="23"/>
        <v>1.000920931468722</v>
      </c>
      <c r="S65" s="14"/>
      <c r="T65" s="5">
        <f t="shared" si="24"/>
        <v>234.19708806348652</v>
      </c>
      <c r="U65" s="14">
        <f t="shared" si="25"/>
        <v>0.9989665558082067</v>
      </c>
      <c r="V65" s="14"/>
      <c r="W65" s="5">
        <f t="shared" si="26"/>
        <v>219.46303373375579</v>
      </c>
      <c r="X65" s="14">
        <f t="shared" si="27"/>
        <v>1.0012305392461474</v>
      </c>
      <c r="Y65" s="14"/>
    </row>
    <row r="66" spans="1:25" x14ac:dyDescent="0.2">
      <c r="A66" s="217">
        <v>44743</v>
      </c>
      <c r="B66" s="5">
        <f>B65+$B$44/12</f>
        <v>39260.5</v>
      </c>
      <c r="C66" s="14">
        <f t="shared" si="13"/>
        <v>1.0015944691055667</v>
      </c>
      <c r="D66" s="14"/>
      <c r="E66" s="5">
        <f t="shared" si="14"/>
        <v>2944.9916898502215</v>
      </c>
      <c r="F66" s="14">
        <f t="shared" si="15"/>
        <v>1.0013162290724691</v>
      </c>
      <c r="G66" s="14"/>
      <c r="H66" s="5">
        <f t="shared" si="16"/>
        <v>333.14742949919895</v>
      </c>
      <c r="I66" s="14">
        <f t="shared" si="17"/>
        <v>1.0027371925542241</v>
      </c>
      <c r="J66" s="14"/>
      <c r="K66" s="5">
        <f t="shared" si="18"/>
        <v>12</v>
      </c>
      <c r="L66" s="14">
        <f t="shared" si="19"/>
        <v>1</v>
      </c>
      <c r="M66" s="14"/>
      <c r="N66" s="5">
        <f t="shared" si="20"/>
        <v>3</v>
      </c>
      <c r="O66" s="14">
        <f t="shared" si="21"/>
        <v>1</v>
      </c>
      <c r="P66" s="14"/>
      <c r="Q66" s="5">
        <f t="shared" si="22"/>
        <v>2906.0057626191274</v>
      </c>
      <c r="R66" s="14">
        <f t="shared" si="23"/>
        <v>1.000920931468722</v>
      </c>
      <c r="S66" s="14"/>
      <c r="T66" s="5">
        <f t="shared" si="24"/>
        <v>233.95505844309241</v>
      </c>
      <c r="U66" s="14">
        <f t="shared" si="25"/>
        <v>0.9989665558082067</v>
      </c>
      <c r="V66" s="14"/>
      <c r="W66" s="5">
        <f t="shared" si="26"/>
        <v>219.73309160984374</v>
      </c>
      <c r="X66" s="14">
        <f t="shared" si="27"/>
        <v>1.0012305392461474</v>
      </c>
      <c r="Y66" s="14"/>
    </row>
    <row r="67" spans="1:25" x14ac:dyDescent="0.2">
      <c r="A67" s="217">
        <v>44774</v>
      </c>
      <c r="B67" s="5">
        <f t="shared" si="12"/>
        <v>39323</v>
      </c>
      <c r="C67" s="14">
        <f t="shared" si="13"/>
        <v>1.0015919308210541</v>
      </c>
      <c r="D67" s="14"/>
      <c r="E67" s="5">
        <f t="shared" si="14"/>
        <v>2948.8679735305823</v>
      </c>
      <c r="F67" s="14">
        <f t="shared" si="15"/>
        <v>1.0013162290724691</v>
      </c>
      <c r="G67" s="14"/>
      <c r="H67" s="5">
        <f t="shared" si="16"/>
        <v>334.05931816268304</v>
      </c>
      <c r="I67" s="14">
        <f t="shared" si="17"/>
        <v>1.0027371925542241</v>
      </c>
      <c r="J67" s="14"/>
      <c r="K67" s="5">
        <f t="shared" si="18"/>
        <v>12</v>
      </c>
      <c r="L67" s="14">
        <f t="shared" si="19"/>
        <v>1</v>
      </c>
      <c r="M67" s="14"/>
      <c r="N67" s="5">
        <f t="shared" si="20"/>
        <v>3</v>
      </c>
      <c r="O67" s="14">
        <f t="shared" si="21"/>
        <v>1</v>
      </c>
      <c r="P67" s="14"/>
      <c r="Q67" s="5">
        <f t="shared" si="22"/>
        <v>2908.6819947742106</v>
      </c>
      <c r="R67" s="14">
        <f t="shared" si="23"/>
        <v>1.000920931468722</v>
      </c>
      <c r="S67" s="14"/>
      <c r="T67" s="5">
        <f t="shared" si="24"/>
        <v>233.71327894680374</v>
      </c>
      <c r="U67" s="14">
        <f t="shared" si="25"/>
        <v>0.9989665558082067</v>
      </c>
      <c r="V67" s="14"/>
      <c r="W67" s="5">
        <f t="shared" si="26"/>
        <v>220.00348180274693</v>
      </c>
      <c r="X67" s="14">
        <f t="shared" si="27"/>
        <v>1.0012305392461474</v>
      </c>
      <c r="Y67" s="14"/>
    </row>
    <row r="68" spans="1:25" x14ac:dyDescent="0.2">
      <c r="A68" s="217">
        <v>44805</v>
      </c>
      <c r="B68" s="5">
        <f t="shared" si="12"/>
        <v>39385.5</v>
      </c>
      <c r="C68" s="14">
        <f t="shared" si="13"/>
        <v>1.0015894006052437</v>
      </c>
      <c r="D68" s="14"/>
      <c r="E68" s="5">
        <f t="shared" si="14"/>
        <v>2952.7493592882161</v>
      </c>
      <c r="F68" s="14">
        <f t="shared" si="15"/>
        <v>1.0013162290724691</v>
      </c>
      <c r="G68" s="14"/>
      <c r="H68" s="5">
        <f t="shared" si="16"/>
        <v>334.97370284102715</v>
      </c>
      <c r="I68" s="14">
        <f t="shared" si="17"/>
        <v>1.0027371925542241</v>
      </c>
      <c r="J68" s="14"/>
      <c r="K68" s="5">
        <f t="shared" si="18"/>
        <v>12</v>
      </c>
      <c r="L68" s="14">
        <f t="shared" si="19"/>
        <v>1</v>
      </c>
      <c r="M68" s="14"/>
      <c r="N68" s="5">
        <f t="shared" si="20"/>
        <v>3</v>
      </c>
      <c r="O68" s="14">
        <f t="shared" si="21"/>
        <v>1</v>
      </c>
      <c r="P68" s="14"/>
      <c r="Q68" s="5">
        <f t="shared" si="22"/>
        <v>2911.3606915557029</v>
      </c>
      <c r="R68" s="14">
        <f t="shared" si="23"/>
        <v>1.000920931468722</v>
      </c>
      <c r="S68" s="14"/>
      <c r="T68" s="5">
        <f t="shared" si="24"/>
        <v>233.47174931613119</v>
      </c>
      <c r="U68" s="14">
        <f t="shared" si="25"/>
        <v>0.9989665558082067</v>
      </c>
      <c r="V68" s="14"/>
      <c r="W68" s="5">
        <f t="shared" si="26"/>
        <v>220.27420472139428</v>
      </c>
      <c r="X68" s="14">
        <f t="shared" si="27"/>
        <v>1.0012305392461474</v>
      </c>
      <c r="Y68" s="14"/>
    </row>
    <row r="69" spans="1:25" x14ac:dyDescent="0.2">
      <c r="A69" s="217">
        <v>44835</v>
      </c>
      <c r="B69" s="5">
        <f t="shared" si="12"/>
        <v>39448</v>
      </c>
      <c r="C69" s="14">
        <f t="shared" si="13"/>
        <v>1.001586878419723</v>
      </c>
      <c r="D69" s="14"/>
      <c r="E69" s="5">
        <f t="shared" si="14"/>
        <v>2956.6358538386257</v>
      </c>
      <c r="F69" s="14">
        <f t="shared" si="15"/>
        <v>1.0013162290724691</v>
      </c>
      <c r="G69" s="14"/>
      <c r="H69" s="5">
        <f t="shared" si="16"/>
        <v>335.89059036630448</v>
      </c>
      <c r="I69" s="14">
        <f t="shared" si="17"/>
        <v>1.0027371925542241</v>
      </c>
      <c r="J69" s="14"/>
      <c r="K69" s="5">
        <f t="shared" si="18"/>
        <v>12</v>
      </c>
      <c r="L69" s="14">
        <f t="shared" si="19"/>
        <v>1</v>
      </c>
      <c r="M69" s="14"/>
      <c r="N69" s="5">
        <f t="shared" si="20"/>
        <v>3</v>
      </c>
      <c r="O69" s="14">
        <f t="shared" si="21"/>
        <v>1</v>
      </c>
      <c r="P69" s="14"/>
      <c r="Q69" s="5">
        <f t="shared" si="22"/>
        <v>2914.0418552333567</v>
      </c>
      <c r="R69" s="14">
        <f t="shared" si="23"/>
        <v>1.000920931468722</v>
      </c>
      <c r="S69" s="14"/>
      <c r="T69" s="5">
        <f t="shared" si="24"/>
        <v>233.23046929285263</v>
      </c>
      <c r="U69" s="14">
        <f t="shared" si="25"/>
        <v>0.9989665558082067</v>
      </c>
      <c r="V69" s="14"/>
      <c r="W69" s="5">
        <f t="shared" si="26"/>
        <v>220.54526077521786</v>
      </c>
      <c r="X69" s="14">
        <f t="shared" si="27"/>
        <v>1.0012305392461474</v>
      </c>
      <c r="Y69" s="14"/>
    </row>
    <row r="70" spans="1:25" x14ac:dyDescent="0.2">
      <c r="A70" s="217">
        <v>44866</v>
      </c>
      <c r="B70" s="5">
        <f t="shared" si="12"/>
        <v>39510.5</v>
      </c>
      <c r="C70" s="14">
        <f t="shared" si="13"/>
        <v>1.0015843642263234</v>
      </c>
      <c r="D70" s="14"/>
      <c r="E70" s="5">
        <f t="shared" si="14"/>
        <v>2960.5274639061527</v>
      </c>
      <c r="F70" s="14">
        <f t="shared" si="15"/>
        <v>1.0013162290724691</v>
      </c>
      <c r="G70" s="14"/>
      <c r="H70" s="5">
        <f t="shared" si="16"/>
        <v>336.80998758928905</v>
      </c>
      <c r="I70" s="14">
        <f t="shared" si="17"/>
        <v>1.0027371925542241</v>
      </c>
      <c r="J70" s="14"/>
      <c r="K70" s="5">
        <f t="shared" si="18"/>
        <v>12</v>
      </c>
      <c r="L70" s="14">
        <f t="shared" si="19"/>
        <v>1</v>
      </c>
      <c r="M70" s="14"/>
      <c r="N70" s="5">
        <f t="shared" si="20"/>
        <v>3</v>
      </c>
      <c r="O70" s="14">
        <f t="shared" si="21"/>
        <v>1</v>
      </c>
      <c r="P70" s="14"/>
      <c r="Q70" s="5">
        <f t="shared" si="22"/>
        <v>2916.7254880790142</v>
      </c>
      <c r="R70" s="14">
        <f t="shared" si="23"/>
        <v>1.000920931468722</v>
      </c>
      <c r="S70" s="14"/>
      <c r="T70" s="5">
        <f t="shared" si="24"/>
        <v>232.9894386190127</v>
      </c>
      <c r="U70" s="14">
        <f t="shared" si="25"/>
        <v>0.9989665558082067</v>
      </c>
      <c r="V70" s="14"/>
      <c r="W70" s="5">
        <f t="shared" si="26"/>
        <v>220.81665037415357</v>
      </c>
      <c r="X70" s="14">
        <f t="shared" si="27"/>
        <v>1.0012305392461474</v>
      </c>
      <c r="Y70" s="14"/>
    </row>
    <row r="71" spans="1:25" x14ac:dyDescent="0.2">
      <c r="A71" s="217">
        <v>44896</v>
      </c>
      <c r="B71" s="5">
        <f t="shared" si="12"/>
        <v>39573</v>
      </c>
      <c r="C71" s="14">
        <f t="shared" si="13"/>
        <v>1.0015818579871174</v>
      </c>
      <c r="D71" s="14"/>
      <c r="E71" s="5">
        <f t="shared" si="14"/>
        <v>2964.4241962239889</v>
      </c>
      <c r="F71" s="14">
        <f t="shared" si="15"/>
        <v>1.0013162290724691</v>
      </c>
      <c r="G71" s="14"/>
      <c r="H71" s="5">
        <f t="shared" si="16"/>
        <v>337.73190137950678</v>
      </c>
      <c r="I71" s="14">
        <f t="shared" si="17"/>
        <v>1.0027371925542241</v>
      </c>
      <c r="J71" s="14"/>
      <c r="K71" s="5">
        <f t="shared" si="18"/>
        <v>12</v>
      </c>
      <c r="L71" s="14">
        <f t="shared" si="19"/>
        <v>1</v>
      </c>
      <c r="M71" s="14"/>
      <c r="N71" s="5">
        <f t="shared" si="20"/>
        <v>3</v>
      </c>
      <c r="O71" s="14">
        <f t="shared" si="21"/>
        <v>1</v>
      </c>
      <c r="P71" s="14"/>
      <c r="Q71" s="5">
        <f t="shared" si="22"/>
        <v>2919.4115923666095</v>
      </c>
      <c r="R71" s="14">
        <f t="shared" si="23"/>
        <v>1.000920931468722</v>
      </c>
      <c r="S71" s="14"/>
      <c r="T71" s="5">
        <f t="shared" si="24"/>
        <v>232.74865703692271</v>
      </c>
      <c r="U71" s="14">
        <f t="shared" si="25"/>
        <v>0.9989665558082067</v>
      </c>
      <c r="V71" s="14"/>
      <c r="W71" s="5">
        <f t="shared" si="26"/>
        <v>221.08837392864177</v>
      </c>
      <c r="X71" s="14">
        <f t="shared" si="27"/>
        <v>1.0012305392461474</v>
      </c>
      <c r="Y71" s="14"/>
    </row>
    <row r="72" spans="1:25" x14ac:dyDescent="0.2">
      <c r="A72" s="217">
        <v>44927</v>
      </c>
      <c r="B72" s="5">
        <f t="shared" ref="B72:B83" si="28">B71+$B$45/12</f>
        <v>39652.166666666664</v>
      </c>
      <c r="C72" s="14">
        <f t="shared" si="13"/>
        <v>1.0020005222415957</v>
      </c>
      <c r="D72" s="14"/>
      <c r="E72" s="5">
        <f t="shared" si="14"/>
        <v>2968.3260575341897</v>
      </c>
      <c r="F72" s="14">
        <f>F$26^(1/12)</f>
        <v>1.0013162290724691</v>
      </c>
      <c r="G72" s="14"/>
      <c r="H72" s="5">
        <f t="shared" si="16"/>
        <v>338.65633862528671</v>
      </c>
      <c r="I72" s="14">
        <f>I$26^(1/12)</f>
        <v>1.0027371925542241</v>
      </c>
      <c r="J72" s="14"/>
      <c r="K72" s="5">
        <f t="shared" si="18"/>
        <v>12</v>
      </c>
      <c r="L72" s="14">
        <v>1</v>
      </c>
      <c r="M72" s="14"/>
      <c r="N72" s="5">
        <f t="shared" si="20"/>
        <v>3</v>
      </c>
      <c r="O72" s="14">
        <v>1</v>
      </c>
      <c r="P72" s="14"/>
      <c r="Q72" s="5">
        <f t="shared" si="22"/>
        <v>2919.4115923666095</v>
      </c>
      <c r="R72" s="14">
        <v>1</v>
      </c>
      <c r="S72" s="14"/>
      <c r="T72" s="5">
        <f t="shared" si="24"/>
        <v>232.50812428916021</v>
      </c>
      <c r="U72" s="14">
        <f>U$26^(1/12)</f>
        <v>0.9989665558082067</v>
      </c>
      <c r="V72" s="14"/>
      <c r="W72" s="5">
        <f t="shared" si="26"/>
        <v>221.36043184962787</v>
      </c>
      <c r="X72" s="14">
        <f t="shared" si="27"/>
        <v>1.0012305392461474</v>
      </c>
      <c r="Y72" s="14"/>
    </row>
    <row r="73" spans="1:25" x14ac:dyDescent="0.2">
      <c r="A73" s="217">
        <v>44958</v>
      </c>
      <c r="B73" s="5">
        <f t="shared" si="28"/>
        <v>39731.333333333328</v>
      </c>
      <c r="C73" s="14">
        <f t="shared" si="13"/>
        <v>1.0019965281426404</v>
      </c>
      <c r="D73" s="14"/>
      <c r="E73" s="5">
        <f t="shared" si="14"/>
        <v>2972.2330545876839</v>
      </c>
      <c r="F73" s="14">
        <f t="shared" si="15"/>
        <v>1.0013162290724691</v>
      </c>
      <c r="G73" s="14"/>
      <c r="H73" s="5">
        <f t="shared" si="16"/>
        <v>339.58330623381266</v>
      </c>
      <c r="I73" s="14">
        <f t="shared" si="17"/>
        <v>1.0027371925542241</v>
      </c>
      <c r="J73" s="14"/>
      <c r="K73" s="5">
        <f t="shared" si="18"/>
        <v>12</v>
      </c>
      <c r="L73" s="14">
        <f t="shared" si="19"/>
        <v>1</v>
      </c>
      <c r="M73" s="14"/>
      <c r="N73" s="5">
        <f t="shared" si="20"/>
        <v>3</v>
      </c>
      <c r="O73" s="14">
        <f t="shared" si="21"/>
        <v>1</v>
      </c>
      <c r="P73" s="14"/>
      <c r="Q73" s="5">
        <f t="shared" si="22"/>
        <v>2919.4115923666095</v>
      </c>
      <c r="R73" s="14">
        <f t="shared" si="23"/>
        <v>1</v>
      </c>
      <c r="S73" s="14"/>
      <c r="T73" s="5">
        <f t="shared" si="24"/>
        <v>232.26784011856881</v>
      </c>
      <c r="U73" s="14">
        <f t="shared" si="25"/>
        <v>0.9989665558082067</v>
      </c>
      <c r="V73" s="14"/>
      <c r="W73" s="5">
        <f t="shared" si="26"/>
        <v>221.63282454856298</v>
      </c>
      <c r="X73" s="14">
        <f>X$26^(1/12)</f>
        <v>1.0012305392461474</v>
      </c>
      <c r="Y73" s="14"/>
    </row>
    <row r="74" spans="1:25" x14ac:dyDescent="0.2">
      <c r="A74" s="217">
        <v>44986</v>
      </c>
      <c r="B74" s="5">
        <f t="shared" si="28"/>
        <v>39810.499999999993</v>
      </c>
      <c r="C74" s="14">
        <f t="shared" si="13"/>
        <v>1.0019925499605684</v>
      </c>
      <c r="D74" s="14"/>
      <c r="E74" s="5">
        <f t="shared" si="14"/>
        <v>2976.1451941442856</v>
      </c>
      <c r="F74" s="14">
        <f t="shared" si="15"/>
        <v>1.0013162290724691</v>
      </c>
      <c r="G74" s="14"/>
      <c r="H74" s="5">
        <f t="shared" si="16"/>
        <v>340.51281113117466</v>
      </c>
      <c r="I74" s="14">
        <f t="shared" si="17"/>
        <v>1.0027371925542241</v>
      </c>
      <c r="J74" s="14"/>
      <c r="K74" s="5">
        <f t="shared" si="18"/>
        <v>12</v>
      </c>
      <c r="L74" s="14">
        <f t="shared" si="19"/>
        <v>1</v>
      </c>
      <c r="M74" s="14"/>
      <c r="N74" s="5">
        <f t="shared" si="20"/>
        <v>3</v>
      </c>
      <c r="O74" s="14">
        <f t="shared" si="21"/>
        <v>1</v>
      </c>
      <c r="P74" s="14"/>
      <c r="Q74" s="5">
        <f t="shared" si="22"/>
        <v>2919.4115923666095</v>
      </c>
      <c r="R74" s="14">
        <f t="shared" si="23"/>
        <v>1</v>
      </c>
      <c r="S74" s="14"/>
      <c r="T74" s="5">
        <f t="shared" si="24"/>
        <v>232.02780426825791</v>
      </c>
      <c r="U74" s="14">
        <f t="shared" si="25"/>
        <v>0.9989665558082067</v>
      </c>
      <c r="V74" s="14"/>
      <c r="W74" s="5">
        <f t="shared" si="26"/>
        <v>221.90555243740448</v>
      </c>
      <c r="X74" s="14">
        <f t="shared" si="27"/>
        <v>1.0012305392461474</v>
      </c>
      <c r="Y74" s="14"/>
    </row>
    <row r="75" spans="1:25" x14ac:dyDescent="0.2">
      <c r="A75" s="217">
        <v>45017</v>
      </c>
      <c r="B75" s="5">
        <f t="shared" si="28"/>
        <v>39889.666666666657</v>
      </c>
      <c r="C75" s="14">
        <f t="shared" si="13"/>
        <v>1.0019885876004235</v>
      </c>
      <c r="D75" s="14"/>
      <c r="E75" s="5">
        <f t="shared" si="14"/>
        <v>2980.0624829727076</v>
      </c>
      <c r="F75" s="14">
        <f t="shared" si="15"/>
        <v>1.0013162290724691</v>
      </c>
      <c r="G75" s="14"/>
      <c r="H75" s="5">
        <f t="shared" si="16"/>
        <v>341.44486026242083</v>
      </c>
      <c r="I75" s="14">
        <f t="shared" si="17"/>
        <v>1.0027371925542241</v>
      </c>
      <c r="J75" s="14"/>
      <c r="K75" s="5">
        <f t="shared" si="18"/>
        <v>12</v>
      </c>
      <c r="L75" s="14">
        <f t="shared" si="19"/>
        <v>1</v>
      </c>
      <c r="M75" s="14"/>
      <c r="N75" s="5">
        <f t="shared" si="20"/>
        <v>3</v>
      </c>
      <c r="O75" s="14">
        <f t="shared" si="21"/>
        <v>1</v>
      </c>
      <c r="P75" s="14"/>
      <c r="Q75" s="5">
        <f t="shared" si="22"/>
        <v>2919.4115923666095</v>
      </c>
      <c r="R75" s="14">
        <f t="shared" si="23"/>
        <v>1</v>
      </c>
      <c r="S75" s="14"/>
      <c r="T75" s="5">
        <f t="shared" si="24"/>
        <v>231.78801648160231</v>
      </c>
      <c r="U75" s="14">
        <f t="shared" si="25"/>
        <v>0.9989665558082067</v>
      </c>
      <c r="V75" s="14"/>
      <c r="W75" s="5">
        <f t="shared" si="26"/>
        <v>222.17861592861672</v>
      </c>
      <c r="X75" s="14">
        <f t="shared" si="27"/>
        <v>1.0012305392461474</v>
      </c>
      <c r="Y75" s="14"/>
    </row>
    <row r="76" spans="1:25" x14ac:dyDescent="0.2">
      <c r="A76" s="217">
        <v>45047</v>
      </c>
      <c r="B76" s="5">
        <f t="shared" si="28"/>
        <v>39968.833333333321</v>
      </c>
      <c r="C76" s="14">
        <f t="shared" si="13"/>
        <v>1.0019846409680033</v>
      </c>
      <c r="D76" s="14"/>
      <c r="E76" s="5">
        <f t="shared" si="14"/>
        <v>2983.9849278505708</v>
      </c>
      <c r="F76" s="14">
        <f t="shared" si="15"/>
        <v>1.0013162290724691</v>
      </c>
      <c r="G76" s="14"/>
      <c r="H76" s="5">
        <f t="shared" si="16"/>
        <v>342.37946059160925</v>
      </c>
      <c r="I76" s="14">
        <f t="shared" si="17"/>
        <v>1.0027371925542241</v>
      </c>
      <c r="J76" s="14"/>
      <c r="K76" s="5">
        <f t="shared" si="18"/>
        <v>12</v>
      </c>
      <c r="L76" s="14">
        <f t="shared" si="19"/>
        <v>1</v>
      </c>
      <c r="M76" s="14"/>
      <c r="N76" s="5">
        <f t="shared" si="20"/>
        <v>3</v>
      </c>
      <c r="O76" s="14">
        <f t="shared" si="21"/>
        <v>1</v>
      </c>
      <c r="P76" s="14"/>
      <c r="Q76" s="5">
        <f t="shared" si="22"/>
        <v>2919.4115923666095</v>
      </c>
      <c r="R76" s="14">
        <f t="shared" si="23"/>
        <v>1</v>
      </c>
      <c r="S76" s="14"/>
      <c r="T76" s="5">
        <f t="shared" si="24"/>
        <v>231.54847650224212</v>
      </c>
      <c r="U76" s="14">
        <f t="shared" si="25"/>
        <v>0.9989665558082067</v>
      </c>
      <c r="V76" s="14"/>
      <c r="W76" s="5">
        <f t="shared" si="26"/>
        <v>222.45201543517157</v>
      </c>
      <c r="X76" s="14">
        <f t="shared" si="27"/>
        <v>1.0012305392461474</v>
      </c>
      <c r="Y76" s="14"/>
    </row>
    <row r="77" spans="1:25" x14ac:dyDescent="0.2">
      <c r="A77" s="217">
        <v>45078</v>
      </c>
      <c r="B77" s="5">
        <f t="shared" si="28"/>
        <v>40047.999999999985</v>
      </c>
      <c r="C77" s="14">
        <f t="shared" si="13"/>
        <v>1.0019807099698514</v>
      </c>
      <c r="D77" s="14"/>
      <c r="E77" s="5">
        <f t="shared" si="14"/>
        <v>2987.9125355644173</v>
      </c>
      <c r="F77" s="14">
        <f t="shared" si="15"/>
        <v>1.0013162290724691</v>
      </c>
      <c r="G77" s="14"/>
      <c r="H77" s="5">
        <f t="shared" si="16"/>
        <v>343.31661910185989</v>
      </c>
      <c r="I77" s="14">
        <f t="shared" si="17"/>
        <v>1.0027371925542241</v>
      </c>
      <c r="J77" s="14"/>
      <c r="K77" s="5">
        <f t="shared" si="18"/>
        <v>12</v>
      </c>
      <c r="L77" s="14">
        <f t="shared" si="19"/>
        <v>1</v>
      </c>
      <c r="M77" s="14"/>
      <c r="N77" s="5">
        <f t="shared" si="20"/>
        <v>3</v>
      </c>
      <c r="O77" s="14">
        <f t="shared" si="21"/>
        <v>1</v>
      </c>
      <c r="P77" s="14"/>
      <c r="Q77" s="5">
        <f t="shared" si="22"/>
        <v>2919.4115923666095</v>
      </c>
      <c r="R77" s="14">
        <f t="shared" si="23"/>
        <v>1</v>
      </c>
      <c r="S77" s="14"/>
      <c r="T77" s="5">
        <f t="shared" si="24"/>
        <v>231.30918407408228</v>
      </c>
      <c r="U77" s="14">
        <f t="shared" si="25"/>
        <v>0.9989665558082067</v>
      </c>
      <c r="V77" s="14"/>
      <c r="W77" s="5">
        <f t="shared" si="26"/>
        <v>222.72575137054912</v>
      </c>
      <c r="X77" s="14">
        <f t="shared" si="27"/>
        <v>1.0012305392461474</v>
      </c>
      <c r="Y77" s="14"/>
    </row>
    <row r="78" spans="1:25" x14ac:dyDescent="0.2">
      <c r="A78" s="217">
        <v>45108</v>
      </c>
      <c r="B78" s="5">
        <f t="shared" si="28"/>
        <v>40127.16666666665</v>
      </c>
      <c r="C78" s="14">
        <f t="shared" si="13"/>
        <v>1.0019767945132507</v>
      </c>
      <c r="D78" s="14"/>
      <c r="E78" s="5">
        <f t="shared" si="14"/>
        <v>2991.845312909722</v>
      </c>
      <c r="F78" s="14">
        <f t="shared" si="15"/>
        <v>1.0013162290724691</v>
      </c>
      <c r="G78" s="14"/>
      <c r="H78" s="5">
        <f t="shared" si="16"/>
        <v>344.25634279540691</v>
      </c>
      <c r="I78" s="14">
        <f t="shared" si="17"/>
        <v>1.0027371925542241</v>
      </c>
      <c r="J78" s="14"/>
      <c r="K78" s="5">
        <f t="shared" si="18"/>
        <v>12</v>
      </c>
      <c r="L78" s="14">
        <f t="shared" si="19"/>
        <v>1</v>
      </c>
      <c r="M78" s="14"/>
      <c r="N78" s="5">
        <f t="shared" si="20"/>
        <v>3</v>
      </c>
      <c r="O78" s="14">
        <f t="shared" si="21"/>
        <v>1</v>
      </c>
      <c r="P78" s="14"/>
      <c r="Q78" s="5">
        <f t="shared" si="22"/>
        <v>2919.4115923666095</v>
      </c>
      <c r="R78" s="14">
        <f t="shared" si="23"/>
        <v>1</v>
      </c>
      <c r="S78" s="14"/>
      <c r="T78" s="5">
        <f t="shared" si="24"/>
        <v>231.07013894129247</v>
      </c>
      <c r="U78" s="14">
        <f t="shared" si="25"/>
        <v>0.9989665558082067</v>
      </c>
      <c r="V78" s="14"/>
      <c r="W78" s="5">
        <f t="shared" si="26"/>
        <v>222.99982414873824</v>
      </c>
      <c r="X78" s="14">
        <f t="shared" si="27"/>
        <v>1.0012305392461474</v>
      </c>
      <c r="Y78" s="14"/>
    </row>
    <row r="79" spans="1:25" x14ac:dyDescent="0.2">
      <c r="A79" s="217">
        <v>45139</v>
      </c>
      <c r="B79" s="5">
        <f t="shared" si="28"/>
        <v>40206.333333333314</v>
      </c>
      <c r="C79" s="14">
        <f t="shared" si="13"/>
        <v>1.0019728945062156</v>
      </c>
      <c r="D79" s="14"/>
      <c r="E79" s="5">
        <f t="shared" si="14"/>
        <v>2995.7832666909039</v>
      </c>
      <c r="F79" s="14">
        <f t="shared" si="15"/>
        <v>1.0013162290724691</v>
      </c>
      <c r="G79" s="14"/>
      <c r="H79" s="5">
        <f t="shared" si="16"/>
        <v>345.19863869365093</v>
      </c>
      <c r="I79" s="14">
        <f t="shared" si="17"/>
        <v>1.0027371925542241</v>
      </c>
      <c r="J79" s="14"/>
      <c r="K79" s="5">
        <f t="shared" si="18"/>
        <v>12</v>
      </c>
      <c r="L79" s="14">
        <f t="shared" si="19"/>
        <v>1</v>
      </c>
      <c r="M79" s="14"/>
      <c r="N79" s="5">
        <f t="shared" si="20"/>
        <v>3</v>
      </c>
      <c r="O79" s="14">
        <f t="shared" si="21"/>
        <v>1</v>
      </c>
      <c r="P79" s="14"/>
      <c r="Q79" s="5">
        <f t="shared" si="22"/>
        <v>2919.4115923666095</v>
      </c>
      <c r="R79" s="14">
        <f t="shared" si="23"/>
        <v>1</v>
      </c>
      <c r="S79" s="14"/>
      <c r="T79" s="5">
        <f t="shared" si="24"/>
        <v>230.83134084830672</v>
      </c>
      <c r="U79" s="14">
        <f t="shared" si="25"/>
        <v>0.9989665558082067</v>
      </c>
      <c r="V79" s="14"/>
      <c r="W79" s="5">
        <f t="shared" si="26"/>
        <v>223.27423418423723</v>
      </c>
      <c r="X79" s="14">
        <f t="shared" si="27"/>
        <v>1.0012305392461474</v>
      </c>
      <c r="Y79" s="14"/>
    </row>
    <row r="80" spans="1:25" x14ac:dyDescent="0.2">
      <c r="A80" s="217">
        <v>45170</v>
      </c>
      <c r="B80" s="5">
        <f t="shared" si="28"/>
        <v>40285.499999999978</v>
      </c>
      <c r="C80" s="14">
        <f t="shared" si="13"/>
        <v>1.0019690098574852</v>
      </c>
      <c r="D80" s="14"/>
      <c r="E80" s="5">
        <f t="shared" si="14"/>
        <v>2999.726403721339</v>
      </c>
      <c r="F80" s="14">
        <f t="shared" si="15"/>
        <v>1.0013162290724691</v>
      </c>
      <c r="G80" s="14"/>
      <c r="H80" s="5">
        <f t="shared" si="16"/>
        <v>346.14351383721151</v>
      </c>
      <c r="I80" s="14">
        <f t="shared" si="17"/>
        <v>1.0027371925542241</v>
      </c>
      <c r="J80" s="14"/>
      <c r="K80" s="5">
        <f t="shared" si="18"/>
        <v>12</v>
      </c>
      <c r="L80" s="14">
        <f t="shared" si="19"/>
        <v>1</v>
      </c>
      <c r="M80" s="14"/>
      <c r="N80" s="5">
        <f t="shared" si="20"/>
        <v>3</v>
      </c>
      <c r="O80" s="14">
        <f t="shared" si="21"/>
        <v>1</v>
      </c>
      <c r="P80" s="14"/>
      <c r="Q80" s="5">
        <f t="shared" si="22"/>
        <v>2919.4115923666095</v>
      </c>
      <c r="R80" s="14">
        <f t="shared" si="23"/>
        <v>1</v>
      </c>
      <c r="S80" s="14"/>
      <c r="T80" s="5">
        <f t="shared" si="24"/>
        <v>230.59278953982317</v>
      </c>
      <c r="U80" s="14">
        <f t="shared" si="25"/>
        <v>0.9989665558082067</v>
      </c>
      <c r="V80" s="14"/>
      <c r="W80" s="5">
        <f t="shared" si="26"/>
        <v>223.54898189205443</v>
      </c>
      <c r="X80" s="14">
        <f t="shared" si="27"/>
        <v>1.0012305392461474</v>
      </c>
      <c r="Y80" s="14"/>
    </row>
    <row r="81" spans="1:25" x14ac:dyDescent="0.2">
      <c r="A81" s="217">
        <v>45200</v>
      </c>
      <c r="B81" s="5">
        <f t="shared" si="28"/>
        <v>40364.666666666642</v>
      </c>
      <c r="C81" s="14">
        <f t="shared" si="13"/>
        <v>1.0019651404765155</v>
      </c>
      <c r="E81" s="5">
        <f t="shared" si="14"/>
        <v>3003.6747308233703</v>
      </c>
      <c r="F81" s="14">
        <f t="shared" si="15"/>
        <v>1.0013162290724691</v>
      </c>
      <c r="H81" s="5">
        <f t="shared" si="16"/>
        <v>347.09097528597971</v>
      </c>
      <c r="I81" s="14">
        <f t="shared" si="17"/>
        <v>1.0027371925542241</v>
      </c>
      <c r="K81" s="5">
        <f t="shared" si="18"/>
        <v>12</v>
      </c>
      <c r="L81" s="14">
        <f t="shared" si="19"/>
        <v>1</v>
      </c>
      <c r="N81" s="5">
        <f t="shared" si="20"/>
        <v>3</v>
      </c>
      <c r="O81" s="14">
        <f t="shared" si="21"/>
        <v>1</v>
      </c>
      <c r="Q81" s="5">
        <f t="shared" si="22"/>
        <v>2919.4115923666095</v>
      </c>
      <c r="R81" s="14">
        <f t="shared" si="23"/>
        <v>1</v>
      </c>
      <c r="T81" s="5">
        <f t="shared" si="24"/>
        <v>230.35448476080381</v>
      </c>
      <c r="U81" s="14">
        <f t="shared" si="25"/>
        <v>0.9989665558082067</v>
      </c>
      <c r="W81" s="5">
        <f t="shared" si="26"/>
        <v>223.82406768770889</v>
      </c>
      <c r="X81" s="14">
        <f t="shared" si="27"/>
        <v>1.0012305392461474</v>
      </c>
    </row>
    <row r="82" spans="1:25" x14ac:dyDescent="0.2">
      <c r="A82" s="217">
        <v>45231</v>
      </c>
      <c r="B82" s="5">
        <f t="shared" si="28"/>
        <v>40443.833333333307</v>
      </c>
      <c r="C82" s="14">
        <f t="shared" si="13"/>
        <v>1.0019612862734735</v>
      </c>
      <c r="E82" s="5">
        <f t="shared" si="14"/>
        <v>3007.6282548283207</v>
      </c>
      <c r="F82" s="14">
        <f t="shared" si="15"/>
        <v>1.0013162290724691</v>
      </c>
      <c r="H82" s="5">
        <f t="shared" si="16"/>
        <v>348.0410301191709</v>
      </c>
      <c r="I82" s="14">
        <f t="shared" si="17"/>
        <v>1.0027371925542241</v>
      </c>
      <c r="K82" s="5">
        <f t="shared" si="18"/>
        <v>12</v>
      </c>
      <c r="L82" s="14">
        <f t="shared" si="19"/>
        <v>1</v>
      </c>
      <c r="N82" s="5">
        <f t="shared" si="20"/>
        <v>3</v>
      </c>
      <c r="O82" s="14">
        <f t="shared" si="21"/>
        <v>1</v>
      </c>
      <c r="Q82" s="5">
        <f t="shared" si="22"/>
        <v>2919.4115923666095</v>
      </c>
      <c r="R82" s="14">
        <f t="shared" si="23"/>
        <v>1</v>
      </c>
      <c r="T82" s="5">
        <f t="shared" si="24"/>
        <v>230.11642625647423</v>
      </c>
      <c r="U82" s="14">
        <f t="shared" si="25"/>
        <v>0.9989665558082067</v>
      </c>
      <c r="W82" s="5">
        <f t="shared" si="26"/>
        <v>224.09949198723095</v>
      </c>
      <c r="X82" s="14">
        <f t="shared" si="27"/>
        <v>1.0012305392461474</v>
      </c>
    </row>
    <row r="83" spans="1:25" x14ac:dyDescent="0.2">
      <c r="A83" s="217">
        <v>45261</v>
      </c>
      <c r="B83" s="5">
        <f t="shared" si="28"/>
        <v>40522.999999999971</v>
      </c>
      <c r="C83" s="14">
        <f t="shared" si="13"/>
        <v>1.001957447159229</v>
      </c>
      <c r="D83" s="194"/>
      <c r="E83" s="5">
        <f t="shared" si="14"/>
        <v>3011.5869825765053</v>
      </c>
      <c r="F83" s="14">
        <f t="shared" si="15"/>
        <v>1.0013162290724691</v>
      </c>
      <c r="G83" s="15"/>
      <c r="H83" s="5">
        <f t="shared" si="16"/>
        <v>348.99368543537759</v>
      </c>
      <c r="I83" s="14">
        <f t="shared" si="17"/>
        <v>1.0027371925542241</v>
      </c>
      <c r="J83" s="15"/>
      <c r="K83" s="5">
        <f t="shared" si="18"/>
        <v>12</v>
      </c>
      <c r="L83" s="14">
        <f t="shared" si="19"/>
        <v>1</v>
      </c>
      <c r="M83" s="15"/>
      <c r="N83" s="5">
        <f t="shared" si="20"/>
        <v>3</v>
      </c>
      <c r="O83" s="14">
        <f t="shared" si="21"/>
        <v>1</v>
      </c>
      <c r="P83" s="15"/>
      <c r="Q83" s="5">
        <f t="shared" si="22"/>
        <v>2919.4115923666095</v>
      </c>
      <c r="R83" s="14">
        <f t="shared" si="23"/>
        <v>1</v>
      </c>
      <c r="S83" s="15"/>
      <c r="T83" s="5">
        <f t="shared" si="24"/>
        <v>229.87861377232323</v>
      </c>
      <c r="U83" s="14">
        <f t="shared" si="25"/>
        <v>0.9989665558082067</v>
      </c>
      <c r="V83" s="15"/>
      <c r="W83" s="5">
        <f t="shared" si="26"/>
        <v>224.37525520716292</v>
      </c>
      <c r="X83" s="14">
        <f t="shared" si="27"/>
        <v>1.0012305392461474</v>
      </c>
      <c r="Y83" s="15"/>
    </row>
    <row r="84" spans="1:25" x14ac:dyDescent="0.2">
      <c r="A84" s="217"/>
      <c r="C84" s="14"/>
      <c r="D84" s="194"/>
      <c r="F84" s="14"/>
      <c r="G84" s="15"/>
      <c r="I84" s="14"/>
      <c r="J84" s="15"/>
      <c r="L84" s="14"/>
      <c r="M84" s="15"/>
      <c r="O84" s="14"/>
      <c r="P84" s="15"/>
      <c r="R84" s="14"/>
      <c r="S84" s="15"/>
      <c r="U84" s="14"/>
      <c r="V84" s="15"/>
      <c r="X84" s="14"/>
      <c r="Y84" s="15"/>
    </row>
    <row r="85" spans="1:25" x14ac:dyDescent="0.2">
      <c r="A85" s="217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25" x14ac:dyDescent="0.2">
      <c r="A86" s="3"/>
      <c r="B86" s="202"/>
      <c r="C86" s="202"/>
      <c r="D86" s="202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25" x14ac:dyDescent="0.2">
      <c r="A87" s="3"/>
      <c r="B87" s="202"/>
      <c r="C87" s="202"/>
      <c r="D87" s="202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25" x14ac:dyDescent="0.2">
      <c r="A88" s="3"/>
      <c r="B88" s="202"/>
      <c r="C88" s="202"/>
      <c r="D88" s="202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25" x14ac:dyDescent="0.2">
      <c r="B89" s="202"/>
      <c r="C89" s="202"/>
      <c r="D89" s="202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25" x14ac:dyDescent="0.2">
      <c r="B90" s="202"/>
      <c r="C90" s="202"/>
      <c r="D90" s="202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</row>
    <row r="91" spans="1:25" x14ac:dyDescent="0.2">
      <c r="B91" s="202"/>
      <c r="C91" s="202"/>
      <c r="D91" s="202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</row>
    <row r="92" spans="1:25" x14ac:dyDescent="0.2">
      <c r="B92" s="202"/>
      <c r="C92" s="202"/>
      <c r="D92" s="202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</row>
    <row r="93" spans="1:25" x14ac:dyDescent="0.2">
      <c r="B93" s="202"/>
      <c r="C93" s="202"/>
      <c r="D93" s="202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</row>
    <row r="94" spans="1:25" x14ac:dyDescent="0.2">
      <c r="B94" s="202"/>
      <c r="C94" s="202"/>
      <c r="D94" s="202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</row>
    <row r="95" spans="1:25" x14ac:dyDescent="0.2">
      <c r="B95" s="202"/>
      <c r="C95" s="202"/>
      <c r="D95" s="202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</row>
    <row r="96" spans="1:25" x14ac:dyDescent="0.2">
      <c r="B96" s="202"/>
      <c r="C96" s="202"/>
      <c r="D96" s="202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</row>
    <row r="97" spans="2:25" x14ac:dyDescent="0.2">
      <c r="B97" s="202"/>
      <c r="C97" s="202"/>
      <c r="D97" s="202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</row>
    <row r="98" spans="2:25" x14ac:dyDescent="0.2">
      <c r="B98" s="202"/>
      <c r="C98" s="202"/>
      <c r="D98" s="202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2:25" x14ac:dyDescent="0.2">
      <c r="B99" s="202"/>
      <c r="C99" s="202"/>
      <c r="D99" s="202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2:25" x14ac:dyDescent="0.2">
      <c r="B100" s="202"/>
      <c r="C100" s="202"/>
      <c r="D100" s="202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2:25" x14ac:dyDescent="0.2">
      <c r="B101" s="202"/>
      <c r="C101" s="202"/>
      <c r="D101" s="202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2:25" x14ac:dyDescent="0.2">
      <c r="B102" s="202"/>
      <c r="C102" s="202"/>
      <c r="D102" s="202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2:25" x14ac:dyDescent="0.2">
      <c r="B103" s="202"/>
      <c r="C103" s="202"/>
      <c r="D103" s="202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2:25" x14ac:dyDescent="0.2">
      <c r="B104" s="202"/>
      <c r="C104" s="202"/>
      <c r="D104" s="202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</row>
    <row r="105" spans="2:25" x14ac:dyDescent="0.2">
      <c r="B105" s="202"/>
      <c r="C105" s="202"/>
      <c r="D105" s="202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</row>
    <row r="106" spans="2:25" x14ac:dyDescent="0.2">
      <c r="B106" s="202"/>
      <c r="C106" s="202"/>
      <c r="D106" s="202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</row>
    <row r="107" spans="2:25" x14ac:dyDescent="0.2">
      <c r="B107" s="202"/>
      <c r="C107" s="202"/>
      <c r="D107" s="202"/>
      <c r="E107" s="15"/>
      <c r="F107" s="15"/>
      <c r="G107" s="15"/>
      <c r="T107" s="15"/>
      <c r="U107" s="15"/>
      <c r="V107" s="15"/>
      <c r="W107" s="15"/>
      <c r="X107" s="15"/>
      <c r="Y107" s="15"/>
    </row>
    <row r="108" spans="2:25" x14ac:dyDescent="0.2">
      <c r="B108" s="202"/>
      <c r="C108" s="202"/>
      <c r="D108" s="202"/>
    </row>
    <row r="109" spans="2:25" x14ac:dyDescent="0.2">
      <c r="B109" s="202"/>
      <c r="C109" s="202"/>
      <c r="D109" s="202"/>
    </row>
    <row r="110" spans="2:25" x14ac:dyDescent="0.2">
      <c r="B110" s="202"/>
      <c r="C110" s="202"/>
      <c r="D110" s="202"/>
    </row>
    <row r="111" spans="2:25" x14ac:dyDescent="0.2">
      <c r="B111" s="202"/>
      <c r="C111" s="202"/>
      <c r="D111" s="202"/>
    </row>
    <row r="112" spans="2:25" x14ac:dyDescent="0.2">
      <c r="B112" s="202"/>
      <c r="C112" s="202"/>
      <c r="D112" s="202"/>
    </row>
    <row r="113" spans="2:25" x14ac:dyDescent="0.2"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</row>
    <row r="114" spans="2:25" x14ac:dyDescent="0.2"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</row>
    <row r="115" spans="2:25" x14ac:dyDescent="0.2">
      <c r="B115" s="16"/>
      <c r="C115" s="16"/>
      <c r="D115" s="16"/>
      <c r="E115" s="16"/>
      <c r="F115" s="16"/>
      <c r="G115" s="16"/>
      <c r="T115" s="16"/>
      <c r="U115" s="16"/>
      <c r="V115" s="16"/>
      <c r="W115" s="16"/>
      <c r="X115" s="16"/>
      <c r="Y115" s="16"/>
    </row>
    <row r="146" spans="3:5" x14ac:dyDescent="0.2">
      <c r="C146" s="258"/>
      <c r="E146" s="258"/>
    </row>
  </sheetData>
  <mergeCells count="17">
    <mergeCell ref="B29:C29"/>
    <mergeCell ref="K29:L29"/>
    <mergeCell ref="N29:O29"/>
    <mergeCell ref="E30:L30"/>
    <mergeCell ref="T2:U2"/>
    <mergeCell ref="B2:C2"/>
    <mergeCell ref="W2:X2"/>
    <mergeCell ref="E29:F29"/>
    <mergeCell ref="H29:I29"/>
    <mergeCell ref="Q29:R29"/>
    <mergeCell ref="T29:U29"/>
    <mergeCell ref="W29:X29"/>
    <mergeCell ref="E2:F2"/>
    <mergeCell ref="H2:I2"/>
    <mergeCell ref="K2:L2"/>
    <mergeCell ref="N2:O2"/>
    <mergeCell ref="Q2:R2"/>
  </mergeCells>
  <phoneticPr fontId="0" type="noConversion"/>
  <pageMargins left="0.38" right="0.75" top="0.73" bottom="0.74" header="0.5" footer="0.5"/>
  <pageSetup scale="48" orientation="portrait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60"/>
  <sheetViews>
    <sheetView zoomScaleNormal="100" workbookViewId="0">
      <pane xSplit="1" ySplit="1" topLeftCell="B2" activePane="bottomRight" state="frozen"/>
      <selection activeCell="V159" sqref="V159"/>
      <selection pane="topRight" activeCell="V159" sqref="V159"/>
      <selection pane="bottomLeft" activeCell="V159" sqref="V159"/>
      <selection pane="bottomRight" activeCell="E68" sqref="E68"/>
    </sheetView>
  </sheetViews>
  <sheetFormatPr defaultRowHeight="12.75" x14ac:dyDescent="0.2"/>
  <cols>
    <col min="1" max="1" width="11" customWidth="1"/>
    <col min="2" max="2" width="14.140625" style="5" bestFit="1" customWidth="1"/>
    <col min="3" max="3" width="17.140625" style="5" customWidth="1"/>
    <col min="4" max="4" width="18" style="5" customWidth="1"/>
    <col min="5" max="5" width="14.140625" style="5" customWidth="1"/>
    <col min="6" max="6" width="17.7109375" style="5" customWidth="1"/>
    <col min="7" max="8" width="12.7109375" style="5" bestFit="1" customWidth="1"/>
    <col min="9" max="9" width="11.7109375" style="5" bestFit="1" customWidth="1"/>
    <col min="10" max="10" width="10.7109375" style="5" bestFit="1" customWidth="1"/>
    <col min="11" max="12" width="9.140625" style="5"/>
  </cols>
  <sheetData>
    <row r="1" spans="1:7" ht="42" customHeight="1" x14ac:dyDescent="0.2">
      <c r="B1" s="46" t="s">
        <v>324</v>
      </c>
      <c r="C1" s="46" t="s">
        <v>325</v>
      </c>
      <c r="D1" s="46" t="s">
        <v>326</v>
      </c>
      <c r="E1" s="46" t="str">
        <f>'Rate Class Customer Model'!Q2</f>
        <v xml:space="preserve">Streetlights </v>
      </c>
      <c r="F1" s="46" t="str">
        <f>'Rate Class Customer Model'!T2</f>
        <v>Sentinel Lights</v>
      </c>
      <c r="G1" s="5" t="s">
        <v>63</v>
      </c>
    </row>
    <row r="2" spans="1:7" x14ac:dyDescent="0.2">
      <c r="A2" s="19">
        <v>2011</v>
      </c>
      <c r="B2" s="49">
        <v>503231</v>
      </c>
      <c r="C2" s="49">
        <v>260972</v>
      </c>
      <c r="D2" s="49">
        <v>175385</v>
      </c>
      <c r="E2" s="49">
        <v>17894</v>
      </c>
      <c r="F2" s="49">
        <v>439.11666666666667</v>
      </c>
      <c r="G2" s="5">
        <f t="shared" ref="G2:G14" si="0">SUM(B2:F2)</f>
        <v>957921.1166666667</v>
      </c>
    </row>
    <row r="3" spans="1:7" x14ac:dyDescent="0.2">
      <c r="A3" s="19">
        <v>2012</v>
      </c>
      <c r="B3" s="49">
        <v>520812.31</v>
      </c>
      <c r="C3" s="49">
        <v>287183</v>
      </c>
      <c r="D3" s="49">
        <v>179954</v>
      </c>
      <c r="E3" s="49">
        <v>19000</v>
      </c>
      <c r="F3" s="49">
        <v>412.7016666666666</v>
      </c>
      <c r="G3" s="5">
        <f t="shared" si="0"/>
        <v>1007362.0116666667</v>
      </c>
    </row>
    <row r="4" spans="1:7" x14ac:dyDescent="0.2">
      <c r="A4" s="19">
        <v>2013</v>
      </c>
      <c r="B4" s="49">
        <v>541769.57999999996</v>
      </c>
      <c r="C4" s="49">
        <v>232734.3</v>
      </c>
      <c r="D4" s="49">
        <v>246682.37</v>
      </c>
      <c r="E4" s="49">
        <v>19747.59</v>
      </c>
      <c r="F4" s="49">
        <v>425.3437222222222</v>
      </c>
      <c r="G4" s="5">
        <f t="shared" si="0"/>
        <v>1041359.1837222221</v>
      </c>
    </row>
    <row r="5" spans="1:7" x14ac:dyDescent="0.2">
      <c r="A5" s="19">
        <v>2014</v>
      </c>
      <c r="B5" s="49">
        <v>537015.85</v>
      </c>
      <c r="C5" s="49">
        <v>242503.52999999997</v>
      </c>
      <c r="D5" s="49">
        <v>253601.38999999998</v>
      </c>
      <c r="E5" s="49">
        <v>20172.63</v>
      </c>
      <c r="F5" s="49">
        <v>419.45277777777801</v>
      </c>
      <c r="G5" s="5">
        <f t="shared" si="0"/>
        <v>1053712.8527777777</v>
      </c>
    </row>
    <row r="6" spans="1:7" x14ac:dyDescent="0.2">
      <c r="A6" s="19">
        <v>2015</v>
      </c>
      <c r="B6" s="49">
        <f>SUMIFS(Data!V:V,Data!$B:$B,$A6)</f>
        <v>553187.45000000007</v>
      </c>
      <c r="C6" s="49">
        <f>SUMIFS(Data!W:W,Data!$B:$B,$A6)</f>
        <v>254931.54</v>
      </c>
      <c r="D6" s="49">
        <f>SUMIFS(Data!X:X,Data!$B:$B,$A6)</f>
        <v>253385.80000000002</v>
      </c>
      <c r="E6" s="49">
        <f>SUMIFS(Data!Y:Y,Data!$B:$B,$A6)</f>
        <v>21372.33</v>
      </c>
      <c r="F6" s="49">
        <f>SUMIFS(Data!Z:Z,Data!$B:$B,$A6)</f>
        <v>416.29602359208536</v>
      </c>
      <c r="G6" s="5">
        <f t="shared" si="0"/>
        <v>1083293.4160235922</v>
      </c>
    </row>
    <row r="7" spans="1:7" x14ac:dyDescent="0.2">
      <c r="A7" s="19">
        <v>2016</v>
      </c>
      <c r="B7" s="49">
        <f>SUMIFS(Data!V:V,Data!$B:$B,$A7)</f>
        <v>559203.87</v>
      </c>
      <c r="C7" s="49">
        <f>SUMIFS(Data!W:W,Data!$B:$B,$A7)</f>
        <v>271131.24</v>
      </c>
      <c r="D7" s="49">
        <f>SUMIFS(Data!X:X,Data!$B:$B,$A7)</f>
        <v>259409.75999999998</v>
      </c>
      <c r="E7" s="49">
        <f>SUMIFS(Data!Y:Y,Data!$B:$B,$A7)</f>
        <v>21692.510000000002</v>
      </c>
      <c r="F7" s="49">
        <f>SUMIFS(Data!Z:Z,Data!$B:$B,$A7)</f>
        <v>410.46816971080676</v>
      </c>
      <c r="G7" s="5">
        <f t="shared" si="0"/>
        <v>1111847.8481697107</v>
      </c>
    </row>
    <row r="8" spans="1:7" x14ac:dyDescent="0.2">
      <c r="A8" s="19">
        <v>2017</v>
      </c>
      <c r="B8" s="49">
        <f>SUMIFS(Data!V:V,Data!$B:$B,$A8)</f>
        <v>577937.55000000005</v>
      </c>
      <c r="C8" s="49">
        <f>SUMIFS(Data!W:W,Data!$B:$B,$A8)</f>
        <v>279302.57</v>
      </c>
      <c r="D8" s="49">
        <f>SUMIFS(Data!X:X,Data!$B:$B,$A8)</f>
        <v>263694.88</v>
      </c>
      <c r="E8" s="49">
        <f>SUMIFS(Data!Y:Y,Data!$B:$B,$A8)</f>
        <v>21900.93</v>
      </c>
      <c r="F8" s="49">
        <f>SUMIFS(Data!Z:Z,Data!$B:$B,$A8)</f>
        <v>404.64031582952799</v>
      </c>
      <c r="G8" s="5">
        <f t="shared" si="0"/>
        <v>1143240.5703158295</v>
      </c>
    </row>
    <row r="9" spans="1:7" x14ac:dyDescent="0.2">
      <c r="A9" s="19">
        <v>2018</v>
      </c>
      <c r="B9" s="49">
        <f>SUMIFS(Data!V:V,Data!$B:$B,$A9)</f>
        <v>598252.29</v>
      </c>
      <c r="C9" s="49">
        <f>SUMIFS(Data!W:W,Data!$B:$B,$A9)</f>
        <v>289804.19999999995</v>
      </c>
      <c r="D9" s="49">
        <f>SUMIFS(Data!X:X,Data!$B:$B,$A9)</f>
        <v>268937.04000000004</v>
      </c>
      <c r="E9" s="49">
        <f>SUMIFS(Data!Y:Y,Data!$B:$B,$A9)</f>
        <v>21867.030000000002</v>
      </c>
      <c r="F9" s="49">
        <f>SUMIFS(Data!Z:Z,Data!$B:$B,$A9)</f>
        <v>398.81246194824945</v>
      </c>
      <c r="G9" s="5">
        <f t="shared" si="0"/>
        <v>1179259.3724619483</v>
      </c>
    </row>
    <row r="10" spans="1:7" x14ac:dyDescent="0.2">
      <c r="A10" s="19">
        <v>2019</v>
      </c>
      <c r="B10" s="49">
        <f>SUMIFS(Data!V:V,Data!$B:$B,$A10)</f>
        <v>592126.44000000006</v>
      </c>
      <c r="C10" s="49">
        <f>SUMIFS(Data!W:W,Data!$B:$B,$A10)</f>
        <v>295909.30999999994</v>
      </c>
      <c r="D10" s="49">
        <f>SUMIFS(Data!X:X,Data!$B:$B,$A10)</f>
        <v>282021.99000000005</v>
      </c>
      <c r="E10" s="49">
        <f>SUMIFS(Data!Y:Y,Data!$B:$B,$A10)</f>
        <v>18722.650000000001</v>
      </c>
      <c r="F10" s="49">
        <f>SUMIFS(Data!Z:Z,Data!$B:$B,$A10)</f>
        <v>392.98460806697074</v>
      </c>
      <c r="G10" s="5">
        <f t="shared" si="0"/>
        <v>1189173.3746080669</v>
      </c>
    </row>
    <row r="11" spans="1:7" x14ac:dyDescent="0.2">
      <c r="A11" s="19">
        <v>2020</v>
      </c>
      <c r="B11" s="49">
        <f>SUMIFS(Data!V:V,Data!$B:$B,$A11)</f>
        <v>567108.6</v>
      </c>
      <c r="C11" s="49">
        <f>SUMIFS(Data!W:W,Data!$B:$B,$A11)</f>
        <v>278402.25</v>
      </c>
      <c r="D11" s="49">
        <f>SUMIFS(Data!X:X,Data!$B:$B,$A11)</f>
        <v>268250.83</v>
      </c>
      <c r="E11" s="49">
        <f>SUMIFS(Data!Y:Y,Data!$B:$B,$A11)</f>
        <v>15143.04</v>
      </c>
      <c r="F11" s="49">
        <f>SUMIFS(Data!Z:Z,Data!$B:$B,$A11)</f>
        <v>387.15675418569214</v>
      </c>
      <c r="G11" s="5">
        <f t="shared" si="0"/>
        <v>1129291.8767541857</v>
      </c>
    </row>
    <row r="12" spans="1:7" x14ac:dyDescent="0.2">
      <c r="A12" s="19">
        <v>2021</v>
      </c>
      <c r="B12" s="49">
        <f>SUMIFS(Data!V:V,Data!$B:$B,$A12)</f>
        <v>580241.52</v>
      </c>
      <c r="C12" s="49">
        <f>SUMIFS(Data!W:W,Data!$B:$B,$A12)</f>
        <v>266215.46999999997</v>
      </c>
      <c r="D12" s="49">
        <f>SUMIFS(Data!X:X,Data!$B:$B,$A12)</f>
        <v>279213.42</v>
      </c>
      <c r="E12" s="49">
        <f>SUMIFS(Data!Y:Y,Data!$B:$B,$A12)</f>
        <v>14018.58</v>
      </c>
      <c r="F12" s="49">
        <f>SUMIFS(Data!Z:Z,Data!$B:$B,$A12)</f>
        <v>384</v>
      </c>
      <c r="G12" s="5">
        <f t="shared" si="0"/>
        <v>1140072.99</v>
      </c>
    </row>
    <row r="13" spans="1:7" x14ac:dyDescent="0.2">
      <c r="A13" s="3">
        <v>2022</v>
      </c>
      <c r="B13" s="65">
        <f ca="1">'Rate Class Energy Model'!E17*'Rate Class Load Model'!B35</f>
        <v>590933.14297475002</v>
      </c>
      <c r="C13" s="65">
        <f>'Rate Class Energy Model'!F17*'Rate Class Load Model'!C35</f>
        <v>236618.98440586042</v>
      </c>
      <c r="D13" s="65">
        <f>'Rate Class Energy Model'!G17*'Rate Class Load Model'!D35</f>
        <v>272628.61214873416</v>
      </c>
      <c r="E13" s="65">
        <f>+'Rate Class Energy Model'!H17*'Rate Class Load Model'!E35</f>
        <v>14107.530688567846</v>
      </c>
      <c r="F13" s="65">
        <f>+'Rate Class Energy Model'!I17*'Rate Class Load Model'!F35</f>
        <v>382.56216070109389</v>
      </c>
      <c r="G13" s="5">
        <f t="shared" ca="1" si="0"/>
        <v>1114670.8323786135</v>
      </c>
    </row>
    <row r="14" spans="1:7" x14ac:dyDescent="0.2">
      <c r="A14" s="3">
        <v>2023</v>
      </c>
      <c r="B14" s="65">
        <f ca="1">'Rate Class Energy Model'!E18*'Rate Class Load Model'!B35</f>
        <v>616218.62070381152</v>
      </c>
      <c r="C14" s="65">
        <f>'Rate Class Energy Model'!F18*'Rate Class Load Model'!C35</f>
        <v>236618.98440586042</v>
      </c>
      <c r="D14" s="65">
        <f>'Rate Class Energy Model'!G18*'Rate Class Load Model'!D35</f>
        <v>272628.61214873416</v>
      </c>
      <c r="E14" s="65">
        <f>+'Rate Class Energy Model'!H18*'Rate Class Load Model'!E35</f>
        <v>14179.063705514967</v>
      </c>
      <c r="F14" s="65">
        <f>+'Rate Class Energy Model'!I18*'Rate Class Load Model'!F35</f>
        <v>377.84475452316417</v>
      </c>
      <c r="G14" s="5">
        <f t="shared" ca="1" si="0"/>
        <v>1140023.1257184441</v>
      </c>
    </row>
    <row r="15" spans="1:7" x14ac:dyDescent="0.2">
      <c r="A15" s="3"/>
      <c r="B15" s="60"/>
      <c r="C15" s="60"/>
      <c r="D15" s="60"/>
      <c r="E15" s="60"/>
      <c r="F15" s="60"/>
    </row>
    <row r="16" spans="1:7" x14ac:dyDescent="0.2">
      <c r="A16" s="28" t="s">
        <v>327</v>
      </c>
    </row>
    <row r="17" spans="1:7" x14ac:dyDescent="0.2">
      <c r="A17" s="3">
        <v>2022</v>
      </c>
      <c r="B17" s="65">
        <f ca="1">'Rate Class Energy Model'!E22*'Rate Class Load Model'!B35</f>
        <v>568778.97054027929</v>
      </c>
      <c r="C17" s="65">
        <f>'Rate Class Energy Model'!F22*'Rate Class Load Model'!C35</f>
        <v>225593.88847941163</v>
      </c>
      <c r="D17" s="65">
        <f>'Rate Class Energy Model'!G22*'Rate Class Load Model'!D35</f>
        <v>260034.12639671177</v>
      </c>
      <c r="E17" s="65">
        <f>'Rate Class Energy Model'!H22*'Rate Class Load Model'!E35</f>
        <v>14107.530688567846</v>
      </c>
      <c r="F17" s="65">
        <f>'Rate Class Energy Model'!I22*'Rate Class Load Model'!F35</f>
        <v>382.56216070109389</v>
      </c>
      <c r="G17" s="5">
        <f ca="1">SUM(B17:F17)</f>
        <v>1068897.0782656714</v>
      </c>
    </row>
    <row r="18" spans="1:7" x14ac:dyDescent="0.2">
      <c r="A18" s="28">
        <v>2023</v>
      </c>
      <c r="B18" s="65">
        <f ca="1">'Rate Class Energy Model'!E23*'Rate Class Load Model'!B35</f>
        <v>594064.44826934091</v>
      </c>
      <c r="C18" s="65">
        <f>'Rate Class Energy Model'!F23*'Rate Class Load Model'!C35</f>
        <v>225593.88847941163</v>
      </c>
      <c r="D18" s="65">
        <f>'Rate Class Energy Model'!G23*'Rate Class Load Model'!D35</f>
        <v>260034.12639671177</v>
      </c>
      <c r="E18" s="65">
        <f>'Rate Class Energy Model'!H23*'Rate Class Load Model'!E35</f>
        <v>14179.063705514967</v>
      </c>
      <c r="F18" s="65">
        <f>'Rate Class Energy Model'!I23*'Rate Class Load Model'!F35</f>
        <v>377.84475452316417</v>
      </c>
      <c r="G18" s="5">
        <f ca="1">SUM(B18:F18)</f>
        <v>1094249.3716055022</v>
      </c>
    </row>
    <row r="19" spans="1:7" x14ac:dyDescent="0.2">
      <c r="A19" s="12"/>
      <c r="D19" s="4"/>
      <c r="E19" s="4"/>
      <c r="F19" s="4"/>
    </row>
    <row r="20" spans="1:7" x14ac:dyDescent="0.2">
      <c r="A20" s="12" t="s">
        <v>328</v>
      </c>
      <c r="B20" s="4"/>
      <c r="C20" s="4"/>
      <c r="D20" s="4"/>
      <c r="E20" s="4"/>
      <c r="F20" s="4"/>
    </row>
    <row r="21" spans="1:7" x14ac:dyDescent="0.2">
      <c r="A21" s="3">
        <v>2011</v>
      </c>
      <c r="B21" s="17">
        <f>+B2/'Rate Class Energy Model'!E6</f>
        <v>2.6103525778080933E-3</v>
      </c>
      <c r="C21" s="17">
        <f>+C2/'Rate Class Energy Model'!F6</f>
        <v>2.1495544175129827E-3</v>
      </c>
      <c r="D21" s="17">
        <f>+D2/'Rate Class Energy Model'!G6</f>
        <v>2.1831287867111618E-3</v>
      </c>
      <c r="E21" s="17">
        <f>+E2/'Rate Class Energy Model'!H6</f>
        <v>2.7878718382878536E-3</v>
      </c>
      <c r="F21" s="17">
        <f>+F2/'Rate Class Energy Model'!I6</f>
        <v>2.7777777777777779E-3</v>
      </c>
    </row>
    <row r="22" spans="1:7" x14ac:dyDescent="0.2">
      <c r="A22" s="3">
        <v>2012</v>
      </c>
      <c r="B22" s="17">
        <f>+B3/'Rate Class Energy Model'!E7</f>
        <v>2.6817439904757239E-3</v>
      </c>
      <c r="C22" s="17">
        <f>+C3/'Rate Class Energy Model'!F7</f>
        <v>2.2265725830308176E-3</v>
      </c>
      <c r="D22" s="17">
        <f>+D3/'Rate Class Energy Model'!G7</f>
        <v>2.0790800944596537E-3</v>
      </c>
      <c r="E22" s="17">
        <f>+E3/'Rate Class Energy Model'!H7</f>
        <v>2.7798337981264211E-3</v>
      </c>
      <c r="F22" s="17">
        <f>+F3/'Rate Class Energy Model'!I7</f>
        <v>2.6488515485267811E-3</v>
      </c>
    </row>
    <row r="23" spans="1:7" x14ac:dyDescent="0.2">
      <c r="A23" s="3">
        <v>2013</v>
      </c>
      <c r="B23" s="17">
        <f>+B4/'Rate Class Energy Model'!E8</f>
        <v>2.6664564308733901E-3</v>
      </c>
      <c r="C23" s="17">
        <f>+C4/'Rate Class Energy Model'!F8</f>
        <v>2.3122517819095557E-3</v>
      </c>
      <c r="D23" s="17">
        <f>+D4/'Rate Class Energy Model'!G8</f>
        <v>1.9282392068658341E-3</v>
      </c>
      <c r="E23" s="17">
        <f>+E4/'Rate Class Energy Model'!H8</f>
        <v>2.7900647957117366E-3</v>
      </c>
      <c r="F23" s="17">
        <f>+F4/'Rate Class Energy Model'!I8</f>
        <v>2.7777777777777779E-3</v>
      </c>
    </row>
    <row r="24" spans="1:7" x14ac:dyDescent="0.2">
      <c r="A24" s="3">
        <v>2014</v>
      </c>
      <c r="B24" s="17">
        <f>+B5/'Rate Class Energy Model'!E9</f>
        <v>2.6205524728064667E-3</v>
      </c>
      <c r="C24" s="17">
        <f>+C5/'Rate Class Energy Model'!F9</f>
        <v>2.196367346208991E-3</v>
      </c>
      <c r="D24" s="17">
        <f>+D5/'Rate Class Energy Model'!G9</f>
        <v>1.9006623753635842E-3</v>
      </c>
      <c r="E24" s="17">
        <f>+E5/'Rate Class Energy Model'!H9</f>
        <v>2.7863001425492218E-3</v>
      </c>
      <c r="F24" s="17">
        <f>+F5/'Rate Class Energy Model'!I9</f>
        <v>2.777783848310616E-3</v>
      </c>
    </row>
    <row r="25" spans="1:7" x14ac:dyDescent="0.2">
      <c r="A25" s="3">
        <v>2015</v>
      </c>
      <c r="B25" s="17">
        <f>+B6/'Rate Class Energy Model'!E10</f>
        <v>2.6925708295444813E-3</v>
      </c>
      <c r="C25" s="17">
        <f>+C6/'Rate Class Energy Model'!F10</f>
        <v>2.2565373900444064E-3</v>
      </c>
      <c r="D25" s="17">
        <f>+D6/'Rate Class Energy Model'!G10</f>
        <v>1.8548617900017409E-3</v>
      </c>
      <c r="E25" s="17">
        <f>+E6/'Rate Class Energy Model'!H10</f>
        <v>2.8091793584711518E-3</v>
      </c>
      <c r="F25" s="17">
        <f>+F6/'Rate Class Energy Model'!I10</f>
        <v>2.861313185553856E-3</v>
      </c>
    </row>
    <row r="26" spans="1:7" x14ac:dyDescent="0.2">
      <c r="A26" s="3">
        <v>2016</v>
      </c>
      <c r="B26" s="17">
        <f>+B7/'Rate Class Energy Model'!E11</f>
        <v>2.7316135088635619E-3</v>
      </c>
      <c r="C26" s="17">
        <f>+C7/'Rate Class Energy Model'!F11</f>
        <v>2.2600063825422728E-3</v>
      </c>
      <c r="D26" s="17">
        <f>+D7/'Rate Class Energy Model'!G11</f>
        <v>1.8527121232061396E-3</v>
      </c>
      <c r="E26" s="17">
        <f>+E7/'Rate Class Energy Model'!H11</f>
        <v>2.7839501708478141E-3</v>
      </c>
      <c r="F26" s="17">
        <f>+F7/'Rate Class Energy Model'!I11</f>
        <v>2.8535535600534346E-3</v>
      </c>
    </row>
    <row r="27" spans="1:7" x14ac:dyDescent="0.2">
      <c r="A27" s="3">
        <v>2017</v>
      </c>
      <c r="B27" s="17">
        <f>+B8/'Rate Class Energy Model'!E12</f>
        <v>2.7052696281793008E-3</v>
      </c>
      <c r="C27" s="17">
        <f>+C8/'Rate Class Energy Model'!F12</f>
        <v>2.2908876044535633E-3</v>
      </c>
      <c r="D27" s="17">
        <f>+D8/'Rate Class Energy Model'!G12</f>
        <v>1.9169148956665089E-3</v>
      </c>
      <c r="E27" s="17">
        <f>+E8/'Rate Class Energy Model'!H12</f>
        <v>2.8227305510365522E-3</v>
      </c>
      <c r="F27" s="17">
        <f>+F8/'Rate Class Energy Model'!I12</f>
        <v>2.845614218256741E-3</v>
      </c>
    </row>
    <row r="28" spans="1:7" x14ac:dyDescent="0.2">
      <c r="A28" s="3">
        <v>2018</v>
      </c>
      <c r="B28" s="17">
        <f>+B9/'Rate Class Energy Model'!E13</f>
        <v>2.6971774951791367E-3</v>
      </c>
      <c r="C28" s="17">
        <f>+C9/'Rate Class Energy Model'!F13</f>
        <v>2.2221998338221656E-3</v>
      </c>
      <c r="D28" s="17">
        <f>+D9/'Rate Class Energy Model'!G13</f>
        <v>1.941705700281352E-3</v>
      </c>
      <c r="E28" s="17">
        <f>+E9/'Rate Class Energy Model'!H13</f>
        <v>2.7901743764745844E-3</v>
      </c>
      <c r="F28" s="17">
        <f>+F9/'Rate Class Energy Model'!I13</f>
        <v>2.8374888435548783E-3</v>
      </c>
    </row>
    <row r="29" spans="1:7" x14ac:dyDescent="0.2">
      <c r="A29" s="3">
        <v>2019</v>
      </c>
      <c r="B29" s="17">
        <f>+B10/'Rate Class Energy Model'!E14</f>
        <v>2.6895910779380951E-3</v>
      </c>
      <c r="C29" s="17">
        <f>+C10/'Rate Class Energy Model'!F14</f>
        <v>2.2013224093965994E-3</v>
      </c>
      <c r="D29" s="17">
        <f>+D10/'Rate Class Energy Model'!G14</f>
        <v>1.9525925032579277E-3</v>
      </c>
      <c r="E29" s="17">
        <f>+E10/'Rate Class Energy Model'!H14</f>
        <v>2.7913619565384179E-3</v>
      </c>
      <c r="F29" s="17">
        <f>+F10/'Rate Class Energy Model'!I14</f>
        <v>2.8291708198109351E-3</v>
      </c>
    </row>
    <row r="30" spans="1:7" x14ac:dyDescent="0.2">
      <c r="A30" s="3">
        <v>2020</v>
      </c>
      <c r="B30" s="17">
        <f>+B11/'Rate Class Energy Model'!E15</f>
        <v>2.7039514246426925E-3</v>
      </c>
      <c r="C30" s="17">
        <f>+C11/'Rate Class Energy Model'!F15</f>
        <v>2.160819272550029E-3</v>
      </c>
      <c r="D30" s="17">
        <f>+D11/'Rate Class Energy Model'!G15</f>
        <v>2.0765768643328931E-3</v>
      </c>
      <c r="E30" s="17">
        <f>+E11/'Rate Class Energy Model'!H15</f>
        <v>2.7844449374749259E-3</v>
      </c>
      <c r="F30" s="17">
        <f>+F11/'Rate Class Energy Model'!I15</f>
        <v>2.8143225702704742E-3</v>
      </c>
    </row>
    <row r="31" spans="1:7" x14ac:dyDescent="0.2">
      <c r="A31" s="3">
        <v>2021</v>
      </c>
      <c r="B31" s="17">
        <f>+B12/'Rate Class Energy Model'!E16</f>
        <v>2.7087565224391762E-3</v>
      </c>
      <c r="C31" s="17">
        <f>+C12/'Rate Class Energy Model'!F16</f>
        <v>2.0106773080965893E-3</v>
      </c>
      <c r="D31" s="17">
        <f>+D12/'Rate Class Energy Model'!G16</f>
        <v>2.0272389459372406E-3</v>
      </c>
      <c r="E31" s="17">
        <f>+E12/'Rate Class Energy Model'!H16</f>
        <v>2.7871252307481256E-3</v>
      </c>
      <c r="F31" s="17">
        <f>+F12/'Rate Class Energy Model'!I16</f>
        <v>2.778211873382994E-3</v>
      </c>
    </row>
    <row r="32" spans="1:7" x14ac:dyDescent="0.2">
      <c r="A32" s="3">
        <v>2022</v>
      </c>
      <c r="B32" s="17">
        <f>B35</f>
        <v>2.6897683380942023E-3</v>
      </c>
      <c r="C32" s="17">
        <f t="shared" ref="C32:F32" si="1">C35</f>
        <v>2.1771812856637893E-3</v>
      </c>
      <c r="D32" s="17">
        <f t="shared" si="1"/>
        <v>1.9830057818951844E-3</v>
      </c>
      <c r="E32" s="17">
        <f t="shared" si="1"/>
        <v>2.7925165317978949E-3</v>
      </c>
      <c r="F32" s="17">
        <f t="shared" si="1"/>
        <v>2.802365414989327E-3</v>
      </c>
    </row>
    <row r="33" spans="1:6" x14ac:dyDescent="0.2">
      <c r="A33" s="3">
        <v>2023</v>
      </c>
      <c r="B33" s="17">
        <f>B35</f>
        <v>2.6897683380942023E-3</v>
      </c>
      <c r="C33" s="17">
        <f t="shared" ref="C33:F33" si="2">C35</f>
        <v>2.1771812856637893E-3</v>
      </c>
      <c r="D33" s="17">
        <f t="shared" si="2"/>
        <v>1.9830057818951844E-3</v>
      </c>
      <c r="E33" s="17">
        <f t="shared" si="2"/>
        <v>2.7925165317978949E-3</v>
      </c>
      <c r="F33" s="17">
        <f t="shared" si="2"/>
        <v>2.802365414989327E-3</v>
      </c>
    </row>
    <row r="34" spans="1:6" x14ac:dyDescent="0.2">
      <c r="B34" s="17"/>
      <c r="C34" s="17"/>
      <c r="D34" s="17"/>
      <c r="E34" s="17"/>
      <c r="F34" s="17"/>
    </row>
    <row r="35" spans="1:6" x14ac:dyDescent="0.2">
      <c r="A35" s="28" t="s">
        <v>269</v>
      </c>
      <c r="B35" s="17">
        <f>B37</f>
        <v>2.6897683380942023E-3</v>
      </c>
      <c r="C35" s="17">
        <f>C39</f>
        <v>2.1771812856637893E-3</v>
      </c>
      <c r="D35" s="17">
        <f>D39</f>
        <v>1.9830057818951844E-3</v>
      </c>
      <c r="E35" s="17">
        <f>E37</f>
        <v>2.7925165317978949E-3</v>
      </c>
      <c r="F35" s="17">
        <f t="shared" ref="F35" si="3">AVERAGE(F21:F30)</f>
        <v>2.802365414989327E-3</v>
      </c>
    </row>
    <row r="37" spans="1:6" x14ac:dyDescent="0.2">
      <c r="A37" s="28" t="s">
        <v>329</v>
      </c>
      <c r="B37" s="195">
        <f>AVERAGE(B22:B31)</f>
        <v>2.6897683380942023E-3</v>
      </c>
      <c r="C37" s="17">
        <f t="shared" ref="C37:E37" si="4">AVERAGE(C22:C31)</f>
        <v>2.2137641912054989E-3</v>
      </c>
      <c r="D37" s="17">
        <f t="shared" si="4"/>
        <v>1.9530584499372872E-3</v>
      </c>
      <c r="E37" s="195">
        <f t="shared" si="4"/>
        <v>2.7925165317978949E-3</v>
      </c>
      <c r="F37" s="195">
        <f>AVERAGE(F22:F31)</f>
        <v>2.8024088245498487E-3</v>
      </c>
    </row>
    <row r="38" spans="1:6" x14ac:dyDescent="0.2">
      <c r="A38" s="28" t="s">
        <v>330</v>
      </c>
      <c r="B38" s="155">
        <f>AVERAGE(B22:B29)</f>
        <v>2.6856219292325195E-3</v>
      </c>
      <c r="C38" s="155">
        <f t="shared" ref="C38:F38" si="5">AVERAGE(C22:C29)</f>
        <v>2.2457681664260465E-3</v>
      </c>
      <c r="D38" s="155">
        <f t="shared" si="5"/>
        <v>1.9283460861378426E-3</v>
      </c>
      <c r="E38" s="203">
        <f>AVERAGE(E22:E29)</f>
        <v>2.7941993937194874E-3</v>
      </c>
      <c r="F38" s="155">
        <f t="shared" si="5"/>
        <v>2.8039442252306276E-3</v>
      </c>
    </row>
    <row r="39" spans="1:6" x14ac:dyDescent="0.2">
      <c r="A39" s="28" t="s">
        <v>331</v>
      </c>
      <c r="B39" s="155">
        <f>AVERAGE(B27:B31)</f>
        <v>2.7009492296756802E-3</v>
      </c>
      <c r="C39" s="196">
        <f>AVERAGE(C27:C31)</f>
        <v>2.1771812856637893E-3</v>
      </c>
      <c r="D39" s="196">
        <f>AVERAGE(D27:D31)</f>
        <v>1.9830057818951844E-3</v>
      </c>
      <c r="E39" s="155">
        <f t="shared" ref="E39:F39" si="6">AVERAGE(E27:E31)</f>
        <v>2.7951674104545214E-3</v>
      </c>
      <c r="F39" s="155">
        <f t="shared" si="6"/>
        <v>2.8209616650552044E-3</v>
      </c>
    </row>
    <row r="59" spans="2:6" x14ac:dyDescent="0.2">
      <c r="B59" s="10"/>
      <c r="C59" s="10"/>
      <c r="D59" s="10"/>
      <c r="E59" s="10"/>
      <c r="F59" s="10"/>
    </row>
    <row r="60" spans="2:6" x14ac:dyDescent="0.2">
      <c r="B60" s="10"/>
      <c r="C60" s="10"/>
      <c r="D60" s="10"/>
      <c r="E60" s="10"/>
      <c r="F60" s="10"/>
    </row>
  </sheetData>
  <phoneticPr fontId="0" type="noConversion"/>
  <pageMargins left="0.38" right="0.75" top="0.73" bottom="0.74" header="0.5" footer="0.5"/>
  <pageSetup scale="81" orientation="portrait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  <pageSetUpPr fitToPage="1"/>
  </sheetPr>
  <dimension ref="A1:X64"/>
  <sheetViews>
    <sheetView tabSelected="1" zoomScale="110" zoomScaleNormal="110" workbookViewId="0">
      <pane xSplit="1" ySplit="2" topLeftCell="B3" activePane="bottomRight" state="frozen"/>
      <selection activeCell="R25" sqref="R25"/>
      <selection pane="topRight" activeCell="R25" sqref="R25"/>
      <selection pane="bottomLeft" activeCell="R25" sqref="R25"/>
      <selection pane="bottomRight" activeCell="O18" sqref="O18"/>
    </sheetView>
  </sheetViews>
  <sheetFormatPr defaultRowHeight="12.75" x14ac:dyDescent="0.2"/>
  <cols>
    <col min="1" max="1" width="32.7109375" customWidth="1"/>
    <col min="2" max="2" width="1.7109375" customWidth="1"/>
    <col min="3" max="11" width="12" style="1" bestFit="1" customWidth="1"/>
    <col min="12" max="12" width="11.7109375" style="1" customWidth="1"/>
    <col min="13" max="13" width="12.5703125" style="1" customWidth="1"/>
    <col min="14" max="14" width="12" bestFit="1" customWidth="1"/>
    <col min="15" max="15" width="11.7109375" customWidth="1"/>
    <col min="17" max="17" width="11.28515625" bestFit="1" customWidth="1"/>
    <col min="22" max="22" width="11.140625" customWidth="1"/>
  </cols>
  <sheetData>
    <row r="1" spans="1:16" ht="15.75" x14ac:dyDescent="0.25">
      <c r="A1" s="23" t="s">
        <v>170</v>
      </c>
      <c r="B1" s="23"/>
      <c r="N1" s="1"/>
    </row>
    <row r="2" spans="1:16" ht="25.5" x14ac:dyDescent="0.2">
      <c r="A2" s="12" t="s">
        <v>171</v>
      </c>
      <c r="C2" s="25" t="s">
        <v>172</v>
      </c>
      <c r="D2" s="25" t="s">
        <v>173</v>
      </c>
      <c r="E2" s="25" t="s">
        <v>174</v>
      </c>
      <c r="F2" s="25" t="s">
        <v>175</v>
      </c>
      <c r="G2" s="25" t="s">
        <v>176</v>
      </c>
      <c r="H2" s="25" t="s">
        <v>177</v>
      </c>
      <c r="I2" s="25" t="s">
        <v>178</v>
      </c>
      <c r="J2" s="25" t="s">
        <v>179</v>
      </c>
      <c r="K2" s="25" t="s">
        <v>180</v>
      </c>
      <c r="L2" s="25" t="s">
        <v>181</v>
      </c>
      <c r="M2" s="25" t="s">
        <v>182</v>
      </c>
      <c r="N2" s="25" t="s">
        <v>183</v>
      </c>
      <c r="O2" s="25" t="s">
        <v>184</v>
      </c>
    </row>
    <row r="3" spans="1:16" hidden="1" x14ac:dyDescent="0.2">
      <c r="A3" s="12" t="s">
        <v>185</v>
      </c>
      <c r="B3" s="12"/>
      <c r="C3" s="18" t="e">
        <f>+#REF!</f>
        <v>#REF!</v>
      </c>
      <c r="D3" s="5" t="e">
        <f>+#REF!</f>
        <v>#REF!</v>
      </c>
      <c r="E3" s="18" t="e">
        <f>+#REF!</f>
        <v>#REF!</v>
      </c>
      <c r="F3" s="18" t="e">
        <f>+#REF!</f>
        <v>#REF!</v>
      </c>
      <c r="G3" s="18" t="e">
        <f>+#REF!</f>
        <v>#REF!</v>
      </c>
      <c r="H3" s="18" t="e">
        <f>+#REF!</f>
        <v>#REF!</v>
      </c>
      <c r="I3" s="18" t="e">
        <f>+#REF!</f>
        <v>#REF!</v>
      </c>
      <c r="J3" s="18" t="e">
        <f>+#REF!</f>
        <v>#REF!</v>
      </c>
      <c r="K3" s="18" t="e">
        <f>+#REF!</f>
        <v>#REF!</v>
      </c>
      <c r="L3" s="21"/>
      <c r="M3" s="21"/>
      <c r="N3" s="1"/>
      <c r="O3" s="1"/>
    </row>
    <row r="4" spans="1:16" hidden="1" x14ac:dyDescent="0.2">
      <c r="A4" s="12" t="s">
        <v>186</v>
      </c>
      <c r="B4" s="12"/>
      <c r="C4" s="18" t="e">
        <f>+#REF!</f>
        <v>#REF!</v>
      </c>
      <c r="D4" s="18" t="e">
        <f>+#REF!</f>
        <v>#REF!</v>
      </c>
      <c r="E4" s="18" t="e">
        <f>+#REF!</f>
        <v>#REF!</v>
      </c>
      <c r="F4" s="18" t="e">
        <f>+#REF!</f>
        <v>#REF!</v>
      </c>
      <c r="G4" s="18" t="e">
        <f>+#REF!</f>
        <v>#REF!</v>
      </c>
      <c r="H4" s="18" t="e">
        <f>+#REF!</f>
        <v>#REF!</v>
      </c>
      <c r="I4" s="18" t="e">
        <f>+#REF!</f>
        <v>#REF!</v>
      </c>
      <c r="J4" s="18" t="e">
        <f>+#REF!</f>
        <v>#REF!</v>
      </c>
      <c r="K4" s="18" t="e">
        <f>+#REF!</f>
        <v>#REF!</v>
      </c>
      <c r="L4" s="18" t="e">
        <f>+#REF!</f>
        <v>#REF!</v>
      </c>
      <c r="M4" s="18"/>
      <c r="N4" s="18" t="e">
        <f>+#REF!</f>
        <v>#REF!</v>
      </c>
      <c r="O4" s="1"/>
    </row>
    <row r="5" spans="1:16" hidden="1" x14ac:dyDescent="0.2">
      <c r="A5" s="12" t="s">
        <v>187</v>
      </c>
      <c r="B5" s="12"/>
      <c r="C5" s="24" t="e">
        <f t="shared" ref="C5:K5" si="0">(C4-C3)/C3</f>
        <v>#REF!</v>
      </c>
      <c r="D5" s="24" t="e">
        <f t="shared" si="0"/>
        <v>#REF!</v>
      </c>
      <c r="E5" s="24" t="e">
        <f t="shared" si="0"/>
        <v>#REF!</v>
      </c>
      <c r="F5" s="24" t="e">
        <f t="shared" si="0"/>
        <v>#REF!</v>
      </c>
      <c r="G5" s="24" t="e">
        <f t="shared" si="0"/>
        <v>#REF!</v>
      </c>
      <c r="H5" s="24" t="e">
        <f t="shared" si="0"/>
        <v>#REF!</v>
      </c>
      <c r="I5" s="24" t="e">
        <f t="shared" si="0"/>
        <v>#REF!</v>
      </c>
      <c r="J5" s="24" t="e">
        <f t="shared" si="0"/>
        <v>#REF!</v>
      </c>
      <c r="K5" s="24" t="e">
        <f t="shared" si="0"/>
        <v>#REF!</v>
      </c>
      <c r="L5" s="31"/>
      <c r="M5" s="31"/>
      <c r="N5" s="27"/>
      <c r="O5" s="1"/>
    </row>
    <row r="6" spans="1:16" ht="5.0999999999999996" customHeight="1" x14ac:dyDescent="0.2">
      <c r="A6" s="12"/>
      <c r="B6" s="12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1"/>
      <c r="O6" s="1"/>
    </row>
    <row r="7" spans="1:16" x14ac:dyDescent="0.2">
      <c r="A7" s="12" t="s">
        <v>188</v>
      </c>
      <c r="B7" s="12"/>
      <c r="C7" s="5">
        <f ca="1">OFFSET('Rate Class Energy Model'!$B$6,COLUMN()-COLUMN($C7),0)</f>
        <v>754466669.81999993</v>
      </c>
      <c r="D7" s="5">
        <f ca="1">OFFSET('Rate Class Energy Model'!$B$6,COLUMN()-COLUMN($C7),0)</f>
        <v>783449113.69999993</v>
      </c>
      <c r="E7" s="5">
        <f ca="1">OFFSET('Rate Class Energy Model'!$B$6,COLUMN()-COLUMN($C7),0)</f>
        <v>814644301.5</v>
      </c>
      <c r="F7" s="5">
        <f ca="1">OFFSET('Rate Class Energy Model'!$B$6,COLUMN()-COLUMN($C7),0)</f>
        <v>836470876.05999994</v>
      </c>
      <c r="G7" s="5">
        <f ca="1">OFFSET('Rate Class Energy Model'!$B$6,COLUMN()-COLUMN($C7),0)</f>
        <v>848069009.06884122</v>
      </c>
      <c r="H7" s="5">
        <f ca="1">OFFSET('Rate Class Energy Model'!$B$6,COLUMN()-COLUMN($C7),0)</f>
        <v>873235927.80642521</v>
      </c>
      <c r="I7" s="5">
        <f ca="1">OFFSET('Rate Class Energy Model'!$B$6,COLUMN()-COLUMN($C7),0)</f>
        <v>859270211.18686926</v>
      </c>
      <c r="J7" s="5">
        <f ca="1">OFFSET('Rate Class Energy Model'!$B$6,COLUMN()-COLUMN($C7),0)</f>
        <v>909512508.6674726</v>
      </c>
      <c r="K7" s="5">
        <f ca="1">OFFSET('Rate Class Energy Model'!$B$6,COLUMN()-COLUMN($C7),0)</f>
        <v>907143690.21844316</v>
      </c>
      <c r="L7" s="5">
        <f ca="1">OFFSET('Rate Class Energy Model'!$B$6,COLUMN()-COLUMN($C7),0)</f>
        <v>907891652.55668497</v>
      </c>
      <c r="M7" s="5">
        <f ca="1">OFFSET('Rate Class Energy Model'!$B$6,COLUMN()-COLUMN($C7),0)</f>
        <v>936433540.89398074</v>
      </c>
      <c r="N7" s="5">
        <f ca="1">OFFSET('Rate Class Energy Model'!$B$6,COLUMN()-COLUMN($C7)+5,0)</f>
        <v>891988428.53889561</v>
      </c>
      <c r="O7" s="5">
        <f ca="1">OFFSET('Rate Class Energy Model'!$B$6,COLUMN()-COLUMN($C7)+5,0)</f>
        <v>903052017.38104427</v>
      </c>
      <c r="P7" s="5"/>
    </row>
    <row r="8" spans="1:16" x14ac:dyDescent="0.2">
      <c r="A8" s="12"/>
      <c r="B8" s="12"/>
      <c r="C8" s="21"/>
      <c r="D8" s="21"/>
      <c r="E8" s="21"/>
      <c r="F8" s="21"/>
      <c r="G8" s="21"/>
      <c r="H8" s="21"/>
      <c r="I8" s="21"/>
      <c r="N8" s="1"/>
      <c r="O8" s="1"/>
    </row>
    <row r="9" spans="1:16" ht="15.75" x14ac:dyDescent="0.25">
      <c r="A9" s="23" t="s">
        <v>189</v>
      </c>
      <c r="B9" s="23"/>
      <c r="N9" s="1"/>
      <c r="O9" s="1"/>
    </row>
    <row r="10" spans="1:16" x14ac:dyDescent="0.2">
      <c r="A10" s="22" t="str">
        <f>'Rate Class Energy Model'!C2</f>
        <v xml:space="preserve">Residential </v>
      </c>
      <c r="B10" s="22"/>
      <c r="N10" s="1"/>
      <c r="O10" s="1"/>
      <c r="P10" s="1"/>
    </row>
    <row r="11" spans="1:16" x14ac:dyDescent="0.2">
      <c r="A11" t="s">
        <v>190</v>
      </c>
      <c r="C11" s="5">
        <f ca="1">OFFSET('Rate Class Customer Model'!$B$15,COLUMN()-COLUMN($C$11),0)</f>
        <v>27124.416666666668</v>
      </c>
      <c r="D11" s="5">
        <f ca="1">OFFSET('Rate Class Customer Model'!$B$15,COLUMN()-COLUMN($C$11),0)</f>
        <v>28837.75</v>
      </c>
      <c r="E11" s="5">
        <f ca="1">OFFSET('Rate Class Customer Model'!$B$15,COLUMN()-COLUMN($C$11),0)</f>
        <v>30730.666666666668</v>
      </c>
      <c r="F11" s="5">
        <f ca="1">OFFSET('Rate Class Customer Model'!$B$15,COLUMN()-COLUMN($C$11),0)</f>
        <v>31706.916666666668</v>
      </c>
      <c r="G11" s="5">
        <f ca="1">OFFSET('Rate Class Customer Model'!$B$15,COLUMN()-COLUMN($C$11),0)</f>
        <v>32717.583333333332</v>
      </c>
      <c r="H11" s="5">
        <f ca="1">OFFSET('Rate Class Customer Model'!$B$15,COLUMN()-COLUMN($C$11),0)</f>
        <v>33532.916666666664</v>
      </c>
      <c r="I11" s="5">
        <f ca="1">OFFSET('Rate Class Customer Model'!$B$15,COLUMN()-COLUMN($C$11),0)</f>
        <v>34343.25</v>
      </c>
      <c r="J11" s="5">
        <f ca="1">OFFSET('Rate Class Customer Model'!$B$15,COLUMN()-COLUMN($C$11),0)</f>
        <v>35796.166666666664</v>
      </c>
      <c r="K11" s="5">
        <f ca="1">OFFSET('Rate Class Customer Model'!$B$15,COLUMN()-COLUMN($C$11),0)</f>
        <v>37001.166666666664</v>
      </c>
      <c r="L11" s="5">
        <f ca="1">OFFSET('Rate Class Customer Model'!$B$15,COLUMN()-COLUMN($C$11),0)</f>
        <v>37705.916666666664</v>
      </c>
      <c r="M11" s="5">
        <f ca="1">OFFSET('Rate Class Customer Model'!$B$15,COLUMN()-COLUMN($C$11),0)</f>
        <v>38491.25</v>
      </c>
      <c r="N11" s="5">
        <f ca="1">OFFSET('Rate Class Customer Model'!$B$15,COLUMN()-COLUMN($C$11)+14,0)</f>
        <v>39229.25</v>
      </c>
      <c r="O11" s="5">
        <f ca="1">OFFSET('Rate Class Customer Model'!$B$15,COLUMN()-COLUMN($C$11)+14,0)</f>
        <v>40087.583333333314</v>
      </c>
      <c r="P11" s="5"/>
    </row>
    <row r="12" spans="1:16" x14ac:dyDescent="0.2">
      <c r="A12" t="s">
        <v>191</v>
      </c>
      <c r="C12" s="5">
        <f ca="1">OFFSET('Rate Class Energy Model'!$C$6,COLUMN()-COLUMN($C12),0)</f>
        <v>268725506.51999998</v>
      </c>
      <c r="D12" s="5">
        <f ca="1">OFFSET('Rate Class Energy Model'!$C$6,COLUMN()-COLUMN($C12),0)</f>
        <v>281220954.64999998</v>
      </c>
      <c r="E12" s="5">
        <f ca="1">OFFSET('Rate Class Energy Model'!$C$6,COLUMN()-COLUMN($C12),0)</f>
        <v>287291133.52999997</v>
      </c>
      <c r="F12" s="5">
        <f ca="1">OFFSET('Rate Class Energy Model'!$C$6,COLUMN()-COLUMN($C12),0)</f>
        <v>290591982.63</v>
      </c>
      <c r="G12" s="5">
        <f ca="1">OFFSET('Rate Class Energy Model'!$C$6,COLUMN()-COLUMN($C12),0)</f>
        <v>295940879.87469882</v>
      </c>
      <c r="H12" s="5">
        <f ca="1">OFFSET('Rate Class Energy Model'!$C$6,COLUMN()-COLUMN($C12),0)</f>
        <v>310749015.99036139</v>
      </c>
      <c r="I12" s="5">
        <f ca="1">OFFSET('Rate Class Energy Model'!$C$6,COLUMN()-COLUMN($C12),0)</f>
        <v>294253405.64819276</v>
      </c>
      <c r="J12" s="5">
        <f ca="1">OFFSET('Rate Class Energy Model'!$C$6,COLUMN()-COLUMN($C12),0)</f>
        <v>323623192.28915668</v>
      </c>
      <c r="K12" s="5">
        <f ca="1">OFFSET('Rate Class Energy Model'!$C$6,COLUMN()-COLUMN($C12),0)</f>
        <v>316413176.16385555</v>
      </c>
      <c r="L12" s="5">
        <f ca="1">OFFSET('Rate Class Energy Model'!$C$6,COLUMN()-COLUMN($C12),0)</f>
        <v>353805930.95903623</v>
      </c>
      <c r="M12" s="5">
        <f ca="1">OFFSET('Rate Class Energy Model'!$C$6,COLUMN()-COLUMN($C12),0)</f>
        <v>360408160.45301205</v>
      </c>
      <c r="N12" s="5">
        <f ca="1">OFFSET('Rate Class Energy Model'!$C$6,COLUMN()-COLUMN($C12)+5,0)</f>
        <v>354027693.06569093</v>
      </c>
      <c r="O12" s="5">
        <f ca="1">OFFSET('Rate Class Energy Model'!$C$6,COLUMN()-COLUMN($C12)+5,0)</f>
        <v>353425358.50033087</v>
      </c>
      <c r="P12" s="5"/>
    </row>
    <row r="13" spans="1:16" ht="5.0999999999999996" customHeight="1" x14ac:dyDescent="0.2">
      <c r="N13" s="27"/>
      <c r="O13" s="1"/>
      <c r="P13" s="1"/>
    </row>
    <row r="14" spans="1:16" x14ac:dyDescent="0.2">
      <c r="A14" s="22" t="str">
        <f>'Rate Class Energy Model'!D2</f>
        <v>General Service &lt; 50 kW</v>
      </c>
      <c r="B14" s="22"/>
      <c r="N14" s="1"/>
      <c r="O14" s="1"/>
      <c r="P14" s="1"/>
    </row>
    <row r="15" spans="1:16" x14ac:dyDescent="0.2">
      <c r="A15" t="s">
        <v>190</v>
      </c>
      <c r="C15" s="5">
        <f ca="1">OFFSET('Rate Class Customer Model'!$E$15,COLUMN()-COLUMN($C$11),0)</f>
        <v>2331.25</v>
      </c>
      <c r="D15" s="5">
        <f ca="1">OFFSET('Rate Class Customer Model'!$E$15,COLUMN()-COLUMN($C$11),0)</f>
        <v>2401.6666666666665</v>
      </c>
      <c r="E15" s="5">
        <f ca="1">OFFSET('Rate Class Customer Model'!$E$15,COLUMN()-COLUMN($C$11),0)</f>
        <v>2458.1666666666665</v>
      </c>
      <c r="F15" s="5">
        <f ca="1">OFFSET('Rate Class Customer Model'!$E$15,COLUMN()-COLUMN($C$11),0)</f>
        <v>2510.0833333333335</v>
      </c>
      <c r="G15" s="5">
        <f ca="1">OFFSET('Rate Class Customer Model'!$E$15,COLUMN()-COLUMN($C$11),0)</f>
        <v>2551.8333333333335</v>
      </c>
      <c r="H15" s="5">
        <f ca="1">OFFSET('Rate Class Customer Model'!$E$15,COLUMN()-COLUMN($C$11),0)</f>
        <v>2602.9166666666665</v>
      </c>
      <c r="I15" s="5">
        <f ca="1">OFFSET('Rate Class Customer Model'!$E$15,COLUMN()-COLUMN($C$11),0)</f>
        <v>2646.3333333333335</v>
      </c>
      <c r="J15" s="5">
        <f ca="1">OFFSET('Rate Class Customer Model'!$E$15,COLUMN()-COLUMN($C$11),0)</f>
        <v>2685.9166666666665</v>
      </c>
      <c r="K15" s="5">
        <f ca="1">OFFSET('Rate Class Customer Model'!$E$15,COLUMN()-COLUMN($C$11),0)</f>
        <v>2691.6666666666665</v>
      </c>
      <c r="L15" s="5">
        <f ca="1">OFFSET('Rate Class Customer Model'!$E$15,COLUMN()-COLUMN($C$11),0)</f>
        <v>2724.9166666666665</v>
      </c>
      <c r="M15" s="5">
        <f ca="1">OFFSET('Rate Class Customer Model'!$E$15,COLUMN()-COLUMN($C$11),0)</f>
        <v>2875.75</v>
      </c>
      <c r="N15" s="5">
        <f ca="1">OFFSET('Rate Class Customer Model'!$E$15,COLUMN()-COLUMN($C$11)+14,0)</f>
        <v>2943.0857992373026</v>
      </c>
      <c r="O15" s="5">
        <f ca="1">OFFSET('Rate Class Customer Model'!$E$15,COLUMN()-COLUMN($C$11)+14,0)</f>
        <v>2989.9091003503345</v>
      </c>
      <c r="P15" s="5"/>
    </row>
    <row r="16" spans="1:16" x14ac:dyDescent="0.2">
      <c r="A16" t="s">
        <v>191</v>
      </c>
      <c r="C16" s="5">
        <f ca="1">OFFSET('Rate Class Energy Model'!$D$6,COLUMN()-COLUMN($C16),0)</f>
        <v>83338833.540000021</v>
      </c>
      <c r="D16" s="5">
        <f ca="1">OFFSET('Rate Class Energy Model'!$D$6,COLUMN()-COLUMN($C16),0)</f>
        <v>84168273.069999993</v>
      </c>
      <c r="E16" s="5">
        <f ca="1">OFFSET('Rate Class Energy Model'!$D$6,COLUMN()-COLUMN($C16),0)</f>
        <v>87021883.129999995</v>
      </c>
      <c r="F16" s="5">
        <f ca="1">OFFSET('Rate Class Energy Model'!$D$6,COLUMN()-COLUMN($C16),0)</f>
        <v>88384426.730000004</v>
      </c>
      <c r="G16" s="5">
        <f ca="1">OFFSET('Rate Class Energy Model'!$D$6,COLUMN()-COLUMN($C16),0)</f>
        <v>88333188.626506001</v>
      </c>
      <c r="H16" s="5">
        <f ca="1">OFFSET('Rate Class Energy Model'!$D$6,COLUMN()-COLUMN($C16),0)</f>
        <v>88749928.414457858</v>
      </c>
      <c r="I16" s="5">
        <f ca="1">OFFSET('Rate Class Energy Model'!$D$6,COLUMN()-COLUMN($C16),0)</f>
        <v>82899471.903614432</v>
      </c>
      <c r="J16" s="5">
        <f ca="1">OFFSET('Rate Class Energy Model'!$D$6,COLUMN()-COLUMN($C16),0)</f>
        <v>86093744.838554204</v>
      </c>
      <c r="K16" s="5">
        <f ca="1">OFFSET('Rate Class Energy Model'!$D$6,COLUMN()-COLUMN($C16),0)</f>
        <v>83808650.746987954</v>
      </c>
      <c r="L16" s="5">
        <f ca="1">OFFSET('Rate Class Energy Model'!$D$6,COLUMN()-COLUMN($C16),0)</f>
        <v>79694764.992771059</v>
      </c>
      <c r="M16" s="5">
        <f ca="1">OFFSET('Rate Class Energy Model'!$D$6,COLUMN()-COLUMN($C16),0)</f>
        <v>85479169.763855413</v>
      </c>
      <c r="N16" s="5">
        <f ca="1">OFFSET('Rate Class Energy Model'!$D$6,COLUMN()-COLUMN($C16)+5,0)</f>
        <v>85511247.730513051</v>
      </c>
      <c r="O16" s="5">
        <f ca="1">OFFSET('Rate Class Energy Model'!$D$6,COLUMN()-COLUMN($C16)+5,0)</f>
        <v>87736980.996692628</v>
      </c>
      <c r="P16" s="5"/>
    </row>
    <row r="17" spans="1:21" ht="5.0999999999999996" customHeight="1" x14ac:dyDescent="0.2">
      <c r="N17" s="27"/>
      <c r="O17" s="1"/>
      <c r="P17" s="1"/>
      <c r="U17" s="193"/>
    </row>
    <row r="18" spans="1:21" x14ac:dyDescent="0.2">
      <c r="A18" s="22" t="str">
        <f>'Rate Class Energy Model'!E2</f>
        <v>General Service  50 to 999 kW</v>
      </c>
      <c r="B18" s="22"/>
      <c r="N18" s="5"/>
      <c r="O18" s="1"/>
      <c r="P18" s="1"/>
    </row>
    <row r="19" spans="1:21" x14ac:dyDescent="0.2">
      <c r="A19" t="s">
        <v>190</v>
      </c>
      <c r="C19" s="5">
        <f ca="1">OFFSET('Rate Class Customer Model'!$H$15,COLUMN()-COLUMN($C$11),0)</f>
        <v>263.58333333333331</v>
      </c>
      <c r="D19" s="5">
        <f ca="1">OFFSET('Rate Class Customer Model'!$H$15,COLUMN()-COLUMN($C$11),0)</f>
        <v>271.33333333333331</v>
      </c>
      <c r="E19" s="5">
        <f ca="1">OFFSET('Rate Class Customer Model'!$H$15,COLUMN()-COLUMN($C$11),0)</f>
        <v>272.16666666666669</v>
      </c>
      <c r="F19" s="5">
        <f ca="1">OFFSET('Rate Class Customer Model'!$H$15,COLUMN()-COLUMN($C$11),0)</f>
        <v>279.5</v>
      </c>
      <c r="G19" s="5">
        <f ca="1">OFFSET('Rate Class Customer Model'!$H$15,COLUMN()-COLUMN($C$11),0)</f>
        <v>290.58333333333331</v>
      </c>
      <c r="H19" s="5">
        <f ca="1">OFFSET('Rate Class Customer Model'!$H$15,COLUMN()-COLUMN($C$11),0)</f>
        <v>297.66666666666669</v>
      </c>
      <c r="I19" s="5">
        <f ca="1">OFFSET('Rate Class Customer Model'!$H$15,COLUMN()-COLUMN($C$11),0)</f>
        <v>319.25</v>
      </c>
      <c r="J19" s="5">
        <f ca="1">OFFSET('Rate Class Customer Model'!$H$15,COLUMN()-COLUMN($C$11),0)</f>
        <v>329.66666666666669</v>
      </c>
      <c r="K19" s="5">
        <f ca="1">OFFSET('Rate Class Customer Model'!$H$15,COLUMN()-COLUMN($C$11),0)</f>
        <v>342.33333333333331</v>
      </c>
      <c r="L19" s="5">
        <f ca="1">OFFSET('Rate Class Customer Model'!$H$15,COLUMN()-COLUMN($C$11),0)</f>
        <v>352.75</v>
      </c>
      <c r="M19" s="5">
        <f ca="1">OFFSET('Rate Class Customer Model'!$H$15,COLUMN()-COLUMN($C$11),0)</f>
        <v>344.58333333333331</v>
      </c>
      <c r="N19" s="5">
        <f ca="1">OFFSET('Rate Class Customer Model'!$H$15,COLUMN()-COLUMN($C$11)+14,0)</f>
        <v>332.7072304649999</v>
      </c>
      <c r="O19" s="5">
        <f ca="1">OFFSET('Rate Class Customer Model'!$H$15,COLUMN()-COLUMN($C$11)+14,0)</f>
        <v>343.80146517608017</v>
      </c>
      <c r="P19" s="5"/>
    </row>
    <row r="20" spans="1:21" x14ac:dyDescent="0.2">
      <c r="A20" t="s">
        <v>191</v>
      </c>
      <c r="C20" s="5">
        <f ca="1">OFFSET('Rate Class Energy Model'!$E$6,COLUMN()-COLUMN($C20),0)</f>
        <v>192782769.75999996</v>
      </c>
      <c r="D20" s="5">
        <f ca="1">OFFSET('Rate Class Energy Model'!$E$6,COLUMN()-COLUMN($C20),0)</f>
        <v>194206572.97999996</v>
      </c>
      <c r="E20" s="5">
        <f ca="1">OFFSET('Rate Class Energy Model'!$E$6,COLUMN()-COLUMN($C20),0)</f>
        <v>203179610.86000001</v>
      </c>
      <c r="F20" s="5">
        <f ca="1">OFFSET('Rate Class Energy Model'!$E$6,COLUMN()-COLUMN($C20),0)</f>
        <v>204924669.72999999</v>
      </c>
      <c r="G20" s="5">
        <f ca="1">OFFSET('Rate Class Energy Model'!$E$6,COLUMN()-COLUMN($C20),0)</f>
        <v>205449544.32771084</v>
      </c>
      <c r="H20" s="5">
        <f ca="1">OFFSET('Rate Class Energy Model'!$E$6,COLUMN()-COLUMN($C20),0)</f>
        <v>204715589.59036142</v>
      </c>
      <c r="I20" s="5">
        <f ca="1">OFFSET('Rate Class Energy Model'!$E$6,COLUMN()-COLUMN($C20),0)</f>
        <v>213633991.96144572</v>
      </c>
      <c r="J20" s="5">
        <f ca="1">OFFSET('Rate Class Energy Model'!$E$6,COLUMN()-COLUMN($C20),0)</f>
        <v>221806792.86746988</v>
      </c>
      <c r="K20" s="5">
        <f ca="1">OFFSET('Rate Class Energy Model'!$E$6,COLUMN()-COLUMN($C20),0)</f>
        <v>220154820.13493976</v>
      </c>
      <c r="L20" s="5">
        <f ca="1">OFFSET('Rate Class Energy Model'!$E$6,COLUMN()-COLUMN($C20),0)</f>
        <v>209733279.5373494</v>
      </c>
      <c r="M20" s="5">
        <f ca="1">OFFSET('Rate Class Energy Model'!$E$6,COLUMN()-COLUMN($C20),0)</f>
        <v>214209551.57590359</v>
      </c>
      <c r="N20" s="5">
        <f ca="1">OFFSET('Rate Class Energy Model'!$E$6,COLUMN()-COLUMN($C20)+5,0)</f>
        <v>211460207.36614057</v>
      </c>
      <c r="O20" s="5">
        <f ca="1">OFFSET('Rate Class Energy Model'!$E$6,COLUMN()-COLUMN($C20)+5,0)</f>
        <v>220860822.79125082</v>
      </c>
      <c r="P20" s="5"/>
    </row>
    <row r="21" spans="1:21" x14ac:dyDescent="0.2">
      <c r="A21" t="s">
        <v>192</v>
      </c>
      <c r="C21" s="5">
        <f ca="1">OFFSET('Rate Class Load Model'!$B$2,COLUMN()-COLUMN($C21),0)</f>
        <v>503231</v>
      </c>
      <c r="D21" s="5">
        <f ca="1">OFFSET('Rate Class Load Model'!$B$2,COLUMN()-COLUMN($C21),0)</f>
        <v>520812.31</v>
      </c>
      <c r="E21" s="5">
        <f ca="1">OFFSET('Rate Class Load Model'!$B$2,COLUMN()-COLUMN($C21),0)</f>
        <v>541769.57999999996</v>
      </c>
      <c r="F21" s="5">
        <f ca="1">OFFSET('Rate Class Load Model'!$B$2,COLUMN()-COLUMN($C21),0)</f>
        <v>537015.85</v>
      </c>
      <c r="G21" s="5">
        <f ca="1">OFFSET('Rate Class Load Model'!$B$2,COLUMN()-COLUMN($C21),0)</f>
        <v>553187.45000000007</v>
      </c>
      <c r="H21" s="5">
        <f ca="1">OFFSET('Rate Class Load Model'!$B$2,COLUMN()-COLUMN($C21),0)</f>
        <v>559203.87</v>
      </c>
      <c r="I21" s="5">
        <f ca="1">OFFSET('Rate Class Load Model'!$B$2,COLUMN()-COLUMN($C21),0)</f>
        <v>577937.55000000005</v>
      </c>
      <c r="J21" s="5">
        <f ca="1">OFFSET('Rate Class Load Model'!$B$2,COLUMN()-COLUMN($C21),0)</f>
        <v>598252.29</v>
      </c>
      <c r="K21" s="5">
        <f ca="1">OFFSET('Rate Class Load Model'!$B$2,COLUMN()-COLUMN($C21),0)</f>
        <v>592126.44000000006</v>
      </c>
      <c r="L21" s="5">
        <f ca="1">OFFSET('Rate Class Load Model'!$B$2,COLUMN()-COLUMN($C21),0)</f>
        <v>567108.6</v>
      </c>
      <c r="M21" s="5">
        <f ca="1">OFFSET('Rate Class Load Model'!$B$2,COLUMN()-COLUMN($C21),0)</f>
        <v>580241.52</v>
      </c>
      <c r="N21" s="5">
        <f ca="1">OFFSET('Rate Class Load Model'!$B$2,COLUMN()-COLUMN($C21)+4,0)</f>
        <v>568778.97054027929</v>
      </c>
      <c r="O21" s="5">
        <f ca="1">OFFSET('Rate Class Load Model'!$B$2,COLUMN()-COLUMN($C21)+4,0)</f>
        <v>594064.44826934091</v>
      </c>
      <c r="P21" s="5"/>
    </row>
    <row r="22" spans="1:21" ht="5.0999999999999996" customHeight="1" x14ac:dyDescent="0.2">
      <c r="N22" s="27"/>
      <c r="O22" s="1"/>
      <c r="P22" s="1"/>
    </row>
    <row r="23" spans="1:21" x14ac:dyDescent="0.2">
      <c r="A23" s="22" t="s">
        <v>193</v>
      </c>
      <c r="B23" s="22"/>
      <c r="L23" s="5"/>
      <c r="M23" s="5"/>
      <c r="N23" s="5"/>
      <c r="O23" s="1"/>
      <c r="P23" s="1"/>
    </row>
    <row r="24" spans="1:21" x14ac:dyDescent="0.2">
      <c r="A24" t="s">
        <v>190</v>
      </c>
      <c r="C24" s="5">
        <f ca="1">OFFSET('Rate Class Customer Model'!$K$15,COLUMN()-COLUMN($C$11),0)</f>
        <v>12.5</v>
      </c>
      <c r="D24" s="5">
        <f ca="1">OFFSET('Rate Class Customer Model'!$K$15,COLUMN()-COLUMN($C$11),0)</f>
        <v>12</v>
      </c>
      <c r="E24" s="5">
        <f ca="1">OFFSET('Rate Class Customer Model'!$K$15,COLUMN()-COLUMN($C$11),0)</f>
        <v>11.5</v>
      </c>
      <c r="F24" s="5">
        <f ca="1">OFFSET('Rate Class Customer Model'!$K$15,COLUMN()-COLUMN($C$11),0)</f>
        <v>11.5</v>
      </c>
      <c r="G24" s="5">
        <f ca="1">OFFSET('Rate Class Customer Model'!$K$15,COLUMN()-COLUMN($C$11),0)</f>
        <v>12.583333333333334</v>
      </c>
      <c r="H24" s="5">
        <f ca="1">OFFSET('Rate Class Customer Model'!$K$15,COLUMN()-COLUMN($C$11),0)</f>
        <v>13.5</v>
      </c>
      <c r="I24" s="5">
        <f ca="1">OFFSET('Rate Class Customer Model'!$K$15,COLUMN()-COLUMN($C$11),0)</f>
        <v>15</v>
      </c>
      <c r="J24" s="5">
        <f ca="1">OFFSET('Rate Class Customer Model'!$K$15,COLUMN()-COLUMN($C$11),0)</f>
        <v>14.166666666666666</v>
      </c>
      <c r="K24" s="5">
        <f ca="1">OFFSET('Rate Class Customer Model'!$K$15,COLUMN()-COLUMN($C$11),0)</f>
        <v>14</v>
      </c>
      <c r="L24" s="5">
        <f ca="1">OFFSET('Rate Class Customer Model'!$K$15,COLUMN()-COLUMN($C$11),0)</f>
        <v>14.583333333333334</v>
      </c>
      <c r="M24" s="5">
        <f ca="1">OFFSET('Rate Class Customer Model'!$K$15,COLUMN()-COLUMN($C$11),0)</f>
        <v>13.916666666666666</v>
      </c>
      <c r="N24" s="5">
        <f ca="1">OFFSET('Rate Class Customer Model'!$K$15,COLUMN()-COLUMN($C$11)+14,0)</f>
        <v>12</v>
      </c>
      <c r="O24" s="5">
        <f ca="1">OFFSET('Rate Class Customer Model'!$K$15,COLUMN()-COLUMN($C$11)+14,0)</f>
        <v>12</v>
      </c>
      <c r="P24" s="5"/>
    </row>
    <row r="25" spans="1:21" x14ac:dyDescent="0.2">
      <c r="A25" t="s">
        <v>191</v>
      </c>
      <c r="C25" s="5">
        <f ca="1">OFFSET('Rate Class Energy Model'!$F$6,COLUMN()-COLUMN($C25),0)</f>
        <v>121407487</v>
      </c>
      <c r="D25" s="5">
        <f ca="1">OFFSET('Rate Class Energy Model'!$F$6,COLUMN()-COLUMN($C25),0)</f>
        <v>128979851</v>
      </c>
      <c r="E25" s="5">
        <f ca="1">OFFSET('Rate Class Energy Model'!$F$6,COLUMN()-COLUMN($C25),0)</f>
        <v>100652663.27</v>
      </c>
      <c r="F25" s="5">
        <f ca="1">OFFSET('Rate Class Energy Model'!$F$6,COLUMN()-COLUMN($C25),0)</f>
        <v>110411188.92</v>
      </c>
      <c r="G25" s="5">
        <f ca="1">OFFSET('Rate Class Energy Model'!$F$6,COLUMN()-COLUMN($C25),0)</f>
        <v>112974658.04233061</v>
      </c>
      <c r="H25" s="5">
        <f ca="1">OFFSET('Rate Class Energy Model'!$F$6,COLUMN()-COLUMN($C25),0)</f>
        <v>119969236.41206953</v>
      </c>
      <c r="I25" s="5">
        <f ca="1">OFFSET('Rate Class Energy Model'!$F$6,COLUMN()-COLUMN($C25),0)</f>
        <v>121918931.97074634</v>
      </c>
      <c r="J25" s="5">
        <f ca="1">OFFSET('Rate Class Energy Model'!$F$6,COLUMN()-COLUMN($C25),0)</f>
        <v>130413203.88434154</v>
      </c>
      <c r="K25" s="5">
        <f ca="1">OFFSET('Rate Class Energy Model'!$F$6,COLUMN()-COLUMN($C25),0)</f>
        <v>134423430.54196733</v>
      </c>
      <c r="L25" s="5">
        <f ca="1">OFFSET('Rate Class Energy Model'!$F$6,COLUMN()-COLUMN($C25),0)</f>
        <v>128841062.06228508</v>
      </c>
      <c r="M25" s="5">
        <f ca="1">OFFSET('Rate Class Energy Model'!$F$6,COLUMN()-COLUMN($C25),0)</f>
        <v>132400892.43957959</v>
      </c>
      <c r="N25" s="5">
        <f ca="1">OFFSET('Rate Class Energy Model'!$F$6,COLUMN()-COLUMN($C25)+5,0)</f>
        <v>103617411.17512476</v>
      </c>
      <c r="O25" s="5">
        <f ca="1">OFFSET('Rate Class Energy Model'!$F$6,COLUMN()-COLUMN($C25)+5,0)</f>
        <v>103617411.17512476</v>
      </c>
      <c r="P25" s="5"/>
    </row>
    <row r="26" spans="1:21" x14ac:dyDescent="0.2">
      <c r="A26" t="s">
        <v>192</v>
      </c>
      <c r="C26" s="5">
        <f ca="1">OFFSET('Rate Class Load Model'!$C$2,COLUMN()-COLUMN($C26),0)</f>
        <v>260972</v>
      </c>
      <c r="D26" s="5">
        <f ca="1">OFFSET('Rate Class Load Model'!$C$2,COLUMN()-COLUMN($C26),0)</f>
        <v>287183</v>
      </c>
      <c r="E26" s="5">
        <f ca="1">OFFSET('Rate Class Load Model'!$C$2,COLUMN()-COLUMN($C26),0)</f>
        <v>232734.3</v>
      </c>
      <c r="F26" s="5">
        <f ca="1">OFFSET('Rate Class Load Model'!$C$2,COLUMN()-COLUMN($C26),0)</f>
        <v>242503.52999999997</v>
      </c>
      <c r="G26" s="5">
        <f ca="1">OFFSET('Rate Class Load Model'!$C$2,COLUMN()-COLUMN($C26),0)</f>
        <v>254931.54</v>
      </c>
      <c r="H26" s="5">
        <f ca="1">OFFSET('Rate Class Load Model'!$C$2,COLUMN()-COLUMN($C26),0)</f>
        <v>271131.24</v>
      </c>
      <c r="I26" s="5">
        <f ca="1">OFFSET('Rate Class Load Model'!$C$2,COLUMN()-COLUMN($C26),0)</f>
        <v>279302.57</v>
      </c>
      <c r="J26" s="5">
        <f ca="1">OFFSET('Rate Class Load Model'!$C$2,COLUMN()-COLUMN($C26),0)</f>
        <v>289804.19999999995</v>
      </c>
      <c r="K26" s="5">
        <f ca="1">OFFSET('Rate Class Load Model'!$C$2,COLUMN()-COLUMN($C26),0)</f>
        <v>295909.30999999994</v>
      </c>
      <c r="L26" s="5">
        <f ca="1">OFFSET('Rate Class Load Model'!$C$2,COLUMN()-COLUMN($C26),0)</f>
        <v>278402.25</v>
      </c>
      <c r="M26" s="5">
        <f ca="1">OFFSET('Rate Class Load Model'!$C$2,COLUMN()-COLUMN($C26),0)</f>
        <v>266215.46999999997</v>
      </c>
      <c r="N26" s="5">
        <f ca="1">OFFSET('Rate Class Load Model'!$C$2,COLUMN()-COLUMN($C26)+4,0)</f>
        <v>225593.88847941163</v>
      </c>
      <c r="O26" s="5">
        <f ca="1">OFFSET('Rate Class Load Model'!$C$2,COLUMN()-COLUMN($C26)+4,0)</f>
        <v>225593.88847941163</v>
      </c>
      <c r="P26" s="5"/>
    </row>
    <row r="27" spans="1:21" ht="5.0999999999999996" customHeight="1" x14ac:dyDescent="0.2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1"/>
      <c r="P27" s="1"/>
    </row>
    <row r="28" spans="1:21" x14ac:dyDescent="0.2">
      <c r="A28" s="22" t="str">
        <f>'Rate Class Energy Model'!G2</f>
        <v>Large User</v>
      </c>
      <c r="B28" s="22"/>
      <c r="N28" s="5"/>
      <c r="O28" s="1"/>
      <c r="P28" s="1"/>
    </row>
    <row r="29" spans="1:21" x14ac:dyDescent="0.2">
      <c r="A29" t="s">
        <v>190</v>
      </c>
      <c r="C29" s="5">
        <f ca="1">OFFSET('Rate Class Customer Model'!$N$15,COLUMN()-COLUMN($C$11),0)</f>
        <v>2</v>
      </c>
      <c r="D29" s="5">
        <f ca="1">OFFSET('Rate Class Customer Model'!$N$15,COLUMN()-COLUMN($C$11),0)</f>
        <v>2</v>
      </c>
      <c r="E29" s="5">
        <f ca="1">OFFSET('Rate Class Customer Model'!$N$15,COLUMN()-COLUMN($C$11),0)</f>
        <v>2.5</v>
      </c>
      <c r="F29" s="5">
        <f ca="1">OFFSET('Rate Class Customer Model'!$N$15,COLUMN()-COLUMN($C$11),0)</f>
        <v>3</v>
      </c>
      <c r="G29" s="5">
        <f ca="1">OFFSET('Rate Class Customer Model'!$N$15,COLUMN()-COLUMN($C$11),0)</f>
        <v>3</v>
      </c>
      <c r="H29" s="5">
        <f ca="1">OFFSET('Rate Class Customer Model'!$N$15,COLUMN()-COLUMN($C$11),0)</f>
        <v>3</v>
      </c>
      <c r="I29" s="5">
        <f ca="1">OFFSET('Rate Class Customer Model'!$N$15,COLUMN()-COLUMN($C$11),0)</f>
        <v>3</v>
      </c>
      <c r="J29" s="5">
        <f ca="1">OFFSET('Rate Class Customer Model'!$N$15,COLUMN()-COLUMN($C$11),0)</f>
        <v>3</v>
      </c>
      <c r="K29" s="5">
        <f ca="1">OFFSET('Rate Class Customer Model'!$N$15,COLUMN()-COLUMN($C$11),0)</f>
        <v>3</v>
      </c>
      <c r="L29" s="5">
        <f ca="1">OFFSET('Rate Class Customer Model'!$N$15,COLUMN()-COLUMN($C$11),0)</f>
        <v>3</v>
      </c>
      <c r="M29" s="5">
        <f ca="1">OFFSET('Rate Class Customer Model'!$N$15,COLUMN()-COLUMN($C$11),0)</f>
        <v>3</v>
      </c>
      <c r="N29" s="5">
        <f ca="1">OFFSET('Rate Class Customer Model'!$N$15,COLUMN()-COLUMN($C$11)+14,0)</f>
        <v>3</v>
      </c>
      <c r="O29" s="5">
        <f ca="1">OFFSET('Rate Class Customer Model'!$N$15,COLUMN()-COLUMN($C$11)+14,0)</f>
        <v>3</v>
      </c>
      <c r="P29" s="5"/>
    </row>
    <row r="30" spans="1:21" x14ac:dyDescent="0.2">
      <c r="A30" t="s">
        <v>191</v>
      </c>
      <c r="C30" s="5">
        <f ca="1">OFFSET('Rate Class Energy Model'!$G$6,COLUMN()-COLUMN($C30),0)</f>
        <v>80336534</v>
      </c>
      <c r="D30" s="5">
        <f ca="1">OFFSET('Rate Class Energy Model'!$G$6,COLUMN()-COLUMN($C30),0)</f>
        <v>86554626</v>
      </c>
      <c r="E30" s="5">
        <f ca="1">OFFSET('Rate Class Energy Model'!$G$6,COLUMN()-COLUMN($C30),0)</f>
        <v>127931414.90000002</v>
      </c>
      <c r="F30" s="5">
        <f ca="1">OFFSET('Rate Class Energy Model'!$G$6,COLUMN()-COLUMN($C30),0)</f>
        <v>133427900.34</v>
      </c>
      <c r="G30" s="5">
        <f ca="1">OFFSET('Rate Class Energy Model'!$G$6,COLUMN()-COLUMN($C30),0)</f>
        <v>136606296.6878854</v>
      </c>
      <c r="H30" s="5">
        <f ca="1">OFFSET('Rate Class Energy Model'!$G$6,COLUMN()-COLUMN($C30),0)</f>
        <v>140016226.34772229</v>
      </c>
      <c r="I30" s="5">
        <f ca="1">OFFSET('Rate Class Energy Model'!$G$6,COLUMN()-COLUMN($C30),0)</f>
        <v>137562121.61328822</v>
      </c>
      <c r="J30" s="5">
        <f ca="1">OFFSET('Rate Class Energy Model'!$G$6,COLUMN()-COLUMN($C30),0)</f>
        <v>138505562.38313109</v>
      </c>
      <c r="K30" s="5">
        <f ca="1">OFFSET('Rate Class Energy Model'!$G$6,COLUMN()-COLUMN($C30),0)</f>
        <v>144434637.29858762</v>
      </c>
      <c r="L30" s="5">
        <f ca="1">OFFSET('Rate Class Energy Model'!$G$6,COLUMN()-COLUMN($C30),0)</f>
        <v>129179340.58086331</v>
      </c>
      <c r="M30" s="5">
        <f ca="1">OFFSET('Rate Class Energy Model'!$G$6,COLUMN()-COLUMN($C30),0)</f>
        <v>137730887.895365</v>
      </c>
      <c r="N30" s="5">
        <f ca="1">OFFSET('Rate Class Energy Model'!$G$6,COLUMN()-COLUMN($C30)+5,0)</f>
        <v>131131300.15596515</v>
      </c>
      <c r="O30" s="5">
        <f ca="1">OFFSET('Rate Class Energy Model'!$G$6,COLUMN()-COLUMN($C30)+5,0)</f>
        <v>131131300.15596515</v>
      </c>
      <c r="P30" s="5"/>
    </row>
    <row r="31" spans="1:21" x14ac:dyDescent="0.2">
      <c r="A31" t="s">
        <v>192</v>
      </c>
      <c r="C31" s="5">
        <f ca="1">OFFSET('Rate Class Load Model'!$D$2,COLUMN()-COLUMN($C31),0)</f>
        <v>175385</v>
      </c>
      <c r="D31" s="5">
        <f ca="1">OFFSET('Rate Class Load Model'!$D$2,COLUMN()-COLUMN($C31),0)</f>
        <v>179954</v>
      </c>
      <c r="E31" s="5">
        <f ca="1">OFFSET('Rate Class Load Model'!$D$2,COLUMN()-COLUMN($C31),0)</f>
        <v>246682.37</v>
      </c>
      <c r="F31" s="5">
        <f ca="1">OFFSET('Rate Class Load Model'!$D$2,COLUMN()-COLUMN($C31),0)</f>
        <v>253601.38999999998</v>
      </c>
      <c r="G31" s="5">
        <f ca="1">OFFSET('Rate Class Load Model'!$D$2,COLUMN()-COLUMN($C31),0)</f>
        <v>253385.80000000002</v>
      </c>
      <c r="H31" s="5">
        <f ca="1">OFFSET('Rate Class Load Model'!$D$2,COLUMN()-COLUMN($C31),0)</f>
        <v>259409.75999999998</v>
      </c>
      <c r="I31" s="5">
        <f ca="1">OFFSET('Rate Class Load Model'!$D$2,COLUMN()-COLUMN($C31),0)</f>
        <v>263694.88</v>
      </c>
      <c r="J31" s="5">
        <f ca="1">OFFSET('Rate Class Load Model'!$D$2,COLUMN()-COLUMN($C31),0)</f>
        <v>268937.04000000004</v>
      </c>
      <c r="K31" s="5">
        <f ca="1">OFFSET('Rate Class Load Model'!$D$2,COLUMN()-COLUMN($C31),0)</f>
        <v>282021.99000000005</v>
      </c>
      <c r="L31" s="5">
        <f ca="1">OFFSET('Rate Class Load Model'!$D$2,COLUMN()-COLUMN($C31),0)</f>
        <v>268250.83</v>
      </c>
      <c r="M31" s="5">
        <f ca="1">OFFSET('Rate Class Load Model'!$D$2,COLUMN()-COLUMN($C31),0)</f>
        <v>279213.42</v>
      </c>
      <c r="N31" s="5">
        <f ca="1">OFFSET('Rate Class Load Model'!$D$2,COLUMN()-COLUMN($C31)+4,0)</f>
        <v>260034.12639671177</v>
      </c>
      <c r="O31" s="5">
        <f ca="1">OFFSET('Rate Class Load Model'!$D$2,COLUMN()-COLUMN($C31)+4,0)</f>
        <v>260034.12639671177</v>
      </c>
      <c r="P31" s="5"/>
    </row>
    <row r="32" spans="1:21" ht="5.0999999999999996" customHeight="1" x14ac:dyDescent="0.2">
      <c r="N32" s="27"/>
      <c r="O32" s="1"/>
      <c r="P32" s="1"/>
    </row>
    <row r="33" spans="1:24" x14ac:dyDescent="0.2">
      <c r="A33" s="22" t="str">
        <f>'Rate Class Energy Model'!H2</f>
        <v xml:space="preserve">Streetlights </v>
      </c>
      <c r="B33" s="22"/>
      <c r="N33" s="5"/>
      <c r="O33" s="1"/>
      <c r="P33" s="1"/>
    </row>
    <row r="34" spans="1:24" x14ac:dyDescent="0.2">
      <c r="A34" t="s">
        <v>194</v>
      </c>
      <c r="C34" s="5">
        <f ca="1">OFFSET('Rate Class Customer Model'!$Q$15,COLUMN()-COLUMN($C$11),0)</f>
        <v>2847.5</v>
      </c>
      <c r="D34" s="5">
        <f ca="1">OFFSET('Rate Class Customer Model'!$Q$15,COLUMN()-COLUMN($C$11),0)</f>
        <v>2945.5</v>
      </c>
      <c r="E34" s="5">
        <f ca="1">OFFSET('Rate Class Customer Model'!$Q$15,COLUMN()-COLUMN($C$11),0)</f>
        <v>3018.5</v>
      </c>
      <c r="F34" s="5">
        <f ca="1">OFFSET('Rate Class Customer Model'!$Q$15,COLUMN()-COLUMN($C$11),0)</f>
        <v>3071.5</v>
      </c>
      <c r="G34" s="5">
        <f ca="1">OFFSET('Rate Class Customer Model'!$Q$15,COLUMN()-COLUMN($C$11),0)</f>
        <v>3127.6666666666665</v>
      </c>
      <c r="H34" s="5">
        <f ca="1">OFFSET('Rate Class Customer Model'!$Q$15,COLUMN()-COLUMN($C$11),0)</f>
        <v>3165</v>
      </c>
      <c r="I34" s="5">
        <f ca="1">OFFSET('Rate Class Customer Model'!$Q$15,COLUMN()-COLUMN($C$11),0)</f>
        <v>3230.8333333333335</v>
      </c>
      <c r="J34" s="5">
        <f ca="1">OFFSET('Rate Class Customer Model'!$Q$15,COLUMN()-COLUMN($C$11),0)</f>
        <v>3261.8852459016393</v>
      </c>
      <c r="K34" s="5">
        <f ca="1">OFFSET('Rate Class Customer Model'!$Q$15,COLUMN()-COLUMN($C$11),0)</f>
        <v>3279.25</v>
      </c>
      <c r="L34" s="5">
        <f ca="1">OFFSET('Rate Class Customer Model'!$Q$15,COLUMN()-COLUMN($C$11),0)</f>
        <v>3217.6372549019611</v>
      </c>
      <c r="M34" s="5">
        <f ca="1">OFFSET('Rate Class Customer Model'!$Q$15,COLUMN()-COLUMN($C$11),0)</f>
        <v>2891.9519230769233</v>
      </c>
      <c r="N34" s="5">
        <f ca="1">OFFSET('Rate Class Customer Model'!$Q$15,COLUMN()-COLUMN($C$11)+14,0)</f>
        <v>2904.6832348918383</v>
      </c>
      <c r="O34" s="5">
        <f ca="1">OFFSET('Rate Class Customer Model'!$Q$15,COLUMN()-COLUMN($C$11)+14,0)</f>
        <v>2919.41159236661</v>
      </c>
      <c r="P34" s="5"/>
    </row>
    <row r="35" spans="1:24" x14ac:dyDescent="0.2">
      <c r="A35" t="s">
        <v>191</v>
      </c>
      <c r="C35" s="5">
        <f ca="1">OFFSET('Rate Class Energy Model'!$H$6,COLUMN()-COLUMN($C35),0)</f>
        <v>6418516</v>
      </c>
      <c r="D35" s="5">
        <f ca="1">OFFSET('Rate Class Energy Model'!$H$6,COLUMN()-COLUMN($C35),0)</f>
        <v>6834941</v>
      </c>
      <c r="E35" s="5">
        <f ca="1">OFFSET('Rate Class Energy Model'!$H$6,COLUMN()-COLUMN($C35),0)</f>
        <v>7077824.8700000001</v>
      </c>
      <c r="F35" s="5">
        <f ca="1">OFFSET('Rate Class Energy Model'!$H$6,COLUMN()-COLUMN($C35),0)</f>
        <v>7239934.3099999996</v>
      </c>
      <c r="G35" s="5">
        <f ca="1">OFFSET('Rate Class Energy Model'!$H$6,COLUMN()-COLUMN($C35),0)</f>
        <v>7608033.2626506016</v>
      </c>
      <c r="H35" s="5">
        <f ca="1">OFFSET('Rate Class Energy Model'!$H$6,COLUMN()-COLUMN($C35),0)</f>
        <v>7791989.3204819262</v>
      </c>
      <c r="I35" s="5">
        <f ca="1">OFFSET('Rate Class Energy Model'!$H$6,COLUMN()-COLUMN($C35),0)</f>
        <v>7758774.5638554217</v>
      </c>
      <c r="J35" s="5">
        <f ca="1">OFFSET('Rate Class Energy Model'!$H$6,COLUMN()-COLUMN($C35),0)</f>
        <v>7837155.3349397583</v>
      </c>
      <c r="K35" s="5">
        <f ca="1">OFFSET('Rate Class Energy Model'!$H$6,COLUMN()-COLUMN($C35),0)</f>
        <v>6707353.0024096388</v>
      </c>
      <c r="L35" s="5">
        <f ca="1">OFFSET('Rate Class Energy Model'!$H$6,COLUMN()-COLUMN($C35),0)</f>
        <v>5438441.1759036137</v>
      </c>
      <c r="M35" s="5">
        <f ca="1">OFFSET('Rate Class Energy Model'!$H$6,COLUMN()-COLUMN($C35),0)</f>
        <v>5029763.2289156616</v>
      </c>
      <c r="N35" s="5">
        <f ca="1">OFFSET('Rate Class Energy Model'!$H$6,COLUMN()-COLUMN($C35)+5,0)</f>
        <v>5051905.8805661034</v>
      </c>
      <c r="O35" s="5">
        <f ca="1">OFFSET('Rate Class Energy Model'!$H$6,COLUMN()-COLUMN($C35)+5,0)</f>
        <v>5077521.8495792095</v>
      </c>
      <c r="P35" s="5"/>
    </row>
    <row r="36" spans="1:24" x14ac:dyDescent="0.2">
      <c r="A36" t="s">
        <v>192</v>
      </c>
      <c r="C36" s="5">
        <f ca="1">OFFSET('Rate Class Load Model'!$E$2,COLUMN()-COLUMN($C36),0)</f>
        <v>17894</v>
      </c>
      <c r="D36" s="5">
        <f ca="1">OFFSET('Rate Class Load Model'!$E$2,COLUMN()-COLUMN($C36),0)</f>
        <v>19000</v>
      </c>
      <c r="E36" s="5">
        <f ca="1">OFFSET('Rate Class Load Model'!$E$2,COLUMN()-COLUMN($C36),0)</f>
        <v>19747.59</v>
      </c>
      <c r="F36" s="5">
        <f ca="1">OFFSET('Rate Class Load Model'!$E$2,COLUMN()-COLUMN($C36),0)</f>
        <v>20172.63</v>
      </c>
      <c r="G36" s="5">
        <f ca="1">OFFSET('Rate Class Load Model'!$E$2,COLUMN()-COLUMN($C36),0)</f>
        <v>21372.33</v>
      </c>
      <c r="H36" s="5">
        <f ca="1">OFFSET('Rate Class Load Model'!$E$2,COLUMN()-COLUMN($C36),0)</f>
        <v>21692.510000000002</v>
      </c>
      <c r="I36" s="5">
        <f ca="1">OFFSET('Rate Class Load Model'!$E$2,COLUMN()-COLUMN($C36),0)</f>
        <v>21900.93</v>
      </c>
      <c r="J36" s="5">
        <f ca="1">OFFSET('Rate Class Load Model'!$E$2,COLUMN()-COLUMN($C36),0)</f>
        <v>21867.030000000002</v>
      </c>
      <c r="K36" s="5">
        <f ca="1">OFFSET('Rate Class Load Model'!$E$2,COLUMN()-COLUMN($C36),0)</f>
        <v>18722.650000000001</v>
      </c>
      <c r="L36" s="5">
        <f ca="1">OFFSET('Rate Class Load Model'!$E$2,COLUMN()-COLUMN($C36),0)</f>
        <v>15143.04</v>
      </c>
      <c r="M36" s="5">
        <f ca="1">OFFSET('Rate Class Load Model'!$E$2,COLUMN()-COLUMN($C36),0)</f>
        <v>14018.58</v>
      </c>
      <c r="N36" s="5">
        <f ca="1">OFFSET('Rate Class Load Model'!$E$2,COLUMN()-COLUMN($C36)+4,0)</f>
        <v>14107.530688567846</v>
      </c>
      <c r="O36" s="5">
        <f ca="1">OFFSET('Rate Class Load Model'!$E$2,COLUMN()-COLUMN($C36)+4,0)</f>
        <v>14179.063705514967</v>
      </c>
      <c r="P36" s="5"/>
    </row>
    <row r="37" spans="1:24" ht="5.0999999999999996" customHeight="1" x14ac:dyDescent="0.2"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1"/>
      <c r="P37" s="1"/>
    </row>
    <row r="38" spans="1:24" x14ac:dyDescent="0.2">
      <c r="A38" s="22" t="str">
        <f>'Rate Class Energy Model'!I2</f>
        <v>Sentinel Lights</v>
      </c>
      <c r="B38" s="22"/>
      <c r="N38" s="5"/>
      <c r="O38" s="1"/>
      <c r="P38" s="1"/>
    </row>
    <row r="39" spans="1:24" x14ac:dyDescent="0.2">
      <c r="A39" t="s">
        <v>194</v>
      </c>
      <c r="C39" s="5">
        <f ca="1">OFFSET('Rate Class Customer Model'!$T$15,COLUMN()-COLUMN($C$11),0)</f>
        <v>265.5</v>
      </c>
      <c r="D39" s="5">
        <f ca="1">OFFSET('Rate Class Customer Model'!$T$15,COLUMN()-COLUMN($C$11),0)</f>
        <v>265</v>
      </c>
      <c r="E39" s="5">
        <f ca="1">OFFSET('Rate Class Customer Model'!$T$15,COLUMN()-COLUMN($C$11),0)</f>
        <v>260.5</v>
      </c>
      <c r="F39" s="5">
        <f ca="1">OFFSET('Rate Class Customer Model'!$T$15,COLUMN()-COLUMN($C$11),0)</f>
        <v>253.5</v>
      </c>
      <c r="G39" s="5">
        <f ca="1">OFFSET('Rate Class Customer Model'!$T$15,COLUMN()-COLUMN($C$11),0)</f>
        <v>249.47058823529406</v>
      </c>
      <c r="H39" s="5">
        <f ca="1">OFFSET('Rate Class Customer Model'!$T$15,COLUMN()-COLUMN($C$11),0)</f>
        <v>246.64705882352919</v>
      </c>
      <c r="I39" s="5">
        <f ca="1">OFFSET('Rate Class Customer Model'!$T$15,COLUMN()-COLUMN($C$11),0)</f>
        <v>243.82352941176433</v>
      </c>
      <c r="J39" s="5">
        <f ca="1">OFFSET('Rate Class Customer Model'!$T$15,COLUMN()-COLUMN($C$11),0)</f>
        <v>240.99999999999946</v>
      </c>
      <c r="K39" s="5">
        <f ca="1">OFFSET('Rate Class Customer Model'!$T$15,COLUMN()-COLUMN($C$11),0)</f>
        <v>238.17647058823459</v>
      </c>
      <c r="L39" s="5">
        <f ca="1">OFFSET('Rate Class Customer Model'!$T$15,COLUMN()-COLUMN($C$11),0)</f>
        <v>235.88235294117598</v>
      </c>
      <c r="M39" s="5">
        <f ca="1">OFFSET('Rate Class Customer Model'!$T$15,COLUMN()-COLUMN($C$11),0)</f>
        <v>237</v>
      </c>
      <c r="N39" s="5">
        <f ca="1">OFFSET('Rate Class Customer Model'!$T$15,COLUMN()-COLUMN($C$11)+14,0)</f>
        <v>234.07753306777536</v>
      </c>
      <c r="O39" s="5">
        <f ca="1">OFFSET('Rate Class Customer Model'!$T$15,COLUMN()-COLUMN($C$11)+14,0)</f>
        <v>231.19110332107795</v>
      </c>
      <c r="P39" s="5"/>
    </row>
    <row r="40" spans="1:24" x14ac:dyDescent="0.2">
      <c r="A40" t="s">
        <v>191</v>
      </c>
      <c r="C40" s="5">
        <f ca="1">OFFSET('Rate Class Energy Model'!$I$6,COLUMN()-COLUMN($C40),0)</f>
        <v>158082</v>
      </c>
      <c r="D40" s="5">
        <f ca="1">OFFSET('Rate Class Energy Model'!$I$6,COLUMN()-COLUMN($C40),0)</f>
        <v>155804</v>
      </c>
      <c r="E40" s="5">
        <f ca="1">OFFSET('Rate Class Energy Model'!$I$6,COLUMN()-COLUMN($C40),0)</f>
        <v>153123.74</v>
      </c>
      <c r="F40" s="5">
        <f ca="1">OFFSET('Rate Class Energy Model'!$I$6,COLUMN()-COLUMN($C40),0)</f>
        <v>151002.67000000001</v>
      </c>
      <c r="G40" s="5">
        <f ca="1">OFFSET('Rate Class Energy Model'!$I$6,COLUMN()-COLUMN($C40),0)</f>
        <v>145491.2470588235</v>
      </c>
      <c r="H40" s="5">
        <f ca="1">OFFSET('Rate Class Energy Model'!$I$6,COLUMN()-COLUMN($C40),0)</f>
        <v>143844.56470588219</v>
      </c>
      <c r="I40" s="5">
        <f ca="1">OFFSET('Rate Class Energy Model'!$I$6,COLUMN()-COLUMN($C40),0)</f>
        <v>142197.88235294091</v>
      </c>
      <c r="J40" s="5">
        <f ca="1">OFFSET('Rate Class Energy Model'!$I$6,COLUMN()-COLUMN($C40),0)</f>
        <v>140551.19999999966</v>
      </c>
      <c r="K40" s="5">
        <f ca="1">OFFSET('Rate Class Energy Model'!$I$6,COLUMN()-COLUMN($C40),0)</f>
        <v>138904.51764705841</v>
      </c>
      <c r="L40" s="5">
        <f ca="1">OFFSET('Rate Class Energy Model'!$I$6,COLUMN()-COLUMN($C40),0)</f>
        <v>137566.58823529384</v>
      </c>
      <c r="M40" s="5">
        <f ca="1">OFFSET('Rate Class Energy Model'!$I$6,COLUMN()-COLUMN($C40),0)</f>
        <v>138218.4</v>
      </c>
      <c r="N40" s="5">
        <f ca="1">OFFSET('Rate Class Energy Model'!$I$6,COLUMN()-COLUMN($C40)+5,0)</f>
        <v>136514.01728512658</v>
      </c>
      <c r="O40" s="5">
        <f ca="1">OFFSET('Rate Class Energy Model'!$I$6,COLUMN()-COLUMN($C40)+5,0)</f>
        <v>134830.65145685265</v>
      </c>
      <c r="P40" s="5"/>
    </row>
    <row r="41" spans="1:24" x14ac:dyDescent="0.2">
      <c r="A41" t="s">
        <v>192</v>
      </c>
      <c r="C41" s="5">
        <f ca="1">OFFSET('Rate Class Load Model'!$F$2,COLUMN()-COLUMN($C41),0)</f>
        <v>439.11666666666667</v>
      </c>
      <c r="D41" s="5">
        <f ca="1">OFFSET('Rate Class Load Model'!$F$2,COLUMN()-COLUMN($C41),0)</f>
        <v>412.7016666666666</v>
      </c>
      <c r="E41" s="5">
        <f ca="1">OFFSET('Rate Class Load Model'!$F$2,COLUMN()-COLUMN($C41),0)</f>
        <v>425.3437222222222</v>
      </c>
      <c r="F41" s="5">
        <f ca="1">OFFSET('Rate Class Load Model'!$F$2,COLUMN()-COLUMN($C41),0)</f>
        <v>419.45277777777801</v>
      </c>
      <c r="G41" s="5">
        <f ca="1">OFFSET('Rate Class Load Model'!$F$2,COLUMN()-COLUMN($C41),0)</f>
        <v>416.29602359208536</v>
      </c>
      <c r="H41" s="5">
        <f ca="1">OFFSET('Rate Class Load Model'!$F$2,COLUMN()-COLUMN($C41),0)</f>
        <v>410.46816971080676</v>
      </c>
      <c r="I41" s="5">
        <f ca="1">OFFSET('Rate Class Load Model'!$F$2,COLUMN()-COLUMN($C41),0)</f>
        <v>404.64031582952799</v>
      </c>
      <c r="J41" s="5">
        <f ca="1">OFFSET('Rate Class Load Model'!$F$2,COLUMN()-COLUMN($C41),0)</f>
        <v>398.81246194824945</v>
      </c>
      <c r="K41" s="5">
        <f ca="1">OFFSET('Rate Class Load Model'!$F$2,COLUMN()-COLUMN($C41),0)</f>
        <v>392.98460806697074</v>
      </c>
      <c r="L41" s="5">
        <f ca="1">OFFSET('Rate Class Load Model'!$F$2,COLUMN()-COLUMN($C41),0)</f>
        <v>387.15675418569214</v>
      </c>
      <c r="M41" s="5">
        <f ca="1">OFFSET('Rate Class Load Model'!$F$2,COLUMN()-COLUMN($C41),0)</f>
        <v>384</v>
      </c>
      <c r="N41" s="5">
        <f ca="1">OFFSET('Rate Class Load Model'!$F$2,COLUMN()-COLUMN($C41)+4,0)</f>
        <v>382.56216070109389</v>
      </c>
      <c r="O41" s="5">
        <f ca="1">OFFSET('Rate Class Load Model'!$F$2,COLUMN()-COLUMN($C41)+4,0)</f>
        <v>377.84475452316417</v>
      </c>
      <c r="P41" s="5"/>
    </row>
    <row r="42" spans="1:24" ht="5.0999999999999996" customHeight="1" x14ac:dyDescent="0.2">
      <c r="N42" s="1"/>
      <c r="O42" s="1"/>
      <c r="P42" s="1"/>
    </row>
    <row r="43" spans="1:24" x14ac:dyDescent="0.2">
      <c r="A43" s="22" t="str">
        <f>'Rate Class Energy Model'!J2</f>
        <v xml:space="preserve">Unmetered Loads </v>
      </c>
      <c r="B43" s="22"/>
      <c r="N43" s="1"/>
      <c r="O43" s="1"/>
      <c r="P43" s="1"/>
    </row>
    <row r="44" spans="1:24" x14ac:dyDescent="0.2">
      <c r="A44" t="s">
        <v>194</v>
      </c>
      <c r="C44" s="5">
        <f ca="1">OFFSET('Rate Class Customer Model'!$W$15,COLUMN()-COLUMN($C$11),0)</f>
        <v>185.5</v>
      </c>
      <c r="D44" s="5">
        <f ca="1">OFFSET('Rate Class Customer Model'!$W$15,COLUMN()-COLUMN($C$11),0)</f>
        <v>189.5</v>
      </c>
      <c r="E44" s="5">
        <f ca="1">OFFSET('Rate Class Customer Model'!$W$15,COLUMN()-COLUMN($C$11),0)</f>
        <v>192</v>
      </c>
      <c r="F44" s="5">
        <f ca="1">OFFSET('Rate Class Customer Model'!$W$15,COLUMN()-COLUMN($C$11),0)</f>
        <v>190.5</v>
      </c>
      <c r="G44" s="5">
        <f ca="1">OFFSET('Rate Class Customer Model'!$W$15,COLUMN()-COLUMN($C$11),0)</f>
        <v>207.16666666666666</v>
      </c>
      <c r="H44" s="5">
        <f ca="1">OFFSET('Rate Class Customer Model'!$W$15,COLUMN()-COLUMN($C$11),0)</f>
        <v>222.41666666666666</v>
      </c>
      <c r="I44" s="5">
        <f ca="1">OFFSET('Rate Class Customer Model'!$W$15,COLUMN()-COLUMN($C$11),0)</f>
        <v>215.58333333333334</v>
      </c>
      <c r="J44" s="5">
        <f ca="1">OFFSET('Rate Class Customer Model'!$W$15,COLUMN()-COLUMN($C$11),0)</f>
        <v>219.08333333333334</v>
      </c>
      <c r="K44" s="5">
        <f ca="1">OFFSET('Rate Class Customer Model'!$W$15,COLUMN()-COLUMN($C$11),0)</f>
        <v>216.66666666666666</v>
      </c>
      <c r="L44" s="5">
        <f ca="1">OFFSET('Rate Class Customer Model'!$W$15,COLUMN()-COLUMN($C$11),0)</f>
        <v>215.75</v>
      </c>
      <c r="M44" s="5">
        <f ca="1">OFFSET('Rate Class Customer Model'!$W$15,COLUMN()-COLUMN($C$11),0)</f>
        <v>216.41666666666666</v>
      </c>
      <c r="N44" s="5">
        <f ca="1">OFFSET('Rate Class Customer Model'!$W$15,COLUMN()-COLUMN($C$11)+14,0)</f>
        <v>219.59999999999994</v>
      </c>
      <c r="O44" s="5">
        <f ca="1">OFFSET('Rate Class Customer Model'!$W$15,COLUMN()-COLUMN($C$11)+14,0)</f>
        <v>222.86475388975543</v>
      </c>
      <c r="P44" s="5"/>
    </row>
    <row r="45" spans="1:24" x14ac:dyDescent="0.2">
      <c r="A45" t="s">
        <v>191</v>
      </c>
      <c r="C45" s="5">
        <f ca="1">OFFSET('Rate Class Energy Model'!$J$6,COLUMN()-COLUMN($C45),0)</f>
        <v>1298941</v>
      </c>
      <c r="D45" s="5">
        <f ca="1">OFFSET('Rate Class Energy Model'!$J$6,COLUMN()-COLUMN($C45),0)</f>
        <v>1328091</v>
      </c>
      <c r="E45" s="5">
        <f ca="1">OFFSET('Rate Class Energy Model'!$J$6,COLUMN()-COLUMN($C45),0)</f>
        <v>1336647.2</v>
      </c>
      <c r="F45" s="5">
        <f ca="1">OFFSET('Rate Class Energy Model'!$J$6,COLUMN()-COLUMN($C45),0)</f>
        <v>1339770.73</v>
      </c>
      <c r="G45" s="5">
        <f ca="1">OFFSET('Rate Class Energy Model'!$J$6,COLUMN()-COLUMN($C45),0)</f>
        <v>1010917</v>
      </c>
      <c r="H45" s="5">
        <f ca="1">OFFSET('Rate Class Energy Model'!$J$6,COLUMN()-COLUMN($C45),0)</f>
        <v>1100097.1662650602</v>
      </c>
      <c r="I45" s="5">
        <f ca="1">OFFSET('Rate Class Energy Model'!$J$6,COLUMN()-COLUMN($C45),0)</f>
        <v>1101315.643373494</v>
      </c>
      <c r="J45" s="5">
        <f ca="1">OFFSET('Rate Class Energy Model'!$J$6,COLUMN()-COLUMN($C45),0)</f>
        <v>1092305.8698795179</v>
      </c>
      <c r="K45" s="5">
        <f ca="1">OFFSET('Rate Class Energy Model'!$J$6,COLUMN()-COLUMN($C45),0)</f>
        <v>1062717.8120481926</v>
      </c>
      <c r="L45" s="5">
        <f ca="1">OFFSET('Rate Class Energy Model'!$J$6,COLUMN()-COLUMN($C45),0)</f>
        <v>1061266.6602409636</v>
      </c>
      <c r="M45" s="5">
        <f ca="1">OFFSET('Rate Class Energy Model'!$J$6,COLUMN()-COLUMN($C45),0)</f>
        <v>1036897.1373493974</v>
      </c>
      <c r="N45" s="5">
        <f ca="1">OFFSET('Rate Class Energy Model'!$J$6,COLUMN()-COLUMN($C45)+5,0)</f>
        <v>1052149.1476099852</v>
      </c>
      <c r="O45" s="5">
        <f ca="1">OFFSET('Rate Class Energy Model'!$J$6,COLUMN()-COLUMN($C45)+5,0)</f>
        <v>1067791.2606439681</v>
      </c>
      <c r="P45" s="5"/>
    </row>
    <row r="46" spans="1:24" ht="5.0999999999999996" customHeight="1" x14ac:dyDescent="0.2">
      <c r="N46" s="5"/>
      <c r="O46" s="1"/>
      <c r="P46" s="1"/>
    </row>
    <row r="47" spans="1:24" x14ac:dyDescent="0.2">
      <c r="A47" s="22" t="s">
        <v>195</v>
      </c>
      <c r="B47" s="22"/>
      <c r="C47" s="5"/>
      <c r="D47" s="5"/>
      <c r="E47" s="5"/>
      <c r="F47" s="5"/>
      <c r="G47" s="5"/>
      <c r="H47" s="5"/>
      <c r="J47" s="5"/>
      <c r="K47" s="5"/>
      <c r="L47" s="5"/>
      <c r="M47" s="5"/>
      <c r="N47" s="1"/>
      <c r="O47" s="1"/>
      <c r="P47" s="1"/>
      <c r="X47" s="11"/>
    </row>
    <row r="48" spans="1:24" x14ac:dyDescent="0.2">
      <c r="A48" t="s">
        <v>196</v>
      </c>
      <c r="C48" s="5">
        <f t="shared" ref="C48:E49" ca="1" si="1">C11+C15+C19+C24+C29+C34+C39+C44</f>
        <v>33032.25</v>
      </c>
      <c r="D48" s="5">
        <f t="shared" ca="1" si="1"/>
        <v>34924.75</v>
      </c>
      <c r="E48" s="5">
        <f t="shared" ca="1" si="1"/>
        <v>36946</v>
      </c>
      <c r="F48" s="5">
        <f t="shared" ref="F48:K48" ca="1" si="2">F11+F15+F19+F24+F29+F34+F39+F44</f>
        <v>38026.5</v>
      </c>
      <c r="G48" s="5">
        <f t="shared" ca="1" si="2"/>
        <v>39159.887254901958</v>
      </c>
      <c r="H48" s="5">
        <f t="shared" ca="1" si="2"/>
        <v>40084.063725490189</v>
      </c>
      <c r="I48" s="5">
        <f t="shared" ca="1" si="2"/>
        <v>41017.073529411769</v>
      </c>
      <c r="J48" s="5">
        <f t="shared" ca="1" si="2"/>
        <v>42550.885245901634</v>
      </c>
      <c r="K48" s="5">
        <f t="shared" ca="1" si="2"/>
        <v>43786.259803921566</v>
      </c>
      <c r="L48" s="5">
        <f t="shared" ref="L48:O48" ca="1" si="3">L11+L15+L19+L24+L29+L34+L39+L44</f>
        <v>44470.436274509797</v>
      </c>
      <c r="M48" s="5">
        <f t="shared" ca="1" si="3"/>
        <v>45073.868589743586</v>
      </c>
      <c r="N48" s="5">
        <f t="shared" ca="1" si="3"/>
        <v>45878.403797661922</v>
      </c>
      <c r="O48" s="5">
        <f t="shared" ca="1" si="3"/>
        <v>46809.761348437176</v>
      </c>
      <c r="P48" s="5"/>
    </row>
    <row r="49" spans="1:16" x14ac:dyDescent="0.2">
      <c r="A49" t="s">
        <v>191</v>
      </c>
      <c r="C49" s="5">
        <f t="shared" ca="1" si="1"/>
        <v>754466669.81999993</v>
      </c>
      <c r="D49" s="5">
        <f t="shared" ca="1" si="1"/>
        <v>783449113.69999993</v>
      </c>
      <c r="E49" s="5">
        <f t="shared" ca="1" si="1"/>
        <v>814644301.5</v>
      </c>
      <c r="F49" s="5">
        <f t="shared" ref="F49:K49" ca="1" si="4">F12+F16+F20+F25+F30+F35+F40+F45</f>
        <v>836470876.05999994</v>
      </c>
      <c r="G49" s="5">
        <f t="shared" ca="1" si="4"/>
        <v>848069009.06884122</v>
      </c>
      <c r="H49" s="5">
        <f t="shared" ca="1" si="4"/>
        <v>873235927.80642521</v>
      </c>
      <c r="I49" s="5">
        <f t="shared" ca="1" si="4"/>
        <v>859270211.18686926</v>
      </c>
      <c r="J49" s="5">
        <f t="shared" ca="1" si="4"/>
        <v>909512508.6674726</v>
      </c>
      <c r="K49" s="5">
        <f t="shared" ca="1" si="4"/>
        <v>907143690.21844316</v>
      </c>
      <c r="L49" s="5">
        <f t="shared" ref="L49:O49" ca="1" si="5">L12+L16+L20+L25+L30+L35+L40+L45</f>
        <v>907891652.55668497</v>
      </c>
      <c r="M49" s="5">
        <f t="shared" ca="1" si="5"/>
        <v>936433540.89398074</v>
      </c>
      <c r="N49" s="5">
        <f t="shared" ca="1" si="5"/>
        <v>891988428.53889561</v>
      </c>
      <c r="O49" s="5">
        <f t="shared" ca="1" si="5"/>
        <v>903052017.38104427</v>
      </c>
      <c r="P49" s="5"/>
    </row>
    <row r="50" spans="1:16" x14ac:dyDescent="0.2">
      <c r="A50" t="s">
        <v>197</v>
      </c>
      <c r="C50" s="5">
        <f ca="1">C21+C26+C31+C36+C41</f>
        <v>957921.1166666667</v>
      </c>
      <c r="D50" s="5">
        <f ca="1">D21+D26+D31+D36+D41</f>
        <v>1007362.0116666667</v>
      </c>
      <c r="E50" s="5">
        <f ca="1">E21+E26+E31+E36+E41</f>
        <v>1041359.1837222221</v>
      </c>
      <c r="F50" s="5">
        <f t="shared" ref="F50:K50" ca="1" si="6">F21+F26+F31+F36+F41</f>
        <v>1053712.8527777777</v>
      </c>
      <c r="G50" s="5">
        <f t="shared" ca="1" si="6"/>
        <v>1083293.4160235922</v>
      </c>
      <c r="H50" s="5">
        <f t="shared" ca="1" si="6"/>
        <v>1111847.8481697107</v>
      </c>
      <c r="I50" s="5">
        <f t="shared" ca="1" si="6"/>
        <v>1143240.5703158295</v>
      </c>
      <c r="J50" s="5">
        <f t="shared" ca="1" si="6"/>
        <v>1179259.3724619483</v>
      </c>
      <c r="K50" s="5">
        <f t="shared" ca="1" si="6"/>
        <v>1189173.3746080669</v>
      </c>
      <c r="L50" s="5">
        <f t="shared" ref="L50:O50" ca="1" si="7">L21+L26+L31+L36+L41</f>
        <v>1129291.8767541857</v>
      </c>
      <c r="M50" s="5">
        <f t="shared" ca="1" si="7"/>
        <v>1140072.99</v>
      </c>
      <c r="N50" s="5">
        <f t="shared" ca="1" si="7"/>
        <v>1068897.0782656714</v>
      </c>
      <c r="O50" s="5">
        <f t="shared" ca="1" si="7"/>
        <v>1094249.3716055022</v>
      </c>
      <c r="P50" s="5"/>
    </row>
    <row r="51" spans="1:16" ht="5.0999999999999996" customHeight="1" x14ac:dyDescent="0.2">
      <c r="N51" s="1"/>
      <c r="O51" s="1"/>
      <c r="P51" s="1"/>
    </row>
    <row r="52" spans="1:16" x14ac:dyDescent="0.2">
      <c r="A52" s="22" t="s">
        <v>198</v>
      </c>
      <c r="B52" s="22"/>
      <c r="N52" s="5"/>
      <c r="O52" s="1"/>
      <c r="P52" s="1"/>
    </row>
    <row r="53" spans="1:16" x14ac:dyDescent="0.2">
      <c r="A53" t="s">
        <v>196</v>
      </c>
      <c r="C53" s="5">
        <f ca="1">OFFSET('Rate Class Customer Model'!$Z$15,COLUMN()-COLUMN($C$11),0)</f>
        <v>33032.25</v>
      </c>
      <c r="D53" s="5">
        <f ca="1">OFFSET('Rate Class Customer Model'!$Z$15,COLUMN()-COLUMN($C$11),0)</f>
        <v>34924.75</v>
      </c>
      <c r="E53" s="5">
        <f ca="1">OFFSET('Rate Class Customer Model'!$Z$15,COLUMN()-COLUMN($C$11),0)</f>
        <v>36946</v>
      </c>
      <c r="F53" s="5">
        <f ca="1">OFFSET('Rate Class Customer Model'!$Z$15,COLUMN()-COLUMN($C$11),0)</f>
        <v>38026.5</v>
      </c>
      <c r="G53" s="5">
        <f ca="1">OFFSET('Rate Class Customer Model'!$Z$15,COLUMN()-COLUMN($C$11),0)</f>
        <v>39159.887254901958</v>
      </c>
      <c r="H53" s="5">
        <f ca="1">OFFSET('Rate Class Customer Model'!$Z$15,COLUMN()-COLUMN($C$11),0)</f>
        <v>40084.063725490189</v>
      </c>
      <c r="I53" s="5">
        <f ca="1">OFFSET('Rate Class Customer Model'!$Z$15,COLUMN()-COLUMN($C$11),0)</f>
        <v>41017.073529411769</v>
      </c>
      <c r="J53" s="5">
        <f ca="1">OFFSET('Rate Class Customer Model'!$Z$15,COLUMN()-COLUMN($C$11),0)</f>
        <v>42550.885245901634</v>
      </c>
      <c r="K53" s="5">
        <f ca="1">OFFSET('Rate Class Customer Model'!$Z$15,COLUMN()-COLUMN($C$11),0)</f>
        <v>43786.259803921566</v>
      </c>
      <c r="L53" s="5">
        <f ca="1">OFFSET('Rate Class Customer Model'!$Z$15,COLUMN()-COLUMN($C$11),0)</f>
        <v>44470.436274509797</v>
      </c>
      <c r="M53" s="5">
        <f ca="1">OFFSET('Rate Class Customer Model'!$Z$15,COLUMN()-COLUMN($C$11),0)</f>
        <v>45073.868589743586</v>
      </c>
      <c r="N53" s="5">
        <f ca="1">OFFSET('Rate Class Customer Model'!$Z$15,COLUMN()-COLUMN($C$11)+14,0)</f>
        <v>45878.403797661922</v>
      </c>
      <c r="O53" s="5">
        <f ca="1">OFFSET('Rate Class Customer Model'!$Z$15,COLUMN()-COLUMN($C$11)+14,0)</f>
        <v>46809.761348437176</v>
      </c>
      <c r="P53" s="5"/>
    </row>
    <row r="54" spans="1:16" x14ac:dyDescent="0.2">
      <c r="A54" t="s">
        <v>191</v>
      </c>
      <c r="C54" s="5">
        <f ca="1">OFFSET('Rate Class Energy Model'!$B$6,COLUMN()-COLUMN($C54),0)</f>
        <v>754466669.81999993</v>
      </c>
      <c r="D54" s="5">
        <f ca="1">OFFSET('Rate Class Energy Model'!$B$6,COLUMN()-COLUMN($C54),0)</f>
        <v>783449113.69999993</v>
      </c>
      <c r="E54" s="5">
        <f ca="1">OFFSET('Rate Class Energy Model'!$B$6,COLUMN()-COLUMN($C54),0)</f>
        <v>814644301.5</v>
      </c>
      <c r="F54" s="5">
        <f ca="1">OFFSET('Rate Class Energy Model'!$B$6,COLUMN()-COLUMN($C54),0)</f>
        <v>836470876.05999994</v>
      </c>
      <c r="G54" s="5">
        <f ca="1">OFFSET('Rate Class Energy Model'!$B$6,COLUMN()-COLUMN($C54),0)</f>
        <v>848069009.06884122</v>
      </c>
      <c r="H54" s="5">
        <f ca="1">OFFSET('Rate Class Energy Model'!$B$6,COLUMN()-COLUMN($C54),0)</f>
        <v>873235927.80642521</v>
      </c>
      <c r="I54" s="5">
        <f ca="1">OFFSET('Rate Class Energy Model'!$B$6,COLUMN()-COLUMN($C54),0)</f>
        <v>859270211.18686926</v>
      </c>
      <c r="J54" s="5">
        <f ca="1">OFFSET('Rate Class Energy Model'!$B$6,COLUMN()-COLUMN($C54),0)</f>
        <v>909512508.6674726</v>
      </c>
      <c r="K54" s="5">
        <f ca="1">OFFSET('Rate Class Energy Model'!$B$6,COLUMN()-COLUMN($C54),0)</f>
        <v>907143690.21844316</v>
      </c>
      <c r="L54" s="5">
        <f ca="1">OFFSET('Rate Class Energy Model'!$B$6,COLUMN()-COLUMN($C54),0)</f>
        <v>907891652.55668497</v>
      </c>
      <c r="M54" s="5">
        <f ca="1">OFFSET('Rate Class Energy Model'!$B$6,COLUMN()-COLUMN($C54),0)</f>
        <v>936433540.89398074</v>
      </c>
      <c r="N54" s="5">
        <f ca="1">OFFSET('Rate Class Energy Model'!$B$6,COLUMN()-COLUMN($C54)+5,0)</f>
        <v>891988428.53889561</v>
      </c>
      <c r="O54" s="5">
        <f ca="1">OFFSET('Rate Class Energy Model'!$B$6,COLUMN()-COLUMN($C54)+5,0)</f>
        <v>903052017.38104427</v>
      </c>
      <c r="P54" s="5"/>
    </row>
    <row r="55" spans="1:16" x14ac:dyDescent="0.2">
      <c r="A55" t="s">
        <v>197</v>
      </c>
      <c r="C55" s="5">
        <f ca="1">OFFSET('Rate Class Load Model'!$G$2,COLUMN()-COLUMN($C55),0)</f>
        <v>957921.1166666667</v>
      </c>
      <c r="D55" s="5">
        <f ca="1">OFFSET('Rate Class Load Model'!$G$2,COLUMN()-COLUMN($C55),0)</f>
        <v>1007362.0116666667</v>
      </c>
      <c r="E55" s="5">
        <f ca="1">OFFSET('Rate Class Load Model'!$G$2,COLUMN()-COLUMN($C55),0)</f>
        <v>1041359.1837222221</v>
      </c>
      <c r="F55" s="5">
        <f ca="1">OFFSET('Rate Class Load Model'!$G$2,COLUMN()-COLUMN($C55),0)</f>
        <v>1053712.8527777777</v>
      </c>
      <c r="G55" s="5">
        <f ca="1">OFFSET('Rate Class Load Model'!$G$2,COLUMN()-COLUMN($C55),0)</f>
        <v>1083293.4160235922</v>
      </c>
      <c r="H55" s="5">
        <f ca="1">OFFSET('Rate Class Load Model'!$G$2,COLUMN()-COLUMN($C55),0)</f>
        <v>1111847.8481697107</v>
      </c>
      <c r="I55" s="5">
        <f ca="1">OFFSET('Rate Class Load Model'!$G$2,COLUMN()-COLUMN($C55),0)</f>
        <v>1143240.5703158295</v>
      </c>
      <c r="J55" s="5">
        <f ca="1">OFFSET('Rate Class Load Model'!$G$2,COLUMN()-COLUMN($C55),0)</f>
        <v>1179259.3724619483</v>
      </c>
      <c r="K55" s="5">
        <f ca="1">OFFSET('Rate Class Load Model'!$G$2,COLUMN()-COLUMN($C55),0)</f>
        <v>1189173.3746080669</v>
      </c>
      <c r="L55" s="5">
        <f ca="1">OFFSET('Rate Class Load Model'!$G$2,COLUMN()-COLUMN($C55),0)</f>
        <v>1129291.8767541857</v>
      </c>
      <c r="M55" s="5">
        <f ca="1">OFFSET('Rate Class Load Model'!$G$2,COLUMN()-COLUMN($C55),0)</f>
        <v>1140072.99</v>
      </c>
      <c r="N55" s="5">
        <f ca="1">OFFSET('Rate Class Load Model'!$G$2,COLUMN()-COLUMN($C55)+4,0)</f>
        <v>1068897.0782656714</v>
      </c>
      <c r="O55" s="5">
        <f ca="1">OFFSET('Rate Class Load Model'!$G$2,COLUMN()-COLUMN($C55)+4,0)</f>
        <v>1094249.3716055022</v>
      </c>
      <c r="P55" s="5"/>
    </row>
    <row r="56" spans="1:16" ht="5.0999999999999996" customHeight="1" x14ac:dyDescent="0.2">
      <c r="N56" s="1"/>
      <c r="O56" s="1"/>
      <c r="P56" s="1"/>
    </row>
    <row r="57" spans="1:16" ht="12.75" customHeight="1" x14ac:dyDescent="0.2">
      <c r="N57" s="1"/>
      <c r="O57" s="1"/>
      <c r="P57" s="1"/>
    </row>
    <row r="58" spans="1:16" x14ac:dyDescent="0.2">
      <c r="A58" s="22" t="s">
        <v>199</v>
      </c>
      <c r="B58" s="22"/>
      <c r="E58" s="5"/>
      <c r="F58" s="5"/>
      <c r="G58" s="5"/>
      <c r="H58" s="5"/>
      <c r="I58" s="5"/>
      <c r="J58" s="5"/>
      <c r="K58" s="5"/>
      <c r="L58" s="5"/>
      <c r="M58" s="5"/>
      <c r="N58" s="5"/>
      <c r="O58" s="1"/>
    </row>
    <row r="59" spans="1:16" x14ac:dyDescent="0.2">
      <c r="A59" t="s">
        <v>196</v>
      </c>
      <c r="C59" s="5">
        <f ca="1">C48-C53</f>
        <v>0</v>
      </c>
      <c r="D59" s="5">
        <f ca="1">D48-D53</f>
        <v>0</v>
      </c>
      <c r="E59" s="5">
        <f ca="1">E48-E53</f>
        <v>0</v>
      </c>
      <c r="F59" s="5">
        <f t="shared" ref="F59:K59" ca="1" si="8">F48-F53</f>
        <v>0</v>
      </c>
      <c r="G59" s="5">
        <f t="shared" ca="1" si="8"/>
        <v>0</v>
      </c>
      <c r="H59" s="5">
        <f t="shared" ca="1" si="8"/>
        <v>0</v>
      </c>
      <c r="I59" s="5">
        <f t="shared" ca="1" si="8"/>
        <v>0</v>
      </c>
      <c r="J59" s="5">
        <f t="shared" ca="1" si="8"/>
        <v>0</v>
      </c>
      <c r="K59" s="5">
        <f t="shared" ca="1" si="8"/>
        <v>0</v>
      </c>
      <c r="L59" s="5">
        <f ca="1">L48-L53</f>
        <v>0</v>
      </c>
      <c r="M59" s="5">
        <f ca="1">M48-M53</f>
        <v>0</v>
      </c>
      <c r="N59" s="5">
        <f ca="1">N48-N53</f>
        <v>0</v>
      </c>
      <c r="O59" s="5">
        <f ca="1">O48-O53</f>
        <v>0</v>
      </c>
    </row>
    <row r="60" spans="1:16" x14ac:dyDescent="0.2">
      <c r="A60" t="s">
        <v>191</v>
      </c>
      <c r="C60" s="5">
        <f ca="1">C49-C54</f>
        <v>0</v>
      </c>
      <c r="D60" s="5">
        <f ca="1">D49-D54</f>
        <v>0</v>
      </c>
      <c r="E60" s="5">
        <f t="shared" ref="E60:K61" ca="1" si="9">E49-E54</f>
        <v>0</v>
      </c>
      <c r="F60" s="5">
        <f t="shared" ca="1" si="9"/>
        <v>0</v>
      </c>
      <c r="G60" s="5">
        <f t="shared" ca="1" si="9"/>
        <v>0</v>
      </c>
      <c r="H60" s="5">
        <f t="shared" ca="1" si="9"/>
        <v>0</v>
      </c>
      <c r="I60" s="5">
        <f t="shared" ca="1" si="9"/>
        <v>0</v>
      </c>
      <c r="J60" s="5">
        <f t="shared" ca="1" si="9"/>
        <v>0</v>
      </c>
      <c r="K60" s="5">
        <f t="shared" ca="1" si="9"/>
        <v>0</v>
      </c>
      <c r="L60" s="5">
        <f t="shared" ref="L60:O60" ca="1" si="10">L49-L54</f>
        <v>0</v>
      </c>
      <c r="M60" s="5">
        <f t="shared" ca="1" si="10"/>
        <v>0</v>
      </c>
      <c r="N60" s="5">
        <f t="shared" ca="1" si="10"/>
        <v>0</v>
      </c>
      <c r="O60" s="5">
        <f t="shared" ca="1" si="10"/>
        <v>0</v>
      </c>
    </row>
    <row r="61" spans="1:16" x14ac:dyDescent="0.2">
      <c r="A61" t="s">
        <v>197</v>
      </c>
      <c r="C61" s="5">
        <f ca="1">C50-C55</f>
        <v>0</v>
      </c>
      <c r="D61" s="5">
        <f ca="1">D50-D55</f>
        <v>0</v>
      </c>
      <c r="E61" s="5">
        <f t="shared" ca="1" si="9"/>
        <v>0</v>
      </c>
      <c r="F61" s="5">
        <f t="shared" ca="1" si="9"/>
        <v>0</v>
      </c>
      <c r="G61" s="5">
        <f t="shared" ca="1" si="9"/>
        <v>0</v>
      </c>
      <c r="H61" s="5">
        <f t="shared" ca="1" si="9"/>
        <v>0</v>
      </c>
      <c r="I61" s="5">
        <f t="shared" ca="1" si="9"/>
        <v>0</v>
      </c>
      <c r="J61" s="5">
        <f t="shared" ca="1" si="9"/>
        <v>0</v>
      </c>
      <c r="K61" s="5">
        <f t="shared" ca="1" si="9"/>
        <v>0</v>
      </c>
      <c r="L61" s="5">
        <f t="shared" ref="L61:O61" ca="1" si="11">L50-L55</f>
        <v>0</v>
      </c>
      <c r="M61" s="5">
        <f t="shared" ca="1" si="11"/>
        <v>0</v>
      </c>
      <c r="N61" s="5">
        <f t="shared" ca="1" si="11"/>
        <v>0</v>
      </c>
      <c r="O61" s="5">
        <f t="shared" ca="1" si="11"/>
        <v>0</v>
      </c>
    </row>
    <row r="62" spans="1:16" x14ac:dyDescent="0.2">
      <c r="N62" s="1"/>
      <c r="O62" s="1"/>
    </row>
    <row r="63" spans="1:16" x14ac:dyDescent="0.2">
      <c r="A63" t="s">
        <v>200</v>
      </c>
      <c r="C63" s="29">
        <f t="shared" ref="C63:O63" ca="1" si="12">+C11+C15+C19+C24+C29</f>
        <v>29733.75</v>
      </c>
      <c r="D63" s="29">
        <f t="shared" ca="1" si="12"/>
        <v>31524.75</v>
      </c>
      <c r="E63" s="29">
        <f t="shared" ca="1" si="12"/>
        <v>33475</v>
      </c>
      <c r="F63" s="29">
        <f ca="1">+F11+F15+F19+F24+F29</f>
        <v>34511</v>
      </c>
      <c r="G63" s="29">
        <f t="shared" ca="1" si="12"/>
        <v>35575.583333333336</v>
      </c>
      <c r="H63" s="29">
        <f t="shared" ca="1" si="12"/>
        <v>36449.999999999993</v>
      </c>
      <c r="I63" s="29">
        <f t="shared" ca="1" si="12"/>
        <v>37326.833333333336</v>
      </c>
      <c r="J63" s="29">
        <f t="shared" ca="1" si="12"/>
        <v>38828.916666666657</v>
      </c>
      <c r="K63" s="29">
        <f t="shared" ca="1" si="12"/>
        <v>40052.166666666664</v>
      </c>
      <c r="L63" s="29">
        <f ca="1">+L11+L15+L19+L24+L29</f>
        <v>40801.166666666664</v>
      </c>
      <c r="M63" s="29">
        <f t="shared" ca="1" si="12"/>
        <v>41728.5</v>
      </c>
      <c r="N63" s="29">
        <f t="shared" ca="1" si="12"/>
        <v>42520.043029702305</v>
      </c>
      <c r="O63" s="29">
        <f t="shared" ca="1" si="12"/>
        <v>43436.293898859731</v>
      </c>
    </row>
    <row r="64" spans="1:16" x14ac:dyDescent="0.2">
      <c r="F64" s="29">
        <f ca="1">F63+F44+F39+3-35</f>
        <v>34923</v>
      </c>
      <c r="G64" s="29">
        <f t="shared" ref="G64:K64" ca="1" si="13">G63+G44+G39+3-35</f>
        <v>36000.220588235294</v>
      </c>
      <c r="H64" s="29">
        <f t="shared" ca="1" si="13"/>
        <v>36887.063725490189</v>
      </c>
      <c r="I64" s="29">
        <f t="shared" ca="1" si="13"/>
        <v>37754.240196078434</v>
      </c>
      <c r="J64" s="29">
        <f t="shared" ca="1" si="13"/>
        <v>39256.999999999993</v>
      </c>
      <c r="K64" s="29">
        <f t="shared" ca="1" si="13"/>
        <v>40475.009803921566</v>
      </c>
      <c r="L64" s="29">
        <f ca="1">L63+L44+L39+3-35</f>
        <v>41220.799019607839</v>
      </c>
      <c r="M64" s="29">
        <f ca="1">M63+M44+M39+3-36</f>
        <v>42148.916666666664</v>
      </c>
      <c r="N64" s="29">
        <f ca="1">N63+N44+N39+3-37</f>
        <v>42939.720562770082</v>
      </c>
      <c r="O64" s="29">
        <f ca="1">O63+O44+O39+3-37</f>
        <v>43856.349756070565</v>
      </c>
    </row>
  </sheetData>
  <phoneticPr fontId="0" type="noConversion"/>
  <pageMargins left="0.23622047244094491" right="0.23622047244094491" top="0.74803149606299213" bottom="0.74803149606299213" header="0.31496062992125984" footer="0.31496062992125984"/>
  <pageSetup scale="55" orientation="landscape" r:id="rId1"/>
  <headerFooter alignWithMargins="0">
    <oddHeader>&amp;L&amp;D&amp;F</oddHeader>
    <oddFooter>&amp;L&amp;Z&amp;F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6F00A-AA55-4B09-B7D3-73D887039FF0}">
  <sheetPr>
    <tabColor theme="3" tint="0.79998168889431442"/>
  </sheetPr>
  <dimension ref="A1:AY190"/>
  <sheetViews>
    <sheetView zoomScale="80" zoomScaleNormal="80" workbookViewId="0">
      <pane xSplit="1" ySplit="2" topLeftCell="O3" activePane="bottomRight" state="frozen"/>
      <selection activeCell="AE64" sqref="AE64"/>
      <selection pane="topRight" activeCell="AE64" sqref="AE64"/>
      <selection pane="bottomLeft" activeCell="AE64" sqref="AE64"/>
      <selection pane="bottomRight" activeCell="V3" sqref="V3"/>
    </sheetView>
  </sheetViews>
  <sheetFormatPr defaultRowHeight="12.75" x14ac:dyDescent="0.2"/>
  <cols>
    <col min="1" max="3" width="11.85546875" customWidth="1"/>
    <col min="4" max="4" width="14.140625" customWidth="1"/>
    <col min="5" max="5" width="14.7109375" customWidth="1"/>
    <col min="6" max="6" width="13" style="5" bestFit="1" customWidth="1"/>
    <col min="7" max="7" width="13" style="1" customWidth="1"/>
    <col min="8" max="10" width="12.85546875" style="1" customWidth="1"/>
    <col min="11" max="11" width="15.42578125" style="1" customWidth="1"/>
    <col min="12" max="13" width="8" style="1" customWidth="1"/>
    <col min="14" max="14" width="13.5703125" style="57" bestFit="1" customWidth="1"/>
    <col min="15" max="15" width="13.140625" style="1" customWidth="1"/>
    <col min="16" max="16" width="14.7109375" style="1" customWidth="1"/>
    <col min="17" max="17" width="19.42578125" style="1" bestFit="1" customWidth="1"/>
    <col min="18" max="18" width="14.5703125" style="1" customWidth="1"/>
    <col min="19" max="19" width="15.140625" style="1" bestFit="1" customWidth="1"/>
    <col min="20" max="20" width="12.42578125" style="1" customWidth="1"/>
    <col min="21" max="21" width="22.42578125" bestFit="1" customWidth="1"/>
    <col min="22" max="22" width="17.7109375" customWidth="1"/>
    <col min="23" max="23" width="18.85546875" bestFit="1" customWidth="1"/>
    <col min="24" max="24" width="13.7109375" bestFit="1" customWidth="1"/>
    <col min="25" max="25" width="13" bestFit="1" customWidth="1"/>
    <col min="26" max="26" width="14.85546875" bestFit="1" customWidth="1"/>
    <col min="27" max="29" width="13.7109375" bestFit="1" customWidth="1"/>
    <col min="30" max="31" width="13" bestFit="1" customWidth="1"/>
    <col min="32" max="32" width="12.28515625" bestFit="1" customWidth="1"/>
    <col min="33" max="34" width="12.28515625" style="5" bestFit="1" customWidth="1"/>
    <col min="35" max="41" width="12.7109375" style="5" customWidth="1"/>
    <col min="42" max="51" width="12.7109375" customWidth="1"/>
  </cols>
  <sheetData>
    <row r="1" spans="1:47" ht="20.25" customHeight="1" x14ac:dyDescent="0.25">
      <c r="A1" s="321" t="s">
        <v>339</v>
      </c>
      <c r="B1" s="321"/>
      <c r="C1" s="321"/>
      <c r="D1" s="321"/>
      <c r="E1" s="321"/>
      <c r="F1" s="321"/>
    </row>
    <row r="2" spans="1:47" ht="42" customHeight="1" x14ac:dyDescent="0.2">
      <c r="D2" s="28" t="s">
        <v>269</v>
      </c>
      <c r="E2" s="28" t="s">
        <v>270</v>
      </c>
      <c r="F2" s="6" t="s">
        <v>271</v>
      </c>
      <c r="G2" s="129" t="str">
        <f>Data!AP1</f>
        <v>HDD16</v>
      </c>
      <c r="H2" s="129" t="str">
        <f>Data!AQ1</f>
        <v>CDD16</v>
      </c>
      <c r="I2" s="8" t="s">
        <v>332</v>
      </c>
      <c r="J2" s="8" t="s">
        <v>333</v>
      </c>
      <c r="K2" s="8" t="s">
        <v>272</v>
      </c>
      <c r="L2" s="8" t="s">
        <v>273</v>
      </c>
      <c r="M2" s="8" t="s">
        <v>131</v>
      </c>
      <c r="N2" s="58" t="s">
        <v>274</v>
      </c>
      <c r="O2" s="8" t="str">
        <f>Data!CG1</f>
        <v>COVIDHDD16</v>
      </c>
      <c r="P2" s="8" t="str">
        <f>Data!CH1</f>
        <v>COVIDCDD16</v>
      </c>
      <c r="Q2" s="8" t="s">
        <v>334</v>
      </c>
      <c r="R2" s="8" t="s">
        <v>335</v>
      </c>
      <c r="S2" s="8" t="s">
        <v>277</v>
      </c>
      <c r="T2" s="8" t="s">
        <v>278</v>
      </c>
      <c r="AG2" s="7"/>
      <c r="AH2" s="7"/>
      <c r="AI2" s="7"/>
    </row>
    <row r="3" spans="1:47" ht="12.75" customHeight="1" x14ac:dyDescent="0.2">
      <c r="A3" s="2">
        <v>40544</v>
      </c>
      <c r="B3">
        <f>YEAR(A3)</f>
        <v>2011</v>
      </c>
      <c r="C3">
        <f>MONTH(A3)</f>
        <v>1</v>
      </c>
      <c r="D3" s="151">
        <f>Data!D2</f>
        <v>23710157.339999959</v>
      </c>
      <c r="E3" s="151">
        <f>Data!E2</f>
        <v>23207.745325324893</v>
      </c>
      <c r="F3" s="151">
        <f>Data!F2</f>
        <v>23733365.085325282</v>
      </c>
      <c r="G3" s="129">
        <f>Data!AP2</f>
        <v>713.3</v>
      </c>
      <c r="H3" s="129">
        <f>Data!AQ2</f>
        <v>0</v>
      </c>
      <c r="I3" s="146">
        <f t="shared" ref="I3:J3" ca="1" si="0">I15</f>
        <v>625.5</v>
      </c>
      <c r="J3" s="146">
        <f t="shared" ca="1" si="0"/>
        <v>0</v>
      </c>
      <c r="K3" s="32">
        <f>Data!BG2</f>
        <v>31</v>
      </c>
      <c r="L3" s="32">
        <f>Data!BX2</f>
        <v>0</v>
      </c>
      <c r="M3" s="32">
        <f>Data!BR2</f>
        <v>0</v>
      </c>
      <c r="N3" s="41">
        <f>Data!AA2</f>
        <v>26615</v>
      </c>
      <c r="O3" s="255">
        <f>Data!CG2</f>
        <v>0</v>
      </c>
      <c r="P3" s="78">
        <f>Data!CH2</f>
        <v>0</v>
      </c>
      <c r="Q3" s="32">
        <f ca="1">F3+(I3-G3)*$V$11+(J3-H3)*$V$12</f>
        <v>19085892.312724587</v>
      </c>
      <c r="R3" s="145">
        <f ca="1">Q3-E3</f>
        <v>19062684.567399263</v>
      </c>
      <c r="S3" s="32">
        <f ca="1">+Q3-F3</f>
        <v>-4647472.7726006955</v>
      </c>
      <c r="T3" s="50">
        <f ca="1">ABS(S3/F3)</f>
        <v>0.19582022001061711</v>
      </c>
      <c r="V3" t="s">
        <v>356</v>
      </c>
      <c r="AA3" s="28" t="s">
        <v>349</v>
      </c>
      <c r="AG3"/>
      <c r="AH3" s="39"/>
      <c r="AI3" s="66"/>
      <c r="AJ3" s="51"/>
      <c r="AK3" s="74"/>
      <c r="AL3" s="74"/>
      <c r="AM3" s="204"/>
      <c r="AN3" s="74"/>
      <c r="AO3" s="74"/>
      <c r="AP3" s="197"/>
      <c r="AQ3" s="204"/>
      <c r="AR3" s="68"/>
      <c r="AS3" s="68"/>
      <c r="AT3" s="5"/>
    </row>
    <row r="4" spans="1:47" x14ac:dyDescent="0.2">
      <c r="A4" s="2">
        <v>40575</v>
      </c>
      <c r="B4">
        <f t="shared" ref="B4:B67" si="1">YEAR(A4)</f>
        <v>2011</v>
      </c>
      <c r="C4">
        <f t="shared" ref="C4:C67" si="2">MONTH(A4)</f>
        <v>2</v>
      </c>
      <c r="D4" s="151">
        <f>Data!D3</f>
        <v>22287321.790000025</v>
      </c>
      <c r="E4" s="151">
        <f>Data!E3</f>
        <v>23207.745325324893</v>
      </c>
      <c r="F4" s="151">
        <f>Data!F3</f>
        <v>22310529.535325348</v>
      </c>
      <c r="G4" s="129">
        <f>Data!AP3</f>
        <v>598.20000000000016</v>
      </c>
      <c r="H4" s="129">
        <f>Data!AQ3</f>
        <v>0</v>
      </c>
      <c r="I4" s="146">
        <f t="shared" ref="I4:J4" ca="1" si="3">I16</f>
        <v>573.20999999999992</v>
      </c>
      <c r="J4" s="146">
        <f t="shared" ca="1" si="3"/>
        <v>0</v>
      </c>
      <c r="K4" s="32">
        <f>Data!BG3</f>
        <v>28</v>
      </c>
      <c r="L4" s="32">
        <f>Data!BX3</f>
        <v>0</v>
      </c>
      <c r="M4" s="32">
        <f>Data!BR3</f>
        <v>0</v>
      </c>
      <c r="N4" s="41">
        <f>Data!AA3</f>
        <v>26654</v>
      </c>
      <c r="O4" s="255">
        <f>Data!CG3</f>
        <v>0</v>
      </c>
      <c r="P4" s="78">
        <f>Data!CH3</f>
        <v>0</v>
      </c>
      <c r="Q4" s="32">
        <f ca="1">F4+(I4-G4)*$V$11+(J4-H4)*$V$12</f>
        <v>20987746.56736074</v>
      </c>
      <c r="R4" s="145">
        <f t="shared" ref="R4:R67" ca="1" si="4">Q4-E4</f>
        <v>20964538.822035417</v>
      </c>
      <c r="S4" s="32">
        <f t="shared" ref="S4:S67" ca="1" si="5">+Q4-F4</f>
        <v>-1322782.9679646082</v>
      </c>
      <c r="T4" s="50">
        <f t="shared" ref="T4:T67" ca="1" si="6">ABS(S4/F4)</f>
        <v>5.9289626715053154E-2</v>
      </c>
      <c r="U4" t="s">
        <v>350</v>
      </c>
      <c r="Y4" s="130"/>
      <c r="AA4" s="315" t="s">
        <v>280</v>
      </c>
      <c r="AB4" s="315"/>
      <c r="AC4" s="315"/>
      <c r="AD4" s="315"/>
      <c r="AE4" s="316"/>
      <c r="AG4"/>
      <c r="AI4" s="74"/>
      <c r="AJ4" s="74"/>
      <c r="AK4" s="74"/>
      <c r="AL4" s="74"/>
      <c r="AM4" s="197"/>
      <c r="AN4" s="208"/>
      <c r="AO4" s="74"/>
      <c r="AP4" s="197"/>
      <c r="AQ4" s="197"/>
      <c r="AR4" s="68"/>
      <c r="AS4" s="68"/>
      <c r="AT4" s="5"/>
    </row>
    <row r="5" spans="1:47" x14ac:dyDescent="0.2">
      <c r="A5" s="2">
        <v>40603</v>
      </c>
      <c r="B5">
        <f t="shared" si="1"/>
        <v>2011</v>
      </c>
      <c r="C5">
        <f t="shared" si="2"/>
        <v>3</v>
      </c>
      <c r="D5" s="151">
        <f>Data!D4</f>
        <v>20538303.360000029</v>
      </c>
      <c r="E5" s="151">
        <f>Data!E4</f>
        <v>23207.745325324893</v>
      </c>
      <c r="F5" s="151">
        <f>Data!F4</f>
        <v>20561511.105325352</v>
      </c>
      <c r="G5" s="129">
        <f>Data!AP4</f>
        <v>510.79999999999995</v>
      </c>
      <c r="H5" s="129">
        <f>Data!AQ4</f>
        <v>0</v>
      </c>
      <c r="I5" s="146">
        <f t="shared" ref="I5:J5" ca="1" si="7">I17</f>
        <v>471.05</v>
      </c>
      <c r="J5" s="146">
        <f t="shared" ca="1" si="7"/>
        <v>0.3</v>
      </c>
      <c r="K5" s="32">
        <f>Data!BG4</f>
        <v>31</v>
      </c>
      <c r="L5" s="32">
        <f>Data!BX4</f>
        <v>1</v>
      </c>
      <c r="M5" s="32">
        <f>Data!BR4</f>
        <v>0</v>
      </c>
      <c r="N5" s="41">
        <f>Data!AA4</f>
        <v>26750</v>
      </c>
      <c r="O5" s="255">
        <f>Data!CG4</f>
        <v>0</v>
      </c>
      <c r="P5" s="78">
        <f>Data!CH4</f>
        <v>0</v>
      </c>
      <c r="Q5" s="32">
        <f t="shared" ref="Q5:Q36" ca="1" si="8">F5+(I5-G5)*$V$10+(J5-H5)*$V$11</f>
        <v>20230166.838611055</v>
      </c>
      <c r="R5" s="145">
        <f t="shared" ca="1" si="4"/>
        <v>20206959.093285732</v>
      </c>
      <c r="S5" s="32">
        <f t="shared" ca="1" si="5"/>
        <v>-331344.26671429724</v>
      </c>
      <c r="T5" s="50">
        <f t="shared" ca="1" si="6"/>
        <v>1.6114781886263231E-2</v>
      </c>
      <c r="U5" t="s">
        <v>281</v>
      </c>
      <c r="AA5" s="315" t="s">
        <v>281</v>
      </c>
      <c r="AB5" s="315"/>
      <c r="AC5" s="315"/>
      <c r="AD5" s="315"/>
      <c r="AE5" s="315"/>
      <c r="AG5"/>
      <c r="AI5" s="74"/>
      <c r="AJ5" s="74"/>
      <c r="AK5" s="74"/>
      <c r="AL5" s="74"/>
      <c r="AM5" s="197"/>
      <c r="AN5" s="208"/>
      <c r="AO5" s="74"/>
      <c r="AP5" s="197"/>
      <c r="AQ5" s="197"/>
      <c r="AR5" s="67"/>
      <c r="AS5" s="68"/>
      <c r="AT5" s="5"/>
    </row>
    <row r="6" spans="1:47" ht="12.75" customHeight="1" x14ac:dyDescent="0.2">
      <c r="A6" s="2">
        <v>40634</v>
      </c>
      <c r="B6">
        <f t="shared" si="1"/>
        <v>2011</v>
      </c>
      <c r="C6">
        <f t="shared" si="2"/>
        <v>4</v>
      </c>
      <c r="D6" s="151">
        <f>Data!D5</f>
        <v>18173296.59999999</v>
      </c>
      <c r="E6" s="151">
        <f>Data!E5</f>
        <v>23207.745325324893</v>
      </c>
      <c r="F6" s="151">
        <f>Data!F5</f>
        <v>18196504.345325314</v>
      </c>
      <c r="G6" s="129">
        <f>Data!AP5</f>
        <v>272.29999999999995</v>
      </c>
      <c r="H6" s="129">
        <f>Data!AQ5</f>
        <v>0</v>
      </c>
      <c r="I6" s="146">
        <f t="shared" ref="I6:J6" ca="1" si="9">I18</f>
        <v>285.58000000000004</v>
      </c>
      <c r="J6" s="146">
        <f t="shared" ca="1" si="9"/>
        <v>0.38999999999999985</v>
      </c>
      <c r="K6" s="32">
        <f>Data!BG5</f>
        <v>30</v>
      </c>
      <c r="L6" s="32">
        <f>Data!BX5</f>
        <v>1</v>
      </c>
      <c r="M6" s="32">
        <f>Data!BR5</f>
        <v>0</v>
      </c>
      <c r="N6" s="41">
        <f>Data!AA5</f>
        <v>26846</v>
      </c>
      <c r="O6" s="255">
        <f>Data!CG5</f>
        <v>0</v>
      </c>
      <c r="P6" s="78">
        <f>Data!CH5</f>
        <v>0</v>
      </c>
      <c r="Q6" s="32">
        <f t="shared" ca="1" si="8"/>
        <v>18333151.41103036</v>
      </c>
      <c r="R6" s="145">
        <f t="shared" ca="1" si="4"/>
        <v>18309943.665705036</v>
      </c>
      <c r="S6" s="32">
        <f t="shared" ca="1" si="5"/>
        <v>136647.06570504606</v>
      </c>
      <c r="T6" s="50">
        <f t="shared" ca="1" si="6"/>
        <v>7.5095228793298817E-3</v>
      </c>
      <c r="U6" t="s">
        <v>351</v>
      </c>
      <c r="AA6" s="315" t="s">
        <v>282</v>
      </c>
      <c r="AB6" s="315"/>
      <c r="AC6" s="315"/>
      <c r="AD6" s="315"/>
      <c r="AE6" s="315"/>
      <c r="AG6"/>
      <c r="AI6" s="74"/>
      <c r="AJ6" s="69"/>
      <c r="AL6" s="39"/>
      <c r="AN6" s="209"/>
      <c r="AO6" s="209"/>
      <c r="AP6" s="5"/>
      <c r="AQ6" s="5"/>
      <c r="AR6" s="5"/>
      <c r="AS6" s="5"/>
      <c r="AT6" s="5"/>
      <c r="AU6" s="28"/>
    </row>
    <row r="7" spans="1:47" x14ac:dyDescent="0.2">
      <c r="A7" s="2">
        <v>40664</v>
      </c>
      <c r="B7">
        <f t="shared" si="1"/>
        <v>2011</v>
      </c>
      <c r="C7">
        <f t="shared" si="2"/>
        <v>5</v>
      </c>
      <c r="D7" s="151">
        <f>Data!D6</f>
        <v>19219228.860000029</v>
      </c>
      <c r="E7" s="151">
        <f>Data!E6</f>
        <v>23207.745325324893</v>
      </c>
      <c r="F7" s="151">
        <f>Data!F6</f>
        <v>19242436.605325352</v>
      </c>
      <c r="G7" s="129">
        <f>Data!AP6</f>
        <v>87.4</v>
      </c>
      <c r="H7" s="129">
        <f>Data!AQ6</f>
        <v>28.3</v>
      </c>
      <c r="I7" s="146">
        <f t="shared" ref="I7:J7" ca="1" si="10">I19</f>
        <v>93.759999999999991</v>
      </c>
      <c r="J7" s="146">
        <f t="shared" ca="1" si="10"/>
        <v>43.35</v>
      </c>
      <c r="K7" s="32">
        <f>Data!BG6</f>
        <v>31</v>
      </c>
      <c r="L7" s="32">
        <f>Data!BX6</f>
        <v>1</v>
      </c>
      <c r="M7" s="32">
        <f>Data!BR6</f>
        <v>0</v>
      </c>
      <c r="N7" s="41">
        <f>Data!AA6</f>
        <v>26969</v>
      </c>
      <c r="O7" s="255">
        <f>Data!CG6</f>
        <v>0</v>
      </c>
      <c r="P7" s="78">
        <f>Data!CH6</f>
        <v>0</v>
      </c>
      <c r="Q7" s="32">
        <f t="shared" ca="1" si="8"/>
        <v>20094626.447916787</v>
      </c>
      <c r="R7" s="145">
        <f t="shared" ca="1" si="4"/>
        <v>20071418.702591464</v>
      </c>
      <c r="S7" s="32">
        <f t="shared" ca="1" si="5"/>
        <v>852189.84259143472</v>
      </c>
      <c r="T7" s="50">
        <f t="shared" ca="1" si="6"/>
        <v>4.4287002736212257E-2</v>
      </c>
      <c r="AA7" s="315"/>
      <c r="AB7" s="315"/>
      <c r="AC7" s="315"/>
      <c r="AD7" s="315"/>
      <c r="AE7" s="315"/>
      <c r="AG7"/>
      <c r="AI7" s="74"/>
      <c r="AJ7" s="69"/>
      <c r="AK7" s="39"/>
      <c r="AL7" s="39"/>
      <c r="AN7" s="209"/>
      <c r="AO7" s="209"/>
      <c r="AP7" s="5"/>
      <c r="AQ7" s="5"/>
      <c r="AR7" s="5"/>
      <c r="AS7" s="5"/>
      <c r="AT7" s="5"/>
      <c r="AU7" s="28"/>
    </row>
    <row r="8" spans="1:47" x14ac:dyDescent="0.2">
      <c r="A8" s="2">
        <v>40695</v>
      </c>
      <c r="B8">
        <f t="shared" si="1"/>
        <v>2011</v>
      </c>
      <c r="C8">
        <f t="shared" si="2"/>
        <v>6</v>
      </c>
      <c r="D8" s="151">
        <f>Data!D7</f>
        <v>23432000.140000012</v>
      </c>
      <c r="E8" s="151">
        <f>Data!E7</f>
        <v>23207.745325324893</v>
      </c>
      <c r="F8" s="151">
        <f>Data!F7</f>
        <v>23455207.885325335</v>
      </c>
      <c r="G8" s="129">
        <f>Data!AP7</f>
        <v>4.7999999999999989</v>
      </c>
      <c r="H8" s="129">
        <f>Data!AQ7</f>
        <v>97.999999999999986</v>
      </c>
      <c r="I8" s="146">
        <f t="shared" ref="I8:J8" ca="1" si="11">I20</f>
        <v>8.7399999999999984</v>
      </c>
      <c r="J8" s="146">
        <f t="shared" ca="1" si="11"/>
        <v>118.63000000000002</v>
      </c>
      <c r="K8" s="32">
        <f>Data!BG7</f>
        <v>30</v>
      </c>
      <c r="L8" s="32">
        <f>Data!BX7</f>
        <v>0</v>
      </c>
      <c r="M8" s="32">
        <f>Data!BR7</f>
        <v>0</v>
      </c>
      <c r="N8" s="41">
        <f>Data!AA7</f>
        <v>27068</v>
      </c>
      <c r="O8" s="255">
        <f>Data!CG7</f>
        <v>0</v>
      </c>
      <c r="P8" s="78">
        <f>Data!CH7</f>
        <v>0</v>
      </c>
      <c r="Q8" s="32">
        <f t="shared" ca="1" si="8"/>
        <v>24581621.858997814</v>
      </c>
      <c r="R8" s="145">
        <f t="shared" ca="1" si="4"/>
        <v>24558414.113672491</v>
      </c>
      <c r="S8" s="32">
        <f t="shared" ca="1" si="5"/>
        <v>1126413.9736724794</v>
      </c>
      <c r="T8" s="50">
        <f t="shared" ca="1" si="6"/>
        <v>4.8024045626865505E-2</v>
      </c>
      <c r="V8" t="s">
        <v>135</v>
      </c>
      <c r="W8" t="s">
        <v>136</v>
      </c>
      <c r="X8" t="s">
        <v>137</v>
      </c>
      <c r="Y8" t="s">
        <v>138</v>
      </c>
      <c r="AA8" s="315"/>
      <c r="AB8" s="315" t="s">
        <v>135</v>
      </c>
      <c r="AC8" s="315" t="s">
        <v>136</v>
      </c>
      <c r="AD8" s="315" t="s">
        <v>137</v>
      </c>
      <c r="AE8" s="315" t="s">
        <v>138</v>
      </c>
      <c r="AG8"/>
      <c r="AI8" s="74"/>
      <c r="AJ8" s="69"/>
      <c r="AK8" s="39"/>
      <c r="AL8" s="39"/>
      <c r="AN8" s="209"/>
      <c r="AO8" s="209"/>
      <c r="AP8" s="5"/>
      <c r="AQ8" s="5"/>
      <c r="AR8" s="5"/>
      <c r="AS8" s="5"/>
      <c r="AT8" s="5"/>
      <c r="AU8" s="28"/>
    </row>
    <row r="9" spans="1:47" x14ac:dyDescent="0.2">
      <c r="A9" s="2">
        <v>40725</v>
      </c>
      <c r="B9">
        <f t="shared" si="1"/>
        <v>2011</v>
      </c>
      <c r="C9">
        <f t="shared" si="2"/>
        <v>7</v>
      </c>
      <c r="D9" s="151">
        <f>Data!D8</f>
        <v>29858048.27999996</v>
      </c>
      <c r="E9" s="151">
        <f>Data!E8</f>
        <v>23207.745325324893</v>
      </c>
      <c r="F9" s="151">
        <f>Data!F8</f>
        <v>29881256.025325283</v>
      </c>
      <c r="G9" s="129">
        <f>Data!AP8</f>
        <v>0</v>
      </c>
      <c r="H9" s="129">
        <f>Data!AQ8</f>
        <v>260.30000000000007</v>
      </c>
      <c r="I9" s="146">
        <f t="shared" ref="I9:J9" ca="1" si="12">I21</f>
        <v>0</v>
      </c>
      <c r="J9" s="146">
        <f t="shared" ca="1" si="12"/>
        <v>207.41000000000003</v>
      </c>
      <c r="K9" s="32">
        <f>Data!BG8</f>
        <v>31</v>
      </c>
      <c r="L9" s="32">
        <f>Data!BX8</f>
        <v>0</v>
      </c>
      <c r="M9" s="32">
        <f>Data!BR8</f>
        <v>0</v>
      </c>
      <c r="N9" s="41">
        <f>Data!AA8</f>
        <v>27119</v>
      </c>
      <c r="O9" s="255">
        <f>Data!CG8</f>
        <v>0</v>
      </c>
      <c r="P9" s="78">
        <f>Data!CH8</f>
        <v>0</v>
      </c>
      <c r="Q9" s="32">
        <f t="shared" ca="1" si="8"/>
        <v>27081656.538504656</v>
      </c>
      <c r="R9" s="145">
        <f t="shared" ca="1" si="4"/>
        <v>27058448.793179333</v>
      </c>
      <c r="S9" s="32">
        <f t="shared" ca="1" si="5"/>
        <v>-2799599.486820627</v>
      </c>
      <c r="T9" s="50">
        <f t="shared" ca="1" si="6"/>
        <v>9.3690823586795688E-2</v>
      </c>
      <c r="U9" t="s">
        <v>139</v>
      </c>
      <c r="V9">
        <v>-18892736.902284101</v>
      </c>
      <c r="W9">
        <v>5185536.8876383696</v>
      </c>
      <c r="X9">
        <v>-3.6433521372342099</v>
      </c>
      <c r="Y9">
        <v>3.9520076722873601E-4</v>
      </c>
      <c r="AA9" s="315" t="s">
        <v>139</v>
      </c>
      <c r="AB9" s="315">
        <v>-18893263.306903001</v>
      </c>
      <c r="AC9" s="315">
        <v>5185235.7900725901</v>
      </c>
      <c r="AD9" s="315">
        <v>-3.6436652202152802</v>
      </c>
      <c r="AE9" s="315">
        <v>3.9476725714889698E-4</v>
      </c>
      <c r="AG9"/>
      <c r="AH9" s="51"/>
      <c r="AI9" s="69"/>
      <c r="AJ9" s="69"/>
      <c r="AK9" s="39"/>
      <c r="AL9" s="39"/>
      <c r="AN9" s="209"/>
      <c r="AO9" s="209"/>
      <c r="AP9" s="5"/>
      <c r="AQ9" s="5"/>
      <c r="AR9" s="5"/>
      <c r="AS9" s="5"/>
      <c r="AT9" s="5"/>
      <c r="AU9" s="28"/>
    </row>
    <row r="10" spans="1:47" x14ac:dyDescent="0.2">
      <c r="A10" s="2">
        <v>40756</v>
      </c>
      <c r="B10">
        <f t="shared" si="1"/>
        <v>2011</v>
      </c>
      <c r="C10">
        <f t="shared" si="2"/>
        <v>8</v>
      </c>
      <c r="D10" s="151">
        <f>Data!D9</f>
        <v>28097294.710000008</v>
      </c>
      <c r="E10" s="151">
        <f>Data!E9</f>
        <v>23207.745325324893</v>
      </c>
      <c r="F10" s="151">
        <f>Data!F9</f>
        <v>28120502.455325332</v>
      </c>
      <c r="G10" s="129">
        <f>Data!AP9</f>
        <v>0</v>
      </c>
      <c r="H10" s="129">
        <f>Data!AQ9</f>
        <v>184.2</v>
      </c>
      <c r="I10" s="146">
        <f t="shared" ref="I10:J10" ca="1" si="13">I22</f>
        <v>0.29000000000000004</v>
      </c>
      <c r="J10" s="146">
        <f t="shared" ca="1" si="13"/>
        <v>180.75000000000006</v>
      </c>
      <c r="K10" s="32">
        <f>Data!BG9</f>
        <v>31</v>
      </c>
      <c r="L10" s="32">
        <f>Data!BX9</f>
        <v>0</v>
      </c>
      <c r="M10" s="32">
        <f>Data!BR9</f>
        <v>0</v>
      </c>
      <c r="N10" s="41">
        <f>Data!AA9</f>
        <v>27177</v>
      </c>
      <c r="O10" s="255">
        <f>Data!CG9</f>
        <v>0</v>
      </c>
      <c r="P10" s="78">
        <f>Data!CH9</f>
        <v>0</v>
      </c>
      <c r="Q10" s="32">
        <f t="shared" ca="1" si="8"/>
        <v>27940418.565552343</v>
      </c>
      <c r="R10" s="145">
        <f t="shared" ca="1" si="4"/>
        <v>27917210.820227019</v>
      </c>
      <c r="S10" s="32">
        <f t="shared" ca="1" si="5"/>
        <v>-180083.88977298886</v>
      </c>
      <c r="T10" s="50">
        <f t="shared" ca="1" si="6"/>
        <v>6.4040068295040508E-3</v>
      </c>
      <c r="U10" t="s">
        <v>113</v>
      </c>
      <c r="V10">
        <v>8735.1953265126594</v>
      </c>
      <c r="W10">
        <v>955.17340067697796</v>
      </c>
      <c r="X10">
        <v>9.1451408930793008</v>
      </c>
      <c r="Y10" s="130">
        <v>1.55543222650303E-15</v>
      </c>
      <c r="AA10" s="315" t="s">
        <v>113</v>
      </c>
      <c r="AB10" s="315">
        <v>8735.5477451992792</v>
      </c>
      <c r="AC10" s="315">
        <v>955.16207542171696</v>
      </c>
      <c r="AD10" s="315">
        <v>9.1456182882286399</v>
      </c>
      <c r="AE10" s="316">
        <v>1.5513487993009601E-15</v>
      </c>
      <c r="AG10"/>
      <c r="AH10" s="74"/>
      <c r="AI10" s="69"/>
      <c r="AJ10" s="69"/>
      <c r="AK10" s="39"/>
      <c r="AL10" s="39"/>
      <c r="AN10" s="209"/>
      <c r="AO10" s="209"/>
      <c r="AP10" s="5"/>
      <c r="AQ10" s="5"/>
      <c r="AR10" s="5"/>
      <c r="AS10" s="5"/>
      <c r="AT10" s="5"/>
      <c r="AU10" s="28"/>
    </row>
    <row r="11" spans="1:47" x14ac:dyDescent="0.2">
      <c r="A11" s="2">
        <v>40787</v>
      </c>
      <c r="B11">
        <f t="shared" si="1"/>
        <v>2011</v>
      </c>
      <c r="C11">
        <f t="shared" si="2"/>
        <v>9</v>
      </c>
      <c r="D11" s="151">
        <f>Data!D10</f>
        <v>19896374.790000003</v>
      </c>
      <c r="E11" s="151">
        <f>Data!E10</f>
        <v>23207.745325324893</v>
      </c>
      <c r="F11" s="151">
        <f>Data!F10</f>
        <v>19919582.535325326</v>
      </c>
      <c r="G11" s="129">
        <f>Data!AP10</f>
        <v>22.400000000000006</v>
      </c>
      <c r="H11" s="129">
        <f>Data!AQ10</f>
        <v>73.7</v>
      </c>
      <c r="I11" s="146">
        <f t="shared" ref="I11:J11" ca="1" si="14">I23</f>
        <v>27</v>
      </c>
      <c r="J11" s="146">
        <f t="shared" ca="1" si="14"/>
        <v>80.61</v>
      </c>
      <c r="K11" s="32">
        <f>Data!BG10</f>
        <v>30</v>
      </c>
      <c r="L11" s="32">
        <f>Data!BX10</f>
        <v>1</v>
      </c>
      <c r="M11" s="32">
        <f>Data!BR10</f>
        <v>1</v>
      </c>
      <c r="N11" s="41">
        <f>Data!AA10</f>
        <v>27326</v>
      </c>
      <c r="O11" s="255">
        <f>Data!CG10</f>
        <v>0</v>
      </c>
      <c r="P11" s="78">
        <f>Data!CH10</f>
        <v>0</v>
      </c>
      <c r="Q11" s="32">
        <f t="shared" ca="1" si="8"/>
        <v>20325527.951579798</v>
      </c>
      <c r="R11" s="145">
        <f t="shared" ca="1" si="4"/>
        <v>20302320.206254475</v>
      </c>
      <c r="S11" s="32">
        <f t="shared" ca="1" si="5"/>
        <v>405945.41625447199</v>
      </c>
      <c r="T11" s="50">
        <f t="shared" ca="1" si="6"/>
        <v>2.0379213044980717E-2</v>
      </c>
      <c r="U11" t="s">
        <v>114</v>
      </c>
      <c r="V11">
        <v>52932.491715269898</v>
      </c>
      <c r="W11">
        <v>3453.7667894875899</v>
      </c>
      <c r="X11">
        <v>15.3260179223401</v>
      </c>
      <c r="Y11" s="130">
        <v>2.6275464431370299E-30</v>
      </c>
      <c r="AA11" s="315" t="s">
        <v>114</v>
      </c>
      <c r="AB11" s="315">
        <v>52933.346861410202</v>
      </c>
      <c r="AC11" s="315">
        <v>3453.72029547191</v>
      </c>
      <c r="AD11" s="315">
        <v>15.3264718427864</v>
      </c>
      <c r="AE11" s="316">
        <v>2.6212456298096899E-30</v>
      </c>
      <c r="AG11"/>
      <c r="AH11" s="74"/>
      <c r="AI11" s="212"/>
      <c r="AJ11" s="69"/>
      <c r="AK11" s="39"/>
      <c r="AL11" s="39"/>
      <c r="AN11" s="209"/>
      <c r="AO11" s="209"/>
      <c r="AP11" s="5"/>
      <c r="AQ11" s="5"/>
      <c r="AR11" s="5"/>
      <c r="AS11" s="5"/>
      <c r="AT11" s="5"/>
      <c r="AU11" s="28"/>
    </row>
    <row r="12" spans="1:47" ht="13.5" customHeight="1" x14ac:dyDescent="0.2">
      <c r="A12" s="2">
        <v>40817</v>
      </c>
      <c r="B12">
        <f t="shared" si="1"/>
        <v>2011</v>
      </c>
      <c r="C12">
        <f t="shared" si="2"/>
        <v>10</v>
      </c>
      <c r="D12" s="151">
        <f>Data!D11</f>
        <v>18244566.349999983</v>
      </c>
      <c r="E12" s="151">
        <f>Data!E11</f>
        <v>23207.745325324893</v>
      </c>
      <c r="F12" s="151">
        <f>Data!F11</f>
        <v>18267774.095325306</v>
      </c>
      <c r="G12" s="129">
        <f>Data!AP11</f>
        <v>180.70000000000002</v>
      </c>
      <c r="H12" s="129">
        <f>Data!AQ11</f>
        <v>9.6999999999999957</v>
      </c>
      <c r="I12" s="146">
        <f t="shared" ref="I12:J12" ca="1" si="15">I24</f>
        <v>167.57</v>
      </c>
      <c r="J12" s="146">
        <f t="shared" ca="1" si="15"/>
        <v>9.9699999999999989</v>
      </c>
      <c r="K12" s="32">
        <f>Data!BG11</f>
        <v>31</v>
      </c>
      <c r="L12" s="32">
        <f>Data!BX11</f>
        <v>1</v>
      </c>
      <c r="M12" s="32">
        <f>Data!BR11</f>
        <v>0</v>
      </c>
      <c r="N12" s="41">
        <f>Data!AA11</f>
        <v>27440</v>
      </c>
      <c r="O12" s="255">
        <f>Data!CG11</f>
        <v>0</v>
      </c>
      <c r="P12" s="78">
        <f>Data!CH11</f>
        <v>0</v>
      </c>
      <c r="Q12" s="32">
        <f t="shared" ca="1" si="8"/>
        <v>18167372.753451318</v>
      </c>
      <c r="R12" s="145">
        <f t="shared" ca="1" si="4"/>
        <v>18144165.008125994</v>
      </c>
      <c r="S12" s="32">
        <f t="shared" ca="1" si="5"/>
        <v>-100401.34187398851</v>
      </c>
      <c r="T12" s="50">
        <f t="shared" ca="1" si="6"/>
        <v>5.496090621116289E-3</v>
      </c>
      <c r="U12" t="s">
        <v>34</v>
      </c>
      <c r="V12">
        <v>700085.65402100503</v>
      </c>
      <c r="W12">
        <v>167164.851737177</v>
      </c>
      <c r="X12">
        <v>4.1879955429967204</v>
      </c>
      <c r="Y12" s="130">
        <v>5.3201429036835201E-5</v>
      </c>
      <c r="AA12" s="315" t="s">
        <v>34</v>
      </c>
      <c r="AB12" s="315">
        <v>700140.39219496294</v>
      </c>
      <c r="AC12" s="315">
        <v>167154.58775368199</v>
      </c>
      <c r="AD12" s="315">
        <v>4.1885801736215802</v>
      </c>
      <c r="AE12" s="316">
        <v>5.3081721144805101E-5</v>
      </c>
      <c r="AG12"/>
      <c r="AH12" s="51"/>
      <c r="AI12" s="69"/>
      <c r="AJ12" s="69"/>
      <c r="AK12" s="39"/>
      <c r="AL12" s="39"/>
      <c r="AN12" s="209"/>
      <c r="AO12" s="209"/>
      <c r="AP12" s="5"/>
      <c r="AQ12" s="5"/>
      <c r="AR12" s="5"/>
      <c r="AS12" s="5"/>
      <c r="AT12" s="5"/>
      <c r="AU12" s="28"/>
    </row>
    <row r="13" spans="1:47" x14ac:dyDescent="0.2">
      <c r="A13" s="2">
        <v>40848</v>
      </c>
      <c r="B13">
        <f t="shared" si="1"/>
        <v>2011</v>
      </c>
      <c r="C13">
        <f t="shared" si="2"/>
        <v>11</v>
      </c>
      <c r="D13" s="151">
        <f>Data!D12</f>
        <v>20183725.750000019</v>
      </c>
      <c r="E13" s="151">
        <f>Data!E12</f>
        <v>23207.745325324893</v>
      </c>
      <c r="F13" s="151">
        <f>Data!F12</f>
        <v>20206933.495325342</v>
      </c>
      <c r="G13" s="129">
        <f>Data!AP12</f>
        <v>281.89999999999998</v>
      </c>
      <c r="H13" s="129">
        <f>Data!AQ12</f>
        <v>0</v>
      </c>
      <c r="I13" s="146">
        <f t="shared" ref="I13:J13" ca="1" si="16">I25</f>
        <v>366.25</v>
      </c>
      <c r="J13" s="146">
        <f t="shared" ca="1" si="16"/>
        <v>1.0000000000000142E-2</v>
      </c>
      <c r="K13" s="32">
        <f>Data!BG12</f>
        <v>30</v>
      </c>
      <c r="L13" s="32">
        <f>Data!BX12</f>
        <v>1</v>
      </c>
      <c r="M13" s="32">
        <f>Data!BR12</f>
        <v>0</v>
      </c>
      <c r="N13" s="41">
        <f>Data!AA12</f>
        <v>27703</v>
      </c>
      <c r="O13" s="255">
        <f>Data!CG12</f>
        <v>0</v>
      </c>
      <c r="P13" s="78">
        <f>Data!CH12</f>
        <v>0</v>
      </c>
      <c r="Q13" s="32">
        <f t="shared" ca="1" si="8"/>
        <v>20944276.546033837</v>
      </c>
      <c r="R13" s="145">
        <f t="shared" ca="1" si="4"/>
        <v>20921068.800708514</v>
      </c>
      <c r="S13" s="32">
        <f t="shared" ca="1" si="5"/>
        <v>737343.05070849508</v>
      </c>
      <c r="T13" s="50">
        <f t="shared" ca="1" si="6"/>
        <v>3.6489606445187318E-2</v>
      </c>
      <c r="U13" t="s">
        <v>51</v>
      </c>
      <c r="V13">
        <v>-2872168.3044731901</v>
      </c>
      <c r="W13">
        <v>364288.28144099098</v>
      </c>
      <c r="X13">
        <v>-7.8843280193146601</v>
      </c>
      <c r="Y13" s="130">
        <v>1.44918884190066E-12</v>
      </c>
      <c r="AA13" s="315" t="s">
        <v>51</v>
      </c>
      <c r="AB13" s="315">
        <v>-2872240.8640193399</v>
      </c>
      <c r="AC13" s="315">
        <v>364282.109347158</v>
      </c>
      <c r="AD13" s="315">
        <v>-7.8846607898663397</v>
      </c>
      <c r="AE13" s="316">
        <v>1.44662653707938E-12</v>
      </c>
      <c r="AG13"/>
      <c r="AH13" s="51"/>
      <c r="AI13" s="69"/>
      <c r="AJ13" s="69"/>
      <c r="AK13" s="39"/>
      <c r="AL13" s="39"/>
      <c r="AN13" s="209"/>
      <c r="AO13" s="209"/>
      <c r="AP13" s="5"/>
      <c r="AQ13" s="5"/>
      <c r="AR13" s="5"/>
      <c r="AS13" s="5"/>
      <c r="AT13" s="5"/>
      <c r="AU13" s="28"/>
    </row>
    <row r="14" spans="1:47" ht="13.5" customHeight="1" x14ac:dyDescent="0.2">
      <c r="A14" s="2">
        <v>40878</v>
      </c>
      <c r="B14">
        <f t="shared" si="1"/>
        <v>2011</v>
      </c>
      <c r="C14">
        <f t="shared" si="2"/>
        <v>12</v>
      </c>
      <c r="D14" s="151">
        <f>Data!D13</f>
        <v>25085188.549999982</v>
      </c>
      <c r="E14" s="151">
        <f>Data!E13</f>
        <v>23207.745325324893</v>
      </c>
      <c r="F14" s="151">
        <f>Data!F13</f>
        <v>25108396.295325305</v>
      </c>
      <c r="G14" s="129">
        <f>Data!AP13</f>
        <v>472.00000000000006</v>
      </c>
      <c r="H14" s="129">
        <f>Data!AQ13</f>
        <v>0</v>
      </c>
      <c r="I14" s="146">
        <f t="shared" ref="I14:J14" ca="1" si="17">I26</f>
        <v>513.3599999999999</v>
      </c>
      <c r="J14" s="146">
        <f t="shared" ca="1" si="17"/>
        <v>0</v>
      </c>
      <c r="K14" s="32">
        <f>Data!BG13</f>
        <v>31</v>
      </c>
      <c r="L14" s="32">
        <f>Data!BX13</f>
        <v>0</v>
      </c>
      <c r="M14" s="32">
        <f>Data!BR13</f>
        <v>0</v>
      </c>
      <c r="N14" s="41">
        <f>Data!AA13</f>
        <v>27826</v>
      </c>
      <c r="O14" s="255">
        <f>Data!CG13</f>
        <v>0</v>
      </c>
      <c r="P14" s="78">
        <f>Data!CH13</f>
        <v>0</v>
      </c>
      <c r="Q14" s="32">
        <f t="shared" ca="1" si="8"/>
        <v>25469683.974029869</v>
      </c>
      <c r="R14" s="145">
        <f t="shared" ca="1" si="4"/>
        <v>25446476.228704546</v>
      </c>
      <c r="S14" s="32">
        <f t="shared" ca="1" si="5"/>
        <v>361287.67870456353</v>
      </c>
      <c r="T14" s="50">
        <f t="shared" ca="1" si="6"/>
        <v>1.4389118064534781E-2</v>
      </c>
      <c r="U14" t="s">
        <v>45</v>
      </c>
      <c r="V14">
        <v>1706441.2545030201</v>
      </c>
      <c r="W14">
        <v>497377.36926863599</v>
      </c>
      <c r="X14">
        <v>3.43087836306715</v>
      </c>
      <c r="Y14" s="130">
        <v>8.1974804307166204E-4</v>
      </c>
      <c r="AA14" s="315" t="s">
        <v>45</v>
      </c>
      <c r="AB14" s="315">
        <v>1706351.3837903</v>
      </c>
      <c r="AC14" s="315">
        <v>497363.92251725</v>
      </c>
      <c r="AD14" s="315">
        <v>3.4307904263625302</v>
      </c>
      <c r="AE14" s="316">
        <v>8.1999039110360495E-4</v>
      </c>
      <c r="AG14"/>
      <c r="AH14" s="51"/>
      <c r="AI14" s="69"/>
      <c r="AJ14" s="69"/>
      <c r="AK14" s="39"/>
      <c r="AL14" s="39"/>
      <c r="AN14" s="209"/>
      <c r="AO14" s="209"/>
      <c r="AP14" s="5"/>
      <c r="AQ14" s="5"/>
      <c r="AR14" s="5"/>
      <c r="AS14" s="5"/>
      <c r="AT14" s="5"/>
      <c r="AU14" s="28"/>
    </row>
    <row r="15" spans="1:47" x14ac:dyDescent="0.2">
      <c r="A15" s="2">
        <v>40909</v>
      </c>
      <c r="B15">
        <f t="shared" si="1"/>
        <v>2012</v>
      </c>
      <c r="C15">
        <f t="shared" si="2"/>
        <v>1</v>
      </c>
      <c r="D15" s="151">
        <f>Data!D14</f>
        <v>22605358.370000012</v>
      </c>
      <c r="E15" s="151">
        <f>Data!E14</f>
        <v>60152.639777244323</v>
      </c>
      <c r="F15" s="151">
        <f>Data!F14</f>
        <v>22665511.009777255</v>
      </c>
      <c r="G15" s="129">
        <f>Data!AP14</f>
        <v>549.1</v>
      </c>
      <c r="H15" s="129">
        <f>Data!AQ14</f>
        <v>0</v>
      </c>
      <c r="I15" s="146">
        <f t="shared" ref="I15:J15" ca="1" si="18">I27</f>
        <v>625.5</v>
      </c>
      <c r="J15" s="146">
        <f t="shared" ca="1" si="18"/>
        <v>0</v>
      </c>
      <c r="K15" s="32">
        <f>Data!BG14</f>
        <v>31</v>
      </c>
      <c r="L15" s="32">
        <f>Data!BX14</f>
        <v>0</v>
      </c>
      <c r="M15" s="32">
        <f>Data!BR14</f>
        <v>0</v>
      </c>
      <c r="N15" s="41">
        <f>Data!AA14</f>
        <v>27984</v>
      </c>
      <c r="O15" s="255">
        <f>Data!CG14</f>
        <v>0</v>
      </c>
      <c r="P15" s="78">
        <f>Data!CH14</f>
        <v>0</v>
      </c>
      <c r="Q15" s="32">
        <f t="shared" ca="1" si="8"/>
        <v>23332879.932722822</v>
      </c>
      <c r="R15" s="145">
        <f t="shared" ca="1" si="4"/>
        <v>23272727.292945579</v>
      </c>
      <c r="S15" s="32">
        <f t="shared" ca="1" si="5"/>
        <v>667368.92294556648</v>
      </c>
      <c r="T15" s="50">
        <f t="shared" ca="1" si="6"/>
        <v>2.9444247811473676E-2</v>
      </c>
      <c r="U15" t="s">
        <v>26</v>
      </c>
      <c r="V15">
        <v>588.50630558987302</v>
      </c>
      <c r="W15">
        <v>38.0701712054043</v>
      </c>
      <c r="X15">
        <v>15.458462280472499</v>
      </c>
      <c r="Y15" s="130">
        <v>1.3053892766067999E-30</v>
      </c>
      <c r="AA15" s="315" t="s">
        <v>26</v>
      </c>
      <c r="AB15" s="315">
        <v>588.46728649549095</v>
      </c>
      <c r="AC15" s="315">
        <v>38.071823410709797</v>
      </c>
      <c r="AD15" s="315">
        <v>15.456766547460701</v>
      </c>
      <c r="AE15" s="316">
        <v>1.31711731993705E-30</v>
      </c>
      <c r="AG15"/>
      <c r="AH15" s="51"/>
      <c r="AI15" s="69"/>
      <c r="AJ15" s="69"/>
      <c r="AK15" s="39"/>
      <c r="AL15" s="39"/>
      <c r="AN15" s="209"/>
      <c r="AO15" s="209"/>
      <c r="AP15" s="5"/>
      <c r="AQ15" s="5"/>
      <c r="AR15" s="5"/>
      <c r="AS15" s="5"/>
      <c r="AT15" s="5"/>
      <c r="AU15" s="28"/>
    </row>
    <row r="16" spans="1:47" x14ac:dyDescent="0.2">
      <c r="A16" s="2">
        <v>40940</v>
      </c>
      <c r="B16">
        <f t="shared" si="1"/>
        <v>2012</v>
      </c>
      <c r="C16">
        <f t="shared" si="2"/>
        <v>2</v>
      </c>
      <c r="D16" s="151">
        <f>Data!D15</f>
        <v>21671478.420000002</v>
      </c>
      <c r="E16" s="151">
        <f>Data!E15</f>
        <v>60152.639777244323</v>
      </c>
      <c r="F16" s="151">
        <f>Data!F15</f>
        <v>21731631.059777245</v>
      </c>
      <c r="G16" s="129">
        <f>Data!AP15</f>
        <v>473.70000000000005</v>
      </c>
      <c r="H16" s="129">
        <f>Data!AQ15</f>
        <v>0</v>
      </c>
      <c r="I16" s="146">
        <f t="shared" ref="I16:J16" ca="1" si="19">I28</f>
        <v>573.20999999999992</v>
      </c>
      <c r="J16" s="146">
        <f t="shared" ca="1" si="19"/>
        <v>0</v>
      </c>
      <c r="K16" s="32">
        <f>Data!BG15</f>
        <v>29</v>
      </c>
      <c r="L16" s="32">
        <f>Data!BX15</f>
        <v>0</v>
      </c>
      <c r="M16" s="32">
        <f>Data!BR15</f>
        <v>0</v>
      </c>
      <c r="N16" s="41">
        <f>Data!AA15</f>
        <v>28152</v>
      </c>
      <c r="O16" s="255">
        <f>Data!CG15</f>
        <v>0</v>
      </c>
      <c r="P16" s="78">
        <f>Data!CH15</f>
        <v>0</v>
      </c>
      <c r="Q16" s="32">
        <f t="shared" ca="1" si="8"/>
        <v>22600870.34671852</v>
      </c>
      <c r="R16" s="145">
        <f t="shared" ca="1" si="4"/>
        <v>22540717.706941277</v>
      </c>
      <c r="S16" s="32">
        <f t="shared" ca="1" si="5"/>
        <v>869239.286941275</v>
      </c>
      <c r="T16" s="50">
        <f t="shared" ca="1" si="6"/>
        <v>3.9998805637287721E-2</v>
      </c>
      <c r="U16" t="s">
        <v>283</v>
      </c>
      <c r="V16">
        <v>3583.1468978574599</v>
      </c>
      <c r="W16">
        <v>1128.5185962640501</v>
      </c>
      <c r="X16">
        <v>3.1750889260659498</v>
      </c>
      <c r="Y16">
        <v>1.8932264723428699E-3</v>
      </c>
      <c r="AA16" s="315" t="s">
        <v>283</v>
      </c>
      <c r="AB16" s="315">
        <v>3576.4087557058901</v>
      </c>
      <c r="AC16" s="315">
        <v>1128.55821394485</v>
      </c>
      <c r="AD16" s="315">
        <v>3.1690068899544301</v>
      </c>
      <c r="AE16" s="315">
        <v>1.9302008059125699E-3</v>
      </c>
      <c r="AG16" s="2"/>
      <c r="AH16" s="51"/>
      <c r="AI16" s="69"/>
      <c r="AJ16" s="69"/>
      <c r="AK16" s="39"/>
      <c r="AL16" s="39"/>
      <c r="AN16" s="209"/>
      <c r="AO16" s="209"/>
      <c r="AP16" s="5"/>
      <c r="AQ16" s="5"/>
      <c r="AR16" s="5"/>
      <c r="AS16" s="5"/>
      <c r="AT16" s="35"/>
      <c r="AU16" s="28"/>
    </row>
    <row r="17" spans="1:48" x14ac:dyDescent="0.2">
      <c r="A17" s="2">
        <v>40969</v>
      </c>
      <c r="B17">
        <f t="shared" si="1"/>
        <v>2012</v>
      </c>
      <c r="C17">
        <f t="shared" si="2"/>
        <v>3</v>
      </c>
      <c r="D17" s="151">
        <f>Data!D16</f>
        <v>19949861.740000002</v>
      </c>
      <c r="E17" s="151">
        <f>Data!E16</f>
        <v>60152.639777244323</v>
      </c>
      <c r="F17" s="151">
        <f>Data!F16</f>
        <v>20010014.379777245</v>
      </c>
      <c r="G17" s="129">
        <f>Data!AP16</f>
        <v>290.2</v>
      </c>
      <c r="H17" s="129">
        <f>Data!AQ16</f>
        <v>3</v>
      </c>
      <c r="I17" s="146">
        <f t="shared" ref="I17:J17" ca="1" si="20">I29</f>
        <v>471.05</v>
      </c>
      <c r="J17" s="146">
        <f t="shared" ca="1" si="20"/>
        <v>0.3</v>
      </c>
      <c r="K17" s="32">
        <f>Data!BG16</f>
        <v>31</v>
      </c>
      <c r="L17" s="32">
        <f>Data!BX16</f>
        <v>1</v>
      </c>
      <c r="M17" s="32">
        <f>Data!BR16</f>
        <v>0</v>
      </c>
      <c r="N17" s="41">
        <f>Data!AA16</f>
        <v>28320</v>
      </c>
      <c r="O17" s="255">
        <f>Data!CG16</f>
        <v>0</v>
      </c>
      <c r="P17" s="78">
        <f>Data!CH16</f>
        <v>0</v>
      </c>
      <c r="Q17" s="32">
        <f t="shared" ca="1" si="8"/>
        <v>21446856.726945829</v>
      </c>
      <c r="R17" s="145">
        <f t="shared" ca="1" si="4"/>
        <v>21386704.087168586</v>
      </c>
      <c r="S17" s="32">
        <f t="shared" ca="1" si="5"/>
        <v>1436842.3471685834</v>
      </c>
      <c r="T17" s="50">
        <f t="shared" ca="1" si="6"/>
        <v>7.180616264927335E-2</v>
      </c>
      <c r="U17" t="s">
        <v>284</v>
      </c>
      <c r="V17">
        <v>24547.497590356401</v>
      </c>
      <c r="W17">
        <v>3130.8789125877402</v>
      </c>
      <c r="X17">
        <v>7.8404493676401197</v>
      </c>
      <c r="Y17" s="130">
        <v>1.8296999297249899E-12</v>
      </c>
      <c r="AA17" s="315" t="s">
        <v>284</v>
      </c>
      <c r="AB17" s="315">
        <v>24534.8158289153</v>
      </c>
      <c r="AC17" s="315">
        <v>3130.9815657572599</v>
      </c>
      <c r="AD17" s="315">
        <v>7.8361418978783597</v>
      </c>
      <c r="AE17" s="316">
        <v>1.8720205917012902E-12</v>
      </c>
      <c r="AG17" s="2"/>
      <c r="AH17" s="51"/>
      <c r="AI17" s="69"/>
      <c r="AJ17" s="69"/>
      <c r="AK17" s="39"/>
      <c r="AL17" s="39"/>
      <c r="AN17" s="209"/>
      <c r="AO17" s="209"/>
      <c r="AP17" s="5"/>
      <c r="AQ17" s="5"/>
      <c r="AR17" s="5"/>
      <c r="AS17" s="5"/>
      <c r="AT17" s="5"/>
      <c r="AU17" s="28"/>
    </row>
    <row r="18" spans="1:48" x14ac:dyDescent="0.2">
      <c r="A18" s="2">
        <v>41000</v>
      </c>
      <c r="B18">
        <f t="shared" si="1"/>
        <v>2012</v>
      </c>
      <c r="C18">
        <f t="shared" si="2"/>
        <v>4</v>
      </c>
      <c r="D18" s="151">
        <f>Data!D17</f>
        <v>18851854.700000014</v>
      </c>
      <c r="E18" s="151">
        <f>Data!E17</f>
        <v>60152.639777244323</v>
      </c>
      <c r="F18" s="151">
        <f>Data!F17</f>
        <v>18912007.339777257</v>
      </c>
      <c r="G18" s="129">
        <f>Data!AP17</f>
        <v>263.10000000000002</v>
      </c>
      <c r="H18" s="129">
        <f>Data!AQ17</f>
        <v>1.3999999999999986</v>
      </c>
      <c r="I18" s="146">
        <f t="shared" ref="I18:J18" ca="1" si="21">I30</f>
        <v>285.58000000000004</v>
      </c>
      <c r="J18" s="146">
        <f t="shared" ca="1" si="21"/>
        <v>0.38999999999999985</v>
      </c>
      <c r="K18" s="32">
        <f>Data!BG17</f>
        <v>30</v>
      </c>
      <c r="L18" s="32">
        <f>Data!BX17</f>
        <v>1</v>
      </c>
      <c r="M18" s="32">
        <f>Data!BR17</f>
        <v>0</v>
      </c>
      <c r="N18" s="41">
        <f>Data!AA17</f>
        <v>28570</v>
      </c>
      <c r="O18" s="255">
        <f>Data!CG17</f>
        <v>0</v>
      </c>
      <c r="P18" s="78">
        <f>Data!CH17</f>
        <v>0</v>
      </c>
      <c r="Q18" s="32">
        <f t="shared" ca="1" si="8"/>
        <v>19054912.714084838</v>
      </c>
      <c r="R18" s="145">
        <f t="shared" ca="1" si="4"/>
        <v>18994760.074307594</v>
      </c>
      <c r="S18" s="32">
        <f t="shared" ca="1" si="5"/>
        <v>142905.37430758029</v>
      </c>
      <c r="T18" s="50">
        <f t="shared" ca="1" si="6"/>
        <v>7.5563303112203325E-3</v>
      </c>
      <c r="AA18" s="315"/>
      <c r="AB18" s="315"/>
      <c r="AC18" s="315"/>
      <c r="AD18" s="315"/>
      <c r="AE18" s="315"/>
      <c r="AG18" s="2"/>
      <c r="AH18" s="51"/>
      <c r="AI18" s="213"/>
      <c r="AJ18" s="70"/>
      <c r="AK18" s="39"/>
      <c r="AN18" s="60"/>
      <c r="AO18" s="71"/>
      <c r="AP18" s="71"/>
      <c r="AQ18" s="71"/>
      <c r="AR18" s="5"/>
      <c r="AS18" s="5"/>
      <c r="AU18" s="28"/>
    </row>
    <row r="19" spans="1:48" x14ac:dyDescent="0.2">
      <c r="A19" s="2">
        <v>41030</v>
      </c>
      <c r="B19">
        <f t="shared" si="1"/>
        <v>2012</v>
      </c>
      <c r="C19">
        <f t="shared" si="2"/>
        <v>5</v>
      </c>
      <c r="D19" s="151">
        <f>Data!D18</f>
        <v>18991152.079999991</v>
      </c>
      <c r="E19" s="151">
        <f>Data!E18</f>
        <v>60152.639777244323</v>
      </c>
      <c r="F19" s="151">
        <f>Data!F18</f>
        <v>19051304.719777234</v>
      </c>
      <c r="G19" s="129">
        <f>Data!AP18</f>
        <v>46.199999999999989</v>
      </c>
      <c r="H19" s="129">
        <f>Data!AQ18</f>
        <v>64.199999999999989</v>
      </c>
      <c r="I19" s="146">
        <f t="shared" ref="I19:J19" ca="1" si="22">I31</f>
        <v>93.759999999999991</v>
      </c>
      <c r="J19" s="146">
        <f t="shared" ca="1" si="22"/>
        <v>43.35</v>
      </c>
      <c r="K19" s="32">
        <f>Data!BG18</f>
        <v>31</v>
      </c>
      <c r="L19" s="32">
        <f>Data!BX18</f>
        <v>1</v>
      </c>
      <c r="M19" s="32">
        <f>Data!BR18</f>
        <v>0</v>
      </c>
      <c r="N19" s="41">
        <f>Data!AA18</f>
        <v>28755</v>
      </c>
      <c r="O19" s="255">
        <f>Data!CG18</f>
        <v>0</v>
      </c>
      <c r="P19" s="78">
        <f>Data!CH18</f>
        <v>0</v>
      </c>
      <c r="Q19" s="32">
        <f t="shared" ca="1" si="8"/>
        <v>18363108.157242797</v>
      </c>
      <c r="R19" s="145">
        <f t="shared" ca="1" si="4"/>
        <v>18302955.517465554</v>
      </c>
      <c r="S19" s="32">
        <f t="shared" ca="1" si="5"/>
        <v>-688196.56253443658</v>
      </c>
      <c r="T19" s="50">
        <f t="shared" ca="1" si="6"/>
        <v>3.6123329748645357E-2</v>
      </c>
      <c r="U19" t="s">
        <v>140</v>
      </c>
      <c r="AA19" s="315" t="s">
        <v>140</v>
      </c>
      <c r="AB19" s="315"/>
      <c r="AC19" s="315"/>
      <c r="AD19" s="315"/>
      <c r="AE19" s="315"/>
      <c r="AG19" s="2"/>
      <c r="AH19" s="51"/>
      <c r="AI19" s="69"/>
      <c r="AJ19" s="51"/>
      <c r="AK19" s="77"/>
      <c r="AL19" s="77"/>
      <c r="AM19" s="1"/>
      <c r="AP19" s="5"/>
      <c r="AQ19" s="5"/>
      <c r="AR19" s="5"/>
      <c r="AS19" s="5"/>
    </row>
    <row r="20" spans="1:48" x14ac:dyDescent="0.2">
      <c r="A20" s="2">
        <v>41061</v>
      </c>
      <c r="B20">
        <f t="shared" si="1"/>
        <v>2012</v>
      </c>
      <c r="C20">
        <f t="shared" si="2"/>
        <v>6</v>
      </c>
      <c r="D20" s="151">
        <f>Data!D19</f>
        <v>27898710.519999996</v>
      </c>
      <c r="E20" s="151">
        <f>Data!E19</f>
        <v>60152.639777244323</v>
      </c>
      <c r="F20" s="151">
        <f>Data!F19</f>
        <v>27958863.159777239</v>
      </c>
      <c r="G20" s="129">
        <f>Data!AP19</f>
        <v>9.6</v>
      </c>
      <c r="H20" s="129">
        <f>Data!AQ19</f>
        <v>148</v>
      </c>
      <c r="I20" s="146">
        <f t="shared" ref="I20:J20" ca="1" si="23">I32</f>
        <v>8.7399999999999984</v>
      </c>
      <c r="J20" s="146">
        <f t="shared" ca="1" si="23"/>
        <v>118.63000000000002</v>
      </c>
      <c r="K20" s="32">
        <f>Data!BG19</f>
        <v>30</v>
      </c>
      <c r="L20" s="32">
        <f>Data!BX19</f>
        <v>0</v>
      </c>
      <c r="M20" s="32">
        <f>Data!BR19</f>
        <v>0</v>
      </c>
      <c r="N20" s="41">
        <f>Data!AA19</f>
        <v>28856</v>
      </c>
      <c r="O20" s="255">
        <f>Data!CG19</f>
        <v>0</v>
      </c>
      <c r="P20" s="78">
        <f>Data!CH19</f>
        <v>0</v>
      </c>
      <c r="Q20" s="32">
        <f t="shared" ca="1" si="8"/>
        <v>26396723.610118963</v>
      </c>
      <c r="R20" s="145">
        <f t="shared" ca="1" si="4"/>
        <v>26336570.97034172</v>
      </c>
      <c r="S20" s="32">
        <f t="shared" ca="1" si="5"/>
        <v>-1562139.5496582761</v>
      </c>
      <c r="T20" s="50">
        <f t="shared" ca="1" si="6"/>
        <v>5.5872784981673855E-2</v>
      </c>
      <c r="U20" t="s">
        <v>141</v>
      </c>
      <c r="V20">
        <v>26319098.5556794</v>
      </c>
      <c r="W20" t="s">
        <v>142</v>
      </c>
      <c r="X20">
        <v>5379459.2851267997</v>
      </c>
      <c r="AA20" s="315" t="s">
        <v>141</v>
      </c>
      <c r="AB20" s="315">
        <v>26318647.798103601</v>
      </c>
      <c r="AC20" s="315" t="s">
        <v>142</v>
      </c>
      <c r="AD20" s="315">
        <v>5379028.7518450199</v>
      </c>
      <c r="AE20" s="315"/>
      <c r="AG20" s="2"/>
      <c r="AH20" s="51"/>
      <c r="AI20" s="69"/>
      <c r="AJ20" s="212"/>
      <c r="AK20" s="39"/>
      <c r="AM20" s="1"/>
      <c r="AP20" s="5"/>
      <c r="AQ20" s="5"/>
      <c r="AR20" s="5"/>
      <c r="AS20" s="5"/>
    </row>
    <row r="21" spans="1:48" x14ac:dyDescent="0.2">
      <c r="A21" s="2">
        <v>41091</v>
      </c>
      <c r="B21">
        <f t="shared" si="1"/>
        <v>2012</v>
      </c>
      <c r="C21">
        <f t="shared" si="2"/>
        <v>7</v>
      </c>
      <c r="D21" s="151">
        <f>Data!D20</f>
        <v>33515927.190000005</v>
      </c>
      <c r="E21" s="151">
        <f>Data!E20</f>
        <v>60152.639777244323</v>
      </c>
      <c r="F21" s="151">
        <f>Data!F20</f>
        <v>33576079.829777248</v>
      </c>
      <c r="G21" s="129">
        <f>Data!AP20</f>
        <v>0</v>
      </c>
      <c r="H21" s="129">
        <f>Data!AQ20</f>
        <v>257.39999999999998</v>
      </c>
      <c r="I21" s="146">
        <f t="shared" ref="I21:J21" ca="1" si="24">I33</f>
        <v>0</v>
      </c>
      <c r="J21" s="146">
        <f t="shared" ca="1" si="24"/>
        <v>207.41000000000003</v>
      </c>
      <c r="K21" s="32">
        <f>Data!BG20</f>
        <v>31</v>
      </c>
      <c r="L21" s="32">
        <f>Data!BX20</f>
        <v>0</v>
      </c>
      <c r="M21" s="32">
        <f>Data!BR20</f>
        <v>0</v>
      </c>
      <c r="N21" s="41">
        <f>Data!AA20</f>
        <v>28963</v>
      </c>
      <c r="O21" s="255">
        <f>Data!CG20</f>
        <v>0</v>
      </c>
      <c r="P21" s="78">
        <f>Data!CH20</f>
        <v>0</v>
      </c>
      <c r="Q21" s="32">
        <f t="shared" ca="1" si="8"/>
        <v>30929984.568930909</v>
      </c>
      <c r="R21" s="145">
        <f t="shared" ca="1" si="4"/>
        <v>30869831.929153666</v>
      </c>
      <c r="S21" s="32">
        <f t="shared" ca="1" si="5"/>
        <v>-2646095.2608463392</v>
      </c>
      <c r="T21" s="50">
        <f t="shared" ca="1" si="6"/>
        <v>7.880894000316338E-2</v>
      </c>
      <c r="U21" t="s">
        <v>143</v>
      </c>
      <c r="V21">
        <v>233383346747024</v>
      </c>
      <c r="W21" t="s">
        <v>144</v>
      </c>
      <c r="X21">
        <v>1377470.7195832301</v>
      </c>
      <c r="Y21" s="130"/>
      <c r="AA21" s="315" t="s">
        <v>143</v>
      </c>
      <c r="AB21" s="315">
        <v>233370554573808</v>
      </c>
      <c r="AC21" s="315" t="s">
        <v>144</v>
      </c>
      <c r="AD21" s="315">
        <v>1377432.9682060301</v>
      </c>
      <c r="AE21" s="316"/>
      <c r="AG21" s="2"/>
      <c r="AH21" s="51"/>
      <c r="AI21" s="213"/>
      <c r="AJ21" s="51"/>
      <c r="AK21" s="39"/>
      <c r="AM21" s="1"/>
      <c r="AP21" s="5"/>
      <c r="AQ21" s="5"/>
      <c r="AR21" s="5"/>
      <c r="AS21" s="5"/>
    </row>
    <row r="22" spans="1:48" x14ac:dyDescent="0.2">
      <c r="A22" s="2">
        <v>41122</v>
      </c>
      <c r="B22">
        <f t="shared" si="1"/>
        <v>2012</v>
      </c>
      <c r="C22">
        <f t="shared" si="2"/>
        <v>8</v>
      </c>
      <c r="D22" s="151">
        <f>Data!D21</f>
        <v>29969286.820000008</v>
      </c>
      <c r="E22" s="151">
        <f>Data!E21</f>
        <v>60152.639777244323</v>
      </c>
      <c r="F22" s="151">
        <f>Data!F21</f>
        <v>30029439.459777251</v>
      </c>
      <c r="G22" s="129">
        <f>Data!AP21</f>
        <v>0</v>
      </c>
      <c r="H22" s="129">
        <f>Data!AQ21</f>
        <v>172.1</v>
      </c>
      <c r="I22" s="146">
        <f t="shared" ref="I22:J22" ca="1" si="25">I34</f>
        <v>0.29000000000000004</v>
      </c>
      <c r="J22" s="146">
        <f t="shared" ca="1" si="25"/>
        <v>180.75000000000006</v>
      </c>
      <c r="K22" s="32">
        <f>Data!BG21</f>
        <v>31</v>
      </c>
      <c r="L22" s="32">
        <f>Data!BX21</f>
        <v>0</v>
      </c>
      <c r="M22" s="32">
        <f>Data!BR21</f>
        <v>0</v>
      </c>
      <c r="N22" s="41">
        <f>Data!AA21</f>
        <v>29039</v>
      </c>
      <c r="O22" s="255">
        <f>Data!CG21</f>
        <v>0</v>
      </c>
      <c r="P22" s="78">
        <f>Data!CH21</f>
        <v>0</v>
      </c>
      <c r="Q22" s="32">
        <f t="shared" ca="1" si="8"/>
        <v>30489838.719759028</v>
      </c>
      <c r="R22" s="145">
        <f t="shared" ca="1" si="4"/>
        <v>30429686.079981785</v>
      </c>
      <c r="S22" s="32">
        <f t="shared" ca="1" si="5"/>
        <v>460399.25998177752</v>
      </c>
      <c r="T22" s="50">
        <f t="shared" ca="1" si="6"/>
        <v>1.5331596868414959E-2</v>
      </c>
      <c r="U22" t="s">
        <v>145</v>
      </c>
      <c r="V22">
        <v>0.93843912073048597</v>
      </c>
      <c r="W22" t="s">
        <v>146</v>
      </c>
      <c r="X22">
        <v>0.93443516110320002</v>
      </c>
      <c r="Y22" s="130"/>
      <c r="AA22" s="315" t="s">
        <v>145</v>
      </c>
      <c r="AB22" s="315">
        <v>0.93843263368290097</v>
      </c>
      <c r="AC22" s="315" t="s">
        <v>146</v>
      </c>
      <c r="AD22" s="315">
        <v>0.93442825213382197</v>
      </c>
      <c r="AE22" s="316"/>
      <c r="AG22" s="2"/>
      <c r="AH22" s="51"/>
      <c r="AI22" s="69"/>
      <c r="AJ22" s="51"/>
      <c r="AK22" s="39"/>
      <c r="AM22" s="72"/>
      <c r="AN22" s="72"/>
      <c r="AO22" s="72"/>
      <c r="AP22" s="72"/>
      <c r="AQ22" s="72"/>
      <c r="AR22" s="72"/>
      <c r="AS22" s="5"/>
    </row>
    <row r="23" spans="1:48" x14ac:dyDescent="0.2">
      <c r="A23" s="2">
        <v>41153</v>
      </c>
      <c r="B23">
        <f t="shared" si="1"/>
        <v>2012</v>
      </c>
      <c r="C23">
        <f t="shared" si="2"/>
        <v>9</v>
      </c>
      <c r="D23" s="151">
        <f>Data!D22</f>
        <v>21178062.030000005</v>
      </c>
      <c r="E23" s="151">
        <f>Data!E22</f>
        <v>60152.639777244323</v>
      </c>
      <c r="F23" s="151">
        <f>Data!F22</f>
        <v>21238214.669777248</v>
      </c>
      <c r="G23" s="129">
        <f>Data!AP22</f>
        <v>48.300000000000011</v>
      </c>
      <c r="H23" s="129">
        <f>Data!AQ22</f>
        <v>58.899999999999991</v>
      </c>
      <c r="I23" s="146">
        <f t="shared" ref="I23:J23" ca="1" si="26">I35</f>
        <v>27</v>
      </c>
      <c r="J23" s="146">
        <f t="shared" ca="1" si="26"/>
        <v>80.61</v>
      </c>
      <c r="K23" s="32">
        <f>Data!BG22</f>
        <v>30</v>
      </c>
      <c r="L23" s="32">
        <f>Data!BX22</f>
        <v>1</v>
      </c>
      <c r="M23" s="32">
        <f>Data!BR22</f>
        <v>1</v>
      </c>
      <c r="N23" s="41">
        <f>Data!AA22</f>
        <v>29133</v>
      </c>
      <c r="O23" s="255">
        <f>Data!CG22</f>
        <v>0</v>
      </c>
      <c r="P23" s="78">
        <f>Data!CH22</f>
        <v>0</v>
      </c>
      <c r="Q23" s="32">
        <f t="shared" ca="1" si="8"/>
        <v>22201319.404461037</v>
      </c>
      <c r="R23" s="145">
        <f t="shared" ca="1" si="4"/>
        <v>22141166.764683794</v>
      </c>
      <c r="S23" s="32">
        <f t="shared" ca="1" si="5"/>
        <v>963104.73468378931</v>
      </c>
      <c r="T23" s="50">
        <f t="shared" ca="1" si="6"/>
        <v>4.5347725769733477E-2</v>
      </c>
      <c r="U23" t="s">
        <v>285</v>
      </c>
      <c r="V23">
        <v>263.29887212825798</v>
      </c>
      <c r="W23" t="s">
        <v>148</v>
      </c>
      <c r="X23" s="130">
        <v>1.4895288245749501E-73</v>
      </c>
      <c r="Y23" s="130"/>
      <c r="AA23" s="315" t="s">
        <v>285</v>
      </c>
      <c r="AB23" s="315">
        <v>263.236867034233</v>
      </c>
      <c r="AC23" s="315" t="s">
        <v>148</v>
      </c>
      <c r="AD23" s="316">
        <v>1.5099957346625299E-73</v>
      </c>
      <c r="AE23" s="316"/>
      <c r="AG23" s="2"/>
      <c r="AH23" s="51"/>
      <c r="AI23" s="69"/>
      <c r="AJ23" s="51"/>
      <c r="AK23" s="39"/>
      <c r="AM23" s="72"/>
      <c r="AN23" s="72"/>
      <c r="AO23" s="72"/>
      <c r="AP23" s="72"/>
      <c r="AQ23" s="72"/>
      <c r="AR23" s="72"/>
      <c r="AS23" s="5"/>
    </row>
    <row r="24" spans="1:48" x14ac:dyDescent="0.2">
      <c r="A24" s="2">
        <v>41183</v>
      </c>
      <c r="B24">
        <f t="shared" si="1"/>
        <v>2012</v>
      </c>
      <c r="C24">
        <f t="shared" si="2"/>
        <v>10</v>
      </c>
      <c r="D24" s="151">
        <f>Data!D23</f>
        <v>19579886.000000007</v>
      </c>
      <c r="E24" s="151">
        <f>Data!E23</f>
        <v>60152.639777244323</v>
      </c>
      <c r="F24" s="151">
        <f>Data!F23</f>
        <v>19640038.639777251</v>
      </c>
      <c r="G24" s="129">
        <f>Data!AP23</f>
        <v>183.9</v>
      </c>
      <c r="H24" s="129">
        <f>Data!AQ23</f>
        <v>4.5</v>
      </c>
      <c r="I24" s="146">
        <f t="shared" ref="I24:J24" ca="1" si="27">I36</f>
        <v>167.57</v>
      </c>
      <c r="J24" s="146">
        <f t="shared" ca="1" si="27"/>
        <v>9.9699999999999989</v>
      </c>
      <c r="K24" s="32">
        <f>Data!BG23</f>
        <v>31</v>
      </c>
      <c r="L24" s="32">
        <f>Data!BX23</f>
        <v>1</v>
      </c>
      <c r="M24" s="32">
        <f>Data!BR23</f>
        <v>0</v>
      </c>
      <c r="N24" s="41">
        <f>Data!AA23</f>
        <v>29289</v>
      </c>
      <c r="O24" s="255">
        <f>Data!CG23</f>
        <v>0</v>
      </c>
      <c r="P24" s="78">
        <f>Data!CH23</f>
        <v>0</v>
      </c>
      <c r="Q24" s="32">
        <f t="shared" ca="1" si="8"/>
        <v>19786933.629777826</v>
      </c>
      <c r="R24" s="145">
        <f t="shared" ca="1" si="4"/>
        <v>19726780.990000583</v>
      </c>
      <c r="S24" s="32">
        <f t="shared" ca="1" si="5"/>
        <v>146894.99000057578</v>
      </c>
      <c r="T24" s="50">
        <f t="shared" ca="1" si="6"/>
        <v>7.4793635946859725E-3</v>
      </c>
      <c r="U24" t="s">
        <v>149</v>
      </c>
      <c r="V24">
        <v>-4.2453263967470196E-3</v>
      </c>
      <c r="W24" t="s">
        <v>150</v>
      </c>
      <c r="X24">
        <v>1.9975076720049301</v>
      </c>
      <c r="Y24" s="130"/>
      <c r="AA24" s="315" t="s">
        <v>149</v>
      </c>
      <c r="AB24" s="315">
        <v>-4.2291676121520702E-3</v>
      </c>
      <c r="AC24" s="315" t="s">
        <v>150</v>
      </c>
      <c r="AD24" s="315">
        <v>1.9974519624829501</v>
      </c>
      <c r="AE24" s="316"/>
      <c r="AG24" s="2"/>
      <c r="AH24" s="51"/>
      <c r="AI24" s="213"/>
      <c r="AJ24" s="51"/>
      <c r="AK24" s="39"/>
      <c r="AM24" s="204"/>
      <c r="AN24" s="204"/>
      <c r="AO24" s="204"/>
      <c r="AP24" s="67"/>
      <c r="AQ24" s="67"/>
      <c r="AR24" s="67"/>
      <c r="AS24" s="5"/>
    </row>
    <row r="25" spans="1:48" x14ac:dyDescent="0.2">
      <c r="A25" s="2">
        <v>41214</v>
      </c>
      <c r="B25">
        <f t="shared" si="1"/>
        <v>2012</v>
      </c>
      <c r="C25">
        <f t="shared" si="2"/>
        <v>11</v>
      </c>
      <c r="D25" s="151">
        <f>Data!D24</f>
        <v>21421956.510000002</v>
      </c>
      <c r="E25" s="151">
        <f>Data!E24</f>
        <v>60152.639777244323</v>
      </c>
      <c r="F25" s="151">
        <f>Data!F24</f>
        <v>21482109.149777245</v>
      </c>
      <c r="G25" s="129">
        <f>Data!AP24</f>
        <v>373.99999999999994</v>
      </c>
      <c r="H25" s="129">
        <f>Data!AQ24</f>
        <v>0</v>
      </c>
      <c r="I25" s="146">
        <f t="shared" ref="I25:J25" ca="1" si="28">I37</f>
        <v>366.25</v>
      </c>
      <c r="J25" s="146">
        <f t="shared" ca="1" si="28"/>
        <v>1.0000000000000142E-2</v>
      </c>
      <c r="K25" s="32">
        <f>Data!BG24</f>
        <v>30</v>
      </c>
      <c r="L25" s="32">
        <f>Data!BX24</f>
        <v>1</v>
      </c>
      <c r="M25" s="32">
        <f>Data!BR24</f>
        <v>0</v>
      </c>
      <c r="N25" s="41">
        <f>Data!AA24</f>
        <v>29378</v>
      </c>
      <c r="O25" s="255">
        <f>Data!CG24</f>
        <v>0</v>
      </c>
      <c r="P25" s="78">
        <f>Data!CH24</f>
        <v>0</v>
      </c>
      <c r="Q25" s="32">
        <f t="shared" ca="1" si="8"/>
        <v>21414940.710913926</v>
      </c>
      <c r="R25" s="145">
        <f t="shared" ca="1" si="4"/>
        <v>21354788.071136683</v>
      </c>
      <c r="S25" s="32">
        <f t="shared" ca="1" si="5"/>
        <v>-67168.438863318413</v>
      </c>
      <c r="T25" s="50">
        <f t="shared" ca="1" si="6"/>
        <v>3.126715277117699E-3</v>
      </c>
      <c r="Y25" s="130"/>
      <c r="AG25" s="2"/>
      <c r="AH25" s="51"/>
      <c r="AI25" s="69"/>
      <c r="AJ25" s="73"/>
      <c r="AK25" s="2"/>
      <c r="AL25" s="39"/>
      <c r="AO25" s="2"/>
      <c r="AP25" s="74"/>
      <c r="AQ25" s="74"/>
      <c r="AR25" s="74"/>
      <c r="AS25" s="2"/>
      <c r="AT25" s="74"/>
      <c r="AU25" s="74"/>
      <c r="AV25" s="5"/>
    </row>
    <row r="26" spans="1:48" x14ac:dyDescent="0.2">
      <c r="A26" s="2">
        <v>41244</v>
      </c>
      <c r="B26">
        <f t="shared" si="1"/>
        <v>2012</v>
      </c>
      <c r="C26">
        <f t="shared" si="2"/>
        <v>12</v>
      </c>
      <c r="D26" s="151">
        <f>Data!D25</f>
        <v>25587420.26999997</v>
      </c>
      <c r="E26" s="151">
        <f>Data!E25</f>
        <v>60152.639777244323</v>
      </c>
      <c r="F26" s="151">
        <f>Data!F25</f>
        <v>25647572.909777213</v>
      </c>
      <c r="G26" s="129">
        <f>Data!AP25</f>
        <v>471.50000000000006</v>
      </c>
      <c r="H26" s="129">
        <f>Data!AQ25</f>
        <v>0</v>
      </c>
      <c r="I26" s="146">
        <f t="shared" ref="I26:J26" ca="1" si="29">I38</f>
        <v>513.3599999999999</v>
      </c>
      <c r="J26" s="146">
        <f t="shared" ca="1" si="29"/>
        <v>0</v>
      </c>
      <c r="K26" s="32">
        <f>Data!BG25</f>
        <v>31</v>
      </c>
      <c r="L26" s="32">
        <f>Data!BX25</f>
        <v>0</v>
      </c>
      <c r="M26" s="32">
        <f>Data!BR25</f>
        <v>0</v>
      </c>
      <c r="N26" s="41">
        <f>Data!AA25</f>
        <v>29614</v>
      </c>
      <c r="O26" s="255">
        <f>Data!CG25</f>
        <v>0</v>
      </c>
      <c r="P26" s="78">
        <f>Data!CH25</f>
        <v>0</v>
      </c>
      <c r="Q26" s="32">
        <f t="shared" ca="1" si="8"/>
        <v>26013228.18614503</v>
      </c>
      <c r="R26" s="145">
        <f t="shared" ca="1" si="4"/>
        <v>25953075.546367787</v>
      </c>
      <c r="S26" s="32">
        <f t="shared" ca="1" si="5"/>
        <v>365655.27636781707</v>
      </c>
      <c r="T26" s="50">
        <f t="shared" ca="1" si="6"/>
        <v>1.4256915367942056E-2</v>
      </c>
      <c r="Y26" s="130"/>
      <c r="AG26" s="2"/>
      <c r="AH26" s="51"/>
      <c r="AI26" s="69"/>
      <c r="AJ26" s="73"/>
      <c r="AK26" s="2"/>
      <c r="AL26" s="39"/>
      <c r="AO26" s="2"/>
      <c r="AP26" s="74"/>
      <c r="AQ26" s="74"/>
      <c r="AR26" s="74"/>
      <c r="AS26" s="2"/>
      <c r="AT26" s="74"/>
      <c r="AU26" s="74"/>
      <c r="AV26" s="5"/>
    </row>
    <row r="27" spans="1:48" x14ac:dyDescent="0.2">
      <c r="A27" s="2">
        <v>41275</v>
      </c>
      <c r="B27">
        <f t="shared" si="1"/>
        <v>2013</v>
      </c>
      <c r="C27">
        <f t="shared" si="2"/>
        <v>1</v>
      </c>
      <c r="D27" s="151">
        <f>Data!D26</f>
        <v>24654099.019999988</v>
      </c>
      <c r="E27" s="151">
        <f>Data!E26</f>
        <v>89162.051531255813</v>
      </c>
      <c r="F27" s="151">
        <f>Data!F26</f>
        <v>24743261.071531244</v>
      </c>
      <c r="G27" s="129">
        <f>Data!AP26</f>
        <v>562.50000000000011</v>
      </c>
      <c r="H27" s="129">
        <f>Data!AQ26</f>
        <v>0</v>
      </c>
      <c r="I27" s="146">
        <f t="shared" ref="I27:J27" ca="1" si="30">I39</f>
        <v>625.5</v>
      </c>
      <c r="J27" s="146">
        <f t="shared" ca="1" si="30"/>
        <v>0</v>
      </c>
      <c r="K27" s="32">
        <f>Data!BG26</f>
        <v>31</v>
      </c>
      <c r="L27" s="32">
        <f>Data!BX26</f>
        <v>0</v>
      </c>
      <c r="M27" s="32">
        <f>Data!BR26</f>
        <v>0</v>
      </c>
      <c r="N27" s="41">
        <f>Data!AA26</f>
        <v>29835</v>
      </c>
      <c r="O27" s="255">
        <f>Data!CG26</f>
        <v>0</v>
      </c>
      <c r="P27" s="78">
        <f>Data!CH26</f>
        <v>0</v>
      </c>
      <c r="Q27" s="32">
        <f t="shared" ca="1" si="8"/>
        <v>25293578.377101541</v>
      </c>
      <c r="R27" s="145">
        <f t="shared" ca="1" si="4"/>
        <v>25204416.325570285</v>
      </c>
      <c r="S27" s="32">
        <f t="shared" ca="1" si="5"/>
        <v>550317.30557029694</v>
      </c>
      <c r="T27" s="50">
        <f t="shared" ca="1" si="6"/>
        <v>2.224109845421602E-2</v>
      </c>
      <c r="Y27" s="130"/>
      <c r="AG27" s="2"/>
      <c r="AH27" s="51"/>
      <c r="AJ27" s="73"/>
      <c r="AK27" s="2"/>
      <c r="AL27" s="39"/>
      <c r="AO27" s="2"/>
      <c r="AP27" s="74"/>
      <c r="AQ27" s="5"/>
      <c r="AR27" s="5"/>
      <c r="AS27" s="2"/>
      <c r="AT27" s="74"/>
      <c r="AU27" s="5"/>
      <c r="AV27" s="5"/>
    </row>
    <row r="28" spans="1:48" x14ac:dyDescent="0.2">
      <c r="A28" s="2">
        <v>41306</v>
      </c>
      <c r="B28">
        <f t="shared" si="1"/>
        <v>2013</v>
      </c>
      <c r="C28">
        <f t="shared" si="2"/>
        <v>2</v>
      </c>
      <c r="D28" s="151">
        <f>Data!D27</f>
        <v>23135370.840000026</v>
      </c>
      <c r="E28" s="151">
        <f>Data!E27</f>
        <v>89162.051531255813</v>
      </c>
      <c r="F28" s="151">
        <f>Data!F27</f>
        <v>23224532.891531281</v>
      </c>
      <c r="G28" s="129">
        <f>Data!AP27</f>
        <v>575.5</v>
      </c>
      <c r="H28" s="129">
        <f>Data!AQ27</f>
        <v>0</v>
      </c>
      <c r="I28" s="146">
        <f t="shared" ref="I28:J28" ca="1" si="31">I40</f>
        <v>573.20999999999992</v>
      </c>
      <c r="J28" s="146">
        <f t="shared" ca="1" si="31"/>
        <v>0</v>
      </c>
      <c r="K28" s="32">
        <f>Data!BG27</f>
        <v>28</v>
      </c>
      <c r="L28" s="32">
        <f>Data!BX27</f>
        <v>0</v>
      </c>
      <c r="M28" s="32">
        <f>Data!BR27</f>
        <v>0</v>
      </c>
      <c r="N28" s="41">
        <f>Data!AA27</f>
        <v>29989</v>
      </c>
      <c r="O28" s="255">
        <f>Data!CG27</f>
        <v>0</v>
      </c>
      <c r="P28" s="78">
        <f>Data!CH27</f>
        <v>0</v>
      </c>
      <c r="Q28" s="32">
        <f t="shared" ca="1" si="8"/>
        <v>23204529.294233568</v>
      </c>
      <c r="R28" s="145">
        <f t="shared" ca="1" si="4"/>
        <v>23115367.242702313</v>
      </c>
      <c r="S28" s="32">
        <f t="shared" ca="1" si="5"/>
        <v>-20003.597297713161</v>
      </c>
      <c r="T28" s="50">
        <f t="shared" ca="1" si="6"/>
        <v>8.6131322387144238E-4</v>
      </c>
      <c r="Y28" s="130"/>
      <c r="AG28" s="2"/>
      <c r="AJ28" s="73"/>
      <c r="AK28" s="2"/>
      <c r="AL28" s="39"/>
      <c r="AO28" s="2"/>
      <c r="AP28" s="74"/>
      <c r="AQ28" s="5"/>
      <c r="AR28" s="5"/>
      <c r="AS28" s="2"/>
      <c r="AT28" s="74"/>
      <c r="AU28" s="5"/>
      <c r="AV28" s="5"/>
    </row>
    <row r="29" spans="1:48" x14ac:dyDescent="0.2">
      <c r="A29" s="2">
        <v>41334</v>
      </c>
      <c r="B29">
        <f t="shared" si="1"/>
        <v>2013</v>
      </c>
      <c r="C29">
        <f t="shared" si="2"/>
        <v>3</v>
      </c>
      <c r="D29" s="151">
        <f>Data!D28</f>
        <v>22963588.829999994</v>
      </c>
      <c r="E29" s="151">
        <f>Data!E28</f>
        <v>89162.051531255813</v>
      </c>
      <c r="F29" s="151">
        <f>Data!F28</f>
        <v>23052750.88153125</v>
      </c>
      <c r="G29" s="129">
        <f>Data!AP28</f>
        <v>492.79999999999995</v>
      </c>
      <c r="H29" s="129">
        <f>Data!AQ28</f>
        <v>0</v>
      </c>
      <c r="I29" s="146">
        <f t="shared" ref="I29:J29" ca="1" si="32">I41</f>
        <v>471.05</v>
      </c>
      <c r="J29" s="146">
        <f t="shared" ca="1" si="32"/>
        <v>0.3</v>
      </c>
      <c r="K29" s="32">
        <f>Data!BG28</f>
        <v>31</v>
      </c>
      <c r="L29" s="32">
        <f>Data!BX28</f>
        <v>1</v>
      </c>
      <c r="M29" s="32">
        <f>Data!BR28</f>
        <v>0</v>
      </c>
      <c r="N29" s="41">
        <f>Data!AA28</f>
        <v>30236</v>
      </c>
      <c r="O29" s="255">
        <f>Data!CG28</f>
        <v>0</v>
      </c>
      <c r="P29" s="78">
        <f>Data!CH28</f>
        <v>0</v>
      </c>
      <c r="Q29" s="32">
        <f t="shared" ca="1" si="8"/>
        <v>22878640.130694181</v>
      </c>
      <c r="R29" s="145">
        <f t="shared" ca="1" si="4"/>
        <v>22789478.079162925</v>
      </c>
      <c r="S29" s="32">
        <f t="shared" ca="1" si="5"/>
        <v>-174110.750837069</v>
      </c>
      <c r="T29" s="50">
        <f t="shared" ca="1" si="6"/>
        <v>7.5527103785500115E-3</v>
      </c>
      <c r="Y29" s="130"/>
      <c r="AG29" s="2"/>
      <c r="AJ29" s="73"/>
      <c r="AK29" s="2"/>
      <c r="AL29" s="39"/>
      <c r="AO29" s="2"/>
      <c r="AP29" s="74"/>
      <c r="AQ29" s="5"/>
      <c r="AR29" s="5"/>
      <c r="AS29" s="2"/>
      <c r="AT29" s="74"/>
      <c r="AU29" s="5"/>
      <c r="AV29" s="5"/>
    </row>
    <row r="30" spans="1:48" x14ac:dyDescent="0.2">
      <c r="A30" s="2">
        <v>41365</v>
      </c>
      <c r="B30">
        <f t="shared" si="1"/>
        <v>2013</v>
      </c>
      <c r="C30">
        <f t="shared" si="2"/>
        <v>4</v>
      </c>
      <c r="D30" s="151">
        <f>Data!D29</f>
        <v>19590025.609999973</v>
      </c>
      <c r="E30" s="151">
        <f>Data!E29</f>
        <v>89162.051531255813</v>
      </c>
      <c r="F30" s="151">
        <f>Data!F29</f>
        <v>19679187.661531229</v>
      </c>
      <c r="G30" s="129">
        <f>Data!AP29</f>
        <v>298.60000000000002</v>
      </c>
      <c r="H30" s="129">
        <f>Data!AQ29</f>
        <v>0</v>
      </c>
      <c r="I30" s="146">
        <f t="shared" ref="I30:J30" ca="1" si="33">I42</f>
        <v>285.58000000000004</v>
      </c>
      <c r="J30" s="146">
        <f t="shared" ca="1" si="33"/>
        <v>0.38999999999999985</v>
      </c>
      <c r="K30" s="32">
        <f>Data!BG29</f>
        <v>30</v>
      </c>
      <c r="L30" s="32">
        <f>Data!BX29</f>
        <v>1</v>
      </c>
      <c r="M30" s="32">
        <f>Data!BR29</f>
        <v>0</v>
      </c>
      <c r="N30" s="41">
        <f>Data!AA29</f>
        <v>30511</v>
      </c>
      <c r="O30" s="255">
        <f>Data!CG29</f>
        <v>0</v>
      </c>
      <c r="P30" s="78">
        <f>Data!CH29</f>
        <v>0</v>
      </c>
      <c r="Q30" s="32">
        <f t="shared" ca="1" si="8"/>
        <v>19586099.090148989</v>
      </c>
      <c r="R30" s="145">
        <f t="shared" ca="1" si="4"/>
        <v>19496937.038617734</v>
      </c>
      <c r="S30" s="32">
        <f t="shared" ca="1" si="5"/>
        <v>-93088.571382239461</v>
      </c>
      <c r="T30" s="50">
        <f t="shared" ca="1" si="6"/>
        <v>4.7303055889958562E-3</v>
      </c>
      <c r="Y30" s="130"/>
      <c r="AG30" s="2"/>
      <c r="AJ30" s="73"/>
      <c r="AK30" s="2"/>
      <c r="AL30" s="39"/>
      <c r="AO30" s="2"/>
      <c r="AP30" s="74"/>
      <c r="AQ30" s="5"/>
      <c r="AR30" s="5"/>
      <c r="AS30" s="2"/>
      <c r="AT30" s="74"/>
      <c r="AU30" s="5"/>
      <c r="AV30" s="5"/>
    </row>
    <row r="31" spans="1:48" x14ac:dyDescent="0.2">
      <c r="A31" s="2">
        <v>41395</v>
      </c>
      <c r="B31">
        <f t="shared" si="1"/>
        <v>2013</v>
      </c>
      <c r="C31">
        <f t="shared" si="2"/>
        <v>5</v>
      </c>
      <c r="D31" s="151">
        <f>Data!D30</f>
        <v>20707182.480000004</v>
      </c>
      <c r="E31" s="151">
        <f>Data!E30</f>
        <v>89162.051531255813</v>
      </c>
      <c r="F31" s="151">
        <f>Data!F30</f>
        <v>20796344.531531259</v>
      </c>
      <c r="G31" s="129">
        <f>Data!AP30</f>
        <v>70.100000000000009</v>
      </c>
      <c r="H31" s="129">
        <f>Data!AQ30</f>
        <v>46.1</v>
      </c>
      <c r="I31" s="146">
        <f t="shared" ref="I31:J31" ca="1" si="34">I43</f>
        <v>93.759999999999991</v>
      </c>
      <c r="J31" s="146">
        <f t="shared" ca="1" si="34"/>
        <v>43.35</v>
      </c>
      <c r="K31" s="32">
        <f>Data!BG30</f>
        <v>31</v>
      </c>
      <c r="L31" s="32">
        <f>Data!BX30</f>
        <v>1</v>
      </c>
      <c r="M31" s="32">
        <f>Data!BR30</f>
        <v>0</v>
      </c>
      <c r="N31" s="41">
        <f>Data!AA30</f>
        <v>30723</v>
      </c>
      <c r="O31" s="255">
        <f>Data!CG30</f>
        <v>0</v>
      </c>
      <c r="P31" s="78">
        <f>Data!CH30</f>
        <v>0</v>
      </c>
      <c r="Q31" s="32">
        <f t="shared" ca="1" si="8"/>
        <v>20857454.900739558</v>
      </c>
      <c r="R31" s="145">
        <f t="shared" ca="1" si="4"/>
        <v>20768292.849208303</v>
      </c>
      <c r="S31" s="32">
        <f t="shared" ca="1" si="5"/>
        <v>61110.369208298624</v>
      </c>
      <c r="T31" s="50">
        <f t="shared" ca="1" si="6"/>
        <v>2.9385149450492872E-3</v>
      </c>
      <c r="Y31" s="130"/>
      <c r="AG31" s="2"/>
      <c r="AJ31" s="73"/>
      <c r="AK31" s="2"/>
      <c r="AL31" s="39"/>
      <c r="AO31" s="2"/>
      <c r="AP31" s="74"/>
      <c r="AQ31" s="5"/>
      <c r="AR31" s="5"/>
      <c r="AS31" s="2"/>
      <c r="AT31" s="74"/>
      <c r="AU31" s="5"/>
      <c r="AV31" s="5"/>
    </row>
    <row r="32" spans="1:48" x14ac:dyDescent="0.2">
      <c r="A32" s="2">
        <v>41426</v>
      </c>
      <c r="B32">
        <f t="shared" si="1"/>
        <v>2013</v>
      </c>
      <c r="C32">
        <f t="shared" si="2"/>
        <v>6</v>
      </c>
      <c r="D32" s="151">
        <f>Data!D31</f>
        <v>24630971.620000005</v>
      </c>
      <c r="E32" s="151">
        <f>Data!E31</f>
        <v>89162.051531255813</v>
      </c>
      <c r="F32" s="151">
        <f>Data!F31</f>
        <v>24720133.67153126</v>
      </c>
      <c r="G32" s="129">
        <f>Data!AP31</f>
        <v>12.7</v>
      </c>
      <c r="H32" s="129">
        <f>Data!AQ31</f>
        <v>99.300000000000011</v>
      </c>
      <c r="I32" s="146">
        <f t="shared" ref="I32:J32" ca="1" si="35">I44</f>
        <v>8.7399999999999984</v>
      </c>
      <c r="J32" s="146">
        <f t="shared" ca="1" si="35"/>
        <v>118.63000000000002</v>
      </c>
      <c r="K32" s="32">
        <f>Data!BG31</f>
        <v>30</v>
      </c>
      <c r="L32" s="32">
        <f>Data!BX31</f>
        <v>0</v>
      </c>
      <c r="M32" s="32">
        <f>Data!BR31</f>
        <v>0</v>
      </c>
      <c r="N32" s="41">
        <f>Data!AA31</f>
        <v>30825</v>
      </c>
      <c r="O32" s="255">
        <f>Data!CG31</f>
        <v>0</v>
      </c>
      <c r="P32" s="78">
        <f>Data!CH31</f>
        <v>0</v>
      </c>
      <c r="Q32" s="32">
        <f t="shared" ca="1" si="8"/>
        <v>25708727.362894438</v>
      </c>
      <c r="R32" s="145">
        <f t="shared" ca="1" si="4"/>
        <v>25619565.311363183</v>
      </c>
      <c r="S32" s="32">
        <f t="shared" ca="1" si="5"/>
        <v>988593.69136317819</v>
      </c>
      <c r="T32" s="50">
        <f t="shared" ca="1" si="6"/>
        <v>3.9991437930680933E-2</v>
      </c>
      <c r="AG32" s="2"/>
      <c r="AJ32" s="73"/>
      <c r="AK32" s="2"/>
      <c r="AL32" s="39"/>
      <c r="AO32" s="2"/>
      <c r="AP32" s="74"/>
      <c r="AQ32" s="5"/>
      <c r="AR32" s="5"/>
      <c r="AS32" s="2"/>
      <c r="AT32" s="74"/>
      <c r="AU32" s="5"/>
      <c r="AV32" s="5"/>
    </row>
    <row r="33" spans="1:51" x14ac:dyDescent="0.2">
      <c r="A33" s="2">
        <v>41456</v>
      </c>
      <c r="B33">
        <f t="shared" si="1"/>
        <v>2013</v>
      </c>
      <c r="C33">
        <f t="shared" si="2"/>
        <v>7</v>
      </c>
      <c r="D33" s="151">
        <f>Data!D32</f>
        <v>30978235.180000015</v>
      </c>
      <c r="E33" s="151">
        <f>Data!E32</f>
        <v>89162.051531255813</v>
      </c>
      <c r="F33" s="151">
        <f>Data!F32</f>
        <v>31067397.23153127</v>
      </c>
      <c r="G33" s="129">
        <f>Data!AP32</f>
        <v>0</v>
      </c>
      <c r="H33" s="129">
        <f>Data!AQ32</f>
        <v>195.3</v>
      </c>
      <c r="I33" s="146">
        <f t="shared" ref="I33:J33" ca="1" si="36">I45</f>
        <v>0</v>
      </c>
      <c r="J33" s="146">
        <f t="shared" ca="1" si="36"/>
        <v>207.41000000000003</v>
      </c>
      <c r="K33" s="32">
        <f>Data!BG32</f>
        <v>31</v>
      </c>
      <c r="L33" s="32">
        <f>Data!BX32</f>
        <v>0</v>
      </c>
      <c r="M33" s="32">
        <f>Data!BR32</f>
        <v>0</v>
      </c>
      <c r="N33" s="41">
        <f>Data!AA32</f>
        <v>30936</v>
      </c>
      <c r="O33" s="255">
        <f>Data!CG32</f>
        <v>0</v>
      </c>
      <c r="P33" s="78">
        <f>Data!CH32</f>
        <v>0</v>
      </c>
      <c r="Q33" s="32">
        <f t="shared" ca="1" si="8"/>
        <v>31708409.706203189</v>
      </c>
      <c r="R33" s="145">
        <f t="shared" ca="1" si="4"/>
        <v>31619247.654671934</v>
      </c>
      <c r="S33" s="32">
        <f t="shared" ca="1" si="5"/>
        <v>641012.4746719189</v>
      </c>
      <c r="T33" s="50">
        <f t="shared" ca="1" si="6"/>
        <v>2.0632963550011693E-2</v>
      </c>
      <c r="Y33" s="130"/>
      <c r="AG33" s="2"/>
      <c r="AJ33" s="73"/>
      <c r="AK33" s="2"/>
      <c r="AL33" s="39"/>
      <c r="AO33" s="2"/>
      <c r="AP33" s="74"/>
      <c r="AQ33" s="5"/>
      <c r="AR33" s="5"/>
      <c r="AS33" s="2"/>
      <c r="AT33" s="74"/>
      <c r="AU33" s="5"/>
      <c r="AV33" s="5"/>
    </row>
    <row r="34" spans="1:51" x14ac:dyDescent="0.2">
      <c r="A34" s="2">
        <v>41487</v>
      </c>
      <c r="B34">
        <f t="shared" si="1"/>
        <v>2013</v>
      </c>
      <c r="C34">
        <f t="shared" si="2"/>
        <v>8</v>
      </c>
      <c r="D34" s="151">
        <f>Data!D33</f>
        <v>28353597.569999993</v>
      </c>
      <c r="E34" s="151">
        <f>Data!E33</f>
        <v>89162.051531255813</v>
      </c>
      <c r="F34" s="151">
        <f>Data!F33</f>
        <v>28442759.621531248</v>
      </c>
      <c r="G34" s="129">
        <f>Data!AP33</f>
        <v>0</v>
      </c>
      <c r="H34" s="129">
        <f>Data!AQ33</f>
        <v>151.39999999999998</v>
      </c>
      <c r="I34" s="146">
        <f t="shared" ref="I34:J34" ca="1" si="37">I46</f>
        <v>0.29000000000000004</v>
      </c>
      <c r="J34" s="146">
        <f t="shared" ca="1" si="37"/>
        <v>180.75000000000006</v>
      </c>
      <c r="K34" s="32">
        <f>Data!BG33</f>
        <v>31</v>
      </c>
      <c r="L34" s="32">
        <f>Data!BX33</f>
        <v>0</v>
      </c>
      <c r="M34" s="32">
        <f>Data!BR33</f>
        <v>0</v>
      </c>
      <c r="N34" s="41">
        <f>Data!AA33</f>
        <v>30985</v>
      </c>
      <c r="O34" s="255">
        <f>Data!CG33</f>
        <v>0</v>
      </c>
      <c r="P34" s="78">
        <f>Data!CH33</f>
        <v>0</v>
      </c>
      <c r="Q34" s="32">
        <f t="shared" ca="1" si="8"/>
        <v>29998861.460019112</v>
      </c>
      <c r="R34" s="145">
        <f t="shared" ca="1" si="4"/>
        <v>29909699.408487856</v>
      </c>
      <c r="S34" s="32">
        <f t="shared" ca="1" si="5"/>
        <v>1556101.8384878635</v>
      </c>
      <c r="T34" s="50">
        <f t="shared" ca="1" si="6"/>
        <v>5.4709945841889762E-2</v>
      </c>
      <c r="X34" s="130"/>
      <c r="Y34" s="130"/>
      <c r="AG34" s="2"/>
      <c r="AJ34" s="73"/>
      <c r="AK34" s="2"/>
      <c r="AL34" s="39"/>
      <c r="AO34" s="2"/>
      <c r="AP34" s="74"/>
      <c r="AQ34" s="5"/>
      <c r="AR34" s="5"/>
      <c r="AS34" s="2"/>
      <c r="AT34" s="74"/>
      <c r="AU34" s="5"/>
      <c r="AV34" s="5"/>
    </row>
    <row r="35" spans="1:51" x14ac:dyDescent="0.2">
      <c r="A35" s="2">
        <v>41518</v>
      </c>
      <c r="B35">
        <f t="shared" si="1"/>
        <v>2013</v>
      </c>
      <c r="C35">
        <f t="shared" si="2"/>
        <v>9</v>
      </c>
      <c r="D35" s="151">
        <f>Data!D34</f>
        <v>20823560.830000009</v>
      </c>
      <c r="E35" s="151">
        <f>Data!E34</f>
        <v>89162.051531255813</v>
      </c>
      <c r="F35" s="151">
        <f>Data!F34</f>
        <v>20912722.881531265</v>
      </c>
      <c r="G35" s="129">
        <f>Data!AP34</f>
        <v>49.2</v>
      </c>
      <c r="H35" s="129">
        <f>Data!AQ34</f>
        <v>47.3</v>
      </c>
      <c r="I35" s="146">
        <f t="shared" ref="I35:J35" ca="1" si="38">I47</f>
        <v>27</v>
      </c>
      <c r="J35" s="146">
        <f t="shared" ca="1" si="38"/>
        <v>80.61</v>
      </c>
      <c r="K35" s="32">
        <f>Data!BG34</f>
        <v>30</v>
      </c>
      <c r="L35" s="32">
        <f>Data!BX34</f>
        <v>1</v>
      </c>
      <c r="M35" s="32">
        <f>Data!BR34</f>
        <v>1</v>
      </c>
      <c r="N35" s="41">
        <f>Data!AA34</f>
        <v>31028</v>
      </c>
      <c r="O35" s="255">
        <f>Data!CG34</f>
        <v>0</v>
      </c>
      <c r="P35" s="78">
        <f>Data!CH34</f>
        <v>0</v>
      </c>
      <c r="Q35" s="32">
        <f t="shared" ca="1" si="8"/>
        <v>22481982.844318323</v>
      </c>
      <c r="R35" s="145">
        <f t="shared" ca="1" si="4"/>
        <v>22392820.792787068</v>
      </c>
      <c r="S35" s="32">
        <f t="shared" ca="1" si="5"/>
        <v>1569259.9627870582</v>
      </c>
      <c r="T35" s="50">
        <f t="shared" ca="1" si="6"/>
        <v>7.5038529017803085E-2</v>
      </c>
      <c r="AG35" s="2"/>
      <c r="AJ35" s="73"/>
      <c r="AK35" s="2"/>
      <c r="AL35" s="39"/>
      <c r="AO35" s="2"/>
      <c r="AP35" s="74"/>
      <c r="AQ35" s="5"/>
      <c r="AR35" s="5"/>
      <c r="AS35" s="2"/>
      <c r="AT35" s="74"/>
      <c r="AU35" s="39"/>
      <c r="AV35" s="5"/>
    </row>
    <row r="36" spans="1:51" x14ac:dyDescent="0.2">
      <c r="A36" s="2">
        <v>41548</v>
      </c>
      <c r="B36">
        <f t="shared" si="1"/>
        <v>2013</v>
      </c>
      <c r="C36">
        <f t="shared" si="2"/>
        <v>10</v>
      </c>
      <c r="D36" s="151">
        <f>Data!D35</f>
        <v>20892190.989999991</v>
      </c>
      <c r="E36" s="151">
        <f>Data!E35</f>
        <v>89162.051531255813</v>
      </c>
      <c r="F36" s="151">
        <f>Data!F35</f>
        <v>20981353.041531246</v>
      </c>
      <c r="G36" s="129">
        <f>Data!AP35</f>
        <v>166</v>
      </c>
      <c r="H36" s="129">
        <f>Data!AQ35</f>
        <v>4.6999999999999993</v>
      </c>
      <c r="I36" s="146">
        <f t="shared" ref="I36:J36" ca="1" si="39">I48</f>
        <v>167.57</v>
      </c>
      <c r="J36" s="146">
        <f t="shared" ca="1" si="39"/>
        <v>9.9699999999999989</v>
      </c>
      <c r="K36" s="32">
        <f>Data!BG35</f>
        <v>31</v>
      </c>
      <c r="L36" s="32">
        <f>Data!BX35</f>
        <v>1</v>
      </c>
      <c r="M36" s="32">
        <f>Data!BR35</f>
        <v>0</v>
      </c>
      <c r="N36" s="41">
        <f>Data!AA35</f>
        <v>31160</v>
      </c>
      <c r="O36" s="255">
        <f>Data!CG35</f>
        <v>0</v>
      </c>
      <c r="P36" s="78">
        <f>Data!CH35</f>
        <v>0</v>
      </c>
      <c r="Q36" s="32">
        <f t="shared" ca="1" si="8"/>
        <v>21274021.529533345</v>
      </c>
      <c r="R36" s="145">
        <f t="shared" ca="1" si="4"/>
        <v>21184859.47800209</v>
      </c>
      <c r="S36" s="32">
        <f t="shared" ca="1" si="5"/>
        <v>292668.4880020991</v>
      </c>
      <c r="T36" s="50">
        <f t="shared" ca="1" si="6"/>
        <v>1.3948980669777613E-2</v>
      </c>
      <c r="Y36" s="130"/>
      <c r="AG36" s="2"/>
      <c r="AJ36" s="73"/>
      <c r="AK36" s="2"/>
      <c r="AL36" s="39"/>
      <c r="AO36" s="2"/>
      <c r="AP36" s="74"/>
      <c r="AQ36" s="5"/>
      <c r="AR36" s="5"/>
      <c r="AS36" s="2"/>
      <c r="AT36" s="74"/>
      <c r="AU36" s="5"/>
      <c r="AV36" s="5"/>
    </row>
    <row r="37" spans="1:51" x14ac:dyDescent="0.2">
      <c r="A37" s="2">
        <v>41579</v>
      </c>
      <c r="B37">
        <f t="shared" si="1"/>
        <v>2013</v>
      </c>
      <c r="C37">
        <f t="shared" si="2"/>
        <v>11</v>
      </c>
      <c r="D37" s="151">
        <f>Data!D36</f>
        <v>21740451.749999989</v>
      </c>
      <c r="E37" s="151">
        <f>Data!E36</f>
        <v>89162.051531255813</v>
      </c>
      <c r="F37" s="151">
        <f>Data!F36</f>
        <v>21829613.801531244</v>
      </c>
      <c r="G37" s="129">
        <f>Data!AP36</f>
        <v>418.20000000000005</v>
      </c>
      <c r="H37" s="129">
        <f>Data!AQ36</f>
        <v>0</v>
      </c>
      <c r="I37" s="146">
        <f t="shared" ref="I37:J37" ca="1" si="40">I49</f>
        <v>366.25</v>
      </c>
      <c r="J37" s="146">
        <f t="shared" ca="1" si="40"/>
        <v>1.0000000000000142E-2</v>
      </c>
      <c r="K37" s="32">
        <f>Data!BG36</f>
        <v>30</v>
      </c>
      <c r="L37" s="32">
        <f>Data!BX36</f>
        <v>1</v>
      </c>
      <c r="M37" s="32">
        <f>Data!BR36</f>
        <v>0</v>
      </c>
      <c r="N37" s="41">
        <f>Data!AA36</f>
        <v>31231</v>
      </c>
      <c r="O37" s="255">
        <f>Data!CG36</f>
        <v>0</v>
      </c>
      <c r="P37" s="78">
        <f>Data!CH36</f>
        <v>0</v>
      </c>
      <c r="Q37" s="32">
        <f t="shared" ref="Q37:Q68" ca="1" si="41">F37+(I37-G37)*$V$10+(J37-H37)*$V$11</f>
        <v>21376349.729236063</v>
      </c>
      <c r="R37" s="145">
        <f t="shared" ca="1" si="4"/>
        <v>21287187.677704807</v>
      </c>
      <c r="S37" s="32">
        <f t="shared" ca="1" si="5"/>
        <v>-453264.07229518145</v>
      </c>
      <c r="T37" s="50">
        <f t="shared" ca="1" si="6"/>
        <v>2.0763723830212109E-2</v>
      </c>
      <c r="Y37" s="130"/>
      <c r="AG37" s="2"/>
      <c r="AK37" s="2"/>
      <c r="AO37" s="2"/>
      <c r="AP37" s="76"/>
      <c r="AQ37" s="5"/>
      <c r="AR37" s="5"/>
      <c r="AS37" s="2"/>
      <c r="AT37" s="76"/>
      <c r="AU37" s="71"/>
      <c r="AV37" s="5"/>
      <c r="AW37" s="29"/>
      <c r="AX37" s="29"/>
    </row>
    <row r="38" spans="1:51" x14ac:dyDescent="0.2">
      <c r="A38" s="2">
        <v>41609</v>
      </c>
      <c r="B38">
        <f t="shared" si="1"/>
        <v>2013</v>
      </c>
      <c r="C38">
        <f t="shared" si="2"/>
        <v>12</v>
      </c>
      <c r="D38" s="151">
        <f>Data!D37</f>
        <v>28821858.809999991</v>
      </c>
      <c r="E38" s="151">
        <f>Data!E37</f>
        <v>89162.051531255813</v>
      </c>
      <c r="F38" s="151">
        <f>Data!F37</f>
        <v>28911020.861531246</v>
      </c>
      <c r="G38" s="129">
        <f>Data!AP37</f>
        <v>625.9</v>
      </c>
      <c r="H38" s="129">
        <f>Data!AQ37</f>
        <v>0</v>
      </c>
      <c r="I38" s="146">
        <f t="shared" ref="I38:J38" ca="1" si="42">I50</f>
        <v>513.3599999999999</v>
      </c>
      <c r="J38" s="146">
        <f t="shared" ca="1" si="42"/>
        <v>0</v>
      </c>
      <c r="K38" s="32">
        <f>Data!BG37</f>
        <v>31</v>
      </c>
      <c r="L38" s="32">
        <f>Data!BX37</f>
        <v>0</v>
      </c>
      <c r="M38" s="32">
        <f>Data!BR37</f>
        <v>0</v>
      </c>
      <c r="N38" s="41">
        <f>Data!AA37</f>
        <v>31309</v>
      </c>
      <c r="O38" s="255">
        <f>Data!CG37</f>
        <v>0</v>
      </c>
      <c r="P38" s="78">
        <f>Data!CH37</f>
        <v>0</v>
      </c>
      <c r="Q38" s="32">
        <f t="shared" ca="1" si="41"/>
        <v>27927961.979485512</v>
      </c>
      <c r="R38" s="145">
        <f t="shared" ca="1" si="4"/>
        <v>27838799.927954257</v>
      </c>
      <c r="S38" s="32">
        <f t="shared" ca="1" si="5"/>
        <v>-983058.88204573467</v>
      </c>
      <c r="T38" s="50">
        <f t="shared" ca="1" si="6"/>
        <v>3.4002911441767328E-2</v>
      </c>
      <c r="AG38" s="2"/>
      <c r="AK38" s="2"/>
      <c r="AO38" s="2"/>
      <c r="AP38" s="76"/>
      <c r="AQ38" s="5"/>
      <c r="AR38" s="5"/>
      <c r="AS38" s="2"/>
      <c r="AT38" s="76"/>
      <c r="AU38" s="5"/>
      <c r="AV38" s="5"/>
      <c r="AW38" s="29"/>
      <c r="AX38" s="29"/>
    </row>
    <row r="39" spans="1:51" x14ac:dyDescent="0.2">
      <c r="A39" s="2">
        <v>41640</v>
      </c>
      <c r="B39">
        <f t="shared" si="1"/>
        <v>2014</v>
      </c>
      <c r="C39">
        <f t="shared" si="2"/>
        <v>1</v>
      </c>
      <c r="D39" s="151">
        <f>Data!D38</f>
        <v>26189486.200000007</v>
      </c>
      <c r="E39" s="151">
        <f>Data!E38</f>
        <v>170537.35727284456</v>
      </c>
      <c r="F39" s="151">
        <f>Data!F38</f>
        <v>26360023.557272851</v>
      </c>
      <c r="G39" s="129">
        <f>Data!AP38</f>
        <v>763.9000000000002</v>
      </c>
      <c r="H39" s="129">
        <f>Data!AQ38</f>
        <v>0</v>
      </c>
      <c r="I39" s="146">
        <f t="shared" ref="I39:J39" ca="1" si="43">I51</f>
        <v>625.5</v>
      </c>
      <c r="J39" s="146">
        <f t="shared" ca="1" si="43"/>
        <v>0</v>
      </c>
      <c r="K39" s="32">
        <f>Data!BG38</f>
        <v>31</v>
      </c>
      <c r="L39" s="32">
        <f>Data!BX38</f>
        <v>0</v>
      </c>
      <c r="M39" s="32">
        <f>Data!BR38</f>
        <v>0</v>
      </c>
      <c r="N39" s="41">
        <f>Data!AA38</f>
        <v>31327</v>
      </c>
      <c r="O39" s="255">
        <f>Data!CG38</f>
        <v>0</v>
      </c>
      <c r="P39" s="78">
        <f>Data!CH38</f>
        <v>0</v>
      </c>
      <c r="Q39" s="32">
        <f t="shared" ca="1" si="41"/>
        <v>25151072.524083499</v>
      </c>
      <c r="R39" s="145">
        <f t="shared" ca="1" si="4"/>
        <v>24980535.166810654</v>
      </c>
      <c r="S39" s="32">
        <f t="shared" ca="1" si="5"/>
        <v>-1208951.0331893526</v>
      </c>
      <c r="T39" s="50">
        <f t="shared" ca="1" si="6"/>
        <v>4.586304828456033E-2</v>
      </c>
      <c r="Y39" s="130"/>
      <c r="AG39" s="2"/>
      <c r="AK39" s="2"/>
      <c r="AO39" s="2"/>
      <c r="AP39" s="76"/>
      <c r="AQ39" s="5"/>
      <c r="AR39" s="5"/>
      <c r="AS39" s="2"/>
      <c r="AT39" s="76"/>
      <c r="AU39" s="5"/>
      <c r="AV39" s="5"/>
      <c r="AW39" s="29"/>
      <c r="AX39" s="29"/>
    </row>
    <row r="40" spans="1:51" x14ac:dyDescent="0.2">
      <c r="A40" s="2">
        <v>41671</v>
      </c>
      <c r="B40">
        <f t="shared" si="1"/>
        <v>2014</v>
      </c>
      <c r="C40">
        <f t="shared" si="2"/>
        <v>2</v>
      </c>
      <c r="D40" s="151">
        <f>Data!D39</f>
        <v>26203678.18999999</v>
      </c>
      <c r="E40" s="151">
        <f>Data!E39</f>
        <v>170537.35727284456</v>
      </c>
      <c r="F40" s="151">
        <f>Data!F39</f>
        <v>26374215.547272835</v>
      </c>
      <c r="G40" s="129">
        <f>Data!AP39</f>
        <v>681.0999999999998</v>
      </c>
      <c r="H40" s="129">
        <f>Data!AQ39</f>
        <v>0</v>
      </c>
      <c r="I40" s="146">
        <f t="shared" ref="I40:J40" ca="1" si="44">I52</f>
        <v>573.20999999999992</v>
      </c>
      <c r="J40" s="146">
        <f t="shared" ca="1" si="44"/>
        <v>0</v>
      </c>
      <c r="K40" s="32">
        <f>Data!BG39</f>
        <v>28</v>
      </c>
      <c r="L40" s="32">
        <f>Data!BX39</f>
        <v>0</v>
      </c>
      <c r="M40" s="32">
        <f>Data!BR39</f>
        <v>0</v>
      </c>
      <c r="N40" s="41">
        <f>Data!AA39</f>
        <v>31341</v>
      </c>
      <c r="O40" s="255">
        <f>Data!CG39</f>
        <v>0</v>
      </c>
      <c r="P40" s="78">
        <f>Data!CH39</f>
        <v>0</v>
      </c>
      <c r="Q40" s="32">
        <f t="shared" ca="1" si="41"/>
        <v>25431775.323495384</v>
      </c>
      <c r="R40" s="145">
        <f t="shared" ca="1" si="4"/>
        <v>25261237.96622254</v>
      </c>
      <c r="S40" s="32">
        <f t="shared" ca="1" si="5"/>
        <v>-942440.22377745062</v>
      </c>
      <c r="T40" s="50">
        <f t="shared" ca="1" si="6"/>
        <v>3.5733393552055862E-2</v>
      </c>
      <c r="AG40" s="2"/>
      <c r="AK40" s="2"/>
      <c r="AO40" s="2"/>
      <c r="AP40" s="76"/>
      <c r="AQ40" s="5"/>
      <c r="AR40" s="5"/>
      <c r="AS40" s="2"/>
      <c r="AT40" s="76"/>
      <c r="AU40" s="5"/>
      <c r="AV40" s="5"/>
      <c r="AW40" s="29"/>
      <c r="AX40" s="29"/>
    </row>
    <row r="41" spans="1:51" x14ac:dyDescent="0.2">
      <c r="A41" s="2">
        <v>41699</v>
      </c>
      <c r="B41">
        <f t="shared" si="1"/>
        <v>2014</v>
      </c>
      <c r="C41">
        <f t="shared" si="2"/>
        <v>3</v>
      </c>
      <c r="D41" s="151">
        <f>Data!D40</f>
        <v>23971257.690000013</v>
      </c>
      <c r="E41" s="151">
        <f>Data!E40</f>
        <v>170537.35727284456</v>
      </c>
      <c r="F41" s="151">
        <f>Data!F40</f>
        <v>24141795.047272857</v>
      </c>
      <c r="G41" s="129">
        <f>Data!AP40</f>
        <v>628.6</v>
      </c>
      <c r="H41" s="129">
        <f>Data!AQ40</f>
        <v>0</v>
      </c>
      <c r="I41" s="146">
        <f t="shared" ref="I41:J41" ca="1" si="45">I53</f>
        <v>471.05</v>
      </c>
      <c r="J41" s="146">
        <f t="shared" ca="1" si="45"/>
        <v>0.3</v>
      </c>
      <c r="K41" s="32">
        <f>Data!BG40</f>
        <v>31</v>
      </c>
      <c r="L41" s="32">
        <f>Data!BX40</f>
        <v>1</v>
      </c>
      <c r="M41" s="32">
        <f>Data!BR40</f>
        <v>0</v>
      </c>
      <c r="N41" s="41">
        <f>Data!AA40</f>
        <v>31333</v>
      </c>
      <c r="O41" s="255">
        <f>Data!CG40</f>
        <v>0</v>
      </c>
      <c r="P41" s="78">
        <f>Data!CH40</f>
        <v>0</v>
      </c>
      <c r="Q41" s="32">
        <f t="shared" ca="1" si="41"/>
        <v>22781444.771095369</v>
      </c>
      <c r="R41" s="145">
        <f t="shared" ca="1" si="4"/>
        <v>22610907.413822524</v>
      </c>
      <c r="S41" s="32">
        <f t="shared" ca="1" si="5"/>
        <v>-1360350.2761774883</v>
      </c>
      <c r="T41" s="50">
        <f t="shared" ca="1" si="6"/>
        <v>5.63483483110407E-2</v>
      </c>
      <c r="AG41" s="2"/>
      <c r="AK41" s="2"/>
      <c r="AO41" s="2"/>
      <c r="AP41" s="76"/>
      <c r="AQ41" s="5"/>
      <c r="AR41" s="5"/>
      <c r="AS41" s="2"/>
      <c r="AT41" s="76"/>
      <c r="AU41" s="5"/>
      <c r="AV41" s="5"/>
      <c r="AW41" s="29"/>
      <c r="AX41" s="29"/>
    </row>
    <row r="42" spans="1:51" x14ac:dyDescent="0.2">
      <c r="A42" s="2">
        <v>41730</v>
      </c>
      <c r="B42">
        <f t="shared" si="1"/>
        <v>2014</v>
      </c>
      <c r="C42">
        <f t="shared" si="2"/>
        <v>4</v>
      </c>
      <c r="D42" s="151">
        <f>Data!D41</f>
        <v>21900568.520000003</v>
      </c>
      <c r="E42" s="151">
        <f>Data!E41</f>
        <v>170537.35727284456</v>
      </c>
      <c r="F42" s="151">
        <f>Data!F41</f>
        <v>22071105.877272848</v>
      </c>
      <c r="G42" s="129">
        <f>Data!AP41</f>
        <v>296.90000000000003</v>
      </c>
      <c r="H42" s="129">
        <f>Data!AQ41</f>
        <v>0</v>
      </c>
      <c r="I42" s="146">
        <f t="shared" ref="I42:J42" ca="1" si="46">I54</f>
        <v>285.58000000000004</v>
      </c>
      <c r="J42" s="146">
        <f t="shared" ca="1" si="46"/>
        <v>0.38999999999999985</v>
      </c>
      <c r="K42" s="32">
        <f>Data!BG41</f>
        <v>30</v>
      </c>
      <c r="L42" s="32">
        <f>Data!BX41</f>
        <v>1</v>
      </c>
      <c r="M42" s="32">
        <f>Data!BR41</f>
        <v>0</v>
      </c>
      <c r="N42" s="41">
        <f>Data!AA41</f>
        <v>31349</v>
      </c>
      <c r="O42" s="255">
        <f>Data!CG41</f>
        <v>0</v>
      </c>
      <c r="P42" s="78">
        <f>Data!CH41</f>
        <v>0</v>
      </c>
      <c r="Q42" s="32">
        <f t="shared" ca="1" si="41"/>
        <v>21992867.137945682</v>
      </c>
      <c r="R42" s="145">
        <f t="shared" ca="1" si="4"/>
        <v>21822329.780672837</v>
      </c>
      <c r="S42" s="32">
        <f t="shared" ca="1" si="5"/>
        <v>-78238.739327166229</v>
      </c>
      <c r="T42" s="50">
        <f t="shared" ca="1" si="6"/>
        <v>3.5448490783477485E-3</v>
      </c>
      <c r="AG42" s="2"/>
      <c r="AK42" s="2"/>
      <c r="AO42" s="2"/>
      <c r="AP42" s="76"/>
      <c r="AQ42" s="5"/>
      <c r="AR42" s="5"/>
      <c r="AS42" s="2"/>
      <c r="AT42" s="76"/>
      <c r="AU42" s="5"/>
      <c r="AV42" s="5"/>
      <c r="AW42" s="29"/>
      <c r="AX42" s="29"/>
    </row>
    <row r="43" spans="1:51" x14ac:dyDescent="0.2">
      <c r="A43" s="2">
        <v>41760</v>
      </c>
      <c r="B43">
        <f t="shared" si="1"/>
        <v>2014</v>
      </c>
      <c r="C43">
        <f t="shared" si="2"/>
        <v>5</v>
      </c>
      <c r="D43" s="151">
        <f>Data!D42</f>
        <v>20478356.049999967</v>
      </c>
      <c r="E43" s="151">
        <f>Data!E42</f>
        <v>170537.35727284456</v>
      </c>
      <c r="F43" s="151">
        <f>Data!F42</f>
        <v>20648893.407272812</v>
      </c>
      <c r="G43" s="129">
        <f>Data!AP42</f>
        <v>81.700000000000031</v>
      </c>
      <c r="H43" s="129">
        <f>Data!AQ42</f>
        <v>23.500000000000004</v>
      </c>
      <c r="I43" s="146">
        <f t="shared" ref="I43:J43" ca="1" si="47">I55</f>
        <v>93.759999999999991</v>
      </c>
      <c r="J43" s="146">
        <f t="shared" ca="1" si="47"/>
        <v>43.35</v>
      </c>
      <c r="K43" s="32">
        <f>Data!BG42</f>
        <v>31</v>
      </c>
      <c r="L43" s="32">
        <f>Data!BX42</f>
        <v>1</v>
      </c>
      <c r="M43" s="32">
        <f>Data!BR42</f>
        <v>0</v>
      </c>
      <c r="N43" s="41">
        <f>Data!AA42</f>
        <v>31435</v>
      </c>
      <c r="O43" s="255">
        <f>Data!CG42</f>
        <v>0</v>
      </c>
      <c r="P43" s="78">
        <f>Data!CH42</f>
        <v>0</v>
      </c>
      <c r="Q43" s="32">
        <f t="shared" ca="1" si="41"/>
        <v>21804949.82345866</v>
      </c>
      <c r="R43" s="145">
        <f t="shared" ca="1" si="4"/>
        <v>21634412.466185816</v>
      </c>
      <c r="S43" s="32">
        <f t="shared" ca="1" si="5"/>
        <v>1156056.4161858484</v>
      </c>
      <c r="T43" s="50">
        <f t="shared" ca="1" si="6"/>
        <v>5.5986361757219889E-2</v>
      </c>
      <c r="AG43" s="2"/>
      <c r="AK43" s="2"/>
      <c r="AO43" s="2"/>
      <c r="AP43" s="76"/>
      <c r="AQ43" s="5"/>
      <c r="AR43" s="5"/>
      <c r="AS43" s="2"/>
      <c r="AT43" s="76"/>
      <c r="AU43" s="5"/>
      <c r="AV43" s="5"/>
      <c r="AW43" s="29"/>
      <c r="AX43" s="29"/>
    </row>
    <row r="44" spans="1:51" x14ac:dyDescent="0.2">
      <c r="A44" s="2">
        <v>41791</v>
      </c>
      <c r="B44">
        <f t="shared" si="1"/>
        <v>2014</v>
      </c>
      <c r="C44">
        <f t="shared" si="2"/>
        <v>6</v>
      </c>
      <c r="D44" s="151">
        <f>Data!D43</f>
        <v>24401887.909999993</v>
      </c>
      <c r="E44" s="151">
        <f>Data!E43</f>
        <v>170537.35727284456</v>
      </c>
      <c r="F44" s="151">
        <f>Data!F43</f>
        <v>24572425.267272837</v>
      </c>
      <c r="G44" s="129">
        <f>Data!AP43</f>
        <v>2.7999999999999989</v>
      </c>
      <c r="H44" s="129">
        <f>Data!AQ43</f>
        <v>116.8</v>
      </c>
      <c r="I44" s="146">
        <f t="shared" ref="I44:J44" ca="1" si="48">I56</f>
        <v>8.7399999999999984</v>
      </c>
      <c r="J44" s="146">
        <f t="shared" ca="1" si="48"/>
        <v>118.63000000000002</v>
      </c>
      <c r="K44" s="32">
        <f>Data!BG43</f>
        <v>30</v>
      </c>
      <c r="L44" s="32">
        <f>Data!BX43</f>
        <v>0</v>
      </c>
      <c r="M44" s="32">
        <f>Data!BR43</f>
        <v>0</v>
      </c>
      <c r="N44" s="41">
        <f>Data!AA43</f>
        <v>31553</v>
      </c>
      <c r="O44" s="255">
        <f>Data!CG43</f>
        <v>0</v>
      </c>
      <c r="P44" s="78">
        <f>Data!CH43</f>
        <v>0</v>
      </c>
      <c r="Q44" s="32">
        <f t="shared" ca="1" si="41"/>
        <v>24721178.787351269</v>
      </c>
      <c r="R44" s="145">
        <f t="shared" ca="1" si="4"/>
        <v>24550641.430078425</v>
      </c>
      <c r="S44" s="32">
        <f t="shared" ca="1" si="5"/>
        <v>148753.52007843181</v>
      </c>
      <c r="T44" s="50">
        <f t="shared" ca="1" si="6"/>
        <v>6.0536767722537948E-3</v>
      </c>
      <c r="AG44" s="2"/>
      <c r="AK44" s="2"/>
      <c r="AO44" s="2"/>
      <c r="AP44" s="76"/>
      <c r="AQ44" s="5"/>
      <c r="AR44" s="5"/>
      <c r="AS44" s="2"/>
      <c r="AT44" s="76"/>
      <c r="AU44" s="5"/>
      <c r="AV44" s="5"/>
      <c r="AW44" s="29"/>
      <c r="AX44" s="29"/>
    </row>
    <row r="45" spans="1:51" x14ac:dyDescent="0.2">
      <c r="A45" s="2">
        <v>41821</v>
      </c>
      <c r="B45">
        <f t="shared" si="1"/>
        <v>2014</v>
      </c>
      <c r="C45">
        <f t="shared" si="2"/>
        <v>7</v>
      </c>
      <c r="D45" s="151">
        <f>Data!D44</f>
        <v>28438794.999999996</v>
      </c>
      <c r="E45" s="151">
        <f>Data!E44</f>
        <v>170537.35727284456</v>
      </c>
      <c r="F45" s="151">
        <f>Data!F44</f>
        <v>28609332.357272841</v>
      </c>
      <c r="G45" s="129">
        <f>Data!AP44</f>
        <v>0</v>
      </c>
      <c r="H45" s="129">
        <f>Data!AQ44</f>
        <v>129</v>
      </c>
      <c r="I45" s="146">
        <f t="shared" ref="I45:J45" ca="1" si="49">I57</f>
        <v>0</v>
      </c>
      <c r="J45" s="146">
        <f t="shared" ca="1" si="49"/>
        <v>207.41000000000003</v>
      </c>
      <c r="K45" s="32">
        <f>Data!BG44</f>
        <v>31</v>
      </c>
      <c r="L45" s="32">
        <f>Data!BX44</f>
        <v>0</v>
      </c>
      <c r="M45" s="32">
        <f>Data!BR44</f>
        <v>0</v>
      </c>
      <c r="N45" s="41">
        <f>Data!AA44</f>
        <v>31756</v>
      </c>
      <c r="O45" s="255">
        <f>Data!CG44</f>
        <v>0</v>
      </c>
      <c r="P45" s="78">
        <f>Data!CH44</f>
        <v>0</v>
      </c>
      <c r="Q45" s="32">
        <f t="shared" ca="1" si="41"/>
        <v>32759769.032667156</v>
      </c>
      <c r="R45" s="145">
        <f t="shared" ca="1" si="4"/>
        <v>32589231.675394312</v>
      </c>
      <c r="S45" s="32">
        <f t="shared" ca="1" si="5"/>
        <v>4150436.6753943153</v>
      </c>
      <c r="T45" s="50">
        <f t="shared" ca="1" si="6"/>
        <v>0.14507282531321369</v>
      </c>
      <c r="X45" s="130"/>
      <c r="AG45" s="2"/>
      <c r="AK45" s="2"/>
      <c r="AO45" s="2"/>
      <c r="AP45" s="76"/>
      <c r="AQ45" s="5"/>
      <c r="AR45" s="5"/>
      <c r="AS45" s="2"/>
      <c r="AT45" s="76"/>
      <c r="AU45" s="5"/>
      <c r="AV45" s="5"/>
      <c r="AW45" s="29"/>
      <c r="AX45" s="29"/>
    </row>
    <row r="46" spans="1:51" x14ac:dyDescent="0.2">
      <c r="A46" s="2">
        <v>41852</v>
      </c>
      <c r="B46">
        <f t="shared" si="1"/>
        <v>2014</v>
      </c>
      <c r="C46">
        <f t="shared" si="2"/>
        <v>8</v>
      </c>
      <c r="D46" s="151">
        <f>Data!D45</f>
        <v>26308447.180000015</v>
      </c>
      <c r="E46" s="151">
        <f>Data!E45</f>
        <v>170537.35727284456</v>
      </c>
      <c r="F46" s="151">
        <f>Data!F45</f>
        <v>26478984.537272859</v>
      </c>
      <c r="G46" s="129">
        <f>Data!AP45</f>
        <v>1</v>
      </c>
      <c r="H46" s="129">
        <f>Data!AQ45</f>
        <v>136</v>
      </c>
      <c r="I46" s="146">
        <f t="shared" ref="I46:J46" ca="1" si="50">I58</f>
        <v>0.29000000000000004</v>
      </c>
      <c r="J46" s="146">
        <f t="shared" ca="1" si="50"/>
        <v>180.75000000000006</v>
      </c>
      <c r="K46" s="32">
        <f>Data!BG45</f>
        <v>31</v>
      </c>
      <c r="L46" s="32">
        <f>Data!BX45</f>
        <v>0</v>
      </c>
      <c r="M46" s="32">
        <f>Data!BR45</f>
        <v>0</v>
      </c>
      <c r="N46" s="41">
        <f>Data!AA45</f>
        <v>31837</v>
      </c>
      <c r="O46" s="255">
        <f>Data!CG45</f>
        <v>0</v>
      </c>
      <c r="P46" s="78">
        <f>Data!CH45</f>
        <v>0</v>
      </c>
      <c r="Q46" s="32">
        <f t="shared" ca="1" si="41"/>
        <v>28841511.552849367</v>
      </c>
      <c r="R46" s="145">
        <f t="shared" ca="1" si="4"/>
        <v>28670974.195576522</v>
      </c>
      <c r="S46" s="32">
        <f t="shared" ca="1" si="5"/>
        <v>2362527.0155765079</v>
      </c>
      <c r="T46" s="50">
        <f t="shared" ca="1" si="6"/>
        <v>8.922271971007506E-2</v>
      </c>
      <c r="AG46" s="2"/>
      <c r="AK46" s="2"/>
      <c r="AO46" s="2"/>
      <c r="AP46" s="76"/>
      <c r="AQ46" s="5"/>
      <c r="AR46" s="5"/>
      <c r="AS46" s="2"/>
      <c r="AT46" s="76"/>
      <c r="AU46" s="5"/>
      <c r="AV46" s="5"/>
      <c r="AW46" s="29"/>
      <c r="AX46" s="29"/>
      <c r="AY46" s="29"/>
    </row>
    <row r="47" spans="1:51" x14ac:dyDescent="0.2">
      <c r="A47" s="2">
        <v>41883</v>
      </c>
      <c r="B47">
        <f t="shared" si="1"/>
        <v>2014</v>
      </c>
      <c r="C47">
        <f t="shared" si="2"/>
        <v>9</v>
      </c>
      <c r="D47" s="151">
        <f>Data!D46</f>
        <v>21592645.629999999</v>
      </c>
      <c r="E47" s="151">
        <f>Data!E46</f>
        <v>170537.35727284456</v>
      </c>
      <c r="F47" s="151">
        <f>Data!F46</f>
        <v>21763182.987272844</v>
      </c>
      <c r="G47" s="129">
        <f>Data!AP46</f>
        <v>39.299999999999997</v>
      </c>
      <c r="H47" s="129">
        <f>Data!AQ46</f>
        <v>59.70000000000001</v>
      </c>
      <c r="I47" s="146">
        <f t="shared" ref="I47:J47" ca="1" si="51">I59</f>
        <v>27</v>
      </c>
      <c r="J47" s="146">
        <f t="shared" ca="1" si="51"/>
        <v>80.61</v>
      </c>
      <c r="K47" s="32">
        <f>Data!BG46</f>
        <v>30</v>
      </c>
      <c r="L47" s="32">
        <f>Data!BX46</f>
        <v>1</v>
      </c>
      <c r="M47" s="32">
        <f>Data!BR46</f>
        <v>1</v>
      </c>
      <c r="N47" s="41">
        <f>Data!AA46</f>
        <v>31970</v>
      </c>
      <c r="O47" s="255">
        <f>Data!CG46</f>
        <v>0</v>
      </c>
      <c r="P47" s="78">
        <f>Data!CH46</f>
        <v>0</v>
      </c>
      <c r="Q47" s="32">
        <f t="shared" ca="1" si="41"/>
        <v>22762558.486523032</v>
      </c>
      <c r="R47" s="145">
        <f t="shared" ca="1" si="4"/>
        <v>22592021.129250187</v>
      </c>
      <c r="S47" s="32">
        <f t="shared" ca="1" si="5"/>
        <v>999375.49925018847</v>
      </c>
      <c r="T47" s="50">
        <f t="shared" ca="1" si="6"/>
        <v>4.5920465762504747E-2</v>
      </c>
      <c r="AG47" s="2"/>
      <c r="AK47" s="2"/>
      <c r="AO47" s="2"/>
      <c r="AP47" s="76"/>
      <c r="AQ47" s="5"/>
      <c r="AR47" s="5"/>
      <c r="AS47" s="2"/>
      <c r="AT47" s="76"/>
      <c r="AU47" s="5"/>
      <c r="AV47" s="5"/>
      <c r="AW47" s="29"/>
      <c r="AX47" s="29"/>
    </row>
    <row r="48" spans="1:51" x14ac:dyDescent="0.2">
      <c r="A48" s="2">
        <v>41913</v>
      </c>
      <c r="B48">
        <f t="shared" si="1"/>
        <v>2014</v>
      </c>
      <c r="C48">
        <f t="shared" si="2"/>
        <v>10</v>
      </c>
      <c r="D48" s="151">
        <f>Data!D47</f>
        <v>21211727.290000003</v>
      </c>
      <c r="E48" s="151">
        <f>Data!E47</f>
        <v>170537.35727284456</v>
      </c>
      <c r="F48" s="151">
        <f>Data!F47</f>
        <v>21382264.647272848</v>
      </c>
      <c r="G48" s="129">
        <f>Data!AP47</f>
        <v>167.3</v>
      </c>
      <c r="H48" s="129">
        <f>Data!AQ47</f>
        <v>6.3000000000000007</v>
      </c>
      <c r="I48" s="146">
        <f t="shared" ref="I48:J48" ca="1" si="52">I60</f>
        <v>167.57</v>
      </c>
      <c r="J48" s="146">
        <f t="shared" ca="1" si="52"/>
        <v>9.9699999999999989</v>
      </c>
      <c r="K48" s="32">
        <f>Data!BG47</f>
        <v>31</v>
      </c>
      <c r="L48" s="32">
        <f>Data!BX47</f>
        <v>1</v>
      </c>
      <c r="M48" s="32">
        <f>Data!BR47</f>
        <v>0</v>
      </c>
      <c r="N48" s="41">
        <f>Data!AA47</f>
        <v>32106</v>
      </c>
      <c r="O48" s="255">
        <f>Data!CG47</f>
        <v>0</v>
      </c>
      <c r="P48" s="78">
        <f>Data!CH47</f>
        <v>0</v>
      </c>
      <c r="Q48" s="32">
        <f t="shared" ca="1" si="41"/>
        <v>21578885.394606046</v>
      </c>
      <c r="R48" s="145">
        <f t="shared" ca="1" si="4"/>
        <v>21408348.037333202</v>
      </c>
      <c r="S48" s="32">
        <f t="shared" ca="1" si="5"/>
        <v>196620.74733319879</v>
      </c>
      <c r="T48" s="50">
        <f t="shared" ca="1" si="6"/>
        <v>9.1955062093142855E-3</v>
      </c>
      <c r="AG48" s="2"/>
      <c r="AK48" s="2"/>
      <c r="AO48" s="2"/>
      <c r="AP48" s="76"/>
      <c r="AQ48" s="5"/>
      <c r="AR48" s="5"/>
      <c r="AS48" s="2"/>
      <c r="AT48" s="76"/>
      <c r="AU48" s="5"/>
      <c r="AV48" s="5"/>
      <c r="AW48" s="29"/>
      <c r="AX48" s="29"/>
    </row>
    <row r="49" spans="1:50" x14ac:dyDescent="0.2">
      <c r="A49" s="2">
        <v>41944</v>
      </c>
      <c r="B49">
        <f t="shared" si="1"/>
        <v>2014</v>
      </c>
      <c r="C49">
        <f t="shared" si="2"/>
        <v>11</v>
      </c>
      <c r="D49" s="151">
        <f>Data!D48</f>
        <v>22391892.130000006</v>
      </c>
      <c r="E49" s="151">
        <f>Data!E48</f>
        <v>170537.35727284456</v>
      </c>
      <c r="F49" s="151">
        <f>Data!F48</f>
        <v>22562429.487272851</v>
      </c>
      <c r="G49" s="129">
        <f>Data!AP48</f>
        <v>422.10000000000008</v>
      </c>
      <c r="H49" s="129">
        <f>Data!AQ48</f>
        <v>0</v>
      </c>
      <c r="I49" s="146">
        <f t="shared" ref="I49:J49" ca="1" si="53">I61</f>
        <v>366.25</v>
      </c>
      <c r="J49" s="146">
        <f t="shared" ca="1" si="53"/>
        <v>1.0000000000000142E-2</v>
      </c>
      <c r="K49" s="32">
        <f>Data!BG48</f>
        <v>30</v>
      </c>
      <c r="L49" s="32">
        <f>Data!BX48</f>
        <v>1</v>
      </c>
      <c r="M49" s="32">
        <f>Data!BR48</f>
        <v>0</v>
      </c>
      <c r="N49" s="41">
        <f>Data!AA48</f>
        <v>32208</v>
      </c>
      <c r="O49" s="255">
        <f>Data!CG48</f>
        <v>0</v>
      </c>
      <c r="P49" s="78">
        <f>Data!CH48</f>
        <v>0</v>
      </c>
      <c r="Q49" s="32">
        <f t="shared" ca="1" si="41"/>
        <v>22075098.15320427</v>
      </c>
      <c r="R49" s="145">
        <f t="shared" ca="1" si="4"/>
        <v>21904560.795931425</v>
      </c>
      <c r="S49" s="32">
        <f t="shared" ca="1" si="5"/>
        <v>-487331.33406858146</v>
      </c>
      <c r="T49" s="50">
        <f t="shared" ca="1" si="6"/>
        <v>2.1599240203431028E-2</v>
      </c>
      <c r="AG49" s="2"/>
      <c r="AK49" s="2"/>
      <c r="AO49" s="2"/>
      <c r="AP49" s="76"/>
      <c r="AQ49" s="5"/>
      <c r="AR49" s="5"/>
      <c r="AS49" s="2"/>
      <c r="AT49" s="76"/>
      <c r="AU49" s="5"/>
      <c r="AV49" s="5"/>
      <c r="AW49" s="29"/>
      <c r="AX49" s="29"/>
    </row>
    <row r="50" spans="1:50" x14ac:dyDescent="0.2">
      <c r="A50" s="2">
        <v>41974</v>
      </c>
      <c r="B50">
        <f t="shared" si="1"/>
        <v>2014</v>
      </c>
      <c r="C50">
        <f t="shared" si="2"/>
        <v>12</v>
      </c>
      <c r="D50" s="151">
        <f>Data!D49</f>
        <v>27503240.840000004</v>
      </c>
      <c r="E50" s="151">
        <f>Data!E49</f>
        <v>170537.35727284456</v>
      </c>
      <c r="F50" s="151">
        <f>Data!F49</f>
        <v>27673778.197272848</v>
      </c>
      <c r="G50" s="129">
        <f>Data!AP49</f>
        <v>495.30000000000007</v>
      </c>
      <c r="H50" s="129">
        <f>Data!AQ49</f>
        <v>0</v>
      </c>
      <c r="I50" s="146">
        <f t="shared" ref="I50:J50" ca="1" si="54">I62</f>
        <v>513.3599999999999</v>
      </c>
      <c r="J50" s="146">
        <f t="shared" ca="1" si="54"/>
        <v>0</v>
      </c>
      <c r="K50" s="32">
        <f>Data!BG49</f>
        <v>31</v>
      </c>
      <c r="L50" s="32">
        <f>Data!BX49</f>
        <v>0</v>
      </c>
      <c r="M50" s="32">
        <f>Data!BR49</f>
        <v>0</v>
      </c>
      <c r="N50" s="41">
        <f>Data!AA49</f>
        <v>32268</v>
      </c>
      <c r="O50" s="255">
        <f>Data!CG49</f>
        <v>0</v>
      </c>
      <c r="P50" s="78">
        <f>Data!CH49</f>
        <v>0</v>
      </c>
      <c r="Q50" s="32">
        <f t="shared" ca="1" si="41"/>
        <v>27831535.824869666</v>
      </c>
      <c r="R50" s="145">
        <f t="shared" ca="1" si="4"/>
        <v>27660998.467596821</v>
      </c>
      <c r="S50" s="32">
        <f t="shared" ca="1" si="5"/>
        <v>157757.62759681791</v>
      </c>
      <c r="T50" s="50">
        <f t="shared" ca="1" si="6"/>
        <v>5.7006176197641261E-3</v>
      </c>
      <c r="AG50" s="2"/>
      <c r="AK50" s="2"/>
      <c r="AO50" s="2"/>
      <c r="AP50" s="76"/>
      <c r="AQ50" s="5"/>
      <c r="AR50" s="5"/>
      <c r="AS50" s="2"/>
      <c r="AT50" s="76"/>
      <c r="AU50" s="5"/>
      <c r="AV50" s="5"/>
      <c r="AW50" s="29"/>
      <c r="AX50" s="29"/>
    </row>
    <row r="51" spans="1:50" x14ac:dyDescent="0.2">
      <c r="A51" s="2">
        <v>42005</v>
      </c>
      <c r="B51">
        <f t="shared" si="1"/>
        <v>2015</v>
      </c>
      <c r="C51">
        <f t="shared" si="2"/>
        <v>1</v>
      </c>
      <c r="D51" s="151">
        <f>Data!D50</f>
        <v>27752175.363855418</v>
      </c>
      <c r="E51" s="151">
        <f>Data!E50</f>
        <v>317002.07740110968</v>
      </c>
      <c r="F51" s="151">
        <f>Data!F50</f>
        <v>28069177.441256527</v>
      </c>
      <c r="G51" s="129">
        <f>Data!AP50</f>
        <v>730.39999999999975</v>
      </c>
      <c r="H51" s="129">
        <f>Data!AQ50</f>
        <v>0</v>
      </c>
      <c r="I51" s="146">
        <f t="shared" ref="I51:J51" ca="1" si="55">I63</f>
        <v>625.5</v>
      </c>
      <c r="J51" s="146">
        <f t="shared" ca="1" si="55"/>
        <v>0</v>
      </c>
      <c r="K51" s="32">
        <f>Data!BG50</f>
        <v>31</v>
      </c>
      <c r="L51" s="32">
        <f>Data!BX50</f>
        <v>0</v>
      </c>
      <c r="M51" s="32">
        <f>Data!BR50</f>
        <v>0</v>
      </c>
      <c r="N51" s="41">
        <f>Data!AA50</f>
        <v>32346</v>
      </c>
      <c r="O51" s="255">
        <f>Data!CG50</f>
        <v>0</v>
      </c>
      <c r="P51" s="78">
        <f>Data!CH50</f>
        <v>0</v>
      </c>
      <c r="Q51" s="32">
        <f t="shared" ca="1" si="41"/>
        <v>27152855.451505352</v>
      </c>
      <c r="R51" s="145">
        <f t="shared" ca="1" si="4"/>
        <v>26835853.374104243</v>
      </c>
      <c r="S51" s="32">
        <f t="shared" ca="1" si="5"/>
        <v>-916321.98975117505</v>
      </c>
      <c r="T51" s="50">
        <f t="shared" ca="1" si="6"/>
        <v>3.2645131538637476E-2</v>
      </c>
      <c r="AG51" s="2"/>
      <c r="AK51" s="2"/>
      <c r="AO51" s="2"/>
      <c r="AP51" s="76"/>
      <c r="AQ51" s="5"/>
      <c r="AR51" s="5"/>
      <c r="AS51" s="2"/>
      <c r="AT51" s="76"/>
      <c r="AU51" s="5"/>
      <c r="AV51" s="5"/>
      <c r="AW51" s="29"/>
      <c r="AX51" s="29"/>
    </row>
    <row r="52" spans="1:50" x14ac:dyDescent="0.2">
      <c r="A52" s="2">
        <v>42036</v>
      </c>
      <c r="B52">
        <f t="shared" si="1"/>
        <v>2015</v>
      </c>
      <c r="C52">
        <f t="shared" si="2"/>
        <v>2</v>
      </c>
      <c r="D52" s="151">
        <f>Data!D51</f>
        <v>26390163.306024112</v>
      </c>
      <c r="E52" s="151">
        <f>Data!E51</f>
        <v>317002.07740110968</v>
      </c>
      <c r="F52" s="151">
        <f>Data!F51</f>
        <v>26707165.383425221</v>
      </c>
      <c r="G52" s="129">
        <f>Data!AP51</f>
        <v>800.8</v>
      </c>
      <c r="H52" s="129">
        <f>Data!AQ51</f>
        <v>0</v>
      </c>
      <c r="I52" s="146">
        <f t="shared" ref="I52:J52" ca="1" si="56">I64</f>
        <v>573.20999999999992</v>
      </c>
      <c r="J52" s="146">
        <f t="shared" ca="1" si="56"/>
        <v>0</v>
      </c>
      <c r="K52" s="32">
        <f>Data!BG51</f>
        <v>28</v>
      </c>
      <c r="L52" s="32">
        <f>Data!BX51</f>
        <v>0</v>
      </c>
      <c r="M52" s="32">
        <f>Data!BR51</f>
        <v>0</v>
      </c>
      <c r="N52" s="41">
        <f>Data!AA51</f>
        <v>32433</v>
      </c>
      <c r="O52" s="255">
        <f>Data!CG51</f>
        <v>0</v>
      </c>
      <c r="P52" s="78">
        <f>Data!CH51</f>
        <v>0</v>
      </c>
      <c r="Q52" s="32">
        <f t="shared" ca="1" si="41"/>
        <v>24719122.279064205</v>
      </c>
      <c r="R52" s="145">
        <f t="shared" ca="1" si="4"/>
        <v>24402120.201663096</v>
      </c>
      <c r="S52" s="32">
        <f t="shared" ca="1" si="5"/>
        <v>-1988043.1043610163</v>
      </c>
      <c r="T52" s="50">
        <f t="shared" ca="1" si="6"/>
        <v>7.4438566422882865E-2</v>
      </c>
      <c r="AG52" s="2"/>
      <c r="AK52" s="2"/>
      <c r="AO52" s="2"/>
      <c r="AP52" s="76"/>
      <c r="AQ52" s="5"/>
      <c r="AR52" s="5"/>
      <c r="AS52" s="2"/>
      <c r="AT52" s="76"/>
      <c r="AU52" s="5"/>
      <c r="AV52" s="5"/>
      <c r="AW52" s="29"/>
      <c r="AX52" s="29"/>
    </row>
    <row r="53" spans="1:50" x14ac:dyDescent="0.2">
      <c r="A53" s="2">
        <v>42064</v>
      </c>
      <c r="B53">
        <f t="shared" si="1"/>
        <v>2015</v>
      </c>
      <c r="C53">
        <f t="shared" si="2"/>
        <v>3</v>
      </c>
      <c r="D53" s="151">
        <f>Data!D52</f>
        <v>24161080.125301201</v>
      </c>
      <c r="E53" s="151">
        <f>Data!E52</f>
        <v>317002.07740110968</v>
      </c>
      <c r="F53" s="151">
        <f>Data!F52</f>
        <v>24478082.20270231</v>
      </c>
      <c r="G53" s="129">
        <f>Data!AP52</f>
        <v>553.5</v>
      </c>
      <c r="H53" s="129">
        <f>Data!AQ52</f>
        <v>0</v>
      </c>
      <c r="I53" s="146">
        <f t="shared" ref="I53:J53" ca="1" si="57">I65</f>
        <v>471.05</v>
      </c>
      <c r="J53" s="146">
        <f t="shared" ca="1" si="57"/>
        <v>0.3</v>
      </c>
      <c r="K53" s="32">
        <f>Data!BG52</f>
        <v>31</v>
      </c>
      <c r="L53" s="32">
        <f>Data!BX52</f>
        <v>1</v>
      </c>
      <c r="M53" s="32">
        <f>Data!BR52</f>
        <v>0</v>
      </c>
      <c r="N53" s="41">
        <f>Data!AA52</f>
        <v>32524</v>
      </c>
      <c r="O53" s="255">
        <f>Data!CG52</f>
        <v>0</v>
      </c>
      <c r="P53" s="78">
        <f>Data!CH52</f>
        <v>0</v>
      </c>
      <c r="Q53" s="32">
        <f t="shared" ca="1" si="41"/>
        <v>23773745.095545921</v>
      </c>
      <c r="R53" s="145">
        <f t="shared" ca="1" si="4"/>
        <v>23456743.018144812</v>
      </c>
      <c r="S53" s="32">
        <f t="shared" ca="1" si="5"/>
        <v>-704337.10715638846</v>
      </c>
      <c r="T53" s="50">
        <f t="shared" ca="1" si="6"/>
        <v>2.8774194862317755E-2</v>
      </c>
      <c r="AG53" s="2"/>
      <c r="AK53" s="2"/>
      <c r="AO53" s="2"/>
      <c r="AP53" s="76"/>
      <c r="AQ53" s="5"/>
      <c r="AR53" s="5"/>
      <c r="AS53" s="2"/>
      <c r="AT53" s="76"/>
      <c r="AU53" s="5"/>
      <c r="AV53" s="5"/>
      <c r="AW53" s="29"/>
      <c r="AX53" s="29"/>
    </row>
    <row r="54" spans="1:50" x14ac:dyDescent="0.2">
      <c r="A54" s="2">
        <v>42095</v>
      </c>
      <c r="B54">
        <f t="shared" si="1"/>
        <v>2015</v>
      </c>
      <c r="C54">
        <f t="shared" si="2"/>
        <v>4</v>
      </c>
      <c r="D54" s="151">
        <f>Data!D53</f>
        <v>20359667.007228933</v>
      </c>
      <c r="E54" s="151">
        <f>Data!E53</f>
        <v>317002.07740110968</v>
      </c>
      <c r="F54" s="151">
        <f>Data!F53</f>
        <v>20676669.084630042</v>
      </c>
      <c r="G54" s="129">
        <f>Data!AP53</f>
        <v>253.70000000000002</v>
      </c>
      <c r="H54" s="129">
        <f>Data!AQ53</f>
        <v>0</v>
      </c>
      <c r="I54" s="146">
        <f t="shared" ref="I54:J54" ca="1" si="58">I66</f>
        <v>285.58000000000004</v>
      </c>
      <c r="J54" s="146">
        <f t="shared" ca="1" si="58"/>
        <v>0.38999999999999985</v>
      </c>
      <c r="K54" s="32">
        <f>Data!BG53</f>
        <v>30</v>
      </c>
      <c r="L54" s="32">
        <f>Data!BX53</f>
        <v>1</v>
      </c>
      <c r="M54" s="32">
        <f>Data!BR53</f>
        <v>0</v>
      </c>
      <c r="N54" s="41">
        <f>Data!AA53</f>
        <v>32605</v>
      </c>
      <c r="O54" s="255">
        <f>Data!CG53</f>
        <v>0</v>
      </c>
      <c r="P54" s="78">
        <f>Data!CH53</f>
        <v>0</v>
      </c>
      <c r="Q54" s="32">
        <f t="shared" ca="1" si="41"/>
        <v>20975790.783408221</v>
      </c>
      <c r="R54" s="145">
        <f t="shared" ca="1" si="4"/>
        <v>20658788.706007112</v>
      </c>
      <c r="S54" s="32">
        <f t="shared" ca="1" si="5"/>
        <v>299121.69877817854</v>
      </c>
      <c r="T54" s="50">
        <f t="shared" ca="1" si="6"/>
        <v>1.4466628911739464E-2</v>
      </c>
      <c r="AK54" s="2"/>
      <c r="AO54" s="2"/>
      <c r="AP54" s="76"/>
      <c r="AQ54" s="5"/>
      <c r="AR54" s="5"/>
      <c r="AS54" s="2"/>
      <c r="AT54" s="76"/>
      <c r="AU54" s="5"/>
      <c r="AV54" s="5"/>
      <c r="AW54" s="29"/>
      <c r="AX54" s="29"/>
    </row>
    <row r="55" spans="1:50" x14ac:dyDescent="0.2">
      <c r="A55" s="2">
        <v>42125</v>
      </c>
      <c r="B55">
        <f t="shared" si="1"/>
        <v>2015</v>
      </c>
      <c r="C55">
        <f t="shared" si="2"/>
        <v>5</v>
      </c>
      <c r="D55" s="151">
        <f>Data!D54</f>
        <v>21429091.180722896</v>
      </c>
      <c r="E55" s="151">
        <f>Data!E54</f>
        <v>317002.07740110968</v>
      </c>
      <c r="F55" s="151">
        <f>Data!F54</f>
        <v>21746093.258124005</v>
      </c>
      <c r="G55" s="129">
        <f>Data!AP54</f>
        <v>56.900000000000006</v>
      </c>
      <c r="H55" s="129">
        <f>Data!AQ54</f>
        <v>63.7</v>
      </c>
      <c r="I55" s="146">
        <f t="shared" ref="I55:J55" ca="1" si="59">I67</f>
        <v>93.759999999999991</v>
      </c>
      <c r="J55" s="146">
        <f t="shared" ca="1" si="59"/>
        <v>43.35</v>
      </c>
      <c r="K55" s="32">
        <f>Data!BG54</f>
        <v>31</v>
      </c>
      <c r="L55" s="32">
        <f>Data!BX54</f>
        <v>1</v>
      </c>
      <c r="M55" s="32">
        <f>Data!BR54</f>
        <v>0</v>
      </c>
      <c r="N55" s="41">
        <f>Data!AA54</f>
        <v>32646</v>
      </c>
      <c r="O55" s="255">
        <f>Data!CG54</f>
        <v>0</v>
      </c>
      <c r="P55" s="78">
        <f>Data!CH54</f>
        <v>0</v>
      </c>
      <c r="Q55" s="32">
        <f t="shared" ca="1" si="41"/>
        <v>20990896.351453517</v>
      </c>
      <c r="R55" s="145">
        <f t="shared" ca="1" si="4"/>
        <v>20673894.274052408</v>
      </c>
      <c r="S55" s="32">
        <f t="shared" ca="1" si="5"/>
        <v>-755196.90667048842</v>
      </c>
      <c r="T55" s="50">
        <f t="shared" ca="1" si="6"/>
        <v>3.4727934701023068E-2</v>
      </c>
      <c r="AK55" s="2"/>
      <c r="AO55" s="2"/>
      <c r="AP55" s="76"/>
      <c r="AQ55" s="5"/>
      <c r="AR55" s="5"/>
      <c r="AS55" s="2"/>
      <c r="AT55" s="76"/>
      <c r="AU55" s="5"/>
      <c r="AV55" s="5"/>
      <c r="AW55" s="29"/>
      <c r="AX55" s="29"/>
    </row>
    <row r="56" spans="1:50" x14ac:dyDescent="0.2">
      <c r="A56" s="2">
        <v>42156</v>
      </c>
      <c r="B56">
        <f t="shared" si="1"/>
        <v>2015</v>
      </c>
      <c r="C56">
        <f t="shared" si="2"/>
        <v>6</v>
      </c>
      <c r="D56" s="151">
        <f>Data!D55</f>
        <v>24790300.809638564</v>
      </c>
      <c r="E56" s="151">
        <f>Data!E55</f>
        <v>317002.07740110968</v>
      </c>
      <c r="F56" s="151">
        <f>Data!F55</f>
        <v>25107302.887039673</v>
      </c>
      <c r="G56" s="129">
        <f>Data!AP55</f>
        <v>14.299999999999999</v>
      </c>
      <c r="H56" s="129">
        <f>Data!AQ55</f>
        <v>72.800000000000011</v>
      </c>
      <c r="I56" s="146">
        <f t="shared" ref="I56:J56" ca="1" si="60">I68</f>
        <v>8.7399999999999984</v>
      </c>
      <c r="J56" s="146">
        <f t="shared" ca="1" si="60"/>
        <v>118.63000000000002</v>
      </c>
      <c r="K56" s="32">
        <f>Data!BG55</f>
        <v>30</v>
      </c>
      <c r="L56" s="32">
        <f>Data!BX55</f>
        <v>0</v>
      </c>
      <c r="M56" s="32">
        <f>Data!BR55</f>
        <v>0</v>
      </c>
      <c r="N56" s="41">
        <f>Data!AA55</f>
        <v>32729</v>
      </c>
      <c r="O56" s="255">
        <f>Data!CG55</f>
        <v>0</v>
      </c>
      <c r="P56" s="78">
        <f>Data!CH55</f>
        <v>0</v>
      </c>
      <c r="Q56" s="32">
        <f t="shared" ca="1" si="41"/>
        <v>27484631.296335079</v>
      </c>
      <c r="R56" s="145">
        <f t="shared" ca="1" si="4"/>
        <v>27167629.21893397</v>
      </c>
      <c r="S56" s="32">
        <f t="shared" ca="1" si="5"/>
        <v>2377328.4092954062</v>
      </c>
      <c r="T56" s="50">
        <f t="shared" ca="1" si="6"/>
        <v>9.4686729992116248E-2</v>
      </c>
      <c r="AK56" s="2"/>
      <c r="AO56" s="2"/>
      <c r="AP56" s="76"/>
      <c r="AQ56" s="5"/>
      <c r="AR56" s="5"/>
      <c r="AS56" s="2"/>
      <c r="AT56" s="76"/>
      <c r="AU56" s="5"/>
      <c r="AV56" s="5"/>
      <c r="AW56" s="29"/>
      <c r="AX56" s="29"/>
    </row>
    <row r="57" spans="1:50" x14ac:dyDescent="0.2">
      <c r="A57" s="2">
        <v>42186</v>
      </c>
      <c r="B57">
        <f t="shared" si="1"/>
        <v>2015</v>
      </c>
      <c r="C57">
        <f t="shared" si="2"/>
        <v>7</v>
      </c>
      <c r="D57" s="151">
        <f>Data!D56</f>
        <v>31635963.15180723</v>
      </c>
      <c r="E57" s="151">
        <f>Data!E56</f>
        <v>317002.07740110968</v>
      </c>
      <c r="F57" s="151">
        <f>Data!F56</f>
        <v>31952965.229208339</v>
      </c>
      <c r="G57" s="129">
        <f>Data!AP56</f>
        <v>0</v>
      </c>
      <c r="H57" s="129">
        <f>Data!AQ56</f>
        <v>172.30000000000004</v>
      </c>
      <c r="I57" s="146">
        <f t="shared" ref="I57:J57" ca="1" si="61">I69</f>
        <v>0</v>
      </c>
      <c r="J57" s="146">
        <f t="shared" ca="1" si="61"/>
        <v>207.41000000000003</v>
      </c>
      <c r="K57" s="32">
        <f>Data!BG56</f>
        <v>31</v>
      </c>
      <c r="L57" s="32">
        <f>Data!BX56</f>
        <v>0</v>
      </c>
      <c r="M57" s="32">
        <f>Data!BR56</f>
        <v>0</v>
      </c>
      <c r="N57" s="41">
        <f>Data!AA56</f>
        <v>32779</v>
      </c>
      <c r="O57" s="255">
        <f>Data!CG56</f>
        <v>0</v>
      </c>
      <c r="P57" s="78">
        <f>Data!CH56</f>
        <v>0</v>
      </c>
      <c r="Q57" s="32">
        <f t="shared" ca="1" si="41"/>
        <v>33811425.013331465</v>
      </c>
      <c r="R57" s="145">
        <f t="shared" ca="1" si="4"/>
        <v>33494422.935930356</v>
      </c>
      <c r="S57" s="32">
        <f t="shared" ca="1" si="5"/>
        <v>1858459.7841231264</v>
      </c>
      <c r="T57" s="50">
        <f t="shared" ca="1" si="6"/>
        <v>5.8162357414776031E-2</v>
      </c>
      <c r="AK57" s="2"/>
      <c r="AO57" s="2"/>
      <c r="AP57" s="76"/>
      <c r="AQ57" s="5"/>
      <c r="AR57" s="5"/>
      <c r="AS57" s="2"/>
      <c r="AT57" s="76"/>
      <c r="AU57" s="5"/>
      <c r="AV57" s="5"/>
      <c r="AW57" s="29"/>
      <c r="AX57" s="29"/>
    </row>
    <row r="58" spans="1:50" x14ac:dyDescent="0.2">
      <c r="A58" s="2">
        <v>42217</v>
      </c>
      <c r="B58">
        <f t="shared" si="1"/>
        <v>2015</v>
      </c>
      <c r="C58">
        <f t="shared" si="2"/>
        <v>8</v>
      </c>
      <c r="D58" s="151">
        <f>Data!D57</f>
        <v>29263075.190361433</v>
      </c>
      <c r="E58" s="151">
        <f>Data!E57</f>
        <v>317002.07740110968</v>
      </c>
      <c r="F58" s="151">
        <f>Data!F57</f>
        <v>29580077.267762542</v>
      </c>
      <c r="G58" s="129">
        <f>Data!AP57</f>
        <v>0</v>
      </c>
      <c r="H58" s="129">
        <f>Data!AQ57</f>
        <v>146.20000000000002</v>
      </c>
      <c r="I58" s="146">
        <f t="shared" ref="I58:J58" ca="1" si="62">I70</f>
        <v>0.29000000000000004</v>
      </c>
      <c r="J58" s="146">
        <f t="shared" ca="1" si="62"/>
        <v>180.75000000000006</v>
      </c>
      <c r="K58" s="32">
        <f>Data!BG57</f>
        <v>31</v>
      </c>
      <c r="L58" s="32">
        <f>Data!BX57</f>
        <v>0</v>
      </c>
      <c r="M58" s="32">
        <f>Data!BR57</f>
        <v>0</v>
      </c>
      <c r="N58" s="41">
        <f>Data!AA57</f>
        <v>32817</v>
      </c>
      <c r="O58" s="255">
        <f>Data!CG57</f>
        <v>0</v>
      </c>
      <c r="P58" s="78">
        <f>Data!CH57</f>
        <v>0</v>
      </c>
      <c r="Q58" s="32">
        <f t="shared" ca="1" si="41"/>
        <v>31411428.063169807</v>
      </c>
      <c r="R58" s="145">
        <f t="shared" ca="1" si="4"/>
        <v>31094425.985768698</v>
      </c>
      <c r="S58" s="32">
        <f t="shared" ca="1" si="5"/>
        <v>1831350.7954072654</v>
      </c>
      <c r="T58" s="50">
        <f t="shared" ca="1" si="6"/>
        <v>6.1911629872689312E-2</v>
      </c>
      <c r="AK58" s="2"/>
      <c r="AO58" s="2"/>
      <c r="AP58" s="76"/>
      <c r="AQ58" s="5"/>
      <c r="AR58" s="5"/>
      <c r="AS58" s="2"/>
      <c r="AT58" s="76"/>
      <c r="AU58" s="5"/>
      <c r="AV58" s="5"/>
      <c r="AW58" s="29"/>
      <c r="AX58" s="29"/>
    </row>
    <row r="59" spans="1:50" x14ac:dyDescent="0.2">
      <c r="A59" s="2">
        <v>42248</v>
      </c>
      <c r="B59">
        <f t="shared" si="1"/>
        <v>2015</v>
      </c>
      <c r="C59">
        <f t="shared" si="2"/>
        <v>9</v>
      </c>
      <c r="D59" s="151">
        <f>Data!D58</f>
        <v>26291769.465060253</v>
      </c>
      <c r="E59" s="151">
        <f>Data!E58</f>
        <v>317002.07740110968</v>
      </c>
      <c r="F59" s="151">
        <f>Data!F58</f>
        <v>26608771.542461362</v>
      </c>
      <c r="G59" s="129">
        <f>Data!AP58</f>
        <v>12.9</v>
      </c>
      <c r="H59" s="129">
        <f>Data!AQ58</f>
        <v>123.69999999999999</v>
      </c>
      <c r="I59" s="146">
        <f t="shared" ref="I59:J59" ca="1" si="63">I71</f>
        <v>27</v>
      </c>
      <c r="J59" s="146">
        <f t="shared" ca="1" si="63"/>
        <v>80.61</v>
      </c>
      <c r="K59" s="32">
        <f>Data!BG58</f>
        <v>30</v>
      </c>
      <c r="L59" s="32">
        <f>Data!BX58</f>
        <v>1</v>
      </c>
      <c r="M59" s="32">
        <f>Data!BR58</f>
        <v>1</v>
      </c>
      <c r="N59" s="41">
        <f>Data!AA58</f>
        <v>32876</v>
      </c>
      <c r="O59" s="255">
        <f>Data!CG58</f>
        <v>0</v>
      </c>
      <c r="P59" s="78">
        <f>Data!CH58</f>
        <v>0</v>
      </c>
      <c r="Q59" s="32">
        <f t="shared" ca="1" si="41"/>
        <v>24451076.728554212</v>
      </c>
      <c r="R59" s="145">
        <f t="shared" ca="1" si="4"/>
        <v>24134074.651153103</v>
      </c>
      <c r="S59" s="32">
        <f t="shared" ca="1" si="5"/>
        <v>-2157694.8139071502</v>
      </c>
      <c r="T59" s="50">
        <f t="shared" ca="1" si="6"/>
        <v>8.1089606503027586E-2</v>
      </c>
      <c r="AG59"/>
      <c r="AH59"/>
      <c r="AK59" s="2"/>
      <c r="AO59" s="2"/>
      <c r="AP59" s="76"/>
      <c r="AQ59" s="5"/>
      <c r="AR59" s="5"/>
      <c r="AS59" s="2"/>
      <c r="AT59" s="76"/>
      <c r="AU59" s="5"/>
      <c r="AV59" s="5"/>
      <c r="AW59" s="29"/>
      <c r="AX59" s="29"/>
    </row>
    <row r="60" spans="1:50" x14ac:dyDescent="0.2">
      <c r="A60" s="2">
        <v>42278</v>
      </c>
      <c r="B60">
        <f t="shared" si="1"/>
        <v>2015</v>
      </c>
      <c r="C60">
        <f t="shared" si="2"/>
        <v>10</v>
      </c>
      <c r="D60" s="151">
        <f>Data!D59</f>
        <v>21166911.199999988</v>
      </c>
      <c r="E60" s="151">
        <f>Data!E59</f>
        <v>317002.07740110968</v>
      </c>
      <c r="F60" s="151">
        <f>Data!F59</f>
        <v>21483913.277401097</v>
      </c>
      <c r="G60" s="129">
        <f>Data!AP59</f>
        <v>190.60000000000002</v>
      </c>
      <c r="H60" s="129">
        <f>Data!AQ59</f>
        <v>2.7999999999999972</v>
      </c>
      <c r="I60" s="146">
        <f t="shared" ref="I60:J60" ca="1" si="64">I72</f>
        <v>167.57</v>
      </c>
      <c r="J60" s="146">
        <f t="shared" ca="1" si="64"/>
        <v>9.9699999999999989</v>
      </c>
      <c r="K60" s="32">
        <f>Data!BG59</f>
        <v>31</v>
      </c>
      <c r="L60" s="32">
        <f>Data!BX59</f>
        <v>1</v>
      </c>
      <c r="M60" s="32">
        <f>Data!BR59</f>
        <v>0</v>
      </c>
      <c r="N60" s="41">
        <f>Data!AA59</f>
        <v>32908</v>
      </c>
      <c r="O60" s="255">
        <f>Data!CG59</f>
        <v>0</v>
      </c>
      <c r="P60" s="78">
        <f>Data!CH59</f>
        <v>0</v>
      </c>
      <c r="Q60" s="32">
        <f t="shared" ca="1" si="41"/>
        <v>21662267.694629997</v>
      </c>
      <c r="R60" s="145">
        <f t="shared" ca="1" si="4"/>
        <v>21345265.617228888</v>
      </c>
      <c r="S60" s="32">
        <f t="shared" ca="1" si="5"/>
        <v>178354.4172288999</v>
      </c>
      <c r="T60" s="50">
        <f t="shared" ca="1" si="6"/>
        <v>8.3017658340908823E-3</v>
      </c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K60" s="2"/>
      <c r="AO60" s="2"/>
      <c r="AP60" s="76"/>
      <c r="AQ60" s="5"/>
      <c r="AR60" s="5"/>
      <c r="AS60" s="2"/>
      <c r="AT60" s="76"/>
      <c r="AU60" s="5"/>
      <c r="AV60" s="5"/>
      <c r="AW60" s="29"/>
      <c r="AX60" s="29"/>
    </row>
    <row r="61" spans="1:50" x14ac:dyDescent="0.2">
      <c r="A61" s="2">
        <v>42309</v>
      </c>
      <c r="B61">
        <f t="shared" si="1"/>
        <v>2015</v>
      </c>
      <c r="C61">
        <f t="shared" si="2"/>
        <v>11</v>
      </c>
      <c r="D61" s="151">
        <f>Data!D60</f>
        <v>19417085.089156609</v>
      </c>
      <c r="E61" s="151">
        <f>Data!E60</f>
        <v>317002.07740110968</v>
      </c>
      <c r="F61" s="151">
        <f>Data!F60</f>
        <v>19734087.166557718</v>
      </c>
      <c r="G61" s="129">
        <f>Data!AP60</f>
        <v>285</v>
      </c>
      <c r="H61" s="129">
        <f>Data!AQ60</f>
        <v>0</v>
      </c>
      <c r="I61" s="146">
        <f t="shared" ref="I61:J61" ca="1" si="65">I73</f>
        <v>366.25</v>
      </c>
      <c r="J61" s="146">
        <f t="shared" ca="1" si="65"/>
        <v>1.0000000000000142E-2</v>
      </c>
      <c r="K61" s="32">
        <f>Data!BG60</f>
        <v>30</v>
      </c>
      <c r="L61" s="32">
        <f>Data!BX60</f>
        <v>1</v>
      </c>
      <c r="M61" s="32">
        <f>Data!BR60</f>
        <v>0</v>
      </c>
      <c r="N61" s="41">
        <f>Data!AA60</f>
        <v>32947</v>
      </c>
      <c r="O61" s="255">
        <f>Data!CG60</f>
        <v>0</v>
      </c>
      <c r="P61" s="78">
        <f>Data!CH60</f>
        <v>0</v>
      </c>
      <c r="Q61" s="32">
        <f t="shared" ca="1" si="41"/>
        <v>20444351.111754023</v>
      </c>
      <c r="R61" s="145">
        <f t="shared" ca="1" si="4"/>
        <v>20127349.034352913</v>
      </c>
      <c r="S61" s="32">
        <f t="shared" ca="1" si="5"/>
        <v>710263.94519630447</v>
      </c>
      <c r="T61" s="50">
        <f t="shared" ca="1" si="6"/>
        <v>3.5991730410512734E-2</v>
      </c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P61" s="5"/>
      <c r="AQ61" s="5"/>
      <c r="AR61" s="5"/>
      <c r="AS61" s="5"/>
      <c r="AT61" s="5"/>
      <c r="AU61" s="5"/>
      <c r="AW61" s="29"/>
      <c r="AX61" s="29"/>
    </row>
    <row r="62" spans="1:50" x14ac:dyDescent="0.2">
      <c r="A62" s="2">
        <v>42339</v>
      </c>
      <c r="B62">
        <f t="shared" si="1"/>
        <v>2015</v>
      </c>
      <c r="C62">
        <f t="shared" si="2"/>
        <v>12</v>
      </c>
      <c r="D62" s="151">
        <f>Data!D61</f>
        <v>23283597.985542178</v>
      </c>
      <c r="E62" s="151">
        <f>Data!E61</f>
        <v>317002.07740110968</v>
      </c>
      <c r="F62" s="151">
        <f>Data!F61</f>
        <v>23600600.062943287</v>
      </c>
      <c r="G62" s="129">
        <f>Data!AP61</f>
        <v>367.70000000000005</v>
      </c>
      <c r="H62" s="129">
        <f>Data!AQ61</f>
        <v>0</v>
      </c>
      <c r="I62" s="146">
        <f t="shared" ref="I62:J62" ca="1" si="66">I74</f>
        <v>513.3599999999999</v>
      </c>
      <c r="J62" s="146">
        <f t="shared" ca="1" si="66"/>
        <v>0</v>
      </c>
      <c r="K62" s="32">
        <f>Data!BG61</f>
        <v>31</v>
      </c>
      <c r="L62" s="32">
        <f>Data!BX61</f>
        <v>0</v>
      </c>
      <c r="M62" s="32">
        <f>Data!BR61</f>
        <v>0</v>
      </c>
      <c r="N62" s="41">
        <f>Data!AA61</f>
        <v>33001</v>
      </c>
      <c r="O62" s="255">
        <f>Data!CG61</f>
        <v>0</v>
      </c>
      <c r="P62" s="78">
        <f>Data!CH61</f>
        <v>0</v>
      </c>
      <c r="Q62" s="32">
        <f t="shared" ca="1" si="41"/>
        <v>24872968.614203122</v>
      </c>
      <c r="R62" s="145">
        <f t="shared" ca="1" si="4"/>
        <v>24555966.536802012</v>
      </c>
      <c r="S62" s="32">
        <f t="shared" ca="1" si="5"/>
        <v>1272368.5512598343</v>
      </c>
      <c r="T62" s="50">
        <f t="shared" ca="1" si="6"/>
        <v>5.3912550861690008E-2</v>
      </c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P62" s="5"/>
      <c r="AQ62" s="5"/>
      <c r="AR62" s="5"/>
      <c r="AS62" s="5"/>
      <c r="AT62" s="5"/>
    </row>
    <row r="63" spans="1:50" x14ac:dyDescent="0.2">
      <c r="A63" s="2">
        <v>42370</v>
      </c>
      <c r="B63">
        <f t="shared" si="1"/>
        <v>2016</v>
      </c>
      <c r="C63">
        <f t="shared" si="2"/>
        <v>1</v>
      </c>
      <c r="D63" s="151">
        <f>Data!D62</f>
        <v>25985111.093975894</v>
      </c>
      <c r="E63" s="151">
        <f>Data!E62</f>
        <v>503439.62575630058</v>
      </c>
      <c r="F63" s="151">
        <f>Data!F62</f>
        <v>26488550.719732195</v>
      </c>
      <c r="G63" s="129">
        <f>Data!AP62</f>
        <v>608.4</v>
      </c>
      <c r="H63" s="129">
        <f>Data!AQ62</f>
        <v>0</v>
      </c>
      <c r="I63" s="146">
        <f t="shared" ref="I63:J63" ca="1" si="67">I75</f>
        <v>625.5</v>
      </c>
      <c r="J63" s="146">
        <f t="shared" ca="1" si="67"/>
        <v>0</v>
      </c>
      <c r="K63" s="32">
        <f>Data!BG62</f>
        <v>31</v>
      </c>
      <c r="L63" s="32">
        <f>Data!BX62</f>
        <v>0</v>
      </c>
      <c r="M63" s="32">
        <f>Data!BR62</f>
        <v>0</v>
      </c>
      <c r="N63" s="41">
        <f>Data!AA62</f>
        <v>33068</v>
      </c>
      <c r="O63" s="255">
        <f>Data!CG62</f>
        <v>0</v>
      </c>
      <c r="P63" s="78">
        <f>Data!CH62</f>
        <v>0</v>
      </c>
      <c r="Q63" s="32">
        <f t="shared" ca="1" si="41"/>
        <v>26637922.559815563</v>
      </c>
      <c r="R63" s="145">
        <f t="shared" ca="1" si="4"/>
        <v>26134482.934059262</v>
      </c>
      <c r="S63" s="32">
        <f t="shared" ca="1" si="5"/>
        <v>149371.84008336812</v>
      </c>
      <c r="T63" s="50">
        <f t="shared" ca="1" si="6"/>
        <v>5.6391095784676555E-3</v>
      </c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</row>
    <row r="64" spans="1:50" x14ac:dyDescent="0.2">
      <c r="A64" s="2">
        <v>42401</v>
      </c>
      <c r="B64">
        <f t="shared" si="1"/>
        <v>2016</v>
      </c>
      <c r="C64">
        <f t="shared" si="2"/>
        <v>2</v>
      </c>
      <c r="D64" s="151">
        <f>Data!D63</f>
        <v>24520177.522891562</v>
      </c>
      <c r="E64" s="151">
        <f>Data!E63</f>
        <v>503439.62575630058</v>
      </c>
      <c r="F64" s="151">
        <f>Data!F63</f>
        <v>25023617.148647863</v>
      </c>
      <c r="G64" s="129">
        <f>Data!AP63</f>
        <v>530.40000000000009</v>
      </c>
      <c r="H64" s="129">
        <f>Data!AQ63</f>
        <v>0</v>
      </c>
      <c r="I64" s="146">
        <f t="shared" ref="I64:J64" ca="1" si="68">I76</f>
        <v>573.20999999999992</v>
      </c>
      <c r="J64" s="146">
        <f t="shared" ca="1" si="68"/>
        <v>0</v>
      </c>
      <c r="K64" s="32">
        <f>Data!BG63</f>
        <v>29</v>
      </c>
      <c r="L64" s="32">
        <f>Data!BX63</f>
        <v>0</v>
      </c>
      <c r="M64" s="32">
        <f>Data!BR63</f>
        <v>0</v>
      </c>
      <c r="N64" s="41">
        <f>Data!AA63</f>
        <v>33176</v>
      </c>
      <c r="O64" s="255">
        <f>Data!CG63</f>
        <v>0</v>
      </c>
      <c r="P64" s="78">
        <f>Data!CH63</f>
        <v>0</v>
      </c>
      <c r="Q64" s="32">
        <f t="shared" ca="1" si="41"/>
        <v>25397570.86057587</v>
      </c>
      <c r="R64" s="145">
        <f t="shared" ca="1" si="4"/>
        <v>24894131.234819569</v>
      </c>
      <c r="S64" s="32">
        <f t="shared" ca="1" si="5"/>
        <v>373953.71192800626</v>
      </c>
      <c r="T64" s="50">
        <f t="shared" ca="1" si="6"/>
        <v>1.4944031061001612E-2</v>
      </c>
    </row>
    <row r="65" spans="1:34" x14ac:dyDescent="0.2">
      <c r="A65" s="2">
        <v>42430</v>
      </c>
      <c r="B65">
        <f t="shared" si="1"/>
        <v>2016</v>
      </c>
      <c r="C65">
        <f t="shared" si="2"/>
        <v>3</v>
      </c>
      <c r="D65" s="151">
        <f>Data!D64</f>
        <v>22958336.693975914</v>
      </c>
      <c r="E65" s="151">
        <f>Data!E64</f>
        <v>503439.62575630058</v>
      </c>
      <c r="F65" s="151">
        <f>Data!F64</f>
        <v>23461776.319732215</v>
      </c>
      <c r="G65" s="129">
        <f>Data!AP64</f>
        <v>414.0999999999998</v>
      </c>
      <c r="H65" s="129">
        <f>Data!AQ64</f>
        <v>0</v>
      </c>
      <c r="I65" s="146">
        <f t="shared" ref="I65:J65" ca="1" si="69">I77</f>
        <v>471.05</v>
      </c>
      <c r="J65" s="146">
        <f t="shared" ca="1" si="69"/>
        <v>0.3</v>
      </c>
      <c r="K65" s="32">
        <f>Data!BG64</f>
        <v>31</v>
      </c>
      <c r="L65" s="32">
        <f>Data!BX64</f>
        <v>1</v>
      </c>
      <c r="M65" s="32">
        <f>Data!BR64</f>
        <v>0</v>
      </c>
      <c r="N65" s="41">
        <f>Data!AA64</f>
        <v>33263</v>
      </c>
      <c r="O65" s="255">
        <f>Data!CG64</f>
        <v>0</v>
      </c>
      <c r="P65" s="78">
        <f>Data!CH64</f>
        <v>0</v>
      </c>
      <c r="Q65" s="32">
        <f t="shared" ca="1" si="41"/>
        <v>23975125.441091694</v>
      </c>
      <c r="R65" s="145">
        <f t="shared" ca="1" si="4"/>
        <v>23471685.815335393</v>
      </c>
      <c r="S65" s="32">
        <f t="shared" ca="1" si="5"/>
        <v>513349.12135947868</v>
      </c>
      <c r="T65" s="50">
        <f t="shared" ca="1" si="6"/>
        <v>2.1880232526457651E-2</v>
      </c>
    </row>
    <row r="66" spans="1:34" x14ac:dyDescent="0.2">
      <c r="A66" s="2">
        <v>42461</v>
      </c>
      <c r="B66">
        <f t="shared" si="1"/>
        <v>2016</v>
      </c>
      <c r="C66">
        <f t="shared" si="2"/>
        <v>4</v>
      </c>
      <c r="D66" s="151">
        <f>Data!D65</f>
        <v>21632719.643373489</v>
      </c>
      <c r="E66" s="151">
        <f>Data!E65</f>
        <v>503439.62575630058</v>
      </c>
      <c r="F66" s="151">
        <f>Data!F65</f>
        <v>22136159.26912979</v>
      </c>
      <c r="G66" s="129">
        <f>Data!AP65</f>
        <v>335.1</v>
      </c>
      <c r="H66" s="129">
        <f>Data!AQ65</f>
        <v>0.30000000000000071</v>
      </c>
      <c r="I66" s="146">
        <f t="shared" ref="I66:J66" ca="1" si="70">I78</f>
        <v>285.58000000000004</v>
      </c>
      <c r="J66" s="146">
        <f t="shared" ca="1" si="70"/>
        <v>0.38999999999999985</v>
      </c>
      <c r="K66" s="32">
        <f>Data!BG65</f>
        <v>30</v>
      </c>
      <c r="L66" s="32">
        <f>Data!BX65</f>
        <v>1</v>
      </c>
      <c r="M66" s="32">
        <f>Data!BR65</f>
        <v>0</v>
      </c>
      <c r="N66" s="41">
        <f>Data!AA65</f>
        <v>33437</v>
      </c>
      <c r="O66" s="255">
        <f>Data!CG65</f>
        <v>0</v>
      </c>
      <c r="P66" s="78">
        <f>Data!CH65</f>
        <v>0</v>
      </c>
      <c r="Q66" s="32">
        <f t="shared" ca="1" si="41"/>
        <v>21708356.320815258</v>
      </c>
      <c r="R66" s="145">
        <f t="shared" ca="1" si="4"/>
        <v>21204916.695058957</v>
      </c>
      <c r="S66" s="32">
        <f t="shared" ca="1" si="5"/>
        <v>-427802.94831453264</v>
      </c>
      <c r="T66" s="50">
        <f t="shared" ca="1" si="6"/>
        <v>1.9325978961089681E-2</v>
      </c>
    </row>
    <row r="67" spans="1:34" x14ac:dyDescent="0.2">
      <c r="A67" s="2">
        <v>42491</v>
      </c>
      <c r="B67">
        <f t="shared" si="1"/>
        <v>2016</v>
      </c>
      <c r="C67">
        <f t="shared" si="2"/>
        <v>5</v>
      </c>
      <c r="D67" s="151">
        <f>Data!D66</f>
        <v>20564699.585542157</v>
      </c>
      <c r="E67" s="151">
        <f>Data!E66</f>
        <v>503439.62575630058</v>
      </c>
      <c r="F67" s="151">
        <f>Data!F66</f>
        <v>21068139.211298458</v>
      </c>
      <c r="G67" s="129">
        <f>Data!AP66</f>
        <v>102.19999999999999</v>
      </c>
      <c r="H67" s="129">
        <f>Data!AQ66</f>
        <v>58.6</v>
      </c>
      <c r="I67" s="146">
        <f t="shared" ref="I67:J67" ca="1" si="71">I79</f>
        <v>93.759999999999991</v>
      </c>
      <c r="J67" s="146">
        <f t="shared" ca="1" si="71"/>
        <v>43.35</v>
      </c>
      <c r="K67" s="32">
        <f>Data!BG66</f>
        <v>31</v>
      </c>
      <c r="L67" s="32">
        <f>Data!BX66</f>
        <v>1</v>
      </c>
      <c r="M67" s="32">
        <f>Data!BR66</f>
        <v>0</v>
      </c>
      <c r="N67" s="41">
        <f>Data!AA66</f>
        <v>33518</v>
      </c>
      <c r="O67" s="255">
        <f>Data!CG66</f>
        <v>0</v>
      </c>
      <c r="P67" s="78">
        <f>Data!CH66</f>
        <v>0</v>
      </c>
      <c r="Q67" s="32">
        <f t="shared" ca="1" si="41"/>
        <v>20187193.664084826</v>
      </c>
      <c r="R67" s="145">
        <f t="shared" ca="1" si="4"/>
        <v>19683754.038328525</v>
      </c>
      <c r="S67" s="32">
        <f t="shared" ca="1" si="5"/>
        <v>-880945.54721363261</v>
      </c>
      <c r="T67" s="50">
        <f t="shared" ca="1" si="6"/>
        <v>4.1814112693027851E-2</v>
      </c>
    </row>
    <row r="68" spans="1:34" x14ac:dyDescent="0.2">
      <c r="A68" s="2">
        <v>42522</v>
      </c>
      <c r="B68">
        <f t="shared" ref="B68:B127" si="72">YEAR(A68)</f>
        <v>2016</v>
      </c>
      <c r="C68">
        <f t="shared" ref="C68:C127" si="73">MONTH(A68)</f>
        <v>6</v>
      </c>
      <c r="D68" s="151">
        <f>Data!D67</f>
        <v>29990486.101204813</v>
      </c>
      <c r="E68" s="151">
        <f>Data!E67</f>
        <v>503439.62575630058</v>
      </c>
      <c r="F68" s="151">
        <f>Data!F67</f>
        <v>30493925.726961114</v>
      </c>
      <c r="G68" s="129">
        <f>Data!AP67</f>
        <v>9.1999999999999993</v>
      </c>
      <c r="H68" s="129">
        <f>Data!AQ67</f>
        <v>128.70000000000002</v>
      </c>
      <c r="I68" s="146">
        <f t="shared" ref="I68:J68" ca="1" si="74">I80</f>
        <v>8.7399999999999984</v>
      </c>
      <c r="J68" s="146">
        <f t="shared" ca="1" si="74"/>
        <v>118.63000000000002</v>
      </c>
      <c r="K68" s="32">
        <f>Data!BG67</f>
        <v>30</v>
      </c>
      <c r="L68" s="32">
        <f>Data!BX67</f>
        <v>0</v>
      </c>
      <c r="M68" s="32">
        <f>Data!BR67</f>
        <v>0</v>
      </c>
      <c r="N68" s="41">
        <f>Data!AA67</f>
        <v>33555</v>
      </c>
      <c r="O68" s="255">
        <f>Data!CG67</f>
        <v>0</v>
      </c>
      <c r="P68" s="78">
        <f>Data!CH67</f>
        <v>0</v>
      </c>
      <c r="Q68" s="32">
        <f t="shared" ca="1" si="41"/>
        <v>29956877.345538151</v>
      </c>
      <c r="R68" s="145">
        <f t="shared" ref="R68:R127" ca="1" si="75">Q68-E68</f>
        <v>29453437.71978185</v>
      </c>
      <c r="S68" s="32">
        <f t="shared" ref="S68:S127" ca="1" si="76">+Q68-F68</f>
        <v>-537048.38142296299</v>
      </c>
      <c r="T68" s="50">
        <f t="shared" ref="T68:T127" ca="1" si="77">ABS(S68/F68)</f>
        <v>1.7611651127887849E-2</v>
      </c>
    </row>
    <row r="69" spans="1:34" x14ac:dyDescent="0.2">
      <c r="A69" s="2">
        <v>42552</v>
      </c>
      <c r="B69">
        <f t="shared" si="72"/>
        <v>2016</v>
      </c>
      <c r="C69">
        <f t="shared" si="73"/>
        <v>7</v>
      </c>
      <c r="D69" s="151">
        <f>Data!D68</f>
        <v>35728630.342168637</v>
      </c>
      <c r="E69" s="151">
        <f>Data!E68</f>
        <v>503439.62575630058</v>
      </c>
      <c r="F69" s="151">
        <f>Data!F68</f>
        <v>36232069.967924938</v>
      </c>
      <c r="G69" s="129">
        <f>Data!AP68</f>
        <v>0</v>
      </c>
      <c r="H69" s="129">
        <f>Data!AQ68</f>
        <v>238.9</v>
      </c>
      <c r="I69" s="146">
        <f t="shared" ref="I69:J69" ca="1" si="78">I81</f>
        <v>0</v>
      </c>
      <c r="J69" s="146">
        <f t="shared" ca="1" si="78"/>
        <v>207.41000000000003</v>
      </c>
      <c r="K69" s="32">
        <f>Data!BG68</f>
        <v>31</v>
      </c>
      <c r="L69" s="32">
        <f>Data!BX68</f>
        <v>0</v>
      </c>
      <c r="M69" s="32">
        <f>Data!BR68</f>
        <v>0</v>
      </c>
      <c r="N69" s="41">
        <f>Data!AA68</f>
        <v>33585</v>
      </c>
      <c r="O69" s="255">
        <f>Data!CG68</f>
        <v>0</v>
      </c>
      <c r="P69" s="78">
        <f>Data!CH68</f>
        <v>0</v>
      </c>
      <c r="Q69" s="32">
        <f t="shared" ref="Q69:Q100" ca="1" si="79">F69+(I69-G69)*$V$10+(J69-H69)*$V$11</f>
        <v>34565225.803811088</v>
      </c>
      <c r="R69" s="145">
        <f t="shared" ca="1" si="75"/>
        <v>34061786.178054787</v>
      </c>
      <c r="S69" s="32">
        <f t="shared" ca="1" si="76"/>
        <v>-1666844.1641138494</v>
      </c>
      <c r="T69" s="50">
        <f t="shared" ca="1" si="77"/>
        <v>4.6004662874338999E-2</v>
      </c>
    </row>
    <row r="70" spans="1:34" x14ac:dyDescent="0.2">
      <c r="A70" s="2">
        <v>42583</v>
      </c>
      <c r="B70">
        <f t="shared" si="72"/>
        <v>2016</v>
      </c>
      <c r="C70">
        <f t="shared" si="73"/>
        <v>8</v>
      </c>
      <c r="D70" s="151">
        <f>Data!D69</f>
        <v>36163152.231325291</v>
      </c>
      <c r="E70" s="151">
        <f>Data!E69</f>
        <v>503439.62575630058</v>
      </c>
      <c r="F70" s="151">
        <f>Data!F69</f>
        <v>36666591.857081592</v>
      </c>
      <c r="G70" s="129">
        <f>Data!AP69</f>
        <v>0</v>
      </c>
      <c r="H70" s="129">
        <f>Data!AQ69</f>
        <v>257.40000000000003</v>
      </c>
      <c r="I70" s="146">
        <f t="shared" ref="I70:J70" ca="1" si="80">I82</f>
        <v>0.29000000000000004</v>
      </c>
      <c r="J70" s="146">
        <f t="shared" ca="1" si="80"/>
        <v>180.75000000000006</v>
      </c>
      <c r="K70" s="32">
        <f>Data!BG69</f>
        <v>31</v>
      </c>
      <c r="L70" s="32">
        <f>Data!BX69</f>
        <v>0</v>
      </c>
      <c r="M70" s="32">
        <f>Data!BR69</f>
        <v>0</v>
      </c>
      <c r="N70" s="41">
        <f>Data!AA69</f>
        <v>33654</v>
      </c>
      <c r="O70" s="255">
        <f>Data!CG69</f>
        <v>0</v>
      </c>
      <c r="P70" s="78">
        <f>Data!CH69</f>
        <v>0</v>
      </c>
      <c r="Q70" s="32">
        <f t="shared" ca="1" si="79"/>
        <v>32611849.573750846</v>
      </c>
      <c r="R70" s="145">
        <f t="shared" ca="1" si="75"/>
        <v>32108409.947994545</v>
      </c>
      <c r="S70" s="32">
        <f t="shared" ca="1" si="76"/>
        <v>-4054742.283330746</v>
      </c>
      <c r="T70" s="50">
        <f t="shared" ca="1" si="77"/>
        <v>0.11058410607495919</v>
      </c>
    </row>
    <row r="71" spans="1:34" x14ac:dyDescent="0.2">
      <c r="A71" s="2">
        <v>42614</v>
      </c>
      <c r="B71">
        <f t="shared" si="72"/>
        <v>2016</v>
      </c>
      <c r="C71">
        <f t="shared" si="73"/>
        <v>9</v>
      </c>
      <c r="D71" s="151">
        <f>Data!D70</f>
        <v>26948392.906024113</v>
      </c>
      <c r="E71" s="151">
        <f>Data!E70</f>
        <v>503439.62575630058</v>
      </c>
      <c r="F71" s="151">
        <f>Data!F70</f>
        <v>27451832.531780414</v>
      </c>
      <c r="G71" s="129">
        <f>Data!AP70</f>
        <v>8.3999999999999986</v>
      </c>
      <c r="H71" s="129">
        <f>Data!AQ70</f>
        <v>111.89999999999999</v>
      </c>
      <c r="I71" s="146">
        <f t="shared" ref="I71:J71" ca="1" si="81">I83</f>
        <v>27</v>
      </c>
      <c r="J71" s="146">
        <f t="shared" ca="1" si="81"/>
        <v>80.61</v>
      </c>
      <c r="K71" s="32">
        <f>Data!BG70</f>
        <v>30</v>
      </c>
      <c r="L71" s="32">
        <f>Data!BX70</f>
        <v>1</v>
      </c>
      <c r="M71" s="32">
        <f>Data!BR70</f>
        <v>1</v>
      </c>
      <c r="N71" s="41">
        <f>Data!AA70</f>
        <v>33716</v>
      </c>
      <c r="O71" s="255">
        <f>Data!CG70</f>
        <v>0</v>
      </c>
      <c r="P71" s="78">
        <f>Data!CH70</f>
        <v>0</v>
      </c>
      <c r="Q71" s="32">
        <f t="shared" ca="1" si="79"/>
        <v>25958049.499082755</v>
      </c>
      <c r="R71" s="145">
        <f t="shared" ca="1" si="75"/>
        <v>25454609.873326454</v>
      </c>
      <c r="S71" s="32">
        <f t="shared" ca="1" si="76"/>
        <v>-1493783.032697659</v>
      </c>
      <c r="T71" s="50">
        <f t="shared" ca="1" si="77"/>
        <v>5.4414692752053531E-2</v>
      </c>
    </row>
    <row r="72" spans="1:34" x14ac:dyDescent="0.2">
      <c r="A72" s="2">
        <v>42644</v>
      </c>
      <c r="B72">
        <f t="shared" si="72"/>
        <v>2016</v>
      </c>
      <c r="C72">
        <f t="shared" si="73"/>
        <v>10</v>
      </c>
      <c r="D72" s="151">
        <f>Data!D71</f>
        <v>19412813.638554234</v>
      </c>
      <c r="E72" s="151">
        <f>Data!E71</f>
        <v>503439.62575630058</v>
      </c>
      <c r="F72" s="151">
        <f>Data!F71</f>
        <v>19916253.264310535</v>
      </c>
      <c r="G72" s="129">
        <f>Data!AP71</f>
        <v>144.70000000000002</v>
      </c>
      <c r="H72" s="129">
        <f>Data!AQ71</f>
        <v>16.600000000000005</v>
      </c>
      <c r="I72" s="146">
        <f t="shared" ref="I72:J72" ca="1" si="82">I84</f>
        <v>167.57</v>
      </c>
      <c r="J72" s="146">
        <f t="shared" ca="1" si="82"/>
        <v>9.9699999999999989</v>
      </c>
      <c r="K72" s="32">
        <f>Data!BG71</f>
        <v>31</v>
      </c>
      <c r="L72" s="32">
        <f>Data!BX71</f>
        <v>1</v>
      </c>
      <c r="M72" s="32">
        <f>Data!BR71</f>
        <v>0</v>
      </c>
      <c r="N72" s="41">
        <f>Data!AA71</f>
        <v>33751</v>
      </c>
      <c r="O72" s="255">
        <f>Data!CG71</f>
        <v>0</v>
      </c>
      <c r="P72" s="78">
        <f>Data!CH71</f>
        <v>0</v>
      </c>
      <c r="Q72" s="32">
        <f t="shared" ca="1" si="79"/>
        <v>19765084.761355642</v>
      </c>
      <c r="R72" s="145">
        <f t="shared" ca="1" si="75"/>
        <v>19261645.135599341</v>
      </c>
      <c r="S72" s="32">
        <f t="shared" ca="1" si="76"/>
        <v>-151168.50295489281</v>
      </c>
      <c r="T72" s="50">
        <f t="shared" ca="1" si="77"/>
        <v>7.5902079045049742E-3</v>
      </c>
    </row>
    <row r="73" spans="1:34" x14ac:dyDescent="0.2">
      <c r="A73" s="2">
        <v>42675</v>
      </c>
      <c r="B73">
        <f t="shared" si="72"/>
        <v>2016</v>
      </c>
      <c r="C73">
        <f t="shared" si="73"/>
        <v>11</v>
      </c>
      <c r="D73" s="151">
        <f>Data!D72</f>
        <v>19369741.908433728</v>
      </c>
      <c r="E73" s="151">
        <f>Data!E72</f>
        <v>503439.62575630058</v>
      </c>
      <c r="F73" s="151">
        <f>Data!F72</f>
        <v>19873181.534190029</v>
      </c>
      <c r="G73" s="129">
        <f>Data!AP72</f>
        <v>277.79999999999995</v>
      </c>
      <c r="H73" s="129">
        <f>Data!AQ72</f>
        <v>0</v>
      </c>
      <c r="I73" s="146">
        <f t="shared" ref="I73:J73" ca="1" si="83">I85</f>
        <v>366.25</v>
      </c>
      <c r="J73" s="146">
        <f t="shared" ca="1" si="83"/>
        <v>1.0000000000000142E-2</v>
      </c>
      <c r="K73" s="32">
        <f>Data!BG72</f>
        <v>30</v>
      </c>
      <c r="L73" s="32">
        <f>Data!BX72</f>
        <v>1</v>
      </c>
      <c r="M73" s="32">
        <f>Data!BR72</f>
        <v>0</v>
      </c>
      <c r="N73" s="41">
        <f>Data!AA72</f>
        <v>33815</v>
      </c>
      <c r="O73" s="255">
        <f>Data!CG72</f>
        <v>0</v>
      </c>
      <c r="P73" s="78">
        <f>Data!CH72</f>
        <v>0</v>
      </c>
      <c r="Q73" s="32">
        <f t="shared" ca="1" si="79"/>
        <v>20646338.885737225</v>
      </c>
      <c r="R73" s="145">
        <f t="shared" ca="1" si="75"/>
        <v>20142899.259980924</v>
      </c>
      <c r="S73" s="32">
        <f t="shared" ca="1" si="76"/>
        <v>773157.35154719651</v>
      </c>
      <c r="T73" s="50">
        <f t="shared" ca="1" si="77"/>
        <v>3.8904558397811068E-2</v>
      </c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</row>
    <row r="74" spans="1:34" x14ac:dyDescent="0.2">
      <c r="A74" s="2">
        <v>42705</v>
      </c>
      <c r="B74">
        <f t="shared" si="72"/>
        <v>2016</v>
      </c>
      <c r="C74">
        <f t="shared" si="73"/>
        <v>12</v>
      </c>
      <c r="D74" s="151">
        <f>Data!D73</f>
        <v>27474754.322891567</v>
      </c>
      <c r="E74" s="151">
        <f>Data!E73</f>
        <v>503439.62575630058</v>
      </c>
      <c r="F74" s="151">
        <f>Data!F73</f>
        <v>27978193.948647868</v>
      </c>
      <c r="G74" s="129">
        <f>Data!AP73</f>
        <v>545.99999999999989</v>
      </c>
      <c r="H74" s="129">
        <f>Data!AQ73</f>
        <v>0</v>
      </c>
      <c r="I74" s="146">
        <f t="shared" ref="I74:J74" ca="1" si="84">I86</f>
        <v>513.3599999999999</v>
      </c>
      <c r="J74" s="146">
        <f t="shared" ca="1" si="84"/>
        <v>0</v>
      </c>
      <c r="K74" s="32">
        <f>Data!BG73</f>
        <v>31</v>
      </c>
      <c r="L74" s="32">
        <f>Data!BX73</f>
        <v>0</v>
      </c>
      <c r="M74" s="32">
        <f>Data!BR73</f>
        <v>0</v>
      </c>
      <c r="N74" s="41">
        <f>Data!AA73</f>
        <v>33857</v>
      </c>
      <c r="O74" s="255">
        <f>Data!CG73</f>
        <v>0</v>
      </c>
      <c r="P74" s="78">
        <f>Data!CH73</f>
        <v>0</v>
      </c>
      <c r="Q74" s="32">
        <f t="shared" ca="1" si="79"/>
        <v>27693077.173190493</v>
      </c>
      <c r="R74" s="145">
        <f t="shared" ca="1" si="75"/>
        <v>27189637.547434192</v>
      </c>
      <c r="S74" s="32">
        <f t="shared" ca="1" si="76"/>
        <v>-285116.77545737475</v>
      </c>
      <c r="T74" s="50">
        <f t="shared" ca="1" si="77"/>
        <v>1.019067835403128E-2</v>
      </c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</row>
    <row r="75" spans="1:34" x14ac:dyDescent="0.2">
      <c r="A75" s="2">
        <v>42736</v>
      </c>
      <c r="B75">
        <f t="shared" si="72"/>
        <v>2017</v>
      </c>
      <c r="C75">
        <f t="shared" si="73"/>
        <v>1</v>
      </c>
      <c r="D75" s="151">
        <f>Data!D74</f>
        <v>26135142.110843364</v>
      </c>
      <c r="E75" s="151">
        <f>Data!E74</f>
        <v>958479.98780037428</v>
      </c>
      <c r="F75" s="151">
        <f>Data!F74</f>
        <v>27093622.098643739</v>
      </c>
      <c r="G75" s="129">
        <f>Data!AP74</f>
        <v>546.9</v>
      </c>
      <c r="H75" s="129">
        <f>Data!AQ74</f>
        <v>0</v>
      </c>
      <c r="I75" s="146">
        <f t="shared" ref="I75:J75" ca="1" si="85">I87</f>
        <v>625.5</v>
      </c>
      <c r="J75" s="146">
        <f t="shared" ca="1" si="85"/>
        <v>0</v>
      </c>
      <c r="K75" s="32">
        <f>Data!BG74</f>
        <v>31</v>
      </c>
      <c r="L75" s="32">
        <f>Data!BX74</f>
        <v>0</v>
      </c>
      <c r="M75" s="32">
        <f>Data!BR74</f>
        <v>0</v>
      </c>
      <c r="N75" s="41">
        <f>Data!AA74</f>
        <v>33886</v>
      </c>
      <c r="O75" s="255">
        <f>Data!CG74</f>
        <v>0</v>
      </c>
      <c r="P75" s="78">
        <f>Data!CH74</f>
        <v>0</v>
      </c>
      <c r="Q75" s="32">
        <f t="shared" ca="1" si="79"/>
        <v>27780208.451307636</v>
      </c>
      <c r="R75" s="145">
        <f t="shared" ca="1" si="75"/>
        <v>26821728.463507261</v>
      </c>
      <c r="S75" s="32">
        <f t="shared" ca="1" si="76"/>
        <v>686586.35266389698</v>
      </c>
      <c r="T75" s="50">
        <f t="shared" ca="1" si="77"/>
        <v>2.534125375205061E-2</v>
      </c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</row>
    <row r="76" spans="1:34" x14ac:dyDescent="0.2">
      <c r="A76" s="2">
        <v>42767</v>
      </c>
      <c r="B76">
        <f t="shared" si="72"/>
        <v>2017</v>
      </c>
      <c r="C76">
        <f t="shared" si="73"/>
        <v>2</v>
      </c>
      <c r="D76" s="151">
        <f>Data!D75</f>
        <v>22110279.383132529</v>
      </c>
      <c r="E76" s="151">
        <f>Data!E75</f>
        <v>958479.98780037428</v>
      </c>
      <c r="F76" s="151">
        <f>Data!F75</f>
        <v>23068759.370932903</v>
      </c>
      <c r="G76" s="129">
        <f>Data!AP75</f>
        <v>454.4</v>
      </c>
      <c r="H76" s="129">
        <f>Data!AQ75</f>
        <v>0</v>
      </c>
      <c r="I76" s="146">
        <f t="shared" ref="I76:J76" ca="1" si="86">I88</f>
        <v>573.20999999999992</v>
      </c>
      <c r="J76" s="146">
        <f t="shared" ca="1" si="86"/>
        <v>0</v>
      </c>
      <c r="K76" s="32">
        <f>Data!BG75</f>
        <v>28</v>
      </c>
      <c r="L76" s="32">
        <f>Data!BX75</f>
        <v>0</v>
      </c>
      <c r="M76" s="32">
        <f>Data!BR75</f>
        <v>0</v>
      </c>
      <c r="N76" s="41">
        <f>Data!AA75</f>
        <v>33938</v>
      </c>
      <c r="O76" s="255">
        <f>Data!CG75</f>
        <v>0</v>
      </c>
      <c r="P76" s="78">
        <f>Data!CH75</f>
        <v>0</v>
      </c>
      <c r="Q76" s="32">
        <f t="shared" ca="1" si="79"/>
        <v>24106587.927675873</v>
      </c>
      <c r="R76" s="145">
        <f t="shared" ca="1" si="75"/>
        <v>23148107.939875498</v>
      </c>
      <c r="S76" s="32">
        <f t="shared" ca="1" si="76"/>
        <v>1037828.5567429699</v>
      </c>
      <c r="T76" s="50">
        <f t="shared" ca="1" si="77"/>
        <v>4.4988485945657512E-2</v>
      </c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</row>
    <row r="77" spans="1:34" x14ac:dyDescent="0.2">
      <c r="A77" s="2">
        <v>42795</v>
      </c>
      <c r="B77">
        <f t="shared" si="72"/>
        <v>2017</v>
      </c>
      <c r="C77">
        <f t="shared" si="73"/>
        <v>3</v>
      </c>
      <c r="D77" s="151">
        <f>Data!D76</f>
        <v>24430975.248192772</v>
      </c>
      <c r="E77" s="151">
        <f>Data!E76</f>
        <v>958479.98780037428</v>
      </c>
      <c r="F77" s="151">
        <f>Data!F76</f>
        <v>25389455.235993147</v>
      </c>
      <c r="G77" s="129">
        <f>Data!AP76</f>
        <v>512</v>
      </c>
      <c r="H77" s="129">
        <f>Data!AQ76</f>
        <v>0</v>
      </c>
      <c r="I77" s="146">
        <f t="shared" ref="I77:J77" ca="1" si="87">I89</f>
        <v>471.05</v>
      </c>
      <c r="J77" s="146">
        <f t="shared" ca="1" si="87"/>
        <v>0.3</v>
      </c>
      <c r="K77" s="32">
        <f>Data!BG76</f>
        <v>31</v>
      </c>
      <c r="L77" s="32">
        <f>Data!BX76</f>
        <v>1</v>
      </c>
      <c r="M77" s="32">
        <f>Data!BR76</f>
        <v>0</v>
      </c>
      <c r="N77" s="41">
        <f>Data!AA76</f>
        <v>33998</v>
      </c>
      <c r="O77" s="255">
        <f>Data!CG76</f>
        <v>0</v>
      </c>
      <c r="P77" s="78">
        <f>Data!CH76</f>
        <v>0</v>
      </c>
      <c r="Q77" s="32">
        <f t="shared" ca="1" si="79"/>
        <v>25047628.734887034</v>
      </c>
      <c r="R77" s="145">
        <f t="shared" ca="1" si="75"/>
        <v>24089148.747086659</v>
      </c>
      <c r="S77" s="32">
        <f t="shared" ca="1" si="76"/>
        <v>-341826.5011061132</v>
      </c>
      <c r="T77" s="50">
        <f t="shared" ca="1" si="77"/>
        <v>1.3463325539239051E-2</v>
      </c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</row>
    <row r="78" spans="1:34" x14ac:dyDescent="0.2">
      <c r="A78" s="2">
        <v>42826</v>
      </c>
      <c r="B78">
        <f t="shared" si="72"/>
        <v>2017</v>
      </c>
      <c r="C78">
        <f t="shared" si="73"/>
        <v>4</v>
      </c>
      <c r="D78" s="151">
        <f>Data!D77</f>
        <v>19400096.75180722</v>
      </c>
      <c r="E78" s="151">
        <f>Data!E77</f>
        <v>958479.98780037428</v>
      </c>
      <c r="F78" s="151">
        <f>Data!F77</f>
        <v>20358576.739607595</v>
      </c>
      <c r="G78" s="129">
        <f>Data!AP77</f>
        <v>199.7</v>
      </c>
      <c r="H78" s="129">
        <f>Data!AQ77</f>
        <v>2.1999999999999993</v>
      </c>
      <c r="I78" s="146">
        <f t="shared" ref="I78:J78" ca="1" si="88">I90</f>
        <v>285.58000000000004</v>
      </c>
      <c r="J78" s="146">
        <f t="shared" ca="1" si="88"/>
        <v>0.38999999999999985</v>
      </c>
      <c r="K78" s="32">
        <f>Data!BG77</f>
        <v>30</v>
      </c>
      <c r="L78" s="32">
        <f>Data!BX77</f>
        <v>1</v>
      </c>
      <c r="M78" s="32">
        <f>Data!BR77</f>
        <v>0</v>
      </c>
      <c r="N78" s="41">
        <f>Data!AA77</f>
        <v>34086</v>
      </c>
      <c r="O78" s="255">
        <f>Data!CG77</f>
        <v>0</v>
      </c>
      <c r="P78" s="78">
        <f>Data!CH77</f>
        <v>0</v>
      </c>
      <c r="Q78" s="32">
        <f t="shared" ca="1" si="79"/>
        <v>21012947.504243866</v>
      </c>
      <c r="R78" s="145">
        <f t="shared" ca="1" si="75"/>
        <v>20054467.516443491</v>
      </c>
      <c r="S78" s="32">
        <f t="shared" ca="1" si="76"/>
        <v>654370.7646362707</v>
      </c>
      <c r="T78" s="50">
        <f t="shared" ca="1" si="77"/>
        <v>3.2142264805927856E-2</v>
      </c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</row>
    <row r="79" spans="1:34" x14ac:dyDescent="0.2">
      <c r="A79" s="2">
        <v>42856</v>
      </c>
      <c r="B79">
        <f t="shared" si="72"/>
        <v>2017</v>
      </c>
      <c r="C79">
        <f t="shared" si="73"/>
        <v>5</v>
      </c>
      <c r="D79" s="151">
        <f>Data!D78</f>
        <v>20438887.527710862</v>
      </c>
      <c r="E79" s="151">
        <f>Data!E78</f>
        <v>958479.98780037428</v>
      </c>
      <c r="F79" s="151">
        <f>Data!F78</f>
        <v>21397367.515511237</v>
      </c>
      <c r="G79" s="129">
        <f>Data!AP78</f>
        <v>125.89999999999998</v>
      </c>
      <c r="H79" s="129">
        <f>Data!AQ78</f>
        <v>19.900000000000002</v>
      </c>
      <c r="I79" s="146">
        <f t="shared" ref="I79:J79" ca="1" si="89">I91</f>
        <v>93.759999999999991</v>
      </c>
      <c r="J79" s="146">
        <f t="shared" ca="1" si="89"/>
        <v>43.35</v>
      </c>
      <c r="K79" s="32">
        <f>Data!BG78</f>
        <v>31</v>
      </c>
      <c r="L79" s="32">
        <f>Data!BX78</f>
        <v>1</v>
      </c>
      <c r="M79" s="32">
        <f>Data!BR78</f>
        <v>0</v>
      </c>
      <c r="N79" s="41">
        <f>Data!AA78</f>
        <v>34202</v>
      </c>
      <c r="O79" s="255">
        <f>Data!CG78</f>
        <v>0</v>
      </c>
      <c r="P79" s="78">
        <f>Data!CH78</f>
        <v>0</v>
      </c>
      <c r="Q79" s="32">
        <f t="shared" ca="1" si="79"/>
        <v>22357885.268440198</v>
      </c>
      <c r="R79" s="145">
        <f t="shared" ca="1" si="75"/>
        <v>21399405.280639824</v>
      </c>
      <c r="S79" s="32">
        <f t="shared" ca="1" si="76"/>
        <v>960517.75292896107</v>
      </c>
      <c r="T79" s="50">
        <f t="shared" ca="1" si="77"/>
        <v>4.4889529155054654E-2</v>
      </c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</row>
    <row r="80" spans="1:34" x14ac:dyDescent="0.2">
      <c r="A80" s="2">
        <v>42887</v>
      </c>
      <c r="B80">
        <f t="shared" si="72"/>
        <v>2017</v>
      </c>
      <c r="C80">
        <f t="shared" si="73"/>
        <v>6</v>
      </c>
      <c r="D80" s="151">
        <f>Data!D79</f>
        <v>27578153.118072305</v>
      </c>
      <c r="E80" s="151">
        <f>Data!E79</f>
        <v>958479.98780037428</v>
      </c>
      <c r="F80" s="151">
        <f>Data!F79</f>
        <v>28536633.10587268</v>
      </c>
      <c r="G80" s="129">
        <f>Data!AP79</f>
        <v>8.8000000000000007</v>
      </c>
      <c r="H80" s="129">
        <f>Data!AQ79</f>
        <v>110.30000000000001</v>
      </c>
      <c r="I80" s="146">
        <f t="shared" ref="I80:J80" ca="1" si="90">I92</f>
        <v>8.7399999999999984</v>
      </c>
      <c r="J80" s="146">
        <f t="shared" ca="1" si="90"/>
        <v>118.63000000000002</v>
      </c>
      <c r="K80" s="32">
        <f>Data!BG79</f>
        <v>30</v>
      </c>
      <c r="L80" s="32">
        <f>Data!BX79</f>
        <v>0</v>
      </c>
      <c r="M80" s="32">
        <f>Data!BR79</f>
        <v>0</v>
      </c>
      <c r="N80" s="41">
        <f>Data!AA79</f>
        <v>34272</v>
      </c>
      <c r="O80" s="255">
        <f>Data!CG79</f>
        <v>0</v>
      </c>
      <c r="P80" s="78">
        <f>Data!CH79</f>
        <v>0</v>
      </c>
      <c r="Q80" s="32">
        <f t="shared" ca="1" si="79"/>
        <v>28977036.650141288</v>
      </c>
      <c r="R80" s="145">
        <f t="shared" ca="1" si="75"/>
        <v>28018556.662340913</v>
      </c>
      <c r="S80" s="32">
        <f t="shared" ca="1" si="76"/>
        <v>440403.54426860809</v>
      </c>
      <c r="T80" s="50">
        <f t="shared" ca="1" si="77"/>
        <v>1.5432918895326005E-2</v>
      </c>
    </row>
    <row r="81" spans="1:34" x14ac:dyDescent="0.2">
      <c r="A81" s="2">
        <v>42917</v>
      </c>
      <c r="B81">
        <f t="shared" si="72"/>
        <v>2017</v>
      </c>
      <c r="C81">
        <f t="shared" si="73"/>
        <v>7</v>
      </c>
      <c r="D81" s="151">
        <f>Data!D80</f>
        <v>28972066.226506032</v>
      </c>
      <c r="E81" s="151">
        <f>Data!E80</f>
        <v>958479.98780037428</v>
      </c>
      <c r="F81" s="151">
        <f>Data!F80</f>
        <v>29930546.214306407</v>
      </c>
      <c r="G81" s="129">
        <f>Data!AP80</f>
        <v>0</v>
      </c>
      <c r="H81" s="129">
        <f>Data!AQ80</f>
        <v>178.50000000000003</v>
      </c>
      <c r="I81" s="146">
        <f t="shared" ref="I81:J81" ca="1" si="91">I93</f>
        <v>0</v>
      </c>
      <c r="J81" s="146">
        <f t="shared" ca="1" si="91"/>
        <v>207.41000000000003</v>
      </c>
      <c r="K81" s="32">
        <f>Data!BG80</f>
        <v>31</v>
      </c>
      <c r="L81" s="32">
        <f>Data!BX80</f>
        <v>0</v>
      </c>
      <c r="M81" s="32">
        <f>Data!BR80</f>
        <v>0</v>
      </c>
      <c r="N81" s="41">
        <f>Data!AA80</f>
        <v>34382</v>
      </c>
      <c r="O81" s="255">
        <f>Data!CG80</f>
        <v>0</v>
      </c>
      <c r="P81" s="78">
        <f>Data!CH80</f>
        <v>0</v>
      </c>
      <c r="Q81" s="32">
        <f t="shared" ca="1" si="79"/>
        <v>31460824.54979486</v>
      </c>
      <c r="R81" s="145">
        <f t="shared" ca="1" si="75"/>
        <v>30502344.561994486</v>
      </c>
      <c r="S81" s="32">
        <f t="shared" ca="1" si="76"/>
        <v>1530278.3354884535</v>
      </c>
      <c r="T81" s="50">
        <f t="shared" ca="1" si="77"/>
        <v>5.1127644799111638E-2</v>
      </c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</row>
    <row r="82" spans="1:34" x14ac:dyDescent="0.2">
      <c r="A82" s="2">
        <v>42948</v>
      </c>
      <c r="B82">
        <f t="shared" si="72"/>
        <v>2017</v>
      </c>
      <c r="C82">
        <f t="shared" si="73"/>
        <v>8</v>
      </c>
      <c r="D82" s="151">
        <f>Data!D81</f>
        <v>29587012.925301205</v>
      </c>
      <c r="E82" s="151">
        <f>Data!E81</f>
        <v>958479.98780037428</v>
      </c>
      <c r="F82" s="151">
        <f>Data!F81</f>
        <v>30545492.91310158</v>
      </c>
      <c r="G82" s="129">
        <f>Data!AP81</f>
        <v>1.9000000000000004</v>
      </c>
      <c r="H82" s="129">
        <f>Data!AQ81</f>
        <v>127.49999999999999</v>
      </c>
      <c r="I82" s="146">
        <f t="shared" ref="I82:J82" ca="1" si="92">I94</f>
        <v>0.29000000000000004</v>
      </c>
      <c r="J82" s="146">
        <f t="shared" ca="1" si="92"/>
        <v>180.75000000000006</v>
      </c>
      <c r="K82" s="32">
        <f>Data!BG81</f>
        <v>31</v>
      </c>
      <c r="L82" s="32">
        <f>Data!BX81</f>
        <v>0</v>
      </c>
      <c r="M82" s="32">
        <f>Data!BR81</f>
        <v>0</v>
      </c>
      <c r="N82" s="41">
        <f>Data!AA81</f>
        <v>34485</v>
      </c>
      <c r="O82" s="255">
        <f>Data!CG81</f>
        <v>0</v>
      </c>
      <c r="P82" s="78">
        <f>Data!CH81</f>
        <v>0</v>
      </c>
      <c r="Q82" s="32">
        <f t="shared" ca="1" si="79"/>
        <v>33350084.432464018</v>
      </c>
      <c r="R82" s="145">
        <f t="shared" ca="1" si="75"/>
        <v>32391604.444663644</v>
      </c>
      <c r="S82" s="32">
        <f t="shared" ca="1" si="76"/>
        <v>2804591.5193624385</v>
      </c>
      <c r="T82" s="50">
        <f t="shared" ca="1" si="77"/>
        <v>9.1816868935170867E-2</v>
      </c>
    </row>
    <row r="83" spans="1:34" x14ac:dyDescent="0.2">
      <c r="A83" s="2">
        <v>42979</v>
      </c>
      <c r="B83">
        <f t="shared" si="72"/>
        <v>2017</v>
      </c>
      <c r="C83">
        <f t="shared" si="73"/>
        <v>9</v>
      </c>
      <c r="D83" s="151">
        <f>Data!D82</f>
        <v>25857618.775903624</v>
      </c>
      <c r="E83" s="151">
        <f>Data!E82</f>
        <v>958479.98780037428</v>
      </c>
      <c r="F83" s="151">
        <f>Data!F82</f>
        <v>26816098.763703998</v>
      </c>
      <c r="G83" s="129">
        <f>Data!AP82</f>
        <v>25.2</v>
      </c>
      <c r="H83" s="129">
        <f>Data!AQ82</f>
        <v>107.6</v>
      </c>
      <c r="I83" s="146">
        <f t="shared" ref="I83:J83" ca="1" si="93">I95</f>
        <v>27</v>
      </c>
      <c r="J83" s="146">
        <f t="shared" ca="1" si="93"/>
        <v>80.61</v>
      </c>
      <c r="K83" s="32">
        <f>Data!BG82</f>
        <v>30</v>
      </c>
      <c r="L83" s="32">
        <f>Data!BX82</f>
        <v>1</v>
      </c>
      <c r="M83" s="32">
        <f>Data!BR82</f>
        <v>1</v>
      </c>
      <c r="N83" s="41">
        <f>Data!AA82</f>
        <v>34561</v>
      </c>
      <c r="O83" s="255">
        <f>Data!CG82</f>
        <v>0</v>
      </c>
      <c r="P83" s="78">
        <f>Data!CH82</f>
        <v>0</v>
      </c>
      <c r="Q83" s="32">
        <f t="shared" ca="1" si="79"/>
        <v>25403174.163896587</v>
      </c>
      <c r="R83" s="145">
        <f t="shared" ca="1" si="75"/>
        <v>24444694.176096212</v>
      </c>
      <c r="S83" s="32">
        <f t="shared" ca="1" si="76"/>
        <v>-1412924.5998074114</v>
      </c>
      <c r="T83" s="50">
        <f t="shared" ca="1" si="77"/>
        <v>5.2689416617148897E-2</v>
      </c>
    </row>
    <row r="84" spans="1:34" x14ac:dyDescent="0.2">
      <c r="A84" s="2">
        <v>43009</v>
      </c>
      <c r="B84">
        <f t="shared" si="72"/>
        <v>2017</v>
      </c>
      <c r="C84">
        <f t="shared" si="73"/>
        <v>10</v>
      </c>
      <c r="D84" s="151">
        <f>Data!D83</f>
        <v>20602579.845783144</v>
      </c>
      <c r="E84" s="151">
        <f>Data!E83</f>
        <v>958479.98780037428</v>
      </c>
      <c r="F84" s="151">
        <f>Data!F83</f>
        <v>21561059.833583519</v>
      </c>
      <c r="G84" s="129">
        <f>Data!AP83</f>
        <v>103.3</v>
      </c>
      <c r="H84" s="129">
        <f>Data!AQ83</f>
        <v>19.399999999999999</v>
      </c>
      <c r="I84" s="146">
        <f t="shared" ref="I84:J84" ca="1" si="94">I96</f>
        <v>167.57</v>
      </c>
      <c r="J84" s="146">
        <f t="shared" ca="1" si="94"/>
        <v>9.9699999999999989</v>
      </c>
      <c r="K84" s="32">
        <f>Data!BG83</f>
        <v>31</v>
      </c>
      <c r="L84" s="32">
        <f>Data!BX83</f>
        <v>1</v>
      </c>
      <c r="M84" s="32">
        <f>Data!BR83</f>
        <v>0</v>
      </c>
      <c r="N84" s="41">
        <f>Data!AA83</f>
        <v>34637</v>
      </c>
      <c r="O84" s="255">
        <f>Data!CG83</f>
        <v>0</v>
      </c>
      <c r="P84" s="78">
        <f>Data!CH83</f>
        <v>0</v>
      </c>
      <c r="Q84" s="32">
        <f t="shared" ca="1" si="79"/>
        <v>21623317.440343492</v>
      </c>
      <c r="R84" s="145">
        <f t="shared" ca="1" si="75"/>
        <v>20664837.452543117</v>
      </c>
      <c r="S84" s="32">
        <f t="shared" ca="1" si="76"/>
        <v>62257.60675997287</v>
      </c>
      <c r="T84" s="50">
        <f t="shared" ca="1" si="77"/>
        <v>2.8875021562251957E-3</v>
      </c>
    </row>
    <row r="85" spans="1:34" x14ac:dyDescent="0.2">
      <c r="A85" s="2">
        <v>43040</v>
      </c>
      <c r="B85">
        <f t="shared" si="72"/>
        <v>2017</v>
      </c>
      <c r="C85">
        <f t="shared" si="73"/>
        <v>11</v>
      </c>
      <c r="D85" s="151">
        <f>Data!D84</f>
        <v>22620692.693975899</v>
      </c>
      <c r="E85" s="151">
        <f>Data!E84</f>
        <v>958479.98780037428</v>
      </c>
      <c r="F85" s="151">
        <f>Data!F84</f>
        <v>23579172.681776274</v>
      </c>
      <c r="G85" s="129">
        <f>Data!AP84</f>
        <v>369.4</v>
      </c>
      <c r="H85" s="129">
        <f>Data!AQ84</f>
        <v>0</v>
      </c>
      <c r="I85" s="146">
        <f t="shared" ref="I85:J85" ca="1" si="95">I97</f>
        <v>366.25</v>
      </c>
      <c r="J85" s="146">
        <f t="shared" ca="1" si="95"/>
        <v>1.0000000000000142E-2</v>
      </c>
      <c r="K85" s="32">
        <f>Data!BG84</f>
        <v>30</v>
      </c>
      <c r="L85" s="32">
        <f>Data!BX84</f>
        <v>1</v>
      </c>
      <c r="M85" s="32">
        <f>Data!BR84</f>
        <v>0</v>
      </c>
      <c r="N85" s="41">
        <f>Data!AA84</f>
        <v>34794</v>
      </c>
      <c r="O85" s="255">
        <f>Data!CG84</f>
        <v>0</v>
      </c>
      <c r="P85" s="78">
        <f>Data!CH84</f>
        <v>0</v>
      </c>
      <c r="Q85" s="32">
        <f t="shared" ca="1" si="79"/>
        <v>23552186.141414911</v>
      </c>
      <c r="R85" s="145">
        <f t="shared" ca="1" si="75"/>
        <v>22593706.153614536</v>
      </c>
      <c r="S85" s="32">
        <f t="shared" ca="1" si="76"/>
        <v>-26986.540361363441</v>
      </c>
      <c r="T85" s="50">
        <f t="shared" ca="1" si="77"/>
        <v>1.1445075162548274E-3</v>
      </c>
    </row>
    <row r="86" spans="1:34" x14ac:dyDescent="0.2">
      <c r="A86" s="2">
        <v>43070</v>
      </c>
      <c r="B86">
        <f t="shared" si="72"/>
        <v>2017</v>
      </c>
      <c r="C86">
        <f t="shared" si="73"/>
        <v>12</v>
      </c>
      <c r="D86" s="151">
        <f>Data!D85</f>
        <v>26519901.040963847</v>
      </c>
      <c r="E86" s="151">
        <f>Data!E85</f>
        <v>958479.98780037428</v>
      </c>
      <c r="F86" s="151">
        <f>Data!F85</f>
        <v>27478381.028764222</v>
      </c>
      <c r="G86" s="129">
        <f>Data!AP85</f>
        <v>656.49999999999989</v>
      </c>
      <c r="H86" s="129">
        <f>Data!AQ85</f>
        <v>0</v>
      </c>
      <c r="I86" s="146">
        <f t="shared" ref="I86:J86" ca="1" si="96">I98</f>
        <v>513.3599999999999</v>
      </c>
      <c r="J86" s="146">
        <f t="shared" ca="1" si="96"/>
        <v>0</v>
      </c>
      <c r="K86" s="32">
        <f>Data!BG85</f>
        <v>31</v>
      </c>
      <c r="L86" s="32">
        <f>Data!BX85</f>
        <v>0</v>
      </c>
      <c r="M86" s="32">
        <f>Data!BR85</f>
        <v>0</v>
      </c>
      <c r="N86" s="41">
        <f>Data!AA85</f>
        <v>34878</v>
      </c>
      <c r="O86" s="255">
        <f>Data!CG85</f>
        <v>0</v>
      </c>
      <c r="P86" s="78">
        <f>Data!CH85</f>
        <v>0</v>
      </c>
      <c r="Q86" s="32">
        <f t="shared" ca="1" si="79"/>
        <v>26228025.169727199</v>
      </c>
      <c r="R86" s="145">
        <f t="shared" ca="1" si="75"/>
        <v>25269545.181926824</v>
      </c>
      <c r="S86" s="32">
        <f t="shared" ca="1" si="76"/>
        <v>-1250355.859037023</v>
      </c>
      <c r="T86" s="50">
        <f t="shared" ca="1" si="77"/>
        <v>4.55032579149462E-2</v>
      </c>
    </row>
    <row r="87" spans="1:34" x14ac:dyDescent="0.2">
      <c r="A87" s="2">
        <v>43101</v>
      </c>
      <c r="B87">
        <f t="shared" si="72"/>
        <v>2018</v>
      </c>
      <c r="C87">
        <f t="shared" si="73"/>
        <v>1</v>
      </c>
      <c r="D87" s="151">
        <f>Data!D86</f>
        <v>28325353.78313252</v>
      </c>
      <c r="E87" s="151">
        <f>Data!E86</f>
        <v>1281849.6400688274</v>
      </c>
      <c r="F87" s="151">
        <f>Data!F86</f>
        <v>29607203.423201349</v>
      </c>
      <c r="G87" s="129">
        <f>Data!AP86</f>
        <v>670.29999999999984</v>
      </c>
      <c r="H87" s="129">
        <f>Data!AQ86</f>
        <v>0</v>
      </c>
      <c r="I87" s="146">
        <f t="shared" ref="I87:J87" ca="1" si="97">I99</f>
        <v>625.5</v>
      </c>
      <c r="J87" s="146">
        <f t="shared" ca="1" si="97"/>
        <v>0</v>
      </c>
      <c r="K87" s="32">
        <f>Data!BG86</f>
        <v>31</v>
      </c>
      <c r="L87" s="32">
        <f>Data!BX86</f>
        <v>0</v>
      </c>
      <c r="M87" s="32">
        <f>Data!BR86</f>
        <v>0</v>
      </c>
      <c r="N87" s="41">
        <f>Data!AA86</f>
        <v>34927</v>
      </c>
      <c r="O87" s="255">
        <f>Data!CG86</f>
        <v>0</v>
      </c>
      <c r="P87" s="78">
        <f>Data!CH86</f>
        <v>0</v>
      </c>
      <c r="Q87" s="32">
        <f t="shared" ca="1" si="79"/>
        <v>29215866.672573581</v>
      </c>
      <c r="R87" s="145">
        <f t="shared" ca="1" si="75"/>
        <v>27934017.032504752</v>
      </c>
      <c r="S87" s="32">
        <f t="shared" ca="1" si="76"/>
        <v>-391336.75062776729</v>
      </c>
      <c r="T87" s="50">
        <f t="shared" ca="1" si="77"/>
        <v>1.3217619544610575E-2</v>
      </c>
    </row>
    <row r="88" spans="1:34" x14ac:dyDescent="0.2">
      <c r="A88" s="2">
        <v>43132</v>
      </c>
      <c r="B88">
        <f t="shared" si="72"/>
        <v>2018</v>
      </c>
      <c r="C88">
        <f t="shared" si="73"/>
        <v>2</v>
      </c>
      <c r="D88" s="151">
        <f>Data!D87</f>
        <v>22897439.132530119</v>
      </c>
      <c r="E88" s="151">
        <f>Data!E87</f>
        <v>1281849.6400688274</v>
      </c>
      <c r="F88" s="151">
        <f>Data!F87</f>
        <v>24179288.772598948</v>
      </c>
      <c r="G88" s="129">
        <f>Data!AP87</f>
        <v>499.00000000000011</v>
      </c>
      <c r="H88" s="129">
        <f>Data!AQ87</f>
        <v>0</v>
      </c>
      <c r="I88" s="146">
        <f t="shared" ref="I88:J88" ca="1" si="98">I100</f>
        <v>573.20999999999992</v>
      </c>
      <c r="J88" s="146">
        <f t="shared" ca="1" si="98"/>
        <v>0</v>
      </c>
      <c r="K88" s="32">
        <f>Data!BG87</f>
        <v>28</v>
      </c>
      <c r="L88" s="32">
        <f>Data!BX87</f>
        <v>0</v>
      </c>
      <c r="M88" s="32">
        <f>Data!BR87</f>
        <v>0</v>
      </c>
      <c r="N88" s="41">
        <f>Data!AA87</f>
        <v>35069</v>
      </c>
      <c r="O88" s="255">
        <f>Data!CG87</f>
        <v>0</v>
      </c>
      <c r="P88" s="78">
        <f>Data!CH87</f>
        <v>0</v>
      </c>
      <c r="Q88" s="32">
        <f t="shared" ca="1" si="79"/>
        <v>24827527.617779452</v>
      </c>
      <c r="R88" s="145">
        <f t="shared" ca="1" si="75"/>
        <v>23545677.977710623</v>
      </c>
      <c r="S88" s="32">
        <f t="shared" ca="1" si="76"/>
        <v>648238.84518050402</v>
      </c>
      <c r="T88" s="50">
        <f t="shared" ca="1" si="77"/>
        <v>2.6809673819484604E-2</v>
      </c>
    </row>
    <row r="89" spans="1:34" x14ac:dyDescent="0.2">
      <c r="A89" s="2">
        <v>43160</v>
      </c>
      <c r="B89">
        <f t="shared" si="72"/>
        <v>2018</v>
      </c>
      <c r="C89">
        <f t="shared" si="73"/>
        <v>3</v>
      </c>
      <c r="D89" s="151">
        <f>Data!D88</f>
        <v>24842177.96626506</v>
      </c>
      <c r="E89" s="151">
        <f>Data!E88</f>
        <v>1281849.6400688274</v>
      </c>
      <c r="F89" s="151">
        <f>Data!F88</f>
        <v>26124027.606333889</v>
      </c>
      <c r="G89" s="129">
        <f>Data!AP88</f>
        <v>492</v>
      </c>
      <c r="H89" s="129">
        <f>Data!AQ88</f>
        <v>0</v>
      </c>
      <c r="I89" s="146">
        <f t="shared" ref="I89:J89" ca="1" si="99">I101</f>
        <v>471.05</v>
      </c>
      <c r="J89" s="146">
        <f t="shared" ca="1" si="99"/>
        <v>0.3</v>
      </c>
      <c r="K89" s="32">
        <f>Data!BG88</f>
        <v>31</v>
      </c>
      <c r="L89" s="32">
        <f>Data!BX88</f>
        <v>1</v>
      </c>
      <c r="M89" s="32">
        <f>Data!BR88</f>
        <v>0</v>
      </c>
      <c r="N89" s="41">
        <f>Data!AA88</f>
        <v>35293</v>
      </c>
      <c r="O89" s="255">
        <f>Data!CG88</f>
        <v>0</v>
      </c>
      <c r="P89" s="78">
        <f>Data!CH88</f>
        <v>0</v>
      </c>
      <c r="Q89" s="32">
        <f t="shared" ca="1" si="79"/>
        <v>25956905.011758029</v>
      </c>
      <c r="R89" s="145">
        <f t="shared" ca="1" si="75"/>
        <v>24675055.3716892</v>
      </c>
      <c r="S89" s="32">
        <f t="shared" ca="1" si="76"/>
        <v>-167122.59457585961</v>
      </c>
      <c r="T89" s="50">
        <f t="shared" ca="1" si="77"/>
        <v>6.3972752247184114E-3</v>
      </c>
    </row>
    <row r="90" spans="1:34" x14ac:dyDescent="0.2">
      <c r="A90" s="2">
        <v>43191</v>
      </c>
      <c r="B90">
        <f t="shared" si="72"/>
        <v>2018</v>
      </c>
      <c r="C90">
        <f t="shared" si="73"/>
        <v>4</v>
      </c>
      <c r="D90" s="151">
        <f>Data!D89</f>
        <v>21016838.76626505</v>
      </c>
      <c r="E90" s="151">
        <f>Data!E89</f>
        <v>1281849.6400688274</v>
      </c>
      <c r="F90" s="151">
        <f>Data!F89</f>
        <v>22298688.406333879</v>
      </c>
      <c r="G90" s="129">
        <f>Data!AP89</f>
        <v>377.2</v>
      </c>
      <c r="H90" s="129">
        <f>Data!AQ89</f>
        <v>0</v>
      </c>
      <c r="I90" s="146">
        <f t="shared" ref="I90:J90" ca="1" si="100">I102</f>
        <v>285.58000000000004</v>
      </c>
      <c r="J90" s="146">
        <f t="shared" ca="1" si="100"/>
        <v>0.38999999999999985</v>
      </c>
      <c r="K90" s="32">
        <f>Data!BG89</f>
        <v>30</v>
      </c>
      <c r="L90" s="32">
        <f>Data!BX89</f>
        <v>1</v>
      </c>
      <c r="M90" s="32">
        <f>Data!BR89</f>
        <v>0</v>
      </c>
      <c r="N90" s="41">
        <f>Data!AA89</f>
        <v>35464</v>
      </c>
      <c r="O90" s="255">
        <f>Data!CG89</f>
        <v>0</v>
      </c>
      <c r="P90" s="78">
        <f>Data!CH89</f>
        <v>0</v>
      </c>
      <c r="Q90" s="32">
        <f t="shared" ca="1" si="79"/>
        <v>21519013.482287746</v>
      </c>
      <c r="R90" s="145">
        <f t="shared" ca="1" si="75"/>
        <v>20237163.842218917</v>
      </c>
      <c r="S90" s="32">
        <f t="shared" ca="1" si="76"/>
        <v>-779674.92404613271</v>
      </c>
      <c r="T90" s="50">
        <f t="shared" ca="1" si="77"/>
        <v>3.4965057578214706E-2</v>
      </c>
    </row>
    <row r="91" spans="1:34" x14ac:dyDescent="0.2">
      <c r="A91" s="2">
        <v>43221</v>
      </c>
      <c r="B91">
        <f t="shared" si="72"/>
        <v>2018</v>
      </c>
      <c r="C91">
        <f t="shared" si="73"/>
        <v>5</v>
      </c>
      <c r="D91" s="151">
        <f>Data!D90</f>
        <v>23626890.708433751</v>
      </c>
      <c r="E91" s="151">
        <f>Data!E90</f>
        <v>1281849.6400688274</v>
      </c>
      <c r="F91" s="151">
        <f>Data!F90</f>
        <v>24908740.34850258</v>
      </c>
      <c r="G91" s="129">
        <f>Data!AP90</f>
        <v>39.300000000000004</v>
      </c>
      <c r="H91" s="129">
        <f>Data!AQ90</f>
        <v>69.399999999999991</v>
      </c>
      <c r="I91" s="146">
        <f t="shared" ref="I91:J91" ca="1" si="101">I103</f>
        <v>93.759999999999991</v>
      </c>
      <c r="J91" s="146">
        <f t="shared" ca="1" si="101"/>
        <v>43.35</v>
      </c>
      <c r="K91" s="32">
        <f>Data!BG90</f>
        <v>31</v>
      </c>
      <c r="L91" s="32">
        <f>Data!BX90</f>
        <v>1</v>
      </c>
      <c r="M91" s="32">
        <f>Data!BR90</f>
        <v>0</v>
      </c>
      <c r="N91" s="41">
        <f>Data!AA90</f>
        <v>35588</v>
      </c>
      <c r="O91" s="255">
        <f>Data!CG90</f>
        <v>0</v>
      </c>
      <c r="P91" s="78">
        <f>Data!CH90</f>
        <v>0</v>
      </c>
      <c r="Q91" s="32">
        <f t="shared" ca="1" si="79"/>
        <v>24005567.676801682</v>
      </c>
      <c r="R91" s="145">
        <f t="shared" ca="1" si="75"/>
        <v>22723718.036732852</v>
      </c>
      <c r="S91" s="32">
        <f t="shared" ca="1" si="76"/>
        <v>-903172.67170089856</v>
      </c>
      <c r="T91" s="50">
        <f t="shared" ca="1" si="77"/>
        <v>3.6259267191533988E-2</v>
      </c>
    </row>
    <row r="92" spans="1:34" x14ac:dyDescent="0.2">
      <c r="A92" s="2">
        <v>43252</v>
      </c>
      <c r="B92">
        <f t="shared" si="72"/>
        <v>2018</v>
      </c>
      <c r="C92">
        <f t="shared" si="73"/>
        <v>6</v>
      </c>
      <c r="D92" s="151">
        <f>Data!D91</f>
        <v>32759189.532530148</v>
      </c>
      <c r="E92" s="151">
        <f>Data!E91</f>
        <v>1281849.6400688274</v>
      </c>
      <c r="F92" s="151">
        <f>Data!F91</f>
        <v>34041039.172598973</v>
      </c>
      <c r="G92" s="129">
        <f>Data!AP91</f>
        <v>5.6999999999999993</v>
      </c>
      <c r="H92" s="129">
        <f>Data!AQ91</f>
        <v>111.39999999999998</v>
      </c>
      <c r="I92" s="146">
        <f t="shared" ref="I92:J92" ca="1" si="102">I104</f>
        <v>8.7399999999999984</v>
      </c>
      <c r="J92" s="146">
        <f t="shared" ca="1" si="102"/>
        <v>118.63000000000002</v>
      </c>
      <c r="K92" s="32">
        <f>Data!BG91</f>
        <v>30</v>
      </c>
      <c r="L92" s="32">
        <f>Data!BX91</f>
        <v>0</v>
      </c>
      <c r="M92" s="32">
        <f>Data!BR91</f>
        <v>0</v>
      </c>
      <c r="N92" s="41">
        <f>Data!AA91</f>
        <v>35766</v>
      </c>
      <c r="O92" s="255">
        <f>Data!CG91</f>
        <v>0</v>
      </c>
      <c r="P92" s="78">
        <f>Data!CH91</f>
        <v>0</v>
      </c>
      <c r="Q92" s="32">
        <f t="shared" ca="1" si="79"/>
        <v>34450296.081492975</v>
      </c>
      <c r="R92" s="145">
        <f t="shared" ca="1" si="75"/>
        <v>33168446.441424146</v>
      </c>
      <c r="S92" s="32">
        <f t="shared" ca="1" si="76"/>
        <v>409256.90889400244</v>
      </c>
      <c r="T92" s="50">
        <f t="shared" ca="1" si="77"/>
        <v>1.2022456389152482E-2</v>
      </c>
    </row>
    <row r="93" spans="1:34" x14ac:dyDescent="0.2">
      <c r="A93" s="2">
        <v>43282</v>
      </c>
      <c r="B93">
        <f t="shared" si="72"/>
        <v>2018</v>
      </c>
      <c r="C93">
        <f t="shared" si="73"/>
        <v>7</v>
      </c>
      <c r="D93" s="151">
        <f>Data!D92</f>
        <v>33985677.465060242</v>
      </c>
      <c r="E93" s="151">
        <f>Data!E92</f>
        <v>1281849.6400688274</v>
      </c>
      <c r="F93" s="151">
        <f>Data!F92</f>
        <v>35267527.105129071</v>
      </c>
      <c r="G93" s="129">
        <f>Data!AP92</f>
        <v>0</v>
      </c>
      <c r="H93" s="129">
        <f>Data!AQ92</f>
        <v>229.79999999999998</v>
      </c>
      <c r="I93" s="146">
        <f t="shared" ref="I93:J93" ca="1" si="103">I105</f>
        <v>0</v>
      </c>
      <c r="J93" s="146">
        <f t="shared" ca="1" si="103"/>
        <v>207.41000000000003</v>
      </c>
      <c r="K93" s="32">
        <f>Data!BG92</f>
        <v>31</v>
      </c>
      <c r="L93" s="32">
        <f>Data!BX92</f>
        <v>0</v>
      </c>
      <c r="M93" s="32">
        <f>Data!BR92</f>
        <v>0</v>
      </c>
      <c r="N93" s="41">
        <f>Data!AA92</f>
        <v>35939</v>
      </c>
      <c r="O93" s="255">
        <f>Data!CG92</f>
        <v>0</v>
      </c>
      <c r="P93" s="78">
        <f>Data!CH92</f>
        <v>0</v>
      </c>
      <c r="Q93" s="32">
        <f t="shared" ca="1" si="79"/>
        <v>34082368.615624182</v>
      </c>
      <c r="R93" s="145">
        <f t="shared" ca="1" si="75"/>
        <v>32800518.975555353</v>
      </c>
      <c r="S93" s="32">
        <f t="shared" ca="1" si="76"/>
        <v>-1185158.4895048887</v>
      </c>
      <c r="T93" s="50">
        <f t="shared" ca="1" si="77"/>
        <v>3.3604808354496939E-2</v>
      </c>
    </row>
    <row r="94" spans="1:34" x14ac:dyDescent="0.2">
      <c r="A94" s="2">
        <v>43313</v>
      </c>
      <c r="B94">
        <f t="shared" si="72"/>
        <v>2018</v>
      </c>
      <c r="C94">
        <f t="shared" si="73"/>
        <v>8</v>
      </c>
      <c r="D94" s="151">
        <f>Data!D93</f>
        <v>36600647.12289153</v>
      </c>
      <c r="E94" s="151">
        <f>Data!E93</f>
        <v>1281849.6400688274</v>
      </c>
      <c r="F94" s="151">
        <f>Data!F93</f>
        <v>37882496.762960359</v>
      </c>
      <c r="G94" s="129">
        <f>Data!AP93</f>
        <v>0</v>
      </c>
      <c r="H94" s="129">
        <f>Data!AQ93</f>
        <v>223.20000000000002</v>
      </c>
      <c r="I94" s="146">
        <f t="shared" ref="I94:J94" ca="1" si="104">I106</f>
        <v>0.29000000000000004</v>
      </c>
      <c r="J94" s="146">
        <f t="shared" ca="1" si="104"/>
        <v>180.75000000000006</v>
      </c>
      <c r="K94" s="32">
        <f>Data!BG93</f>
        <v>31</v>
      </c>
      <c r="L94" s="32">
        <f>Data!BX93</f>
        <v>0</v>
      </c>
      <c r="M94" s="32">
        <f>Data!BR93</f>
        <v>0</v>
      </c>
      <c r="N94" s="41">
        <f>Data!AA93</f>
        <v>36069</v>
      </c>
      <c r="O94" s="255">
        <f>Data!CG93</f>
        <v>0</v>
      </c>
      <c r="P94" s="78">
        <f>Data!CH93</f>
        <v>0</v>
      </c>
      <c r="Q94" s="32">
        <f t="shared" ca="1" si="79"/>
        <v>35638045.696291849</v>
      </c>
      <c r="R94" s="145">
        <f t="shared" ca="1" si="75"/>
        <v>34356196.05622302</v>
      </c>
      <c r="S94" s="32">
        <f t="shared" ca="1" si="76"/>
        <v>-2244451.0666685104</v>
      </c>
      <c r="T94" s="50">
        <f t="shared" ca="1" si="77"/>
        <v>5.9247706947949223E-2</v>
      </c>
    </row>
    <row r="95" spans="1:34" x14ac:dyDescent="0.2">
      <c r="A95" s="2">
        <v>43344</v>
      </c>
      <c r="B95">
        <f t="shared" si="72"/>
        <v>2018</v>
      </c>
      <c r="C95">
        <f t="shared" si="73"/>
        <v>9</v>
      </c>
      <c r="D95" s="151">
        <f>Data!D94</f>
        <v>27341665.600000009</v>
      </c>
      <c r="E95" s="151">
        <f>Data!E94</f>
        <v>1281849.6400688274</v>
      </c>
      <c r="F95" s="151">
        <f>Data!F94</f>
        <v>28623515.240068838</v>
      </c>
      <c r="G95" s="129">
        <f>Data!AP94</f>
        <v>25.1</v>
      </c>
      <c r="H95" s="129">
        <f>Data!AQ94</f>
        <v>114.89999999999998</v>
      </c>
      <c r="I95" s="146">
        <f t="shared" ref="I95:J95" ca="1" si="105">I107</f>
        <v>27</v>
      </c>
      <c r="J95" s="146">
        <f t="shared" ca="1" si="105"/>
        <v>80.61</v>
      </c>
      <c r="K95" s="32">
        <f>Data!BG94</f>
        <v>30</v>
      </c>
      <c r="L95" s="32">
        <f>Data!BX94</f>
        <v>1</v>
      </c>
      <c r="M95" s="32">
        <f>Data!BR94</f>
        <v>1</v>
      </c>
      <c r="N95" s="41">
        <f>Data!AA94</f>
        <v>36128</v>
      </c>
      <c r="O95" s="255">
        <f>Data!CG94</f>
        <v>0</v>
      </c>
      <c r="P95" s="78">
        <f>Data!CH94</f>
        <v>0</v>
      </c>
      <c r="Q95" s="32">
        <f t="shared" ca="1" si="79"/>
        <v>26825056.970272608</v>
      </c>
      <c r="R95" s="145">
        <f t="shared" ca="1" si="75"/>
        <v>25543207.330203779</v>
      </c>
      <c r="S95" s="32">
        <f t="shared" ca="1" si="76"/>
        <v>-1798458.2697962299</v>
      </c>
      <c r="T95" s="50">
        <f t="shared" ca="1" si="77"/>
        <v>6.2831495527797543E-2</v>
      </c>
    </row>
    <row r="96" spans="1:34" x14ac:dyDescent="0.2">
      <c r="A96" s="2">
        <v>43374</v>
      </c>
      <c r="B96">
        <f t="shared" si="72"/>
        <v>2018</v>
      </c>
      <c r="C96">
        <f t="shared" si="73"/>
        <v>10</v>
      </c>
      <c r="D96" s="151">
        <f>Data!D95</f>
        <v>21787579.980722882</v>
      </c>
      <c r="E96" s="151">
        <f>Data!E95</f>
        <v>1281849.6400688274</v>
      </c>
      <c r="F96" s="151">
        <f>Data!F95</f>
        <v>23069429.620791711</v>
      </c>
      <c r="G96" s="129">
        <f>Data!AP95</f>
        <v>231.4</v>
      </c>
      <c r="H96" s="129">
        <f>Data!AQ95</f>
        <v>12.2</v>
      </c>
      <c r="I96" s="146">
        <f t="shared" ref="I96:J96" ca="1" si="106">I108</f>
        <v>167.57</v>
      </c>
      <c r="J96" s="146">
        <f t="shared" ca="1" si="106"/>
        <v>9.9699999999999989</v>
      </c>
      <c r="K96" s="32">
        <f>Data!BG95</f>
        <v>31</v>
      </c>
      <c r="L96" s="32">
        <f>Data!BX95</f>
        <v>1</v>
      </c>
      <c r="M96" s="32">
        <f>Data!BR95</f>
        <v>0</v>
      </c>
      <c r="N96" s="41">
        <f>Data!AA95</f>
        <v>36344</v>
      </c>
      <c r="O96" s="255">
        <f>Data!CG95</f>
        <v>0</v>
      </c>
      <c r="P96" s="78">
        <f>Data!CH95</f>
        <v>0</v>
      </c>
      <c r="Q96" s="32">
        <f t="shared" ca="1" si="79"/>
        <v>22393822.646575358</v>
      </c>
      <c r="R96" s="145">
        <f t="shared" ca="1" si="75"/>
        <v>21111973.006506529</v>
      </c>
      <c r="S96" s="32">
        <f t="shared" ca="1" si="76"/>
        <v>-675606.97421635315</v>
      </c>
      <c r="T96" s="50">
        <f t="shared" ca="1" si="77"/>
        <v>2.9285811800368527E-2</v>
      </c>
    </row>
    <row r="97" spans="1:41" x14ac:dyDescent="0.2">
      <c r="A97" s="2">
        <v>43405</v>
      </c>
      <c r="B97">
        <f t="shared" si="72"/>
        <v>2018</v>
      </c>
      <c r="C97">
        <f t="shared" si="73"/>
        <v>11</v>
      </c>
      <c r="D97" s="151">
        <f>Data!D96</f>
        <v>20895540.250602394</v>
      </c>
      <c r="E97" s="151">
        <f>Data!E96</f>
        <v>1281849.6400688274</v>
      </c>
      <c r="F97" s="151">
        <f>Data!F96</f>
        <v>22177389.890671223</v>
      </c>
      <c r="G97" s="129">
        <f>Data!AP96</f>
        <v>434.10000000000008</v>
      </c>
      <c r="H97" s="129">
        <f>Data!AQ96</f>
        <v>0</v>
      </c>
      <c r="I97" s="146">
        <f t="shared" ref="I97:J97" ca="1" si="107">I109</f>
        <v>366.25</v>
      </c>
      <c r="J97" s="146">
        <f t="shared" ca="1" si="107"/>
        <v>1.0000000000000142E-2</v>
      </c>
      <c r="K97" s="32">
        <f>Data!BG96</f>
        <v>30</v>
      </c>
      <c r="L97" s="32">
        <f>Data!BX96</f>
        <v>1</v>
      </c>
      <c r="M97" s="32">
        <f>Data!BR96</f>
        <v>0</v>
      </c>
      <c r="N97" s="41">
        <f>Data!AA96</f>
        <v>36437</v>
      </c>
      <c r="O97" s="255">
        <f>Data!CG96</f>
        <v>0</v>
      </c>
      <c r="P97" s="78">
        <f>Data!CH96</f>
        <v>0</v>
      </c>
      <c r="Q97" s="32">
        <f t="shared" ca="1" si="79"/>
        <v>21585236.21268449</v>
      </c>
      <c r="R97" s="145">
        <f t="shared" ca="1" si="75"/>
        <v>20303386.572615661</v>
      </c>
      <c r="S97" s="32">
        <f t="shared" ca="1" si="76"/>
        <v>-592153.67798673362</v>
      </c>
      <c r="T97" s="50">
        <f t="shared" ca="1" si="77"/>
        <v>2.6700783135702514E-2</v>
      </c>
    </row>
    <row r="98" spans="1:41" x14ac:dyDescent="0.2">
      <c r="A98" s="2">
        <v>43435</v>
      </c>
      <c r="B98">
        <f t="shared" si="72"/>
        <v>2018</v>
      </c>
      <c r="C98">
        <f t="shared" si="73"/>
        <v>12</v>
      </c>
      <c r="D98" s="151">
        <f>Data!D97</f>
        <v>29544191.980722886</v>
      </c>
      <c r="E98" s="151">
        <f>Data!E97</f>
        <v>1281849.6400688274</v>
      </c>
      <c r="F98" s="151">
        <f>Data!F97</f>
        <v>30826041.620791715</v>
      </c>
      <c r="G98" s="129">
        <f>Data!AP97</f>
        <v>501.6</v>
      </c>
      <c r="H98" s="129">
        <f>Data!AQ97</f>
        <v>0</v>
      </c>
      <c r="I98" s="146">
        <f t="shared" ref="I98:J98" ca="1" si="108">I110</f>
        <v>513.3599999999999</v>
      </c>
      <c r="J98" s="146">
        <f t="shared" ca="1" si="108"/>
        <v>0</v>
      </c>
      <c r="K98" s="32">
        <f>Data!BG97</f>
        <v>31</v>
      </c>
      <c r="L98" s="32">
        <f>Data!BX97</f>
        <v>0</v>
      </c>
      <c r="M98" s="32">
        <f>Data!BR97</f>
        <v>0</v>
      </c>
      <c r="N98" s="41">
        <f>Data!AA97</f>
        <v>36530</v>
      </c>
      <c r="O98" s="255">
        <f>Data!CG97</f>
        <v>0</v>
      </c>
      <c r="P98" s="78">
        <f>Data!CH97</f>
        <v>0</v>
      </c>
      <c r="Q98" s="32">
        <f t="shared" ca="1" si="79"/>
        <v>30928767.517831501</v>
      </c>
      <c r="R98" s="145">
        <f t="shared" ca="1" si="75"/>
        <v>29646917.877762672</v>
      </c>
      <c r="S98" s="32">
        <f t="shared" ca="1" si="76"/>
        <v>102725.89703978598</v>
      </c>
      <c r="T98" s="50">
        <f t="shared" ca="1" si="77"/>
        <v>3.3324387965044098E-3</v>
      </c>
    </row>
    <row r="99" spans="1:41" s="9" customFormat="1" x14ac:dyDescent="0.2">
      <c r="A99" s="2">
        <v>43466</v>
      </c>
      <c r="B99">
        <f t="shared" si="72"/>
        <v>2019</v>
      </c>
      <c r="C99">
        <f t="shared" si="73"/>
        <v>1</v>
      </c>
      <c r="D99" s="151">
        <f>Data!D98</f>
        <v>28887987.922891602</v>
      </c>
      <c r="E99" s="151">
        <f>Data!E98</f>
        <v>1408690.5797202766</v>
      </c>
      <c r="F99" s="151">
        <f>Data!F98</f>
        <v>30296678.502611879</v>
      </c>
      <c r="G99" s="129">
        <f>Data!AP98</f>
        <v>702.49999999999989</v>
      </c>
      <c r="H99" s="129">
        <f>Data!AQ98</f>
        <v>0</v>
      </c>
      <c r="I99" s="146">
        <f t="shared" ref="I99:J99" ca="1" si="109">I111</f>
        <v>625.5</v>
      </c>
      <c r="J99" s="146">
        <f t="shared" ca="1" si="109"/>
        <v>0</v>
      </c>
      <c r="K99" s="32">
        <f>Data!BG98</f>
        <v>31</v>
      </c>
      <c r="L99" s="32">
        <f>Data!BX98</f>
        <v>0</v>
      </c>
      <c r="M99" s="32">
        <f>Data!BR98</f>
        <v>0</v>
      </c>
      <c r="N99" s="41">
        <f>Data!AA98</f>
        <v>36566</v>
      </c>
      <c r="O99" s="255">
        <f>Data!CG98</f>
        <v>0</v>
      </c>
      <c r="P99" s="78">
        <f>Data!CH98</f>
        <v>0</v>
      </c>
      <c r="Q99" s="32">
        <f t="shared" ca="1" si="79"/>
        <v>29624068.462470405</v>
      </c>
      <c r="R99" s="145">
        <f t="shared" ca="1" si="75"/>
        <v>28215377.882750127</v>
      </c>
      <c r="S99" s="32">
        <f t="shared" ca="1" si="76"/>
        <v>-672610.04014147446</v>
      </c>
      <c r="T99" s="50">
        <f t="shared" ca="1" si="77"/>
        <v>2.2200784818160468E-2</v>
      </c>
      <c r="U99"/>
      <c r="V99"/>
      <c r="W99"/>
      <c r="X99"/>
      <c r="Y99"/>
      <c r="Z99"/>
      <c r="AA99"/>
      <c r="AB99"/>
      <c r="AC99"/>
      <c r="AD99"/>
      <c r="AE99"/>
      <c r="AF99"/>
      <c r="AG99" s="39"/>
      <c r="AH99" s="39"/>
      <c r="AI99" s="39"/>
      <c r="AJ99" s="39"/>
      <c r="AK99" s="39"/>
      <c r="AL99" s="39"/>
      <c r="AM99" s="39"/>
      <c r="AN99" s="39"/>
      <c r="AO99" s="39"/>
    </row>
    <row r="100" spans="1:41" x14ac:dyDescent="0.2">
      <c r="A100" s="2">
        <v>43497</v>
      </c>
      <c r="B100">
        <f t="shared" si="72"/>
        <v>2019</v>
      </c>
      <c r="C100">
        <f t="shared" si="73"/>
        <v>2</v>
      </c>
      <c r="D100" s="151">
        <f>Data!D99</f>
        <v>25855133.050602406</v>
      </c>
      <c r="E100" s="151">
        <f>Data!E99</f>
        <v>1408690.5797202766</v>
      </c>
      <c r="F100" s="151">
        <f>Data!F99</f>
        <v>27263823.630322684</v>
      </c>
      <c r="G100" s="129">
        <f>Data!AP99</f>
        <v>565.70000000000005</v>
      </c>
      <c r="H100" s="129">
        <f>Data!AQ99</f>
        <v>0</v>
      </c>
      <c r="I100" s="146">
        <f t="shared" ref="I100:J100" ca="1" si="110">I112</f>
        <v>573.20999999999992</v>
      </c>
      <c r="J100" s="146">
        <f t="shared" ca="1" si="110"/>
        <v>0</v>
      </c>
      <c r="K100" s="32">
        <f>Data!BG99</f>
        <v>28</v>
      </c>
      <c r="L100" s="32">
        <f>Data!BX99</f>
        <v>0</v>
      </c>
      <c r="M100" s="32">
        <f>Data!BR99</f>
        <v>0</v>
      </c>
      <c r="N100" s="41">
        <f>Data!AA99</f>
        <v>36622</v>
      </c>
      <c r="O100" s="255">
        <f>Data!CG99</f>
        <v>0</v>
      </c>
      <c r="P100" s="78">
        <f>Data!CH99</f>
        <v>0</v>
      </c>
      <c r="Q100" s="32">
        <f t="shared" ca="1" si="79"/>
        <v>27329424.947224792</v>
      </c>
      <c r="R100" s="145">
        <f t="shared" ca="1" si="75"/>
        <v>25920734.367504515</v>
      </c>
      <c r="S100" s="32">
        <f t="shared" ca="1" si="76"/>
        <v>65601.31690210849</v>
      </c>
      <c r="T100" s="50">
        <f t="shared" ca="1" si="77"/>
        <v>2.406167153647042E-3</v>
      </c>
    </row>
    <row r="101" spans="1:41" x14ac:dyDescent="0.2">
      <c r="A101" s="2">
        <v>43525</v>
      </c>
      <c r="B101">
        <f t="shared" si="72"/>
        <v>2019</v>
      </c>
      <c r="C101">
        <f t="shared" si="73"/>
        <v>3</v>
      </c>
      <c r="D101" s="151">
        <f>Data!D100</f>
        <v>23881199.306024097</v>
      </c>
      <c r="E101" s="151">
        <f>Data!E100</f>
        <v>1408690.5797202766</v>
      </c>
      <c r="F101" s="151">
        <f>Data!F100</f>
        <v>25289889.885744374</v>
      </c>
      <c r="G101" s="129">
        <f>Data!AP100</f>
        <v>531.9</v>
      </c>
      <c r="H101" s="129">
        <f>Data!AQ100</f>
        <v>0</v>
      </c>
      <c r="I101" s="146">
        <f t="shared" ref="I101:J101" ca="1" si="111">I113</f>
        <v>471.05</v>
      </c>
      <c r="J101" s="146">
        <f t="shared" ca="1" si="111"/>
        <v>0.3</v>
      </c>
      <c r="K101" s="32">
        <f>Data!BG100</f>
        <v>31</v>
      </c>
      <c r="L101" s="32">
        <f>Data!BX100</f>
        <v>1</v>
      </c>
      <c r="M101" s="32">
        <f>Data!BR100</f>
        <v>0</v>
      </c>
      <c r="N101" s="41">
        <f>Data!AA100</f>
        <v>36709</v>
      </c>
      <c r="O101" s="255">
        <f>Data!CG100</f>
        <v>0</v>
      </c>
      <c r="P101" s="78">
        <f>Data!CH100</f>
        <v>0</v>
      </c>
      <c r="Q101" s="32">
        <f t="shared" ref="Q101:Q134" ca="1" si="112">F101+(I101-G101)*$V$10+(J101-H101)*$V$11</f>
        <v>24774232.997640658</v>
      </c>
      <c r="R101" s="145">
        <f t="shared" ca="1" si="75"/>
        <v>23365542.417920381</v>
      </c>
      <c r="S101" s="32">
        <f t="shared" ca="1" si="76"/>
        <v>-515656.88810371608</v>
      </c>
      <c r="T101" s="50">
        <f t="shared" ca="1" si="77"/>
        <v>2.0389843152080551E-2</v>
      </c>
    </row>
    <row r="102" spans="1:41" x14ac:dyDescent="0.2">
      <c r="A102" s="2">
        <v>43556</v>
      </c>
      <c r="B102">
        <f t="shared" si="72"/>
        <v>2019</v>
      </c>
      <c r="C102">
        <f t="shared" si="73"/>
        <v>4</v>
      </c>
      <c r="D102" s="151">
        <f>Data!D101</f>
        <v>22676737.503614482</v>
      </c>
      <c r="E102" s="151">
        <f>Data!E101</f>
        <v>1408690.5797202766</v>
      </c>
      <c r="F102" s="151">
        <f>Data!F101</f>
        <v>24085428.083334759</v>
      </c>
      <c r="G102" s="129">
        <f>Data!AP101</f>
        <v>286.80000000000007</v>
      </c>
      <c r="H102" s="129">
        <f>Data!AQ101</f>
        <v>0</v>
      </c>
      <c r="I102" s="146">
        <f t="shared" ref="I102:J102" ca="1" si="113">I114</f>
        <v>285.58000000000004</v>
      </c>
      <c r="J102" s="146">
        <f t="shared" ca="1" si="113"/>
        <v>0.38999999999999985</v>
      </c>
      <c r="K102" s="32">
        <f>Data!BG101</f>
        <v>30</v>
      </c>
      <c r="L102" s="32">
        <f>Data!BX101</f>
        <v>1</v>
      </c>
      <c r="M102" s="32">
        <f>Data!BR101</f>
        <v>0</v>
      </c>
      <c r="N102" s="41">
        <f>Data!AA101</f>
        <v>36807</v>
      </c>
      <c r="O102" s="255">
        <f>Data!CG101</f>
        <v>0</v>
      </c>
      <c r="P102" s="78">
        <f>Data!CH101</f>
        <v>0</v>
      </c>
      <c r="Q102" s="32">
        <f t="shared" ca="1" si="112"/>
        <v>24095414.81680537</v>
      </c>
      <c r="R102" s="145">
        <f t="shared" ca="1" si="75"/>
        <v>22686724.237085093</v>
      </c>
      <c r="S102" s="32">
        <f t="shared" ca="1" si="76"/>
        <v>9986.7334706112742</v>
      </c>
      <c r="T102" s="50">
        <f t="shared" ca="1" si="77"/>
        <v>4.1463798924634086E-4</v>
      </c>
    </row>
    <row r="103" spans="1:41" x14ac:dyDescent="0.2">
      <c r="A103" s="2">
        <v>43586</v>
      </c>
      <c r="B103">
        <f t="shared" si="72"/>
        <v>2019</v>
      </c>
      <c r="C103">
        <f t="shared" si="73"/>
        <v>5</v>
      </c>
      <c r="D103" s="151">
        <f>Data!D102</f>
        <v>22100464.308433745</v>
      </c>
      <c r="E103" s="151">
        <f>Data!E102</f>
        <v>1408690.5797202766</v>
      </c>
      <c r="F103" s="151">
        <f>Data!F102</f>
        <v>23509154.888154022</v>
      </c>
      <c r="G103" s="129">
        <f>Data!AP102</f>
        <v>135.6</v>
      </c>
      <c r="H103" s="129">
        <f>Data!AQ102</f>
        <v>4.6000000000000014</v>
      </c>
      <c r="I103" s="146">
        <f t="shared" ref="I103:J103" ca="1" si="114">I115</f>
        <v>93.759999999999991</v>
      </c>
      <c r="J103" s="146">
        <f t="shared" ca="1" si="114"/>
        <v>43.35</v>
      </c>
      <c r="K103" s="32">
        <f>Data!BG102</f>
        <v>31</v>
      </c>
      <c r="L103" s="32">
        <f>Data!BX102</f>
        <v>1</v>
      </c>
      <c r="M103" s="32">
        <f>Data!BR102</f>
        <v>0</v>
      </c>
      <c r="N103" s="41">
        <f>Data!AA102</f>
        <v>36908</v>
      </c>
      <c r="O103" s="255">
        <f>Data!CG102</f>
        <v>0</v>
      </c>
      <c r="P103" s="78">
        <f>Data!CH102</f>
        <v>0</v>
      </c>
      <c r="Q103" s="32">
        <f t="shared" ca="1" si="112"/>
        <v>25194808.369659442</v>
      </c>
      <c r="R103" s="145">
        <f t="shared" ca="1" si="75"/>
        <v>23786117.789939165</v>
      </c>
      <c r="S103" s="32">
        <f t="shared" ca="1" si="76"/>
        <v>1685653.4815054201</v>
      </c>
      <c r="T103" s="50">
        <f t="shared" ca="1" si="77"/>
        <v>7.1702002455001065E-2</v>
      </c>
    </row>
    <row r="104" spans="1:41" x14ac:dyDescent="0.2">
      <c r="A104" s="2">
        <v>43617</v>
      </c>
      <c r="B104">
        <f t="shared" si="72"/>
        <v>2019</v>
      </c>
      <c r="C104">
        <f t="shared" si="73"/>
        <v>6</v>
      </c>
      <c r="D104" s="151">
        <f>Data!D103</f>
        <v>25171611.431325283</v>
      </c>
      <c r="E104" s="151">
        <f>Data!E103</f>
        <v>1408690.5797202766</v>
      </c>
      <c r="F104" s="151">
        <f>Data!F103</f>
        <v>26580302.01104556</v>
      </c>
      <c r="G104" s="129">
        <f>Data!AP103</f>
        <v>13.800000000000002</v>
      </c>
      <c r="H104" s="129">
        <f>Data!AQ103</f>
        <v>79.600000000000009</v>
      </c>
      <c r="I104" s="146">
        <f t="shared" ref="I104:J104" ca="1" si="115">I116</f>
        <v>8.7399999999999984</v>
      </c>
      <c r="J104" s="146">
        <f t="shared" ca="1" si="115"/>
        <v>118.63000000000002</v>
      </c>
      <c r="K104" s="32">
        <f>Data!BG103</f>
        <v>30</v>
      </c>
      <c r="L104" s="32">
        <f>Data!BX103</f>
        <v>0</v>
      </c>
      <c r="M104" s="32">
        <f>Data!BR103</f>
        <v>0</v>
      </c>
      <c r="N104" s="41">
        <f>Data!AA103</f>
        <v>37029</v>
      </c>
      <c r="O104" s="255">
        <f>Data!CG103</f>
        <v>0</v>
      </c>
      <c r="P104" s="78">
        <f>Data!CH103</f>
        <v>0</v>
      </c>
      <c r="Q104" s="32">
        <f t="shared" ca="1" si="112"/>
        <v>28602057.074340392</v>
      </c>
      <c r="R104" s="145">
        <f t="shared" ca="1" si="75"/>
        <v>27193366.494620115</v>
      </c>
      <c r="S104" s="32">
        <f t="shared" ca="1" si="76"/>
        <v>2021755.0632948317</v>
      </c>
      <c r="T104" s="50">
        <f t="shared" ca="1" si="77"/>
        <v>7.6062155443331031E-2</v>
      </c>
    </row>
    <row r="105" spans="1:41" x14ac:dyDescent="0.2">
      <c r="A105" s="2">
        <v>43647</v>
      </c>
      <c r="B105">
        <f t="shared" si="72"/>
        <v>2019</v>
      </c>
      <c r="C105">
        <f t="shared" si="73"/>
        <v>7</v>
      </c>
      <c r="D105" s="151">
        <f>Data!D104</f>
        <v>37225707.074698806</v>
      </c>
      <c r="E105" s="151">
        <f>Data!E104</f>
        <v>1408690.5797202766</v>
      </c>
      <c r="F105" s="151">
        <f>Data!F104</f>
        <v>38634397.654419079</v>
      </c>
      <c r="G105" s="129">
        <f>Data!AP104</f>
        <v>0</v>
      </c>
      <c r="H105" s="129">
        <f>Data!AQ104</f>
        <v>228.9</v>
      </c>
      <c r="I105" s="146">
        <f t="shared" ref="I105:J105" ca="1" si="116">I117</f>
        <v>0</v>
      </c>
      <c r="J105" s="146">
        <f t="shared" ca="1" si="116"/>
        <v>207.41000000000003</v>
      </c>
      <c r="K105" s="32">
        <f>Data!BG104</f>
        <v>31</v>
      </c>
      <c r="L105" s="32">
        <f>Data!BX104</f>
        <v>0</v>
      </c>
      <c r="M105" s="32">
        <f>Data!BR104</f>
        <v>0</v>
      </c>
      <c r="N105" s="41">
        <f>Data!AA104</f>
        <v>37141</v>
      </c>
      <c r="O105" s="255">
        <f>Data!CG104</f>
        <v>0</v>
      </c>
      <c r="P105" s="78">
        <f>Data!CH104</f>
        <v>0</v>
      </c>
      <c r="Q105" s="32">
        <f t="shared" ca="1" si="112"/>
        <v>37496878.407457933</v>
      </c>
      <c r="R105" s="145">
        <f t="shared" ca="1" si="75"/>
        <v>36088187.827737659</v>
      </c>
      <c r="S105" s="32">
        <f t="shared" ca="1" si="76"/>
        <v>-1137519.2469611466</v>
      </c>
      <c r="T105" s="50">
        <f t="shared" ca="1" si="77"/>
        <v>2.9443172820659592E-2</v>
      </c>
    </row>
    <row r="106" spans="1:41" x14ac:dyDescent="0.2">
      <c r="A106" s="2">
        <v>43678</v>
      </c>
      <c r="B106">
        <f t="shared" si="72"/>
        <v>2019</v>
      </c>
      <c r="C106">
        <f t="shared" si="73"/>
        <v>8</v>
      </c>
      <c r="D106" s="151">
        <f>Data!D105</f>
        <v>34053660.819277115</v>
      </c>
      <c r="E106" s="151">
        <f>Data!E105</f>
        <v>1408690.5797202766</v>
      </c>
      <c r="F106" s="151">
        <f>Data!F105</f>
        <v>35462351.398997389</v>
      </c>
      <c r="G106" s="129">
        <f>Data!AP105</f>
        <v>0</v>
      </c>
      <c r="H106" s="129">
        <f>Data!AQ105</f>
        <v>164.40000000000006</v>
      </c>
      <c r="I106" s="146">
        <f t="shared" ref="I106:J106" ca="1" si="117">I118</f>
        <v>0.29000000000000004</v>
      </c>
      <c r="J106" s="146">
        <f t="shared" ca="1" si="117"/>
        <v>180.75000000000006</v>
      </c>
      <c r="K106" s="32">
        <f>Data!BG105</f>
        <v>31</v>
      </c>
      <c r="L106" s="32">
        <f>Data!BX105</f>
        <v>0</v>
      </c>
      <c r="M106" s="32">
        <f>Data!BR105</f>
        <v>0</v>
      </c>
      <c r="N106" s="41">
        <f>Data!AA105</f>
        <v>37161</v>
      </c>
      <c r="O106" s="255">
        <f>Data!CG105</f>
        <v>0</v>
      </c>
      <c r="P106" s="78">
        <f>Data!CH105</f>
        <v>0</v>
      </c>
      <c r="Q106" s="32">
        <f t="shared" ca="1" si="112"/>
        <v>36330330.84518674</v>
      </c>
      <c r="R106" s="145">
        <f t="shared" ca="1" si="75"/>
        <v>34921640.265466467</v>
      </c>
      <c r="S106" s="32">
        <f t="shared" ca="1" si="76"/>
        <v>867979.44618935138</v>
      </c>
      <c r="T106" s="50">
        <f t="shared" ca="1" si="77"/>
        <v>2.4476082717230403E-2</v>
      </c>
    </row>
    <row r="107" spans="1:41" x14ac:dyDescent="0.2">
      <c r="A107" s="2">
        <v>43709</v>
      </c>
      <c r="B107">
        <f t="shared" si="72"/>
        <v>2019</v>
      </c>
      <c r="C107">
        <f t="shared" si="73"/>
        <v>9</v>
      </c>
      <c r="D107" s="151">
        <f>Data!D106</f>
        <v>25049312.13493976</v>
      </c>
      <c r="E107" s="151">
        <f>Data!E106</f>
        <v>1408690.5797202766</v>
      </c>
      <c r="F107" s="151">
        <f>Data!F106</f>
        <v>26458002.714660037</v>
      </c>
      <c r="G107" s="129">
        <f>Data!AP106</f>
        <v>11.699999999999998</v>
      </c>
      <c r="H107" s="129">
        <f>Data!AQ106</f>
        <v>58.7</v>
      </c>
      <c r="I107" s="146">
        <f t="shared" ref="I107:J107" ca="1" si="118">I119</f>
        <v>27</v>
      </c>
      <c r="J107" s="146">
        <f t="shared" ca="1" si="118"/>
        <v>80.61</v>
      </c>
      <c r="K107" s="32">
        <f>Data!BG106</f>
        <v>30</v>
      </c>
      <c r="L107" s="32">
        <f>Data!BX106</f>
        <v>1</v>
      </c>
      <c r="M107" s="32">
        <f>Data!BR106</f>
        <v>1</v>
      </c>
      <c r="N107" s="41">
        <f>Data!AA106</f>
        <v>37192</v>
      </c>
      <c r="O107" s="255">
        <f>Data!CG106</f>
        <v>0</v>
      </c>
      <c r="P107" s="78">
        <f>Data!CH106</f>
        <v>0</v>
      </c>
      <c r="Q107" s="32">
        <f t="shared" ca="1" si="112"/>
        <v>27751402.096637245</v>
      </c>
      <c r="R107" s="145">
        <f t="shared" ca="1" si="75"/>
        <v>26342711.516916968</v>
      </c>
      <c r="S107" s="32">
        <f t="shared" ca="1" si="76"/>
        <v>1293399.381977208</v>
      </c>
      <c r="T107" s="50">
        <f t="shared" ca="1" si="77"/>
        <v>4.8884996948789033E-2</v>
      </c>
    </row>
    <row r="108" spans="1:41" x14ac:dyDescent="0.2">
      <c r="A108" s="2">
        <v>43739</v>
      </c>
      <c r="B108">
        <f t="shared" si="72"/>
        <v>2019</v>
      </c>
      <c r="C108">
        <f t="shared" si="73"/>
        <v>10</v>
      </c>
      <c r="D108" s="151">
        <f>Data!D107</f>
        <v>22049631.412048209</v>
      </c>
      <c r="E108" s="151">
        <f>Data!E107</f>
        <v>1408690.5797202766</v>
      </c>
      <c r="F108" s="151">
        <f>Data!F107</f>
        <v>23458321.991768487</v>
      </c>
      <c r="G108" s="129">
        <f>Data!AP107</f>
        <v>177.10000000000002</v>
      </c>
      <c r="H108" s="129">
        <f>Data!AQ107</f>
        <v>7.7000000000000028</v>
      </c>
      <c r="I108" s="146">
        <f t="shared" ref="I108:J108" ca="1" si="119">I120</f>
        <v>167.57</v>
      </c>
      <c r="J108" s="146">
        <f t="shared" ca="1" si="119"/>
        <v>9.9699999999999989</v>
      </c>
      <c r="K108" s="32">
        <f>Data!BG107</f>
        <v>31</v>
      </c>
      <c r="L108" s="32">
        <f>Data!BX107</f>
        <v>1</v>
      </c>
      <c r="M108" s="32">
        <f>Data!BR107</f>
        <v>0</v>
      </c>
      <c r="N108" s="41">
        <f>Data!AA107</f>
        <v>37260</v>
      </c>
      <c r="O108" s="255">
        <f>Data!CG107</f>
        <v>0</v>
      </c>
      <c r="P108" s="78">
        <f>Data!CH107</f>
        <v>0</v>
      </c>
      <c r="Q108" s="32">
        <f t="shared" ca="1" si="112"/>
        <v>23495232.336500484</v>
      </c>
      <c r="R108" s="145">
        <f t="shared" ca="1" si="75"/>
        <v>22086541.756780207</v>
      </c>
      <c r="S108" s="32">
        <f t="shared" ca="1" si="76"/>
        <v>36910.344731997699</v>
      </c>
      <c r="T108" s="50">
        <f t="shared" ca="1" si="77"/>
        <v>1.5734435201694955E-3</v>
      </c>
    </row>
    <row r="109" spans="1:41" x14ac:dyDescent="0.2">
      <c r="A109" s="2">
        <v>43770</v>
      </c>
      <c r="B109">
        <f t="shared" si="72"/>
        <v>2019</v>
      </c>
      <c r="C109">
        <f t="shared" si="73"/>
        <v>11</v>
      </c>
      <c r="D109" s="151">
        <f>Data!D108</f>
        <v>21315185.031325318</v>
      </c>
      <c r="E109" s="151">
        <f>Data!E108</f>
        <v>1408690.5797202766</v>
      </c>
      <c r="F109" s="151">
        <f>Data!F108</f>
        <v>22723875.611045595</v>
      </c>
      <c r="G109" s="129">
        <f>Data!AP108</f>
        <v>453.3</v>
      </c>
      <c r="H109" s="129">
        <f>Data!AQ108</f>
        <v>0</v>
      </c>
      <c r="I109" s="146">
        <f t="shared" ref="I109:J109" ca="1" si="120">I121</f>
        <v>366.25</v>
      </c>
      <c r="J109" s="146">
        <f t="shared" ca="1" si="120"/>
        <v>1.0000000000000142E-2</v>
      </c>
      <c r="K109" s="32">
        <f>Data!BG108</f>
        <v>30</v>
      </c>
      <c r="L109" s="32">
        <f>Data!BX108</f>
        <v>1</v>
      </c>
      <c r="M109" s="32">
        <f>Data!BR108</f>
        <v>0</v>
      </c>
      <c r="N109" s="41">
        <f>Data!AA108</f>
        <v>37298</v>
      </c>
      <c r="O109" s="255">
        <f>Data!CG108</f>
        <v>0</v>
      </c>
      <c r="P109" s="78">
        <f>Data!CH108</f>
        <v>0</v>
      </c>
      <c r="Q109" s="32">
        <f t="shared" ca="1" si="112"/>
        <v>21964006.182789821</v>
      </c>
      <c r="R109" s="145">
        <f t="shared" ca="1" si="75"/>
        <v>20555315.603069544</v>
      </c>
      <c r="S109" s="32">
        <f t="shared" ca="1" si="76"/>
        <v>-759869.42825577408</v>
      </c>
      <c r="T109" s="50">
        <f t="shared" ca="1" si="77"/>
        <v>3.3439253112546419E-2</v>
      </c>
    </row>
    <row r="110" spans="1:41" x14ac:dyDescent="0.2">
      <c r="A110" s="2">
        <v>43800</v>
      </c>
      <c r="B110">
        <f t="shared" si="72"/>
        <v>2019</v>
      </c>
      <c r="C110">
        <f t="shared" si="73"/>
        <v>12</v>
      </c>
      <c r="D110" s="151">
        <f>Data!D109</f>
        <v>28146546.1686747</v>
      </c>
      <c r="E110" s="151">
        <f>Data!E109</f>
        <v>1408690.5797202766</v>
      </c>
      <c r="F110" s="151">
        <f>Data!F109</f>
        <v>29555236.748394977</v>
      </c>
      <c r="G110" s="129">
        <f>Data!AP109</f>
        <v>520.4</v>
      </c>
      <c r="H110" s="129">
        <f>Data!AQ109</f>
        <v>0</v>
      </c>
      <c r="I110" s="146">
        <f t="shared" ref="I110:J110" ca="1" si="121">I122</f>
        <v>513.3599999999999</v>
      </c>
      <c r="J110" s="146">
        <f t="shared" ca="1" si="121"/>
        <v>0</v>
      </c>
      <c r="K110" s="32">
        <f>Data!BG109</f>
        <v>31</v>
      </c>
      <c r="L110" s="32">
        <f>Data!BX109</f>
        <v>0</v>
      </c>
      <c r="M110" s="32">
        <f>Data!BR109</f>
        <v>0</v>
      </c>
      <c r="N110" s="41">
        <f>Data!AA109</f>
        <v>37321</v>
      </c>
      <c r="O110" s="255">
        <f>Data!CG109</f>
        <v>0</v>
      </c>
      <c r="P110" s="78">
        <f>Data!CH109</f>
        <v>0</v>
      </c>
      <c r="Q110" s="32">
        <f t="shared" ca="1" si="112"/>
        <v>29493740.973296326</v>
      </c>
      <c r="R110" s="145">
        <f t="shared" ca="1" si="75"/>
        <v>28085050.393576048</v>
      </c>
      <c r="S110" s="32">
        <f t="shared" ca="1" si="76"/>
        <v>-61495.775098651648</v>
      </c>
      <c r="T110" s="50">
        <f t="shared" ca="1" si="77"/>
        <v>2.0807065638542457E-3</v>
      </c>
    </row>
    <row r="111" spans="1:41" x14ac:dyDescent="0.2">
      <c r="A111" s="2">
        <v>43831</v>
      </c>
      <c r="B111">
        <f t="shared" si="72"/>
        <v>2020</v>
      </c>
      <c r="C111">
        <f t="shared" si="73"/>
        <v>1</v>
      </c>
      <c r="D111" s="151">
        <f>Data!D110</f>
        <v>29703689.253012061</v>
      </c>
      <c r="E111" s="151">
        <f>Data!E110</f>
        <v>1392643.6565677822</v>
      </c>
      <c r="F111" s="151">
        <f>Data!F110</f>
        <v>31096332.909579843</v>
      </c>
      <c r="G111" s="129">
        <f>Data!AP110</f>
        <v>543</v>
      </c>
      <c r="H111" s="129">
        <f>Data!AQ110</f>
        <v>0</v>
      </c>
      <c r="I111" s="146">
        <f t="shared" ref="I111:J111" ca="1" si="122">I123</f>
        <v>625.5</v>
      </c>
      <c r="J111" s="146">
        <f t="shared" ca="1" si="122"/>
        <v>0</v>
      </c>
      <c r="K111" s="32">
        <f>Data!BG110</f>
        <v>31</v>
      </c>
      <c r="L111" s="32">
        <f>Data!BX110</f>
        <v>0</v>
      </c>
      <c r="M111" s="32">
        <f>Data!BR110</f>
        <v>0</v>
      </c>
      <c r="N111" s="41">
        <f>Data!AA110</f>
        <v>37330</v>
      </c>
      <c r="O111" s="255">
        <f>Data!CG110</f>
        <v>0</v>
      </c>
      <c r="P111" s="78">
        <f>Data!CH110</f>
        <v>0</v>
      </c>
      <c r="Q111" s="32">
        <f t="shared" ca="1" si="112"/>
        <v>31816986.524017137</v>
      </c>
      <c r="R111" s="145">
        <f t="shared" ca="1" si="75"/>
        <v>30424342.867449354</v>
      </c>
      <c r="S111" s="32">
        <f t="shared" ca="1" si="76"/>
        <v>720653.61443729326</v>
      </c>
      <c r="T111" s="50">
        <f t="shared" ca="1" si="77"/>
        <v>2.3174874559414096E-2</v>
      </c>
      <c r="U111" s="12"/>
      <c r="AG111" s="39"/>
      <c r="AH111" s="39"/>
      <c r="AI111" s="39"/>
    </row>
    <row r="112" spans="1:41" x14ac:dyDescent="0.2">
      <c r="A112" s="2">
        <v>43862</v>
      </c>
      <c r="B112">
        <f t="shared" si="72"/>
        <v>2020</v>
      </c>
      <c r="C112">
        <f t="shared" si="73"/>
        <v>2</v>
      </c>
      <c r="D112" s="151">
        <f>Data!D111</f>
        <v>25536377.551807232</v>
      </c>
      <c r="E112" s="151">
        <f>Data!E111</f>
        <v>1392643.6565677822</v>
      </c>
      <c r="F112" s="151">
        <f>Data!F111</f>
        <v>26929021.208375014</v>
      </c>
      <c r="G112" s="129">
        <f>Data!AP111</f>
        <v>553.80000000000007</v>
      </c>
      <c r="H112" s="129">
        <f>Data!AQ111</f>
        <v>0</v>
      </c>
      <c r="I112" s="146">
        <f t="shared" ref="I112:J112" ca="1" si="123">I124</f>
        <v>573.20999999999992</v>
      </c>
      <c r="J112" s="146">
        <f t="shared" ca="1" si="123"/>
        <v>0</v>
      </c>
      <c r="K112" s="32">
        <f>Data!BG111</f>
        <v>29</v>
      </c>
      <c r="L112" s="32">
        <f>Data!BX111</f>
        <v>0</v>
      </c>
      <c r="M112" s="32">
        <f>Data!BR111</f>
        <v>0</v>
      </c>
      <c r="N112" s="41">
        <f>Data!AA111</f>
        <v>37362</v>
      </c>
      <c r="O112" s="255">
        <f>Data!CG111</f>
        <v>0</v>
      </c>
      <c r="P112" s="78">
        <f>Data!CH111</f>
        <v>0</v>
      </c>
      <c r="Q112" s="32">
        <f t="shared" ca="1" si="112"/>
        <v>27098571.349662624</v>
      </c>
      <c r="R112" s="145">
        <f t="shared" ca="1" si="75"/>
        <v>25705927.693094842</v>
      </c>
      <c r="S112" s="32">
        <f t="shared" ca="1" si="76"/>
        <v>169550.14128760993</v>
      </c>
      <c r="T112" s="50">
        <f t="shared" ca="1" si="77"/>
        <v>6.2961865555989562E-3</v>
      </c>
    </row>
    <row r="113" spans="1:20" x14ac:dyDescent="0.2">
      <c r="A113" s="2">
        <v>43891</v>
      </c>
      <c r="B113">
        <f t="shared" si="72"/>
        <v>2020</v>
      </c>
      <c r="C113">
        <f t="shared" si="73"/>
        <v>3</v>
      </c>
      <c r="D113" s="151">
        <f>Data!D112</f>
        <v>24945910.043373495</v>
      </c>
      <c r="E113" s="151">
        <f>Data!E112</f>
        <v>1392643.6565677822</v>
      </c>
      <c r="F113" s="151">
        <f>Data!F112</f>
        <v>26338553.699941278</v>
      </c>
      <c r="G113" s="129">
        <f>Data!AP112</f>
        <v>396.7</v>
      </c>
      <c r="H113" s="129">
        <f>Data!AQ112</f>
        <v>0</v>
      </c>
      <c r="I113" s="146">
        <f t="shared" ref="I113:J113" ca="1" si="124">I125</f>
        <v>471.05</v>
      </c>
      <c r="J113" s="146">
        <f t="shared" ca="1" si="124"/>
        <v>0.3</v>
      </c>
      <c r="K113" s="32">
        <f>Data!BG112</f>
        <v>31</v>
      </c>
      <c r="L113" s="32">
        <f>Data!BX112</f>
        <v>1</v>
      </c>
      <c r="M113" s="32">
        <f>Data!BR112</f>
        <v>0</v>
      </c>
      <c r="N113" s="41">
        <f>Data!AA112</f>
        <v>37440</v>
      </c>
      <c r="O113" s="255">
        <f>Data!CG112</f>
        <v>396.7</v>
      </c>
      <c r="P113" s="78">
        <f>Data!CH112</f>
        <v>0</v>
      </c>
      <c r="Q113" s="32">
        <f t="shared" ca="1" si="112"/>
        <v>27003895.219982073</v>
      </c>
      <c r="R113" s="145">
        <f t="shared" ca="1" si="75"/>
        <v>25611251.563414291</v>
      </c>
      <c r="S113" s="32">
        <f t="shared" ca="1" si="76"/>
        <v>665341.52004079521</v>
      </c>
      <c r="T113" s="50">
        <f t="shared" ca="1" si="77"/>
        <v>2.526112586213413E-2</v>
      </c>
    </row>
    <row r="114" spans="1:20" x14ac:dyDescent="0.2">
      <c r="A114" s="2">
        <v>43922</v>
      </c>
      <c r="B114">
        <f t="shared" si="72"/>
        <v>2020</v>
      </c>
      <c r="C114">
        <f t="shared" si="73"/>
        <v>4</v>
      </c>
      <c r="D114" s="151">
        <f>Data!D113</f>
        <v>25646430.178313266</v>
      </c>
      <c r="E114" s="151">
        <f>Data!E113</f>
        <v>1392643.6565677822</v>
      </c>
      <c r="F114" s="151">
        <f>Data!F113</f>
        <v>27039073.834881049</v>
      </c>
      <c r="G114" s="129">
        <f>Data!AP113</f>
        <v>302.29999999999995</v>
      </c>
      <c r="H114" s="129">
        <f>Data!AQ113</f>
        <v>0</v>
      </c>
      <c r="I114" s="146">
        <f t="shared" ref="I114:J114" ca="1" si="125">I126</f>
        <v>285.58000000000004</v>
      </c>
      <c r="J114" s="146">
        <f t="shared" ca="1" si="125"/>
        <v>0.38999999999999985</v>
      </c>
      <c r="K114" s="32">
        <f>Data!BG113</f>
        <v>30</v>
      </c>
      <c r="L114" s="32">
        <f>Data!BX113</f>
        <v>1</v>
      </c>
      <c r="M114" s="32">
        <f>Data!BR113</f>
        <v>0</v>
      </c>
      <c r="N114" s="41">
        <f>Data!AA113</f>
        <v>37485</v>
      </c>
      <c r="O114" s="255">
        <f>Data!CG113</f>
        <v>302.29999999999995</v>
      </c>
      <c r="P114" s="78">
        <f>Data!CH113</f>
        <v>0</v>
      </c>
      <c r="Q114" s="32">
        <f t="shared" ca="1" si="112"/>
        <v>26913665.040790714</v>
      </c>
      <c r="R114" s="145">
        <f t="shared" ca="1" si="75"/>
        <v>25521021.384222932</v>
      </c>
      <c r="S114" s="32">
        <f t="shared" ca="1" si="76"/>
        <v>-125408.79409033433</v>
      </c>
      <c r="T114" s="50">
        <f t="shared" ca="1" si="77"/>
        <v>4.6380580509586093E-3</v>
      </c>
    </row>
    <row r="115" spans="1:20" x14ac:dyDescent="0.2">
      <c r="A115" s="2">
        <v>43952</v>
      </c>
      <c r="B115">
        <f t="shared" si="72"/>
        <v>2020</v>
      </c>
      <c r="C115">
        <f t="shared" si="73"/>
        <v>5</v>
      </c>
      <c r="D115" s="151">
        <f>Data!D114</f>
        <v>25915345.012048189</v>
      </c>
      <c r="E115" s="151">
        <f>Data!E114</f>
        <v>1392643.6565677822</v>
      </c>
      <c r="F115" s="151">
        <f>Data!F114</f>
        <v>27307988.668615971</v>
      </c>
      <c r="G115" s="129">
        <f>Data!AP114</f>
        <v>160.9</v>
      </c>
      <c r="H115" s="129">
        <f>Data!AQ114</f>
        <v>39</v>
      </c>
      <c r="I115" s="146">
        <f t="shared" ref="I115:J115" ca="1" si="126">I127</f>
        <v>93.759999999999991</v>
      </c>
      <c r="J115" s="146">
        <f t="shared" ca="1" si="126"/>
        <v>43.35</v>
      </c>
      <c r="K115" s="32">
        <f>Data!BG114</f>
        <v>31</v>
      </c>
      <c r="L115" s="32">
        <f>Data!BX114</f>
        <v>1</v>
      </c>
      <c r="M115" s="32">
        <f>Data!BR114</f>
        <v>0</v>
      </c>
      <c r="N115" s="41">
        <f>Data!AA114</f>
        <v>37545</v>
      </c>
      <c r="O115" s="255">
        <f>Data!CG114</f>
        <v>160.9</v>
      </c>
      <c r="P115" s="78">
        <f>Data!CH114</f>
        <v>39</v>
      </c>
      <c r="Q115" s="32">
        <f t="shared" ca="1" si="112"/>
        <v>26951763.993355334</v>
      </c>
      <c r="R115" s="145">
        <f t="shared" ca="1" si="75"/>
        <v>25559120.336787552</v>
      </c>
      <c r="S115" s="32">
        <f t="shared" ca="1" si="76"/>
        <v>-356224.67526063696</v>
      </c>
      <c r="T115" s="50">
        <f t="shared" ca="1" si="77"/>
        <v>1.3044705693394124E-2</v>
      </c>
    </row>
    <row r="116" spans="1:20" x14ac:dyDescent="0.2">
      <c r="A116" s="2">
        <v>43983</v>
      </c>
      <c r="B116">
        <f t="shared" si="72"/>
        <v>2020</v>
      </c>
      <c r="C116">
        <f t="shared" si="73"/>
        <v>6</v>
      </c>
      <c r="D116" s="151">
        <f>Data!D115</f>
        <v>37641354.804819241</v>
      </c>
      <c r="E116" s="151">
        <f>Data!E115</f>
        <v>1392643.6565677822</v>
      </c>
      <c r="F116" s="151">
        <f>Data!F115</f>
        <v>39033998.461387023</v>
      </c>
      <c r="G116" s="129">
        <f>Data!AP115</f>
        <v>9.2999999999999989</v>
      </c>
      <c r="H116" s="129">
        <f>Data!AQ115</f>
        <v>143.20000000000002</v>
      </c>
      <c r="I116" s="146">
        <f t="shared" ref="I116:J116" ca="1" si="127">I128</f>
        <v>8.7399999999999984</v>
      </c>
      <c r="J116" s="146">
        <f t="shared" ca="1" si="127"/>
        <v>118.63000000000002</v>
      </c>
      <c r="K116" s="32">
        <f>Data!BG115</f>
        <v>30</v>
      </c>
      <c r="L116" s="32">
        <f>Data!BX115</f>
        <v>0</v>
      </c>
      <c r="M116" s="32">
        <f>Data!BR115</f>
        <v>0</v>
      </c>
      <c r="N116" s="41">
        <f>Data!AA115</f>
        <v>37663</v>
      </c>
      <c r="O116" s="255">
        <f>Data!CG115</f>
        <v>9.2999999999999989</v>
      </c>
      <c r="P116" s="78">
        <f>Data!CH115</f>
        <v>143.20000000000002</v>
      </c>
      <c r="Q116" s="32">
        <f t="shared" ca="1" si="112"/>
        <v>37728555.430559993</v>
      </c>
      <c r="R116" s="145">
        <f t="shared" ca="1" si="75"/>
        <v>36335911.773992211</v>
      </c>
      <c r="S116" s="32">
        <f t="shared" ca="1" si="76"/>
        <v>-1305443.0308270305</v>
      </c>
      <c r="T116" s="50">
        <f t="shared" ca="1" si="77"/>
        <v>3.3443743461700266E-2</v>
      </c>
    </row>
    <row r="117" spans="1:20" x14ac:dyDescent="0.2">
      <c r="A117" s="2">
        <v>44013</v>
      </c>
      <c r="B117">
        <f t="shared" si="72"/>
        <v>2020</v>
      </c>
      <c r="C117">
        <f t="shared" si="73"/>
        <v>7</v>
      </c>
      <c r="D117" s="151">
        <f>Data!D116</f>
        <v>44487853.166265093</v>
      </c>
      <c r="E117" s="151">
        <f>Data!E116</f>
        <v>1392643.6565677822</v>
      </c>
      <c r="F117" s="151">
        <f>Data!F116</f>
        <v>45880496.822832875</v>
      </c>
      <c r="G117" s="129">
        <f>Data!AP116</f>
        <v>0</v>
      </c>
      <c r="H117" s="129">
        <f>Data!AQ116</f>
        <v>277.7</v>
      </c>
      <c r="I117" s="146">
        <f t="shared" ref="I117:J117" ca="1" si="128">I129</f>
        <v>0</v>
      </c>
      <c r="J117" s="146">
        <f t="shared" ca="1" si="128"/>
        <v>207.41000000000003</v>
      </c>
      <c r="K117" s="32">
        <f>Data!BG116</f>
        <v>31</v>
      </c>
      <c r="L117" s="32">
        <f>Data!BX116</f>
        <v>0</v>
      </c>
      <c r="M117" s="32">
        <f>Data!BR116</f>
        <v>0</v>
      </c>
      <c r="N117" s="41">
        <f>Data!AA116</f>
        <v>37791</v>
      </c>
      <c r="O117" s="255">
        <f>Data!CG116</f>
        <v>0</v>
      </c>
      <c r="P117" s="78">
        <f>Data!CH116</f>
        <v>277.7</v>
      </c>
      <c r="Q117" s="32">
        <f t="shared" ca="1" si="112"/>
        <v>42159871.980166554</v>
      </c>
      <c r="R117" s="145">
        <f t="shared" ca="1" si="75"/>
        <v>40767228.323598772</v>
      </c>
      <c r="S117" s="32">
        <f t="shared" ca="1" si="76"/>
        <v>-3720624.8426663205</v>
      </c>
      <c r="T117" s="50">
        <f t="shared" ca="1" si="77"/>
        <v>8.1093822000957827E-2</v>
      </c>
    </row>
    <row r="118" spans="1:20" x14ac:dyDescent="0.2">
      <c r="A118" s="2">
        <v>44044</v>
      </c>
      <c r="B118">
        <f t="shared" si="72"/>
        <v>2020</v>
      </c>
      <c r="C118">
        <f t="shared" si="73"/>
        <v>8</v>
      </c>
      <c r="D118" s="151">
        <f>Data!D117</f>
        <v>38799720.212048218</v>
      </c>
      <c r="E118" s="151">
        <f>Data!E117</f>
        <v>1392643.6565677822</v>
      </c>
      <c r="F118" s="151">
        <f>Data!F117</f>
        <v>40192363.868616</v>
      </c>
      <c r="G118" s="129">
        <f>Data!AP117</f>
        <v>0</v>
      </c>
      <c r="H118" s="129">
        <f>Data!AQ117</f>
        <v>187.89999999999998</v>
      </c>
      <c r="I118" s="146">
        <f t="shared" ref="I118:J118" ca="1" si="129">I130</f>
        <v>0.29000000000000004</v>
      </c>
      <c r="J118" s="146">
        <f t="shared" ca="1" si="129"/>
        <v>180.75000000000006</v>
      </c>
      <c r="K118" s="32">
        <f>Data!BG117</f>
        <v>31</v>
      </c>
      <c r="L118" s="32">
        <f>Data!BX117</f>
        <v>0</v>
      </c>
      <c r="M118" s="32">
        <f>Data!BR117</f>
        <v>0</v>
      </c>
      <c r="N118" s="41">
        <f>Data!AA117</f>
        <v>37841</v>
      </c>
      <c r="O118" s="255">
        <f>Data!CG117</f>
        <v>0</v>
      </c>
      <c r="P118" s="78">
        <f>Data!CH117</f>
        <v>187.89999999999998</v>
      </c>
      <c r="Q118" s="32">
        <f t="shared" ca="1" si="112"/>
        <v>39816429.759496517</v>
      </c>
      <c r="R118" s="145">
        <f t="shared" ca="1" si="75"/>
        <v>38423786.102928735</v>
      </c>
      <c r="S118" s="32">
        <f t="shared" ca="1" si="76"/>
        <v>-375934.10911948234</v>
      </c>
      <c r="T118" s="50">
        <f t="shared" ca="1" si="77"/>
        <v>9.3533714600207568E-3</v>
      </c>
    </row>
    <row r="119" spans="1:20" x14ac:dyDescent="0.2">
      <c r="A119" s="2">
        <v>44075</v>
      </c>
      <c r="B119">
        <f t="shared" si="72"/>
        <v>2020</v>
      </c>
      <c r="C119">
        <f t="shared" si="73"/>
        <v>9</v>
      </c>
      <c r="D119" s="151">
        <f>Data!D118</f>
        <v>27206302.631325286</v>
      </c>
      <c r="E119" s="151">
        <f>Data!E118</f>
        <v>1392643.6565677822</v>
      </c>
      <c r="F119" s="151">
        <f>Data!F118</f>
        <v>28598946.287893068</v>
      </c>
      <c r="G119" s="129">
        <f>Data!AP118</f>
        <v>35.6</v>
      </c>
      <c r="H119" s="129">
        <f>Data!AQ118</f>
        <v>59.8</v>
      </c>
      <c r="I119" s="146">
        <f t="shared" ref="I119:J119" ca="1" si="130">I131</f>
        <v>27</v>
      </c>
      <c r="J119" s="146">
        <f t="shared" ca="1" si="130"/>
        <v>80.61</v>
      </c>
      <c r="K119" s="32">
        <f>Data!BG118</f>
        <v>30</v>
      </c>
      <c r="L119" s="32">
        <f>Data!BX118</f>
        <v>1</v>
      </c>
      <c r="M119" s="32">
        <f>Data!BR118</f>
        <v>1</v>
      </c>
      <c r="N119" s="41">
        <f>Data!AA118</f>
        <v>37918</v>
      </c>
      <c r="O119" s="255">
        <f>Data!CG118</f>
        <v>35.6</v>
      </c>
      <c r="P119" s="78">
        <f>Data!CH118</f>
        <v>59.8</v>
      </c>
      <c r="Q119" s="32">
        <f t="shared" ca="1" si="112"/>
        <v>29625348.760679826</v>
      </c>
      <c r="R119" s="145">
        <f t="shared" ca="1" si="75"/>
        <v>28232705.104112044</v>
      </c>
      <c r="S119" s="32">
        <f t="shared" ca="1" si="76"/>
        <v>1026402.4727867581</v>
      </c>
      <c r="T119" s="50">
        <f t="shared" ca="1" si="77"/>
        <v>3.5889520629690821E-2</v>
      </c>
    </row>
    <row r="120" spans="1:20" x14ac:dyDescent="0.2">
      <c r="A120" s="2">
        <v>44105</v>
      </c>
      <c r="B120">
        <f t="shared" si="72"/>
        <v>2020</v>
      </c>
      <c r="C120">
        <f t="shared" si="73"/>
        <v>10</v>
      </c>
      <c r="D120" s="151">
        <f>Data!D119</f>
        <v>24001107.065060236</v>
      </c>
      <c r="E120" s="151">
        <f>Data!E119</f>
        <v>1392643.6565677822</v>
      </c>
      <c r="F120" s="151">
        <f>Data!F119</f>
        <v>25393750.721628018</v>
      </c>
      <c r="G120" s="129">
        <f>Data!AP119</f>
        <v>208.8</v>
      </c>
      <c r="H120" s="129">
        <f>Data!AQ119</f>
        <v>0.5</v>
      </c>
      <c r="I120" s="146">
        <f t="shared" ref="I120:J120" ca="1" si="131">I132</f>
        <v>167.57</v>
      </c>
      <c r="J120" s="146">
        <f t="shared" ca="1" si="131"/>
        <v>9.9699999999999989</v>
      </c>
      <c r="K120" s="32">
        <f>Data!BG119</f>
        <v>31</v>
      </c>
      <c r="L120" s="32">
        <f>Data!BX119</f>
        <v>1</v>
      </c>
      <c r="M120" s="32">
        <f>Data!BR119</f>
        <v>0</v>
      </c>
      <c r="N120" s="41">
        <f>Data!AA119</f>
        <v>37985</v>
      </c>
      <c r="O120" s="255">
        <f>Data!CG119</f>
        <v>208.8</v>
      </c>
      <c r="P120" s="78">
        <f>Data!CH119</f>
        <v>0.5</v>
      </c>
      <c r="Q120" s="32">
        <f t="shared" ca="1" si="112"/>
        <v>25534869.314859506</v>
      </c>
      <c r="R120" s="145">
        <f t="shared" ca="1" si="75"/>
        <v>24142225.658291724</v>
      </c>
      <c r="S120" s="32">
        <f t="shared" ca="1" si="76"/>
        <v>141118.59323148802</v>
      </c>
      <c r="T120" s="50">
        <f t="shared" ca="1" si="77"/>
        <v>5.5572173948804033E-3</v>
      </c>
    </row>
    <row r="121" spans="1:20" x14ac:dyDescent="0.2">
      <c r="A121" s="2">
        <v>44136</v>
      </c>
      <c r="B121">
        <f t="shared" si="72"/>
        <v>2020</v>
      </c>
      <c r="C121">
        <f t="shared" si="73"/>
        <v>11</v>
      </c>
      <c r="D121" s="151">
        <f>Data!D120</f>
        <v>21906254.004819274</v>
      </c>
      <c r="E121" s="151">
        <f>Data!E120</f>
        <v>1392643.6565677822</v>
      </c>
      <c r="F121" s="151">
        <f>Data!F120</f>
        <v>23298897.661387056</v>
      </c>
      <c r="G121" s="129">
        <f>Data!AP120</f>
        <v>274.89999999999998</v>
      </c>
      <c r="H121" s="129">
        <f>Data!AQ120</f>
        <v>0.10000000000000142</v>
      </c>
      <c r="I121" s="146">
        <f t="shared" ref="I121:J121" ca="1" si="132">I133</f>
        <v>366.25</v>
      </c>
      <c r="J121" s="146">
        <f t="shared" ca="1" si="132"/>
        <v>1.0000000000000142E-2</v>
      </c>
      <c r="K121" s="32">
        <f>Data!BG120</f>
        <v>30</v>
      </c>
      <c r="L121" s="32">
        <f>Data!BX120</f>
        <v>1</v>
      </c>
      <c r="M121" s="32">
        <f>Data!BR120</f>
        <v>0</v>
      </c>
      <c r="N121" s="41">
        <f>Data!AA120</f>
        <v>38048</v>
      </c>
      <c r="O121" s="255">
        <f>Data!CG120</f>
        <v>274.89999999999998</v>
      </c>
      <c r="P121" s="78">
        <f>Data!CH120</f>
        <v>0.10000000000000142</v>
      </c>
      <c r="Q121" s="32">
        <f t="shared" ca="1" si="112"/>
        <v>24092093.830209617</v>
      </c>
      <c r="R121" s="145">
        <f t="shared" ca="1" si="75"/>
        <v>22699450.173641834</v>
      </c>
      <c r="S121" s="32">
        <f t="shared" ca="1" si="76"/>
        <v>793196.16882256046</v>
      </c>
      <c r="T121" s="50">
        <f t="shared" ca="1" si="77"/>
        <v>3.404436468842531E-2</v>
      </c>
    </row>
    <row r="122" spans="1:20" x14ac:dyDescent="0.2">
      <c r="A122" s="2">
        <v>44166</v>
      </c>
      <c r="B122">
        <f t="shared" si="72"/>
        <v>2020</v>
      </c>
      <c r="C122">
        <f t="shared" si="73"/>
        <v>12</v>
      </c>
      <c r="D122" s="151">
        <f>Data!D121</f>
        <v>28015587.036144584</v>
      </c>
      <c r="E122" s="151">
        <f>Data!E121</f>
        <v>1392643.6565677822</v>
      </c>
      <c r="F122" s="151">
        <f>Data!F121</f>
        <v>29408230.692712367</v>
      </c>
      <c r="G122" s="129">
        <f>Data!AP121</f>
        <v>505.3</v>
      </c>
      <c r="H122" s="129">
        <f>Data!AQ121</f>
        <v>0</v>
      </c>
      <c r="I122" s="146">
        <f t="shared" ref="I122:J122" ca="1" si="133">I134</f>
        <v>513.3599999999999</v>
      </c>
      <c r="J122" s="146">
        <f t="shared" ca="1" si="133"/>
        <v>0</v>
      </c>
      <c r="K122" s="32">
        <f>Data!BG121</f>
        <v>31</v>
      </c>
      <c r="L122" s="32">
        <f>Data!BX121</f>
        <v>0</v>
      </c>
      <c r="M122" s="32">
        <f>Data!BR121</f>
        <v>0</v>
      </c>
      <c r="N122" s="41">
        <f>Data!AA121</f>
        <v>38063</v>
      </c>
      <c r="O122" s="255">
        <f>Data!CG121</f>
        <v>505.3</v>
      </c>
      <c r="P122" s="78">
        <f>Data!CH121</f>
        <v>0</v>
      </c>
      <c r="Q122" s="32">
        <f t="shared" ca="1" si="112"/>
        <v>29478636.367044058</v>
      </c>
      <c r="R122" s="145">
        <f t="shared" ca="1" si="75"/>
        <v>28085992.710476276</v>
      </c>
      <c r="S122" s="32">
        <f t="shared" ca="1" si="76"/>
        <v>70405.674331691116</v>
      </c>
      <c r="T122" s="50">
        <f t="shared" ca="1" si="77"/>
        <v>2.3940805914970703E-3</v>
      </c>
    </row>
    <row r="123" spans="1:20" x14ac:dyDescent="0.2">
      <c r="A123" s="2">
        <v>44197</v>
      </c>
      <c r="B123">
        <f t="shared" si="72"/>
        <v>2021</v>
      </c>
      <c r="C123">
        <f t="shared" si="73"/>
        <v>1</v>
      </c>
      <c r="D123" s="151">
        <f>Data!D122</f>
        <v>32091025.21445784</v>
      </c>
      <c r="E123" s="151">
        <f>Data!E122</f>
        <v>1386307.1922259934</v>
      </c>
      <c r="F123" s="151">
        <f>Data!F122</f>
        <v>33477332.406683832</v>
      </c>
      <c r="G123" s="129">
        <f>Data!AP122</f>
        <v>577.99999999999989</v>
      </c>
      <c r="H123" s="129">
        <f>Data!AQ122</f>
        <v>0</v>
      </c>
      <c r="I123" s="146">
        <f t="shared" ref="I123:J123" ca="1" si="134">I135</f>
        <v>625.5</v>
      </c>
      <c r="J123" s="146">
        <f t="shared" ca="1" si="134"/>
        <v>0</v>
      </c>
      <c r="K123" s="32">
        <f>Data!BG122</f>
        <v>31</v>
      </c>
      <c r="L123" s="32">
        <f>Data!BX122</f>
        <v>0</v>
      </c>
      <c r="M123" s="32">
        <f>Data!BR122</f>
        <v>0</v>
      </c>
      <c r="N123" s="41">
        <f>Data!AA122</f>
        <v>38101</v>
      </c>
      <c r="O123" s="255">
        <f>Data!CG122</f>
        <v>577.99999999999989</v>
      </c>
      <c r="P123" s="78">
        <f>Data!CH122</f>
        <v>0</v>
      </c>
      <c r="Q123" s="32">
        <f t="shared" ca="1" si="112"/>
        <v>33892254.184693187</v>
      </c>
      <c r="R123" s="145">
        <f t="shared" ca="1" si="75"/>
        <v>32505946.992467195</v>
      </c>
      <c r="S123" s="32">
        <f t="shared" ca="1" si="76"/>
        <v>414921.77800935507</v>
      </c>
      <c r="T123" s="50">
        <f t="shared" ca="1" si="77"/>
        <v>1.2394111124771545E-2</v>
      </c>
    </row>
    <row r="124" spans="1:20" x14ac:dyDescent="0.2">
      <c r="A124" s="2">
        <v>44228</v>
      </c>
      <c r="B124">
        <f t="shared" si="72"/>
        <v>2021</v>
      </c>
      <c r="C124">
        <f t="shared" si="73"/>
        <v>2</v>
      </c>
      <c r="D124" s="151">
        <f>Data!D123</f>
        <v>30522858.187951799</v>
      </c>
      <c r="E124" s="151">
        <f>Data!E123</f>
        <v>1386307.1922259934</v>
      </c>
      <c r="F124" s="151">
        <f>Data!F123</f>
        <v>31909165.380177792</v>
      </c>
      <c r="G124" s="129">
        <f>Data!AP123</f>
        <v>597.70000000000005</v>
      </c>
      <c r="H124" s="129">
        <f>Data!AQ123</f>
        <v>0</v>
      </c>
      <c r="I124" s="146">
        <f t="shared" ref="I124:J124" ca="1" si="135">I136</f>
        <v>573.20999999999992</v>
      </c>
      <c r="J124" s="146">
        <f t="shared" ca="1" si="135"/>
        <v>0</v>
      </c>
      <c r="K124" s="32">
        <f>Data!BG123</f>
        <v>28</v>
      </c>
      <c r="L124" s="32">
        <f>Data!BX123</f>
        <v>0</v>
      </c>
      <c r="M124" s="32">
        <f>Data!BR123</f>
        <v>0</v>
      </c>
      <c r="N124" s="41">
        <f>Data!AA123</f>
        <v>38138</v>
      </c>
      <c r="O124" s="255">
        <f>Data!CG123</f>
        <v>597.70000000000005</v>
      </c>
      <c r="P124" s="78">
        <f>Data!CH123</f>
        <v>0</v>
      </c>
      <c r="Q124" s="32">
        <f t="shared" ca="1" si="112"/>
        <v>31695240.446631495</v>
      </c>
      <c r="R124" s="145">
        <f t="shared" ca="1" si="75"/>
        <v>30308933.254405502</v>
      </c>
      <c r="S124" s="32">
        <f t="shared" ca="1" si="76"/>
        <v>-213924.93354629725</v>
      </c>
      <c r="T124" s="50">
        <f t="shared" ca="1" si="77"/>
        <v>6.7041845500349249E-3</v>
      </c>
    </row>
    <row r="125" spans="1:20" x14ac:dyDescent="0.2">
      <c r="A125" s="2">
        <v>44256</v>
      </c>
      <c r="B125">
        <f t="shared" si="72"/>
        <v>2021</v>
      </c>
      <c r="C125">
        <f t="shared" si="73"/>
        <v>3</v>
      </c>
      <c r="D125" s="151">
        <f>Data!D124</f>
        <v>26534307.575903594</v>
      </c>
      <c r="E125" s="151">
        <f>Data!E124</f>
        <v>1386307.1922259934</v>
      </c>
      <c r="F125" s="151">
        <f>Data!F124</f>
        <v>27920614.768129587</v>
      </c>
      <c r="G125" s="129">
        <f>Data!AP124</f>
        <v>398.70000000000005</v>
      </c>
      <c r="H125" s="129">
        <f>Data!AQ124</f>
        <v>0</v>
      </c>
      <c r="I125" s="146">
        <f t="shared" ref="I125:J125" ca="1" si="136">I137</f>
        <v>471.05</v>
      </c>
      <c r="J125" s="146">
        <f t="shared" ca="1" si="136"/>
        <v>0.3</v>
      </c>
      <c r="K125" s="32">
        <f>Data!BG124</f>
        <v>31</v>
      </c>
      <c r="L125" s="32">
        <f>Data!BX124</f>
        <v>1</v>
      </c>
      <c r="M125" s="32">
        <f>Data!BR124</f>
        <v>0</v>
      </c>
      <c r="N125" s="41">
        <f>Data!AA124</f>
        <v>38255</v>
      </c>
      <c r="O125" s="255">
        <f>Data!CG124</f>
        <v>398.70000000000005</v>
      </c>
      <c r="P125" s="78">
        <f>Data!CH124</f>
        <v>0</v>
      </c>
      <c r="Q125" s="32">
        <f t="shared" ca="1" si="112"/>
        <v>28568485.897517357</v>
      </c>
      <c r="R125" s="145">
        <f t="shared" ca="1" si="75"/>
        <v>27182178.705291364</v>
      </c>
      <c r="S125" s="32">
        <f t="shared" ca="1" si="76"/>
        <v>647871.12938776985</v>
      </c>
      <c r="T125" s="50">
        <f t="shared" ca="1" si="77"/>
        <v>2.3204042416977589E-2</v>
      </c>
    </row>
    <row r="126" spans="1:20" x14ac:dyDescent="0.2">
      <c r="A126" s="2">
        <v>44287</v>
      </c>
      <c r="B126">
        <f t="shared" si="72"/>
        <v>2021</v>
      </c>
      <c r="C126">
        <f t="shared" si="73"/>
        <v>4</v>
      </c>
      <c r="D126" s="151">
        <f>Data!D125</f>
        <v>24380831.836144578</v>
      </c>
      <c r="E126" s="151">
        <f>Data!E125</f>
        <v>1386307.1922259934</v>
      </c>
      <c r="F126" s="151">
        <f>Data!F125</f>
        <v>25767139.02837057</v>
      </c>
      <c r="G126" s="129">
        <f>Data!AP125</f>
        <v>242.4</v>
      </c>
      <c r="H126" s="129">
        <f>Data!AQ125</f>
        <v>0</v>
      </c>
      <c r="I126" s="146">
        <f t="shared" ref="I126:J126" ca="1" si="137">I138</f>
        <v>285.58000000000004</v>
      </c>
      <c r="J126" s="146">
        <f t="shared" ca="1" si="137"/>
        <v>0.38999999999999985</v>
      </c>
      <c r="K126" s="32">
        <f t="shared" ref="K126:L141" si="138">K78</f>
        <v>30</v>
      </c>
      <c r="L126" s="32">
        <f>Data!BX125</f>
        <v>1</v>
      </c>
      <c r="M126" s="32">
        <f>Data!BR125</f>
        <v>0</v>
      </c>
      <c r="N126" s="41">
        <f>Data!AA125</f>
        <v>38336</v>
      </c>
      <c r="O126" s="255">
        <f>Data!CG125</f>
        <v>242.4</v>
      </c>
      <c r="P126" s="78">
        <f>Data!CH125</f>
        <v>0</v>
      </c>
      <c r="Q126" s="32">
        <f t="shared" ca="1" si="112"/>
        <v>26164968.434338342</v>
      </c>
      <c r="R126" s="145">
        <f t="shared" ca="1" si="75"/>
        <v>24778661.24211235</v>
      </c>
      <c r="S126" s="32">
        <f t="shared" ca="1" si="76"/>
        <v>397829.40596777201</v>
      </c>
      <c r="T126" s="50">
        <f t="shared" ca="1" si="77"/>
        <v>1.5439409300727845E-2</v>
      </c>
    </row>
    <row r="127" spans="1:20" x14ac:dyDescent="0.2">
      <c r="A127" s="2">
        <v>44317</v>
      </c>
      <c r="B127">
        <f t="shared" si="72"/>
        <v>2021</v>
      </c>
      <c r="C127">
        <f t="shared" si="73"/>
        <v>5</v>
      </c>
      <c r="D127" s="151">
        <f>Data!D126</f>
        <v>26420547.893975921</v>
      </c>
      <c r="E127" s="151">
        <f>Data!E126</f>
        <v>1386307.1922259934</v>
      </c>
      <c r="F127" s="151">
        <f>Data!F126</f>
        <v>27806855.086201914</v>
      </c>
      <c r="G127" s="129">
        <f>Data!AP126</f>
        <v>118.79999999999998</v>
      </c>
      <c r="H127" s="129">
        <f>Data!AQ126</f>
        <v>44.499999999999986</v>
      </c>
      <c r="I127" s="146">
        <f t="shared" ref="I127:J127" ca="1" si="139">I139</f>
        <v>93.759999999999991</v>
      </c>
      <c r="J127" s="146">
        <f t="shared" ca="1" si="139"/>
        <v>43.35</v>
      </c>
      <c r="K127" s="32">
        <f t="shared" si="138"/>
        <v>31</v>
      </c>
      <c r="L127" s="32">
        <f>Data!BX126</f>
        <v>1</v>
      </c>
      <c r="M127" s="32">
        <f>Data!BR126</f>
        <v>0</v>
      </c>
      <c r="N127" s="41">
        <f>Data!AA126</f>
        <v>38428</v>
      </c>
      <c r="O127" s="255">
        <f>Data!CG126</f>
        <v>118.79999999999998</v>
      </c>
      <c r="P127" s="78">
        <f>Data!CH126</f>
        <v>44.499999999999986</v>
      </c>
      <c r="Q127" s="32">
        <f t="shared" ca="1" si="112"/>
        <v>27527253.429753479</v>
      </c>
      <c r="R127" s="145">
        <f t="shared" ca="1" si="75"/>
        <v>26140946.237527486</v>
      </c>
      <c r="S127" s="32">
        <f t="shared" ca="1" si="76"/>
        <v>-279601.65644843504</v>
      </c>
      <c r="T127" s="50">
        <f t="shared" ca="1" si="77"/>
        <v>1.0055134087679576E-2</v>
      </c>
    </row>
    <row r="128" spans="1:20" x14ac:dyDescent="0.2">
      <c r="A128" s="2">
        <v>44348</v>
      </c>
      <c r="B128">
        <f t="shared" ref="B128:B134" si="140">YEAR(A128)</f>
        <v>2021</v>
      </c>
      <c r="C128">
        <f t="shared" ref="C128:C134" si="141">MONTH(A128)</f>
        <v>6</v>
      </c>
      <c r="D128" s="151">
        <f>Data!D127</f>
        <v>35429511.624096349</v>
      </c>
      <c r="E128" s="151">
        <f>Data!E127</f>
        <v>1386307.1922259934</v>
      </c>
      <c r="F128" s="151">
        <f>Data!F127</f>
        <v>36815818.816322342</v>
      </c>
      <c r="G128" s="129">
        <f>Data!AP127</f>
        <v>1.1999999999999993</v>
      </c>
      <c r="H128" s="129">
        <f>Data!AQ127</f>
        <v>176.20000000000005</v>
      </c>
      <c r="I128" s="146">
        <f t="shared" ref="I128:J128" ca="1" si="142">I140</f>
        <v>8.7399999999999984</v>
      </c>
      <c r="J128" s="146">
        <f t="shared" ca="1" si="142"/>
        <v>118.63000000000002</v>
      </c>
      <c r="K128" s="32">
        <f>Data!BG127</f>
        <v>30</v>
      </c>
      <c r="L128" s="32">
        <f>Data!BX127</f>
        <v>0</v>
      </c>
      <c r="M128" s="32">
        <f>Data!BR127</f>
        <v>0</v>
      </c>
      <c r="N128" s="41">
        <f>Data!AA127</f>
        <v>38487</v>
      </c>
      <c r="O128" s="255">
        <f>Data!CG127</f>
        <v>1.1999999999999993</v>
      </c>
      <c r="P128" s="78">
        <f>Data!CH127</f>
        <v>176.20000000000005</v>
      </c>
      <c r="Q128" s="32">
        <f t="shared" ca="1" si="112"/>
        <v>33834358.64103616</v>
      </c>
      <c r="R128" s="145">
        <f t="shared" ref="R128:R134" ca="1" si="143">Q128-E128</f>
        <v>32448051.448810168</v>
      </c>
      <c r="S128" s="32">
        <f t="shared" ref="S128:S134" ca="1" si="144">+Q128-F128</f>
        <v>-2981460.1752861813</v>
      </c>
      <c r="T128" s="50">
        <f t="shared" ref="T128:T134" ca="1" si="145">ABS(S128/F128)</f>
        <v>8.0983128208039393E-2</v>
      </c>
    </row>
    <row r="129" spans="1:23" x14ac:dyDescent="0.2">
      <c r="A129" s="2">
        <v>44378</v>
      </c>
      <c r="B129">
        <f t="shared" si="140"/>
        <v>2021</v>
      </c>
      <c r="C129">
        <f t="shared" si="141"/>
        <v>7</v>
      </c>
      <c r="D129" s="151">
        <f>Data!D128</f>
        <v>37354488.337349385</v>
      </c>
      <c r="E129" s="151">
        <f>Data!E128</f>
        <v>1386307.1922259934</v>
      </c>
      <c r="F129" s="151">
        <f>Data!F128</f>
        <v>38740795.529575378</v>
      </c>
      <c r="G129" s="129">
        <f>Data!AP128</f>
        <v>0</v>
      </c>
      <c r="H129" s="129">
        <f>Data!AQ128</f>
        <v>166.3</v>
      </c>
      <c r="I129" s="146">
        <f t="shared" ref="I129:J129" ca="1" si="146">I141</f>
        <v>0</v>
      </c>
      <c r="J129" s="146">
        <f t="shared" ca="1" si="146"/>
        <v>207.41000000000003</v>
      </c>
      <c r="K129" s="32">
        <f>Data!BG128</f>
        <v>31</v>
      </c>
      <c r="L129" s="32">
        <f>Data!BX128</f>
        <v>0</v>
      </c>
      <c r="M129" s="32">
        <f>Data!BR128</f>
        <v>0</v>
      </c>
      <c r="N129" s="41">
        <f>Data!AA128</f>
        <v>38553</v>
      </c>
      <c r="O129" s="255">
        <f>Data!CG128</f>
        <v>0</v>
      </c>
      <c r="P129" s="78">
        <f>Data!CH128</f>
        <v>166.3</v>
      </c>
      <c r="Q129" s="32">
        <f t="shared" ca="1" si="112"/>
        <v>40916850.263990127</v>
      </c>
      <c r="R129" s="145">
        <f t="shared" ca="1" si="143"/>
        <v>39530543.071764134</v>
      </c>
      <c r="S129" s="32">
        <f t="shared" ca="1" si="144"/>
        <v>2176054.7344147488</v>
      </c>
      <c r="T129" s="50">
        <f t="shared" ca="1" si="145"/>
        <v>5.6169593439389029E-2</v>
      </c>
    </row>
    <row r="130" spans="1:23" x14ac:dyDescent="0.2">
      <c r="A130" s="2">
        <v>44409</v>
      </c>
      <c r="B130">
        <f t="shared" si="140"/>
        <v>2021</v>
      </c>
      <c r="C130">
        <f t="shared" si="141"/>
        <v>8</v>
      </c>
      <c r="D130" s="151">
        <f>Data!D129</f>
        <v>40364094.120481901</v>
      </c>
      <c r="E130" s="151">
        <f>Data!E129</f>
        <v>1386307.1922259934</v>
      </c>
      <c r="F130" s="151">
        <f>Data!F129</f>
        <v>41750401.312707894</v>
      </c>
      <c r="G130" s="129">
        <f>Data!AP129</f>
        <v>0</v>
      </c>
      <c r="H130" s="129">
        <f>Data!AQ129</f>
        <v>241.4</v>
      </c>
      <c r="I130" s="146">
        <f t="shared" ref="I130:J130" ca="1" si="147">I142</f>
        <v>0.29000000000000004</v>
      </c>
      <c r="J130" s="146">
        <f t="shared" ca="1" si="147"/>
        <v>180.75000000000006</v>
      </c>
      <c r="K130" s="32">
        <f>Data!BG129</f>
        <v>31</v>
      </c>
      <c r="L130" s="32">
        <f>Data!BX129</f>
        <v>0</v>
      </c>
      <c r="M130" s="32">
        <f>Data!BR129</f>
        <v>0</v>
      </c>
      <c r="N130" s="41">
        <f>Data!AA129</f>
        <v>38570</v>
      </c>
      <c r="O130" s="255">
        <f>Data!CG129</f>
        <v>0</v>
      </c>
      <c r="P130" s="78">
        <f>Data!CH129</f>
        <v>241.4</v>
      </c>
      <c r="Q130" s="32">
        <f t="shared" ca="1" si="112"/>
        <v>38542578.896821469</v>
      </c>
      <c r="R130" s="145">
        <f t="shared" ca="1" si="143"/>
        <v>37156271.704595476</v>
      </c>
      <c r="S130" s="32">
        <f t="shared" ca="1" si="144"/>
        <v>-3207822.4158864245</v>
      </c>
      <c r="T130" s="50">
        <f t="shared" ca="1" si="145"/>
        <v>7.68333312980643E-2</v>
      </c>
    </row>
    <row r="131" spans="1:23" x14ac:dyDescent="0.2">
      <c r="A131" s="2">
        <v>44440</v>
      </c>
      <c r="B131">
        <f t="shared" si="140"/>
        <v>2021</v>
      </c>
      <c r="C131">
        <f t="shared" si="141"/>
        <v>9</v>
      </c>
      <c r="D131" s="151">
        <f>Data!D130</f>
        <v>30965429.060240969</v>
      </c>
      <c r="E131" s="151">
        <f>Data!E130</f>
        <v>1386307.1922259934</v>
      </c>
      <c r="F131" s="151">
        <f>Data!F130</f>
        <v>32351736.252466962</v>
      </c>
      <c r="G131" s="129">
        <f>Data!AP130</f>
        <v>14.3</v>
      </c>
      <c r="H131" s="129">
        <f>Data!AQ130</f>
        <v>63.599999999999994</v>
      </c>
      <c r="I131" s="146">
        <f t="shared" ref="I131:J131" ca="1" si="148">I143</f>
        <v>27</v>
      </c>
      <c r="J131" s="146">
        <f t="shared" ca="1" si="148"/>
        <v>80.61</v>
      </c>
      <c r="K131" s="32">
        <f>Data!BG130</f>
        <v>30</v>
      </c>
      <c r="L131" s="32">
        <f>Data!BX130</f>
        <v>1</v>
      </c>
      <c r="M131" s="32">
        <f>Data!BR130</f>
        <v>1</v>
      </c>
      <c r="N131" s="41">
        <f>Data!AA130</f>
        <v>38649</v>
      </c>
      <c r="O131" s="255">
        <f>Data!CG130</f>
        <v>14.3</v>
      </c>
      <c r="P131" s="78">
        <f>Data!CH130</f>
        <v>63.599999999999994</v>
      </c>
      <c r="Q131" s="32">
        <f t="shared" ca="1" si="112"/>
        <v>33363054.917190414</v>
      </c>
      <c r="R131" s="145">
        <f t="shared" ca="1" si="143"/>
        <v>31976747.724964421</v>
      </c>
      <c r="S131" s="32">
        <f t="shared" ca="1" si="144"/>
        <v>1011318.6647234522</v>
      </c>
      <c r="T131" s="50">
        <f t="shared" ca="1" si="145"/>
        <v>3.1260104769379564E-2</v>
      </c>
    </row>
    <row r="132" spans="1:23" x14ac:dyDescent="0.2">
      <c r="A132" s="2">
        <v>44470</v>
      </c>
      <c r="B132">
        <f t="shared" si="140"/>
        <v>2021</v>
      </c>
      <c r="C132">
        <f t="shared" si="141"/>
        <v>10</v>
      </c>
      <c r="D132" s="151">
        <f>Data!D131</f>
        <v>24701351.469879605</v>
      </c>
      <c r="E132" s="151">
        <f>Data!E131</f>
        <v>1386307.1922259934</v>
      </c>
      <c r="F132" s="151">
        <f>Data!F131</f>
        <v>26087658.662105598</v>
      </c>
      <c r="G132" s="129">
        <f>Data!AP131</f>
        <v>102.60000000000001</v>
      </c>
      <c r="H132" s="129">
        <f>Data!AQ131</f>
        <v>24.999999999999993</v>
      </c>
      <c r="I132" s="146">
        <f t="shared" ref="I132:J132" ca="1" si="149">I144</f>
        <v>167.57</v>
      </c>
      <c r="J132" s="146">
        <f t="shared" ca="1" si="149"/>
        <v>9.9699999999999989</v>
      </c>
      <c r="K132" s="32">
        <f>Data!BG131</f>
        <v>31</v>
      </c>
      <c r="L132" s="32">
        <f>Data!BX131</f>
        <v>1</v>
      </c>
      <c r="M132" s="32">
        <f>Data!BR131</f>
        <v>0</v>
      </c>
      <c r="N132" s="41">
        <f>Data!AA131</f>
        <v>38774</v>
      </c>
      <c r="O132" s="255">
        <f>Data!CG131</f>
        <v>102.60000000000001</v>
      </c>
      <c r="P132" s="78">
        <f>Data!CH131</f>
        <v>24.999999999999993</v>
      </c>
      <c r="Q132" s="32">
        <f t="shared" ca="1" si="112"/>
        <v>25859608.951988615</v>
      </c>
      <c r="R132" s="145">
        <f t="shared" ca="1" si="143"/>
        <v>24473301.759762622</v>
      </c>
      <c r="S132" s="32">
        <f t="shared" ca="1" si="144"/>
        <v>-228049.71011698246</v>
      </c>
      <c r="T132" s="50">
        <f t="shared" ca="1" si="145"/>
        <v>8.7416702691009533E-3</v>
      </c>
    </row>
    <row r="133" spans="1:23" x14ac:dyDescent="0.2">
      <c r="A133" s="2">
        <v>44501</v>
      </c>
      <c r="B133">
        <f t="shared" si="140"/>
        <v>2021</v>
      </c>
      <c r="C133">
        <f t="shared" si="141"/>
        <v>11</v>
      </c>
      <c r="D133" s="151">
        <f>Data!D132</f>
        <v>23015449.214457814</v>
      </c>
      <c r="E133" s="151">
        <f>Data!E132</f>
        <v>1386307.1922259934</v>
      </c>
      <c r="F133" s="151">
        <f>Data!F132</f>
        <v>24401756.406683806</v>
      </c>
      <c r="G133" s="129">
        <f>Data!AP132</f>
        <v>353.7</v>
      </c>
      <c r="H133" s="129">
        <f>Data!AQ132</f>
        <v>0</v>
      </c>
      <c r="I133" s="146">
        <f t="shared" ref="I133:J133" ca="1" si="150">I145</f>
        <v>366.25</v>
      </c>
      <c r="J133" s="146">
        <f t="shared" ca="1" si="150"/>
        <v>1.0000000000000142E-2</v>
      </c>
      <c r="K133" s="32">
        <f t="shared" ref="K133" si="151">K85</f>
        <v>30</v>
      </c>
      <c r="L133" s="32">
        <f>Data!BX132</f>
        <v>1</v>
      </c>
      <c r="M133" s="32">
        <f>Data!BR132</f>
        <v>0</v>
      </c>
      <c r="N133" s="41">
        <f>Data!AA132</f>
        <v>38781</v>
      </c>
      <c r="O133" s="255">
        <f>Data!CG132</f>
        <v>353.7</v>
      </c>
      <c r="P133" s="78">
        <f>Data!CH132</f>
        <v>0</v>
      </c>
      <c r="Q133" s="32">
        <f t="shared" ca="1" si="112"/>
        <v>24511912.432948694</v>
      </c>
      <c r="R133" s="145">
        <f t="shared" ca="1" si="143"/>
        <v>23125605.240722701</v>
      </c>
      <c r="S133" s="32">
        <f t="shared" ca="1" si="144"/>
        <v>110156.0262648873</v>
      </c>
      <c r="T133" s="50">
        <f t="shared" ca="1" si="145"/>
        <v>4.5142662859594326E-3</v>
      </c>
    </row>
    <row r="134" spans="1:23" x14ac:dyDescent="0.2">
      <c r="A134" s="2">
        <v>44531</v>
      </c>
      <c r="B134">
        <f t="shared" si="140"/>
        <v>2021</v>
      </c>
      <c r="C134">
        <f t="shared" si="141"/>
        <v>12</v>
      </c>
      <c r="D134" s="151">
        <f>Data!D133</f>
        <v>28628265.918072276</v>
      </c>
      <c r="E134" s="151">
        <f>Data!E133</f>
        <v>1386307.1922259934</v>
      </c>
      <c r="F134" s="151">
        <f>Data!F133</f>
        <v>30014573.110298268</v>
      </c>
      <c r="G134" s="129">
        <f>Data!AP133</f>
        <v>443.4</v>
      </c>
      <c r="H134" s="129">
        <f>Data!AQ133</f>
        <v>0</v>
      </c>
      <c r="I134" s="146">
        <f t="shared" ref="I134:J134" ca="1" si="152">I146</f>
        <v>513.3599999999999</v>
      </c>
      <c r="J134" s="146">
        <f t="shared" ca="1" si="152"/>
        <v>0</v>
      </c>
      <c r="K134" s="32">
        <f t="shared" ref="K134" si="153">K86</f>
        <v>31</v>
      </c>
      <c r="L134" s="32">
        <f>Data!BX133</f>
        <v>0</v>
      </c>
      <c r="M134" s="32">
        <f>Data!BR133</f>
        <v>0</v>
      </c>
      <c r="N134" s="41">
        <f>Data!AA133</f>
        <v>38823</v>
      </c>
      <c r="O134" s="255">
        <f>Data!CG133</f>
        <v>443.4</v>
      </c>
      <c r="P134" s="78">
        <f>Data!CH133</f>
        <v>0</v>
      </c>
      <c r="Q134" s="32">
        <f t="shared" ca="1" si="112"/>
        <v>30625687.375341095</v>
      </c>
      <c r="R134" s="145">
        <f t="shared" ca="1" si="143"/>
        <v>29239380.183115102</v>
      </c>
      <c r="S134" s="32">
        <f t="shared" ca="1" si="144"/>
        <v>611114.26504282653</v>
      </c>
      <c r="T134" s="50">
        <f t="shared" ca="1" si="145"/>
        <v>2.036058493309531E-2</v>
      </c>
      <c r="U134" s="28" t="s">
        <v>52</v>
      </c>
    </row>
    <row r="135" spans="1:23" x14ac:dyDescent="0.2">
      <c r="A135" s="2">
        <v>44562</v>
      </c>
      <c r="B135">
        <f t="shared" ref="B135:B158" si="154">YEAR(A135)</f>
        <v>2022</v>
      </c>
      <c r="C135">
        <f t="shared" ref="C135:C158" si="155">MONTH(A135)</f>
        <v>1</v>
      </c>
      <c r="D135" s="151"/>
      <c r="E135" s="151">
        <f>'Historic CDM'!M16/12</f>
        <v>1388122.4911311602</v>
      </c>
      <c r="F135" s="151"/>
      <c r="G135" s="146">
        <f ca="1">Weather!BP61</f>
        <v>625.5</v>
      </c>
      <c r="H135" s="146">
        <f ca="1">Weather!BQ61</f>
        <v>0</v>
      </c>
      <c r="I135" s="146">
        <f t="shared" ref="I135:I157" ca="1" si="156">G135</f>
        <v>625.5</v>
      </c>
      <c r="J135" s="146">
        <f t="shared" ref="J135:J157" ca="1" si="157">H135</f>
        <v>0</v>
      </c>
      <c r="K135" s="32">
        <f t="shared" si="138"/>
        <v>31</v>
      </c>
      <c r="L135" s="32">
        <f t="shared" si="138"/>
        <v>0</v>
      </c>
      <c r="M135" s="32">
        <f>M123</f>
        <v>0</v>
      </c>
      <c r="N135" s="147">
        <f>'Rate Class Customer Model'!B60</f>
        <v>38885.5</v>
      </c>
      <c r="O135" s="156">
        <f ca="1">G135*U135</f>
        <v>469.125</v>
      </c>
      <c r="P135" s="201">
        <f ca="1">H135*U135</f>
        <v>0</v>
      </c>
      <c r="Q135" s="32">
        <f t="shared" ref="Q135:Q158" ca="1" si="158">$V$9+G135*$V$10+H135*$V$11+K135*$V$12+L135*$V$13+M135*$V$14+N135*$V$15+O135*$V$16+P135*$V$17</f>
        <v>32839088.783573113</v>
      </c>
      <c r="R135" s="145">
        <f t="shared" ref="R135:R158" ca="1" si="159">Q135-E135</f>
        <v>31450966.292441953</v>
      </c>
      <c r="S135" s="32">
        <f t="shared" ref="S135:S158" ca="1" si="160">+Q135-F135</f>
        <v>32839088.783573113</v>
      </c>
      <c r="T135" s="50"/>
      <c r="U135" s="200">
        <v>0.75</v>
      </c>
    </row>
    <row r="136" spans="1:23" x14ac:dyDescent="0.2">
      <c r="A136" s="2">
        <v>44593</v>
      </c>
      <c r="B136">
        <f t="shared" si="154"/>
        <v>2022</v>
      </c>
      <c r="C136">
        <f t="shared" si="155"/>
        <v>2</v>
      </c>
      <c r="D136" s="151"/>
      <c r="E136" s="151">
        <f>E135</f>
        <v>1388122.4911311602</v>
      </c>
      <c r="F136" s="151"/>
      <c r="G136" s="146">
        <f ca="1">Weather!BP62</f>
        <v>573.20999999999992</v>
      </c>
      <c r="H136" s="146">
        <f ca="1">Weather!BQ62</f>
        <v>0</v>
      </c>
      <c r="I136" s="146">
        <f t="shared" ca="1" si="156"/>
        <v>573.20999999999992</v>
      </c>
      <c r="J136" s="146">
        <f t="shared" ca="1" si="157"/>
        <v>0</v>
      </c>
      <c r="K136" s="32">
        <f t="shared" si="138"/>
        <v>28</v>
      </c>
      <c r="L136" s="32">
        <f t="shared" si="138"/>
        <v>0</v>
      </c>
      <c r="M136" s="32">
        <f t="shared" ref="M136:M158" si="161">M124</f>
        <v>0</v>
      </c>
      <c r="N136" s="147">
        <f>'Rate Class Customer Model'!B61</f>
        <v>38948</v>
      </c>
      <c r="O136" s="156">
        <f t="shared" ref="O136:O158" ca="1" si="162">G136*U136</f>
        <v>429.90749999999991</v>
      </c>
      <c r="P136" s="201">
        <f t="shared" ref="P136:P158" ca="1" si="163">H136*U136</f>
        <v>0</v>
      </c>
      <c r="Q136" s="32">
        <f t="shared" ca="1" si="158"/>
        <v>30178328.03851939</v>
      </c>
      <c r="R136" s="145">
        <f t="shared" ca="1" si="159"/>
        <v>28790205.54738823</v>
      </c>
      <c r="S136" s="32">
        <f t="shared" ca="1" si="160"/>
        <v>30178328.03851939</v>
      </c>
      <c r="T136" s="50"/>
      <c r="U136" s="200">
        <f>U135</f>
        <v>0.75</v>
      </c>
    </row>
    <row r="137" spans="1:23" x14ac:dyDescent="0.2">
      <c r="A137" s="2">
        <v>44621</v>
      </c>
      <c r="B137">
        <f t="shared" si="154"/>
        <v>2022</v>
      </c>
      <c r="C137">
        <f t="shared" si="155"/>
        <v>3</v>
      </c>
      <c r="D137" s="151"/>
      <c r="E137" s="151">
        <f t="shared" ref="E137:E146" si="164">E136</f>
        <v>1388122.4911311602</v>
      </c>
      <c r="F137" s="151"/>
      <c r="G137" s="146">
        <f ca="1">Weather!BP63</f>
        <v>471.05</v>
      </c>
      <c r="H137" s="146">
        <f ca="1">Weather!BQ63</f>
        <v>0.3</v>
      </c>
      <c r="I137" s="146">
        <f t="shared" ca="1" si="156"/>
        <v>471.05</v>
      </c>
      <c r="J137" s="146">
        <f t="shared" ca="1" si="157"/>
        <v>0.3</v>
      </c>
      <c r="K137" s="32">
        <f t="shared" si="138"/>
        <v>31</v>
      </c>
      <c r="L137" s="32">
        <f t="shared" si="138"/>
        <v>1</v>
      </c>
      <c r="M137" s="32">
        <f t="shared" si="161"/>
        <v>0</v>
      </c>
      <c r="N137" s="147">
        <f>'Rate Class Customer Model'!B62</f>
        <v>39010.5</v>
      </c>
      <c r="O137" s="156">
        <f t="shared" ca="1" si="162"/>
        <v>353.28750000000002</v>
      </c>
      <c r="P137" s="201">
        <f t="shared" ca="1" si="163"/>
        <v>0.22499999999999998</v>
      </c>
      <c r="Q137" s="32">
        <f t="shared" ca="1" si="158"/>
        <v>28297673.004810624</v>
      </c>
      <c r="R137" s="145">
        <f t="shared" ca="1" si="159"/>
        <v>26909550.513679463</v>
      </c>
      <c r="S137" s="32">
        <f t="shared" ca="1" si="160"/>
        <v>28297673.004810624</v>
      </c>
      <c r="T137" s="50"/>
      <c r="U137" s="200">
        <f t="shared" ref="U137:U158" si="165">U136</f>
        <v>0.75</v>
      </c>
    </row>
    <row r="138" spans="1:23" x14ac:dyDescent="0.2">
      <c r="A138" s="2">
        <v>44652</v>
      </c>
      <c r="B138">
        <f t="shared" si="154"/>
        <v>2022</v>
      </c>
      <c r="C138">
        <f t="shared" si="155"/>
        <v>4</v>
      </c>
      <c r="D138" s="151"/>
      <c r="E138" s="151">
        <f t="shared" si="164"/>
        <v>1388122.4911311602</v>
      </c>
      <c r="F138" s="151"/>
      <c r="G138" s="146">
        <f ca="1">Weather!BP64</f>
        <v>285.58000000000004</v>
      </c>
      <c r="H138" s="146">
        <f ca="1">Weather!BQ64</f>
        <v>0.38999999999999985</v>
      </c>
      <c r="I138" s="146">
        <f t="shared" ca="1" si="156"/>
        <v>285.58000000000004</v>
      </c>
      <c r="J138" s="146">
        <f t="shared" ca="1" si="157"/>
        <v>0.38999999999999985</v>
      </c>
      <c r="K138" s="32">
        <f t="shared" si="138"/>
        <v>30</v>
      </c>
      <c r="L138" s="32">
        <f t="shared" si="138"/>
        <v>1</v>
      </c>
      <c r="M138" s="32">
        <f t="shared" si="161"/>
        <v>0</v>
      </c>
      <c r="N138" s="147">
        <f>'Rate Class Customer Model'!B63</f>
        <v>39073</v>
      </c>
      <c r="O138" s="156">
        <f t="shared" ca="1" si="162"/>
        <v>214.18500000000003</v>
      </c>
      <c r="P138" s="201">
        <f t="shared" ca="1" si="163"/>
        <v>0.29249999999999987</v>
      </c>
      <c r="Q138" s="32">
        <f t="shared" ca="1" si="158"/>
        <v>25522248.506663192</v>
      </c>
      <c r="R138" s="145">
        <f t="shared" ca="1" si="159"/>
        <v>24134126.015532032</v>
      </c>
      <c r="S138" s="32">
        <f t="shared" ca="1" si="160"/>
        <v>25522248.506663192</v>
      </c>
      <c r="T138" s="50"/>
      <c r="U138" s="200">
        <f t="shared" si="165"/>
        <v>0.75</v>
      </c>
    </row>
    <row r="139" spans="1:23" x14ac:dyDescent="0.2">
      <c r="A139" s="2">
        <v>44682</v>
      </c>
      <c r="B139">
        <f t="shared" si="154"/>
        <v>2022</v>
      </c>
      <c r="C139">
        <f t="shared" si="155"/>
        <v>5</v>
      </c>
      <c r="D139" s="151"/>
      <c r="E139" s="151">
        <f t="shared" si="164"/>
        <v>1388122.4911311602</v>
      </c>
      <c r="F139" s="151"/>
      <c r="G139" s="146">
        <f ca="1">Weather!BP65</f>
        <v>93.759999999999991</v>
      </c>
      <c r="H139" s="146">
        <f ca="1">Weather!BQ65</f>
        <v>43.35</v>
      </c>
      <c r="I139" s="146">
        <f t="shared" ca="1" si="156"/>
        <v>93.759999999999991</v>
      </c>
      <c r="J139" s="146">
        <f t="shared" ca="1" si="157"/>
        <v>43.35</v>
      </c>
      <c r="K139" s="32">
        <f t="shared" si="138"/>
        <v>31</v>
      </c>
      <c r="L139" s="32">
        <f t="shared" si="138"/>
        <v>1</v>
      </c>
      <c r="M139" s="32">
        <f t="shared" si="161"/>
        <v>0</v>
      </c>
      <c r="N139" s="147">
        <f>'Rate Class Customer Model'!B64</f>
        <v>39135.5</v>
      </c>
      <c r="O139" s="156">
        <f t="shared" ca="1" si="162"/>
        <v>70.319999999999993</v>
      </c>
      <c r="P139" s="201">
        <f t="shared" ca="1" si="163"/>
        <v>32.512500000000003</v>
      </c>
      <c r="Q139" s="32">
        <f t="shared" ca="1" si="158"/>
        <v>27132941.425240915</v>
      </c>
      <c r="R139" s="145">
        <f t="shared" ca="1" si="159"/>
        <v>25744818.934109755</v>
      </c>
      <c r="S139" s="32">
        <f t="shared" ca="1" si="160"/>
        <v>27132941.425240915</v>
      </c>
      <c r="T139" s="50"/>
      <c r="U139" s="200">
        <f t="shared" si="165"/>
        <v>0.75</v>
      </c>
    </row>
    <row r="140" spans="1:23" x14ac:dyDescent="0.2">
      <c r="A140" s="2">
        <v>44713</v>
      </c>
      <c r="B140">
        <f t="shared" si="154"/>
        <v>2022</v>
      </c>
      <c r="C140">
        <f t="shared" si="155"/>
        <v>6</v>
      </c>
      <c r="D140" s="151"/>
      <c r="E140" s="151">
        <f t="shared" si="164"/>
        <v>1388122.4911311602</v>
      </c>
      <c r="F140" s="151"/>
      <c r="G140" s="146">
        <f ca="1">Weather!BP66</f>
        <v>8.7399999999999984</v>
      </c>
      <c r="H140" s="146">
        <f ca="1">Weather!BQ66</f>
        <v>118.63000000000002</v>
      </c>
      <c r="I140" s="146">
        <f t="shared" ca="1" si="156"/>
        <v>8.7399999999999984</v>
      </c>
      <c r="J140" s="146">
        <f t="shared" ca="1" si="157"/>
        <v>118.63000000000002</v>
      </c>
      <c r="K140" s="32">
        <f t="shared" si="138"/>
        <v>30</v>
      </c>
      <c r="L140" s="32">
        <f t="shared" si="138"/>
        <v>0</v>
      </c>
      <c r="M140" s="32">
        <f t="shared" si="161"/>
        <v>0</v>
      </c>
      <c r="N140" s="147">
        <f>'Rate Class Customer Model'!B65</f>
        <v>39198</v>
      </c>
      <c r="O140" s="156">
        <f t="shared" ca="1" si="162"/>
        <v>6.5549999999999988</v>
      </c>
      <c r="P140" s="201">
        <f t="shared" ca="1" si="163"/>
        <v>88.972500000000025</v>
      </c>
      <c r="Q140" s="32">
        <f t="shared" ca="1" si="158"/>
        <v>33741369.741467528</v>
      </c>
      <c r="R140" s="145">
        <f t="shared" ca="1" si="159"/>
        <v>32353247.250336368</v>
      </c>
      <c r="S140" s="32">
        <f t="shared" ca="1" si="160"/>
        <v>33741369.741467528</v>
      </c>
      <c r="T140" s="50"/>
      <c r="U140" s="200">
        <f t="shared" si="165"/>
        <v>0.75</v>
      </c>
    </row>
    <row r="141" spans="1:23" x14ac:dyDescent="0.2">
      <c r="A141" s="2">
        <v>44743</v>
      </c>
      <c r="B141">
        <f t="shared" si="154"/>
        <v>2022</v>
      </c>
      <c r="C141">
        <f t="shared" si="155"/>
        <v>7</v>
      </c>
      <c r="D141" s="151"/>
      <c r="E141" s="151">
        <f t="shared" si="164"/>
        <v>1388122.4911311602</v>
      </c>
      <c r="F141" s="151"/>
      <c r="G141" s="146">
        <f ca="1">Weather!BP67</f>
        <v>0</v>
      </c>
      <c r="H141" s="146">
        <f ca="1">Weather!BQ67</f>
        <v>207.41000000000003</v>
      </c>
      <c r="I141" s="146">
        <f t="shared" ca="1" si="156"/>
        <v>0</v>
      </c>
      <c r="J141" s="146">
        <f t="shared" ca="1" si="157"/>
        <v>207.41000000000003</v>
      </c>
      <c r="K141" s="32">
        <f t="shared" si="138"/>
        <v>31</v>
      </c>
      <c r="L141" s="32">
        <f t="shared" si="138"/>
        <v>0</v>
      </c>
      <c r="M141" s="32">
        <f t="shared" si="161"/>
        <v>0</v>
      </c>
      <c r="N141" s="147">
        <f>'Rate Class Customer Model'!B66</f>
        <v>39260.5</v>
      </c>
      <c r="O141" s="156">
        <f t="shared" ca="1" si="162"/>
        <v>0</v>
      </c>
      <c r="P141" s="201">
        <f t="shared" ca="1" si="163"/>
        <v>155.5575</v>
      </c>
      <c r="Q141" s="32">
        <f t="shared" ca="1" si="158"/>
        <v>40712245.64605426</v>
      </c>
      <c r="R141" s="145">
        <f t="shared" ca="1" si="159"/>
        <v>39324123.154923104</v>
      </c>
      <c r="S141" s="32">
        <f t="shared" ca="1" si="160"/>
        <v>40712245.64605426</v>
      </c>
      <c r="T141" s="50"/>
      <c r="U141" s="200">
        <f t="shared" si="165"/>
        <v>0.75</v>
      </c>
    </row>
    <row r="142" spans="1:23" x14ac:dyDescent="0.2">
      <c r="A142" s="2">
        <v>44774</v>
      </c>
      <c r="B142">
        <f t="shared" si="154"/>
        <v>2022</v>
      </c>
      <c r="C142">
        <f t="shared" si="155"/>
        <v>8</v>
      </c>
      <c r="D142" s="151"/>
      <c r="E142" s="151">
        <f t="shared" si="164"/>
        <v>1388122.4911311602</v>
      </c>
      <c r="F142" s="151"/>
      <c r="G142" s="146">
        <f ca="1">Weather!BP68</f>
        <v>0.29000000000000004</v>
      </c>
      <c r="H142" s="146">
        <f ca="1">Weather!BQ68</f>
        <v>180.75000000000006</v>
      </c>
      <c r="I142" s="146">
        <f t="shared" ca="1" si="156"/>
        <v>0.29000000000000004</v>
      </c>
      <c r="J142" s="146">
        <f t="shared" ca="1" si="157"/>
        <v>180.75000000000006</v>
      </c>
      <c r="K142" s="32">
        <f t="shared" ref="K142:L157" si="166">K94</f>
        <v>31</v>
      </c>
      <c r="L142" s="32">
        <f t="shared" si="166"/>
        <v>0</v>
      </c>
      <c r="M142" s="32">
        <f t="shared" si="161"/>
        <v>0</v>
      </c>
      <c r="N142" s="147">
        <f>'Rate Class Customer Model'!B67</f>
        <v>39323</v>
      </c>
      <c r="O142" s="156">
        <f t="shared" ca="1" si="162"/>
        <v>0.21750000000000003</v>
      </c>
      <c r="P142" s="201">
        <f t="shared" ca="1" si="163"/>
        <v>135.56250000000006</v>
      </c>
      <c r="Q142" s="32">
        <f t="shared" ca="1" si="158"/>
        <v>38850332.387800328</v>
      </c>
      <c r="R142" s="145">
        <f t="shared" ca="1" si="159"/>
        <v>37462209.896669172</v>
      </c>
      <c r="S142" s="32">
        <f t="shared" ca="1" si="160"/>
        <v>38850332.387800328</v>
      </c>
      <c r="T142" s="50"/>
      <c r="U142" s="200">
        <f t="shared" si="165"/>
        <v>0.75</v>
      </c>
    </row>
    <row r="143" spans="1:23" x14ac:dyDescent="0.2">
      <c r="A143" s="2">
        <v>44805</v>
      </c>
      <c r="B143">
        <f t="shared" si="154"/>
        <v>2022</v>
      </c>
      <c r="C143">
        <f t="shared" si="155"/>
        <v>9</v>
      </c>
      <c r="D143" s="151"/>
      <c r="E143" s="151">
        <f t="shared" si="164"/>
        <v>1388122.4911311602</v>
      </c>
      <c r="F143" s="151"/>
      <c r="G143" s="146">
        <f ca="1">Weather!BP69</f>
        <v>27</v>
      </c>
      <c r="H143" s="146">
        <f ca="1">Weather!BQ69</f>
        <v>80.61</v>
      </c>
      <c r="I143" s="146">
        <f t="shared" ca="1" si="156"/>
        <v>27</v>
      </c>
      <c r="J143" s="146">
        <f t="shared" ca="1" si="157"/>
        <v>80.61</v>
      </c>
      <c r="K143" s="32">
        <f t="shared" si="166"/>
        <v>30</v>
      </c>
      <c r="L143" s="32">
        <f t="shared" si="166"/>
        <v>1</v>
      </c>
      <c r="M143" s="32">
        <f t="shared" si="161"/>
        <v>1</v>
      </c>
      <c r="N143" s="147">
        <f>'Rate Class Customer Model'!B68</f>
        <v>39385.5</v>
      </c>
      <c r="O143" s="156">
        <f t="shared" ca="1" si="162"/>
        <v>20.25</v>
      </c>
      <c r="P143" s="201">
        <f t="shared" ca="1" si="163"/>
        <v>60.457499999999996</v>
      </c>
      <c r="Q143" s="32">
        <f t="shared" ca="1" si="158"/>
        <v>30182098.258420158</v>
      </c>
      <c r="R143" s="145">
        <f t="shared" ca="1" si="159"/>
        <v>28793975.767288998</v>
      </c>
      <c r="S143" s="32">
        <f t="shared" ca="1" si="160"/>
        <v>30182098.258420158</v>
      </c>
      <c r="T143" s="50"/>
      <c r="U143" s="200">
        <f t="shared" si="165"/>
        <v>0.75</v>
      </c>
    </row>
    <row r="144" spans="1:23" x14ac:dyDescent="0.2">
      <c r="A144" s="2">
        <v>44835</v>
      </c>
      <c r="B144">
        <f t="shared" si="154"/>
        <v>2022</v>
      </c>
      <c r="C144">
        <f t="shared" si="155"/>
        <v>10</v>
      </c>
      <c r="D144" s="151"/>
      <c r="E144" s="151">
        <f t="shared" si="164"/>
        <v>1388122.4911311602</v>
      </c>
      <c r="F144" s="151"/>
      <c r="G144" s="146">
        <f ca="1">Weather!BP70</f>
        <v>167.57</v>
      </c>
      <c r="H144" s="146">
        <f ca="1">Weather!BQ70</f>
        <v>9.9699999999999989</v>
      </c>
      <c r="I144" s="146">
        <f t="shared" ca="1" si="156"/>
        <v>167.57</v>
      </c>
      <c r="J144" s="146">
        <f t="shared" ca="1" si="157"/>
        <v>9.9699999999999989</v>
      </c>
      <c r="K144" s="32">
        <f t="shared" si="166"/>
        <v>31</v>
      </c>
      <c r="L144" s="32">
        <f t="shared" si="166"/>
        <v>1</v>
      </c>
      <c r="M144" s="32">
        <f t="shared" si="161"/>
        <v>0</v>
      </c>
      <c r="N144" s="147">
        <f>'Rate Class Customer Model'!B69</f>
        <v>39448</v>
      </c>
      <c r="O144" s="156">
        <f t="shared" ca="1" si="162"/>
        <v>125.67749999999999</v>
      </c>
      <c r="P144" s="201">
        <f t="shared" ca="1" si="163"/>
        <v>7.4774999999999991</v>
      </c>
      <c r="Q144" s="32">
        <f t="shared" ca="1" si="158"/>
        <v>25778515.291555516</v>
      </c>
      <c r="R144" s="145">
        <f t="shared" ca="1" si="159"/>
        <v>24390392.800424356</v>
      </c>
      <c r="S144" s="32">
        <f t="shared" ca="1" si="160"/>
        <v>25778515.291555516</v>
      </c>
      <c r="T144" s="50"/>
      <c r="U144" s="200">
        <f t="shared" si="165"/>
        <v>0.75</v>
      </c>
      <c r="V144" s="322"/>
      <c r="W144" s="323"/>
    </row>
    <row r="145" spans="1:23" x14ac:dyDescent="0.2">
      <c r="A145" s="2">
        <v>44866</v>
      </c>
      <c r="B145">
        <f t="shared" si="154"/>
        <v>2022</v>
      </c>
      <c r="C145">
        <f t="shared" si="155"/>
        <v>11</v>
      </c>
      <c r="D145" s="151"/>
      <c r="E145" s="151">
        <f t="shared" si="164"/>
        <v>1388122.4911311602</v>
      </c>
      <c r="F145" s="151"/>
      <c r="G145" s="146">
        <f ca="1">Weather!BP71</f>
        <v>366.25</v>
      </c>
      <c r="H145" s="146">
        <f ca="1">Weather!BQ71</f>
        <v>1.0000000000000142E-2</v>
      </c>
      <c r="I145" s="146">
        <f t="shared" ca="1" si="156"/>
        <v>366.25</v>
      </c>
      <c r="J145" s="146">
        <f t="shared" ca="1" si="157"/>
        <v>1.0000000000000142E-2</v>
      </c>
      <c r="K145" s="32">
        <f t="shared" si="166"/>
        <v>30</v>
      </c>
      <c r="L145" s="32">
        <f t="shared" si="166"/>
        <v>1</v>
      </c>
      <c r="M145" s="32">
        <f t="shared" si="161"/>
        <v>0</v>
      </c>
      <c r="N145" s="147">
        <f>'Rate Class Customer Model'!B70</f>
        <v>39510.5</v>
      </c>
      <c r="O145" s="156">
        <f t="shared" ca="1" si="162"/>
        <v>274.6875</v>
      </c>
      <c r="P145" s="201">
        <f t="shared" ca="1" si="163"/>
        <v>7.5000000000001073E-3</v>
      </c>
      <c r="Q145" s="32">
        <f t="shared" ca="1" si="158"/>
        <v>26674067.183871105</v>
      </c>
      <c r="R145" s="145">
        <f t="shared" ca="1" si="159"/>
        <v>25285944.692739945</v>
      </c>
      <c r="S145" s="32">
        <f t="shared" ca="1" si="160"/>
        <v>26674067.183871105</v>
      </c>
      <c r="T145" s="50"/>
      <c r="U145" s="200">
        <f t="shared" si="165"/>
        <v>0.75</v>
      </c>
      <c r="V145" s="322"/>
      <c r="W145" s="323"/>
    </row>
    <row r="146" spans="1:23" x14ac:dyDescent="0.2">
      <c r="A146" s="2">
        <v>44896</v>
      </c>
      <c r="B146">
        <f t="shared" si="154"/>
        <v>2022</v>
      </c>
      <c r="C146">
        <f t="shared" si="155"/>
        <v>12</v>
      </c>
      <c r="D146" s="151"/>
      <c r="E146" s="151">
        <f t="shared" si="164"/>
        <v>1388122.4911311602</v>
      </c>
      <c r="F146" s="151"/>
      <c r="G146" s="146">
        <f ca="1">Weather!BP72</f>
        <v>513.3599999999999</v>
      </c>
      <c r="H146" s="146">
        <f ca="1">Weather!BQ72</f>
        <v>0</v>
      </c>
      <c r="I146" s="146">
        <f t="shared" ca="1" si="156"/>
        <v>513.3599999999999</v>
      </c>
      <c r="J146" s="146">
        <f t="shared" ca="1" si="157"/>
        <v>0</v>
      </c>
      <c r="K146" s="32">
        <f t="shared" si="166"/>
        <v>31</v>
      </c>
      <c r="L146" s="32">
        <f t="shared" si="166"/>
        <v>0</v>
      </c>
      <c r="M146" s="32">
        <f t="shared" si="161"/>
        <v>0</v>
      </c>
      <c r="N146" s="147">
        <f>'Rate Class Customer Model'!B71</f>
        <v>39573</v>
      </c>
      <c r="O146" s="156">
        <f t="shared" ca="1" si="162"/>
        <v>385.01999999999992</v>
      </c>
      <c r="P146" s="201">
        <f t="shared" ca="1" si="163"/>
        <v>0</v>
      </c>
      <c r="Q146" s="32">
        <f t="shared" ca="1" si="158"/>
        <v>31962761.494906716</v>
      </c>
      <c r="R146" s="145">
        <f t="shared" ca="1" si="159"/>
        <v>30574639.003775556</v>
      </c>
      <c r="S146" s="32">
        <f t="shared" ca="1" si="160"/>
        <v>31962761.494906716</v>
      </c>
      <c r="T146" s="50"/>
      <c r="U146" s="200">
        <f t="shared" si="165"/>
        <v>0.75</v>
      </c>
      <c r="V146" s="322"/>
      <c r="W146" s="323"/>
    </row>
    <row r="147" spans="1:23" ht="12.75" customHeight="1" x14ac:dyDescent="0.2">
      <c r="A147" s="2">
        <v>44927</v>
      </c>
      <c r="B147">
        <f t="shared" si="154"/>
        <v>2023</v>
      </c>
      <c r="C147">
        <f t="shared" si="155"/>
        <v>1</v>
      </c>
      <c r="D147" s="151"/>
      <c r="E147" s="151">
        <f>'Historic CDM'!M17/12</f>
        <v>1381601.9762917485</v>
      </c>
      <c r="G147" s="146">
        <f t="shared" ref="G147:H158" ca="1" si="167">G135</f>
        <v>625.5</v>
      </c>
      <c r="H147" s="146">
        <f t="shared" ca="1" si="167"/>
        <v>0</v>
      </c>
      <c r="I147" s="146">
        <f t="shared" ca="1" si="156"/>
        <v>625.5</v>
      </c>
      <c r="J147" s="146">
        <f t="shared" ca="1" si="157"/>
        <v>0</v>
      </c>
      <c r="K147" s="32">
        <f t="shared" si="166"/>
        <v>31</v>
      </c>
      <c r="L147" s="32">
        <f t="shared" si="166"/>
        <v>0</v>
      </c>
      <c r="M147" s="32">
        <f t="shared" si="161"/>
        <v>0</v>
      </c>
      <c r="N147" s="147">
        <f>'Rate Class Customer Model'!B72</f>
        <v>39652.166666666664</v>
      </c>
      <c r="O147" s="156">
        <f t="shared" ca="1" si="162"/>
        <v>312.75</v>
      </c>
      <c r="P147" s="201">
        <f t="shared" ca="1" si="163"/>
        <v>0</v>
      </c>
      <c r="Q147" s="32">
        <f t="shared" ca="1" si="158"/>
        <v>32729962.355039552</v>
      </c>
      <c r="R147" s="145">
        <f t="shared" ca="1" si="159"/>
        <v>31348360.378747802</v>
      </c>
      <c r="S147" s="32">
        <f t="shared" ca="1" si="160"/>
        <v>32729962.355039552</v>
      </c>
      <c r="T147" s="50"/>
      <c r="U147" s="200">
        <v>0.5</v>
      </c>
      <c r="V147" s="29"/>
      <c r="W147" s="41"/>
    </row>
    <row r="148" spans="1:23" x14ac:dyDescent="0.2">
      <c r="A148" s="2">
        <v>44958</v>
      </c>
      <c r="B148">
        <f t="shared" si="154"/>
        <v>2023</v>
      </c>
      <c r="C148">
        <f t="shared" si="155"/>
        <v>2</v>
      </c>
      <c r="D148" s="151"/>
      <c r="E148" s="151">
        <f>E147</f>
        <v>1381601.9762917485</v>
      </c>
      <c r="G148" s="146">
        <f t="shared" ca="1" si="167"/>
        <v>573.20999999999992</v>
      </c>
      <c r="H148" s="146">
        <f t="shared" ca="1" si="167"/>
        <v>0</v>
      </c>
      <c r="I148" s="146">
        <f t="shared" ca="1" si="156"/>
        <v>573.20999999999992</v>
      </c>
      <c r="J148" s="146">
        <f t="shared" ca="1" si="157"/>
        <v>0</v>
      </c>
      <c r="K148" s="32">
        <f t="shared" si="166"/>
        <v>28</v>
      </c>
      <c r="L148" s="32">
        <f t="shared" si="166"/>
        <v>0</v>
      </c>
      <c r="M148" s="32">
        <f t="shared" si="161"/>
        <v>0</v>
      </c>
      <c r="N148" s="147">
        <f>'Rate Class Customer Model'!B73</f>
        <v>39731.333333333328</v>
      </c>
      <c r="O148" s="156">
        <f t="shared" ca="1" si="162"/>
        <v>286.60499999999996</v>
      </c>
      <c r="P148" s="201">
        <f t="shared" ca="1" si="163"/>
        <v>0</v>
      </c>
      <c r="Q148" s="32">
        <f t="shared" ca="1" si="158"/>
        <v>30125850.736234572</v>
      </c>
      <c r="R148" s="145">
        <f t="shared" ca="1" si="159"/>
        <v>28744248.759942822</v>
      </c>
      <c r="S148" s="32">
        <f t="shared" ca="1" si="160"/>
        <v>30125850.736234572</v>
      </c>
      <c r="T148" s="50"/>
      <c r="U148" s="200">
        <f t="shared" si="165"/>
        <v>0.5</v>
      </c>
      <c r="V148" s="29"/>
      <c r="W148" s="41"/>
    </row>
    <row r="149" spans="1:23" x14ac:dyDescent="0.2">
      <c r="A149" s="2">
        <v>44986</v>
      </c>
      <c r="B149">
        <f t="shared" si="154"/>
        <v>2023</v>
      </c>
      <c r="C149">
        <f t="shared" si="155"/>
        <v>3</v>
      </c>
      <c r="D149" s="151"/>
      <c r="E149" s="151">
        <f t="shared" ref="E149:E158" si="168">E148</f>
        <v>1381601.9762917485</v>
      </c>
      <c r="G149" s="146">
        <f t="shared" ca="1" si="167"/>
        <v>471.05</v>
      </c>
      <c r="H149" s="146">
        <f t="shared" ca="1" si="167"/>
        <v>0.3</v>
      </c>
      <c r="I149" s="146">
        <f t="shared" ca="1" si="156"/>
        <v>471.05</v>
      </c>
      <c r="J149" s="146">
        <f t="shared" ca="1" si="157"/>
        <v>0.3</v>
      </c>
      <c r="K149" s="32">
        <f t="shared" si="166"/>
        <v>31</v>
      </c>
      <c r="L149" s="32">
        <f t="shared" si="166"/>
        <v>1</v>
      </c>
      <c r="M149" s="32">
        <f t="shared" si="161"/>
        <v>0</v>
      </c>
      <c r="N149" s="147">
        <f>'Rate Class Customer Model'!B74</f>
        <v>39810.499999999993</v>
      </c>
      <c r="O149" s="156">
        <f t="shared" ca="1" si="162"/>
        <v>235.52500000000001</v>
      </c>
      <c r="P149" s="201">
        <f t="shared" ca="1" si="163"/>
        <v>0.15</v>
      </c>
      <c r="Q149" s="32">
        <f t="shared" ca="1" si="158"/>
        <v>28344676.650404304</v>
      </c>
      <c r="R149" s="145">
        <f t="shared" ca="1" si="159"/>
        <v>26963074.674112555</v>
      </c>
      <c r="S149" s="32">
        <f t="shared" ca="1" si="160"/>
        <v>28344676.650404304</v>
      </c>
      <c r="T149" s="50"/>
      <c r="U149" s="200">
        <f t="shared" si="165"/>
        <v>0.5</v>
      </c>
      <c r="V149" s="29"/>
      <c r="W149" s="41"/>
    </row>
    <row r="150" spans="1:23" x14ac:dyDescent="0.2">
      <c r="A150" s="2">
        <v>45017</v>
      </c>
      <c r="B150">
        <f t="shared" si="154"/>
        <v>2023</v>
      </c>
      <c r="C150">
        <f t="shared" si="155"/>
        <v>4</v>
      </c>
      <c r="D150" s="151"/>
      <c r="E150" s="151">
        <f t="shared" si="168"/>
        <v>1381601.9762917485</v>
      </c>
      <c r="G150" s="146">
        <f t="shared" ca="1" si="167"/>
        <v>285.58000000000004</v>
      </c>
      <c r="H150" s="146">
        <f t="shared" ca="1" si="167"/>
        <v>0.38999999999999985</v>
      </c>
      <c r="I150" s="146">
        <f t="shared" ca="1" si="156"/>
        <v>285.58000000000004</v>
      </c>
      <c r="J150" s="146">
        <f t="shared" ca="1" si="157"/>
        <v>0.38999999999999985</v>
      </c>
      <c r="K150" s="32">
        <f t="shared" si="166"/>
        <v>30</v>
      </c>
      <c r="L150" s="32">
        <f t="shared" si="166"/>
        <v>1</v>
      </c>
      <c r="M150" s="32">
        <f t="shared" si="161"/>
        <v>0</v>
      </c>
      <c r="N150" s="147">
        <f>'Rate Class Customer Model'!B75</f>
        <v>39889.666666666657</v>
      </c>
      <c r="O150" s="156">
        <f t="shared" ca="1" si="162"/>
        <v>142.79000000000002</v>
      </c>
      <c r="P150" s="201">
        <f t="shared" ca="1" si="163"/>
        <v>0.19499999999999992</v>
      </c>
      <c r="Q150" s="32">
        <f t="shared" ca="1" si="158"/>
        <v>25744649.835773993</v>
      </c>
      <c r="R150" s="145">
        <f t="shared" ca="1" si="159"/>
        <v>24363047.859482244</v>
      </c>
      <c r="S150" s="32">
        <f t="shared" ca="1" si="160"/>
        <v>25744649.835773993</v>
      </c>
      <c r="T150" s="50"/>
      <c r="U150" s="200">
        <f t="shared" si="165"/>
        <v>0.5</v>
      </c>
      <c r="V150" s="29"/>
      <c r="W150" s="41"/>
    </row>
    <row r="151" spans="1:23" x14ac:dyDescent="0.2">
      <c r="A151" s="2">
        <v>45047</v>
      </c>
      <c r="B151">
        <f t="shared" si="154"/>
        <v>2023</v>
      </c>
      <c r="C151">
        <f t="shared" si="155"/>
        <v>5</v>
      </c>
      <c r="D151" s="151"/>
      <c r="E151" s="151">
        <f t="shared" si="168"/>
        <v>1381601.9762917485</v>
      </c>
      <c r="G151" s="146">
        <f t="shared" ca="1" si="167"/>
        <v>93.759999999999991</v>
      </c>
      <c r="H151" s="146">
        <f t="shared" ca="1" si="167"/>
        <v>43.35</v>
      </c>
      <c r="I151" s="146">
        <f t="shared" ca="1" si="156"/>
        <v>93.759999999999991</v>
      </c>
      <c r="J151" s="146">
        <f t="shared" ca="1" si="157"/>
        <v>43.35</v>
      </c>
      <c r="K151" s="32">
        <f t="shared" si="166"/>
        <v>31</v>
      </c>
      <c r="L151" s="32">
        <f t="shared" si="166"/>
        <v>1</v>
      </c>
      <c r="M151" s="32">
        <f t="shared" si="161"/>
        <v>0</v>
      </c>
      <c r="N151" s="147">
        <f>'Rate Class Customer Model'!B76</f>
        <v>39968.833333333321</v>
      </c>
      <c r="O151" s="156">
        <f t="shared" ca="1" si="162"/>
        <v>46.879999999999995</v>
      </c>
      <c r="P151" s="201">
        <f t="shared" ca="1" si="163"/>
        <v>21.675000000000001</v>
      </c>
      <c r="Q151" s="32">
        <f t="shared" ca="1" si="158"/>
        <v>27273340.878144536</v>
      </c>
      <c r="R151" s="145">
        <f t="shared" ca="1" si="159"/>
        <v>25891738.901852787</v>
      </c>
      <c r="S151" s="32">
        <f t="shared" ca="1" si="160"/>
        <v>27273340.878144536</v>
      </c>
      <c r="T151" s="50"/>
      <c r="U151" s="200">
        <f t="shared" si="165"/>
        <v>0.5</v>
      </c>
      <c r="V151" s="29"/>
      <c r="W151" s="41"/>
    </row>
    <row r="152" spans="1:23" x14ac:dyDescent="0.2">
      <c r="A152" s="2">
        <v>45078</v>
      </c>
      <c r="B152">
        <f t="shared" si="154"/>
        <v>2023</v>
      </c>
      <c r="C152">
        <f t="shared" si="155"/>
        <v>6</v>
      </c>
      <c r="D152" s="151"/>
      <c r="E152" s="151">
        <f t="shared" si="168"/>
        <v>1381601.9762917485</v>
      </c>
      <c r="G152" s="146">
        <f t="shared" ca="1" si="167"/>
        <v>8.7399999999999984</v>
      </c>
      <c r="H152" s="146">
        <f t="shared" ca="1" si="167"/>
        <v>118.63000000000002</v>
      </c>
      <c r="I152" s="146">
        <f t="shared" ca="1" si="156"/>
        <v>8.7399999999999984</v>
      </c>
      <c r="J152" s="146">
        <f t="shared" ca="1" si="157"/>
        <v>118.63000000000002</v>
      </c>
      <c r="K152" s="32">
        <f t="shared" si="166"/>
        <v>30</v>
      </c>
      <c r="L152" s="32">
        <f t="shared" si="166"/>
        <v>0</v>
      </c>
      <c r="M152" s="32">
        <f t="shared" si="161"/>
        <v>0</v>
      </c>
      <c r="N152" s="147">
        <f>'Rate Class Customer Model'!B77</f>
        <v>40047.999999999985</v>
      </c>
      <c r="O152" s="156">
        <f t="shared" ca="1" si="162"/>
        <v>4.3699999999999992</v>
      </c>
      <c r="P152" s="201">
        <f t="shared" ca="1" si="163"/>
        <v>59.315000000000012</v>
      </c>
      <c r="Q152" s="32">
        <f t="shared" ca="1" si="158"/>
        <v>33505753.515461095</v>
      </c>
      <c r="R152" s="145">
        <f t="shared" ca="1" si="159"/>
        <v>32124151.539169345</v>
      </c>
      <c r="S152" s="32">
        <f t="shared" ca="1" si="160"/>
        <v>33505753.515461095</v>
      </c>
      <c r="T152" s="50"/>
      <c r="U152" s="200">
        <f t="shared" si="165"/>
        <v>0.5</v>
      </c>
      <c r="V152" s="29"/>
      <c r="W152" s="41"/>
    </row>
    <row r="153" spans="1:23" x14ac:dyDescent="0.2">
      <c r="A153" s="2">
        <v>45108</v>
      </c>
      <c r="B153">
        <f t="shared" si="154"/>
        <v>2023</v>
      </c>
      <c r="C153">
        <f t="shared" si="155"/>
        <v>7</v>
      </c>
      <c r="D153" s="151"/>
      <c r="E153" s="151">
        <f t="shared" si="168"/>
        <v>1381601.9762917485</v>
      </c>
      <c r="G153" s="146">
        <f t="shared" ca="1" si="167"/>
        <v>0</v>
      </c>
      <c r="H153" s="146">
        <f t="shared" ca="1" si="167"/>
        <v>207.41000000000003</v>
      </c>
      <c r="I153" s="146">
        <f t="shared" ca="1" si="156"/>
        <v>0</v>
      </c>
      <c r="J153" s="146">
        <f t="shared" ca="1" si="157"/>
        <v>207.41000000000003</v>
      </c>
      <c r="K153" s="32">
        <f t="shared" si="166"/>
        <v>31</v>
      </c>
      <c r="L153" s="32">
        <f t="shared" si="166"/>
        <v>0</v>
      </c>
      <c r="M153" s="32">
        <f t="shared" si="161"/>
        <v>0</v>
      </c>
      <c r="N153" s="147">
        <f>'Rate Class Customer Model'!B78</f>
        <v>40127.16666666665</v>
      </c>
      <c r="O153" s="156">
        <f t="shared" ca="1" si="162"/>
        <v>0</v>
      </c>
      <c r="P153" s="201">
        <f t="shared" ca="1" si="163"/>
        <v>103.70500000000001</v>
      </c>
      <c r="Q153" s="32">
        <f t="shared" ca="1" si="158"/>
        <v>39949435.325428188</v>
      </c>
      <c r="R153" s="145">
        <f t="shared" ca="1" si="159"/>
        <v>38567833.349136442</v>
      </c>
      <c r="S153" s="32">
        <f t="shared" ca="1" si="160"/>
        <v>39949435.325428188</v>
      </c>
      <c r="T153" s="50"/>
      <c r="U153" s="200">
        <f t="shared" si="165"/>
        <v>0.5</v>
      </c>
      <c r="V153" s="29"/>
      <c r="W153" s="41"/>
    </row>
    <row r="154" spans="1:23" x14ac:dyDescent="0.2">
      <c r="A154" s="2">
        <v>45139</v>
      </c>
      <c r="B154">
        <f t="shared" si="154"/>
        <v>2023</v>
      </c>
      <c r="C154">
        <f t="shared" si="155"/>
        <v>8</v>
      </c>
      <c r="D154" s="151"/>
      <c r="E154" s="151">
        <f t="shared" si="168"/>
        <v>1381601.9762917485</v>
      </c>
      <c r="G154" s="146">
        <f t="shared" ca="1" si="167"/>
        <v>0.29000000000000004</v>
      </c>
      <c r="H154" s="146">
        <f t="shared" ca="1" si="167"/>
        <v>180.75000000000006</v>
      </c>
      <c r="I154" s="146">
        <f t="shared" ca="1" si="156"/>
        <v>0.29000000000000004</v>
      </c>
      <c r="J154" s="146">
        <f t="shared" ca="1" si="157"/>
        <v>180.75000000000006</v>
      </c>
      <c r="K154" s="32">
        <f t="shared" si="166"/>
        <v>31</v>
      </c>
      <c r="L154" s="32">
        <f t="shared" si="166"/>
        <v>0</v>
      </c>
      <c r="M154" s="32">
        <f t="shared" si="161"/>
        <v>0</v>
      </c>
      <c r="N154" s="147">
        <f>'Rate Class Customer Model'!B79</f>
        <v>40206.333333333314</v>
      </c>
      <c r="O154" s="156">
        <f t="shared" ca="1" si="162"/>
        <v>0.14500000000000002</v>
      </c>
      <c r="P154" s="201">
        <f t="shared" ca="1" si="163"/>
        <v>90.375000000000028</v>
      </c>
      <c r="Q154" s="32">
        <f t="shared" ca="1" si="158"/>
        <v>38260679.798890382</v>
      </c>
      <c r="R154" s="145">
        <f t="shared" ca="1" si="159"/>
        <v>36879077.822598636</v>
      </c>
      <c r="S154" s="32">
        <f t="shared" ca="1" si="160"/>
        <v>38260679.798890382</v>
      </c>
      <c r="T154" s="50"/>
      <c r="U154" s="200">
        <f t="shared" si="165"/>
        <v>0.5</v>
      </c>
      <c r="V154" s="29"/>
      <c r="W154" s="41"/>
    </row>
    <row r="155" spans="1:23" x14ac:dyDescent="0.2">
      <c r="A155" s="2">
        <v>45170</v>
      </c>
      <c r="B155">
        <f t="shared" si="154"/>
        <v>2023</v>
      </c>
      <c r="C155">
        <f t="shared" si="155"/>
        <v>9</v>
      </c>
      <c r="D155" s="151"/>
      <c r="E155" s="151">
        <f t="shared" si="168"/>
        <v>1381601.9762917485</v>
      </c>
      <c r="G155" s="146">
        <f t="shared" ca="1" si="167"/>
        <v>27</v>
      </c>
      <c r="H155" s="146">
        <f t="shared" ca="1" si="167"/>
        <v>80.61</v>
      </c>
      <c r="I155" s="146">
        <f t="shared" ca="1" si="156"/>
        <v>27</v>
      </c>
      <c r="J155" s="146">
        <f t="shared" ca="1" si="157"/>
        <v>80.61</v>
      </c>
      <c r="K155" s="32">
        <f t="shared" si="166"/>
        <v>30</v>
      </c>
      <c r="L155" s="32">
        <f t="shared" si="166"/>
        <v>1</v>
      </c>
      <c r="M155" s="32">
        <f t="shared" si="161"/>
        <v>1</v>
      </c>
      <c r="N155" s="147">
        <f>'Rate Class Customer Model'!B80</f>
        <v>40285.499999999978</v>
      </c>
      <c r="O155" s="156">
        <f t="shared" ca="1" si="162"/>
        <v>13.5</v>
      </c>
      <c r="P155" s="201">
        <f t="shared" ca="1" si="163"/>
        <v>40.305</v>
      </c>
      <c r="Q155" s="32">
        <f t="shared" ca="1" si="158"/>
        <v>30192874.246700834</v>
      </c>
      <c r="R155" s="145">
        <f t="shared" ca="1" si="159"/>
        <v>28811272.270409085</v>
      </c>
      <c r="S155" s="32">
        <f t="shared" ca="1" si="160"/>
        <v>30192874.246700834</v>
      </c>
      <c r="T155" s="50"/>
      <c r="U155" s="200">
        <f t="shared" si="165"/>
        <v>0.5</v>
      </c>
      <c r="V155" s="29"/>
      <c r="W155" s="41"/>
    </row>
    <row r="156" spans="1:23" x14ac:dyDescent="0.2">
      <c r="A156" s="2">
        <v>45200</v>
      </c>
      <c r="B156">
        <f t="shared" si="154"/>
        <v>2023</v>
      </c>
      <c r="C156">
        <f t="shared" si="155"/>
        <v>10</v>
      </c>
      <c r="D156" s="151"/>
      <c r="E156" s="151">
        <f t="shared" si="168"/>
        <v>1381601.9762917485</v>
      </c>
      <c r="G156" s="146">
        <f t="shared" ca="1" si="167"/>
        <v>167.57</v>
      </c>
      <c r="H156" s="146">
        <f t="shared" ca="1" si="167"/>
        <v>9.9699999999999989</v>
      </c>
      <c r="I156" s="146">
        <f t="shared" ca="1" si="156"/>
        <v>167.57</v>
      </c>
      <c r="J156" s="146">
        <f t="shared" ca="1" si="157"/>
        <v>9.9699999999999989</v>
      </c>
      <c r="K156" s="32">
        <f t="shared" si="166"/>
        <v>31</v>
      </c>
      <c r="L156" s="32">
        <f t="shared" si="166"/>
        <v>1</v>
      </c>
      <c r="M156" s="32">
        <f t="shared" si="161"/>
        <v>0</v>
      </c>
      <c r="N156" s="147">
        <f>'Rate Class Customer Model'!B81</f>
        <v>40364.666666666642</v>
      </c>
      <c r="O156" s="156">
        <f t="shared" ca="1" si="162"/>
        <v>83.784999999999997</v>
      </c>
      <c r="P156" s="201">
        <f t="shared" ca="1" si="163"/>
        <v>4.9849999999999994</v>
      </c>
      <c r="Q156" s="32">
        <f t="shared" ca="1" si="158"/>
        <v>26106687.785850424</v>
      </c>
      <c r="R156" s="145">
        <f t="shared" ca="1" si="159"/>
        <v>24725085.809558675</v>
      </c>
      <c r="S156" s="32">
        <f t="shared" ca="1" si="160"/>
        <v>26106687.785850424</v>
      </c>
      <c r="T156" s="50"/>
      <c r="U156" s="200">
        <f t="shared" si="165"/>
        <v>0.5</v>
      </c>
      <c r="V156" s="29"/>
      <c r="W156" s="41"/>
    </row>
    <row r="157" spans="1:23" x14ac:dyDescent="0.2">
      <c r="A157" s="2">
        <v>45231</v>
      </c>
      <c r="B157">
        <f t="shared" si="154"/>
        <v>2023</v>
      </c>
      <c r="C157">
        <f t="shared" si="155"/>
        <v>11</v>
      </c>
      <c r="D157" s="151"/>
      <c r="E157" s="151">
        <f t="shared" si="168"/>
        <v>1381601.9762917485</v>
      </c>
      <c r="G157" s="146">
        <f t="shared" ca="1" si="167"/>
        <v>366.25</v>
      </c>
      <c r="H157" s="146">
        <f t="shared" ca="1" si="167"/>
        <v>1.0000000000000142E-2</v>
      </c>
      <c r="I157" s="146">
        <f t="shared" ca="1" si="156"/>
        <v>366.25</v>
      </c>
      <c r="J157" s="146">
        <f t="shared" ca="1" si="157"/>
        <v>1.0000000000000142E-2</v>
      </c>
      <c r="K157" s="32">
        <f t="shared" si="166"/>
        <v>30</v>
      </c>
      <c r="L157" s="32">
        <f t="shared" si="166"/>
        <v>1</v>
      </c>
      <c r="M157" s="32">
        <f t="shared" si="161"/>
        <v>0</v>
      </c>
      <c r="N157" s="147">
        <f>'Rate Class Customer Model'!B82</f>
        <v>40443.833333333307</v>
      </c>
      <c r="O157" s="156">
        <f t="shared" ca="1" si="162"/>
        <v>183.125</v>
      </c>
      <c r="P157" s="201">
        <f t="shared" ca="1" si="163"/>
        <v>5.0000000000000712E-3</v>
      </c>
      <c r="Q157" s="32">
        <f t="shared" ca="1" si="158"/>
        <v>26895196.479175922</v>
      </c>
      <c r="R157" s="145">
        <f t="shared" ca="1" si="159"/>
        <v>25513594.502884172</v>
      </c>
      <c r="S157" s="32">
        <f t="shared" ca="1" si="160"/>
        <v>26895196.479175922</v>
      </c>
      <c r="T157" s="50"/>
      <c r="U157" s="200">
        <f t="shared" si="165"/>
        <v>0.5</v>
      </c>
      <c r="V157" s="29"/>
    </row>
    <row r="158" spans="1:23" x14ac:dyDescent="0.2">
      <c r="A158" s="2">
        <v>45261</v>
      </c>
      <c r="B158">
        <f t="shared" si="154"/>
        <v>2023</v>
      </c>
      <c r="C158">
        <f t="shared" si="155"/>
        <v>12</v>
      </c>
      <c r="D158" s="151"/>
      <c r="E158" s="151">
        <f t="shared" si="168"/>
        <v>1381601.9762917485</v>
      </c>
      <c r="G158" s="146">
        <f t="shared" ca="1" si="167"/>
        <v>513.3599999999999</v>
      </c>
      <c r="H158" s="146">
        <f t="shared" ca="1" si="167"/>
        <v>0</v>
      </c>
      <c r="I158" s="146">
        <f ca="1">G158</f>
        <v>513.3599999999999</v>
      </c>
      <c r="J158" s="146">
        <f ca="1">H158</f>
        <v>0</v>
      </c>
      <c r="K158" s="32">
        <f t="shared" ref="K158:L158" si="169">K110</f>
        <v>31</v>
      </c>
      <c r="L158" s="32">
        <f t="shared" si="169"/>
        <v>0</v>
      </c>
      <c r="M158" s="32">
        <f t="shared" si="161"/>
        <v>0</v>
      </c>
      <c r="N158" s="147">
        <f>'Rate Class Customer Model'!B83</f>
        <v>40522.999999999971</v>
      </c>
      <c r="O158" s="156">
        <f t="shared" ca="1" si="162"/>
        <v>256.67999999999995</v>
      </c>
      <c r="P158" s="201">
        <f t="shared" ca="1" si="163"/>
        <v>0</v>
      </c>
      <c r="Q158" s="32">
        <f t="shared" ca="1" si="158"/>
        <v>32061981.41234605</v>
      </c>
      <c r="R158" s="145">
        <f t="shared" ca="1" si="159"/>
        <v>30680379.436054301</v>
      </c>
      <c r="S158" s="32">
        <f t="shared" ca="1" si="160"/>
        <v>32061981.41234605</v>
      </c>
      <c r="T158" s="50"/>
      <c r="U158" s="200">
        <f t="shared" si="165"/>
        <v>0.5</v>
      </c>
      <c r="V158" s="29"/>
    </row>
    <row r="159" spans="1:23" x14ac:dyDescent="0.2">
      <c r="A159" s="2"/>
      <c r="B159" s="2"/>
      <c r="C159" s="2"/>
      <c r="D159" s="2"/>
      <c r="E159" s="2"/>
      <c r="G159" s="52">
        <f ca="1">SUM(G3:G158)</f>
        <v>40731.520000000011</v>
      </c>
      <c r="H159" s="52">
        <f ca="1">SUM(H3:H158)</f>
        <v>8351.24</v>
      </c>
      <c r="I159" s="52"/>
      <c r="J159" s="52"/>
      <c r="K159" s="32"/>
      <c r="L159" s="32"/>
      <c r="M159" s="32"/>
      <c r="N159" s="59"/>
      <c r="O159" s="32"/>
      <c r="P159" s="32"/>
      <c r="Q159" s="32"/>
      <c r="R159" s="50"/>
      <c r="S159" s="32"/>
      <c r="T159" s="50"/>
    </row>
    <row r="160" spans="1:23" x14ac:dyDescent="0.2">
      <c r="A160" s="2"/>
      <c r="B160" s="2"/>
      <c r="C160" s="2"/>
      <c r="D160" s="2"/>
      <c r="E160" s="2"/>
      <c r="G160" s="52"/>
      <c r="H160" s="52"/>
      <c r="I160" s="52"/>
      <c r="J160" s="52"/>
      <c r="K160" s="32"/>
      <c r="L160" s="32"/>
      <c r="M160" s="32"/>
      <c r="N160" s="59"/>
      <c r="O160" s="32"/>
      <c r="P160" s="32"/>
      <c r="Q160" s="32"/>
      <c r="R160" s="50"/>
      <c r="S160" s="32"/>
      <c r="T160" s="50"/>
    </row>
    <row r="161" spans="1:35" x14ac:dyDescent="0.2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32"/>
      <c r="M161" s="32"/>
      <c r="N161" s="59"/>
      <c r="O161" s="32"/>
      <c r="P161" s="32"/>
      <c r="Q161" s="32"/>
      <c r="R161" s="50"/>
      <c r="S161" s="32"/>
      <c r="T161" s="50"/>
    </row>
    <row r="162" spans="1:35" x14ac:dyDescent="0.2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32"/>
      <c r="M162" s="32"/>
      <c r="N162" s="59"/>
      <c r="O162" s="32"/>
      <c r="P162" s="32"/>
      <c r="Q162" s="32"/>
      <c r="R162" s="50"/>
      <c r="S162" s="32"/>
      <c r="T162" s="50"/>
    </row>
    <row r="163" spans="1:35" x14ac:dyDescent="0.2">
      <c r="A163" s="2"/>
      <c r="B163" s="2"/>
      <c r="C163" s="2"/>
      <c r="D163" s="2"/>
      <c r="E163" s="2"/>
      <c r="G163" s="52"/>
      <c r="H163" s="52"/>
      <c r="I163" s="52"/>
      <c r="J163" s="28"/>
      <c r="K163" s="28"/>
      <c r="Q163" s="26"/>
    </row>
    <row r="164" spans="1:35" x14ac:dyDescent="0.2">
      <c r="A164" s="2"/>
      <c r="B164" s="2"/>
      <c r="C164" s="2"/>
      <c r="D164" s="2"/>
      <c r="E164" s="2"/>
    </row>
    <row r="165" spans="1:35" x14ac:dyDescent="0.2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Q165" s="80" t="s">
        <v>289</v>
      </c>
      <c r="R165" s="80" t="s">
        <v>270</v>
      </c>
      <c r="S165" s="80" t="s">
        <v>290</v>
      </c>
    </row>
    <row r="166" spans="1:35" x14ac:dyDescent="0.2">
      <c r="A166" s="11">
        <v>2011</v>
      </c>
      <c r="B166" s="11"/>
      <c r="C166" s="11"/>
      <c r="D166" s="41">
        <f>SUMIF(B:B,A166,D:D)</f>
        <v>268725506.51999998</v>
      </c>
      <c r="E166" s="41">
        <f>SUMIF(B:B,A166,E:E)</f>
        <v>278492.94390389865</v>
      </c>
      <c r="F166" s="5">
        <f>SUMIF(B:B,A166,F:F)</f>
        <v>269003999.46390384</v>
      </c>
      <c r="Q166" s="5">
        <f t="shared" ref="Q166:Q177" ca="1" si="170">SUMIF(B:B,A166,Q:Q)</f>
        <v>263242141.76579317</v>
      </c>
      <c r="R166" s="57">
        <f>'Historic CDM'!M5</f>
        <v>278492.9439038987</v>
      </c>
      <c r="S166" s="57">
        <f ca="1">SUMIF(B:B,A166,R:R)</f>
        <v>262963648.82188928</v>
      </c>
      <c r="T166" s="4"/>
    </row>
    <row r="167" spans="1:35" x14ac:dyDescent="0.2">
      <c r="A167" s="11">
        <f>A166+1</f>
        <v>2012</v>
      </c>
      <c r="B167" s="11"/>
      <c r="C167" s="11"/>
      <c r="D167" s="41">
        <f t="shared" ref="D167:D175" si="171">SUMIF(B:B,A167,D:D)</f>
        <v>281220954.64999998</v>
      </c>
      <c r="E167" s="41">
        <f t="shared" ref="E167:E176" si="172">SUMIF(B:B,A167,E:E)</f>
        <v>721831.67732693173</v>
      </c>
      <c r="F167" s="5">
        <f t="shared" ref="F167:F176" si="173">SUMIF(B:B,A167,F:F)</f>
        <v>281942786.32732689</v>
      </c>
      <c r="Q167" s="5">
        <f t="shared" ca="1" si="170"/>
        <v>282031596.70782149</v>
      </c>
      <c r="R167" s="57">
        <f>'Historic CDM'!M6</f>
        <v>721831.67732693185</v>
      </c>
      <c r="S167" s="57">
        <f t="shared" ref="S167:S178" ca="1" si="174">SUMIF(B:B,A167,R:R)</f>
        <v>281309765.03049457</v>
      </c>
      <c r="T167" s="4"/>
    </row>
    <row r="168" spans="1:35" x14ac:dyDescent="0.2">
      <c r="A168" s="11">
        <f t="shared" ref="A168:A178" si="175">A167+1</f>
        <v>2013</v>
      </c>
      <c r="B168" s="11"/>
      <c r="C168" s="11"/>
      <c r="D168" s="41">
        <f t="shared" si="171"/>
        <v>287291133.52999997</v>
      </c>
      <c r="E168" s="41">
        <f t="shared" si="172"/>
        <v>1069944.6183750697</v>
      </c>
      <c r="F168" s="5">
        <f t="shared" si="173"/>
        <v>288361078.14837503</v>
      </c>
      <c r="Q168" s="5">
        <f t="shared" ca="1" si="170"/>
        <v>292296616.40460783</v>
      </c>
      <c r="R168" s="57">
        <f>'Historic CDM'!M7</f>
        <v>1069944.6183750697</v>
      </c>
      <c r="S168" s="57">
        <f t="shared" ca="1" si="174"/>
        <v>291226671.78623277</v>
      </c>
      <c r="T168" s="4"/>
    </row>
    <row r="169" spans="1:35" x14ac:dyDescent="0.2">
      <c r="A169" s="11">
        <f t="shared" si="175"/>
        <v>2014</v>
      </c>
      <c r="D169" s="41">
        <f t="shared" si="171"/>
        <v>290591982.63</v>
      </c>
      <c r="E169" s="41">
        <f t="shared" si="172"/>
        <v>2046448.2872741346</v>
      </c>
      <c r="F169" s="5">
        <f t="shared" si="173"/>
        <v>292638430.91727418</v>
      </c>
      <c r="Q169" s="5">
        <f t="shared" ca="1" si="170"/>
        <v>297732646.81214941</v>
      </c>
      <c r="R169" s="57">
        <f>'Historic CDM'!M8</f>
        <v>2046448.2872741348</v>
      </c>
      <c r="S169" s="57">
        <f t="shared" ca="1" si="174"/>
        <v>295686198.52487522</v>
      </c>
      <c r="T169" s="4"/>
    </row>
    <row r="170" spans="1:35" x14ac:dyDescent="0.2">
      <c r="A170" s="11">
        <f t="shared" si="175"/>
        <v>2015</v>
      </c>
      <c r="B170" s="11"/>
      <c r="C170" s="11"/>
      <c r="D170" s="41">
        <f t="shared" si="171"/>
        <v>295940879.87469882</v>
      </c>
      <c r="E170" s="41">
        <f t="shared" si="172"/>
        <v>3804024.9288133155</v>
      </c>
      <c r="F170" s="5">
        <f t="shared" si="173"/>
        <v>299744904.8035121</v>
      </c>
      <c r="Q170" s="5">
        <f t="shared" ca="1" si="170"/>
        <v>301750558.48295492</v>
      </c>
      <c r="R170" s="57">
        <f>'Historic CDM'!M9</f>
        <v>3804024.9288133159</v>
      </c>
      <c r="S170" s="57">
        <f t="shared" ca="1" si="174"/>
        <v>297946533.55414164</v>
      </c>
      <c r="T170" s="4"/>
      <c r="AG170" s="39"/>
      <c r="AH170" s="39"/>
      <c r="AI170" s="39"/>
    </row>
    <row r="171" spans="1:35" x14ac:dyDescent="0.2">
      <c r="A171" s="11">
        <f t="shared" si="175"/>
        <v>2016</v>
      </c>
      <c r="D171" s="41">
        <f t="shared" si="171"/>
        <v>310749015.99036139</v>
      </c>
      <c r="E171" s="41">
        <f t="shared" si="172"/>
        <v>6041275.5090756081</v>
      </c>
      <c r="F171" s="5">
        <f t="shared" si="173"/>
        <v>316790291.49943697</v>
      </c>
      <c r="Q171" s="5">
        <f t="shared" ca="1" si="170"/>
        <v>309102671.88884938</v>
      </c>
      <c r="R171" s="57">
        <f>'Historic CDM'!M10</f>
        <v>6041275.5090756072</v>
      </c>
      <c r="S171" s="57">
        <f t="shared" ca="1" si="174"/>
        <v>303061396.3797738</v>
      </c>
      <c r="T171" s="4"/>
    </row>
    <row r="172" spans="1:35" x14ac:dyDescent="0.2">
      <c r="A172" s="11">
        <f t="shared" si="175"/>
        <v>2017</v>
      </c>
      <c r="B172" s="11"/>
      <c r="C172" s="11"/>
      <c r="D172" s="41">
        <f t="shared" si="171"/>
        <v>294253405.64819276</v>
      </c>
      <c r="E172" s="41">
        <f t="shared" si="172"/>
        <v>11501759.853604494</v>
      </c>
      <c r="F172" s="5">
        <f t="shared" si="173"/>
        <v>305755165.50179738</v>
      </c>
      <c r="Q172" s="5">
        <f t="shared" ca="1" si="170"/>
        <v>310899906.43433696</v>
      </c>
      <c r="R172" s="57">
        <f>'Historic CDM'!M11</f>
        <v>11501759.853604492</v>
      </c>
      <c r="S172" s="57">
        <f t="shared" ca="1" si="174"/>
        <v>299398146.58073246</v>
      </c>
      <c r="T172" s="4"/>
    </row>
    <row r="173" spans="1:35" x14ac:dyDescent="0.2">
      <c r="A173" s="11">
        <f t="shared" si="175"/>
        <v>2018</v>
      </c>
      <c r="D173" s="41">
        <f t="shared" si="171"/>
        <v>323623192.28915668</v>
      </c>
      <c r="E173" s="41">
        <f t="shared" si="172"/>
        <v>15382195.680825928</v>
      </c>
      <c r="F173" s="5">
        <f t="shared" si="173"/>
        <v>339005387.96998256</v>
      </c>
      <c r="Q173" s="5">
        <f t="shared" ca="1" si="170"/>
        <v>331428474.20197344</v>
      </c>
      <c r="R173" s="57">
        <f>'Historic CDM'!M12</f>
        <v>15382195.680825928</v>
      </c>
      <c r="S173" s="57">
        <f t="shared" ca="1" si="174"/>
        <v>316046278.52114749</v>
      </c>
      <c r="T173" s="4"/>
    </row>
    <row r="174" spans="1:35" x14ac:dyDescent="0.2">
      <c r="A174" s="11">
        <f t="shared" si="175"/>
        <v>2019</v>
      </c>
      <c r="B174" s="11"/>
      <c r="C174" s="11"/>
      <c r="D174" s="41">
        <f t="shared" si="171"/>
        <v>316413176.16385555</v>
      </c>
      <c r="E174" s="41">
        <f t="shared" si="172"/>
        <v>16904286.956643324</v>
      </c>
      <c r="F174" s="5">
        <f t="shared" si="173"/>
        <v>333317463.12049884</v>
      </c>
      <c r="Q174" s="5">
        <f t="shared" ca="1" si="170"/>
        <v>336151597.51000959</v>
      </c>
      <c r="R174" s="57">
        <f>'Historic CDM'!M13</f>
        <v>16904286.956643321</v>
      </c>
      <c r="S174" s="57">
        <f t="shared" ca="1" si="174"/>
        <v>319247310.5533663</v>
      </c>
      <c r="T174" s="4"/>
    </row>
    <row r="175" spans="1:35" x14ac:dyDescent="0.2">
      <c r="A175" s="11">
        <f t="shared" si="175"/>
        <v>2020</v>
      </c>
      <c r="D175" s="41">
        <f t="shared" si="171"/>
        <v>353805930.95903623</v>
      </c>
      <c r="E175" s="41">
        <f t="shared" si="172"/>
        <v>16711723.878813386</v>
      </c>
      <c r="F175" s="5">
        <f t="shared" si="173"/>
        <v>370517654.83784956</v>
      </c>
      <c r="Q175" s="5">
        <f t="shared" ca="1" si="170"/>
        <v>368220687.57082391</v>
      </c>
      <c r="R175" s="57">
        <f>'Historic CDM'!M14</f>
        <v>16711723.878813386</v>
      </c>
      <c r="S175" s="57">
        <f t="shared" ca="1" si="174"/>
        <v>351508963.69201058</v>
      </c>
      <c r="T175" s="4"/>
      <c r="U175" s="5"/>
    </row>
    <row r="176" spans="1:35" x14ac:dyDescent="0.2">
      <c r="A176" s="11">
        <f t="shared" si="175"/>
        <v>2021</v>
      </c>
      <c r="B176" s="11"/>
      <c r="C176" s="11"/>
      <c r="D176" s="41">
        <f>SUMIF(B:B,A176,D:D)</f>
        <v>360408160.45301205</v>
      </c>
      <c r="E176" s="41">
        <f t="shared" si="172"/>
        <v>16635686.306711918</v>
      </c>
      <c r="F176" s="5">
        <f t="shared" si="173"/>
        <v>377043846.75972396</v>
      </c>
      <c r="Q176" s="5">
        <f t="shared" ca="1" si="170"/>
        <v>375502253.8722505</v>
      </c>
      <c r="R176" s="57">
        <f>'Historic CDM'!M15</f>
        <v>16635686.30671192</v>
      </c>
      <c r="S176" s="57">
        <f t="shared" ca="1" si="174"/>
        <v>358866567.56553859</v>
      </c>
      <c r="T176" s="4"/>
      <c r="U176" s="5"/>
    </row>
    <row r="177" spans="1:35" x14ac:dyDescent="0.2">
      <c r="A177" s="11">
        <f t="shared" si="175"/>
        <v>2022</v>
      </c>
      <c r="B177" s="11"/>
      <c r="C177" s="11"/>
      <c r="D177" s="41"/>
      <c r="E177" s="41"/>
      <c r="Q177" s="5">
        <f t="shared" ca="1" si="170"/>
        <v>371871669.76288289</v>
      </c>
      <c r="R177" s="57">
        <f>'Historic CDM'!M16</f>
        <v>16657469.893573921</v>
      </c>
      <c r="S177" s="57">
        <f t="shared" ca="1" si="174"/>
        <v>355214199.86930895</v>
      </c>
      <c r="T177" s="4"/>
    </row>
    <row r="178" spans="1:35" x14ac:dyDescent="0.2">
      <c r="A178" s="11">
        <f t="shared" si="175"/>
        <v>2023</v>
      </c>
      <c r="D178" s="41"/>
      <c r="E178" s="41"/>
      <c r="L178" s="43"/>
      <c r="M178" s="43"/>
      <c r="N178" s="54"/>
      <c r="O178" s="43"/>
      <c r="P178" s="43"/>
      <c r="Q178" s="5">
        <f ca="1">SUMIF(B:B,A178,Q:Q)</f>
        <v>371191089.01944983</v>
      </c>
      <c r="R178" s="57">
        <f>'Historic CDM'!M17</f>
        <v>16579223.715500981</v>
      </c>
      <c r="S178" s="57">
        <f t="shared" ca="1" si="174"/>
        <v>354611865.30394888</v>
      </c>
      <c r="T178" s="4"/>
      <c r="U178" s="79"/>
    </row>
    <row r="179" spans="1:35" x14ac:dyDescent="0.2">
      <c r="AG179" s="39"/>
      <c r="AH179" s="39"/>
      <c r="AI179" s="39"/>
    </row>
    <row r="190" spans="1:35" x14ac:dyDescent="0.2">
      <c r="AG190" s="39"/>
      <c r="AH190" s="39"/>
      <c r="AI190" s="39"/>
    </row>
  </sheetData>
  <mergeCells count="3">
    <mergeCell ref="V144:V146"/>
    <mergeCell ref="W144:W146"/>
    <mergeCell ref="A1:F1"/>
  </mergeCells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20" max="1048575" man="1"/>
    <brk id="30" max="222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1C804-B051-4264-8890-363D190218B4}">
  <sheetPr>
    <tabColor theme="3" tint="0.79998168889431442"/>
  </sheetPr>
  <dimension ref="A1:AW195"/>
  <sheetViews>
    <sheetView zoomScale="80" zoomScaleNormal="80" workbookViewId="0">
      <pane xSplit="1" ySplit="2" topLeftCell="H3" activePane="bottomRight" state="frozen"/>
      <selection activeCell="AE64" sqref="AE64"/>
      <selection pane="topRight" activeCell="AE64" sqref="AE64"/>
      <selection pane="bottomLeft" activeCell="AE64" sqref="AE64"/>
      <selection pane="bottomRight" activeCell="T13" sqref="T13"/>
    </sheetView>
  </sheetViews>
  <sheetFormatPr defaultRowHeight="12.75" x14ac:dyDescent="0.2"/>
  <cols>
    <col min="1" max="3" width="11.85546875" customWidth="1"/>
    <col min="4" max="4" width="14.85546875" customWidth="1"/>
    <col min="5" max="5" width="11.85546875" customWidth="1"/>
    <col min="6" max="6" width="13" style="5" bestFit="1" customWidth="1"/>
    <col min="7" max="7" width="10.85546875" style="1" customWidth="1"/>
    <col min="8" max="10" width="11.85546875" style="1" customWidth="1"/>
    <col min="11" max="11" width="8" style="1" customWidth="1"/>
    <col min="12" max="12" width="13.5703125" style="57" bestFit="1" customWidth="1"/>
    <col min="13" max="13" width="10.140625" style="1" customWidth="1"/>
    <col min="14" max="14" width="14.7109375" style="1" customWidth="1"/>
    <col min="15" max="15" width="16" style="1" bestFit="1" customWidth="1"/>
    <col min="16" max="16" width="16" style="1" customWidth="1"/>
    <col min="17" max="17" width="15.140625" style="1" bestFit="1" customWidth="1"/>
    <col min="18" max="18" width="14.42578125" style="1" customWidth="1"/>
    <col min="19" max="19" width="22.42578125" bestFit="1" customWidth="1"/>
    <col min="20" max="20" width="13" customWidth="1"/>
    <col min="21" max="21" width="18.85546875" bestFit="1" customWidth="1"/>
    <col min="22" max="22" width="13.7109375" bestFit="1" customWidth="1"/>
    <col min="23" max="23" width="13" bestFit="1" customWidth="1"/>
    <col min="24" max="24" width="14.85546875" bestFit="1" customWidth="1"/>
    <col min="25" max="27" width="13.7109375" bestFit="1" customWidth="1"/>
    <col min="28" max="29" width="13" bestFit="1" customWidth="1"/>
    <col min="30" max="30" width="12.28515625" bestFit="1" customWidth="1"/>
    <col min="31" max="32" width="12.28515625" style="5" bestFit="1" customWidth="1"/>
    <col min="33" max="39" width="12.7109375" style="5" customWidth="1"/>
    <col min="40" max="49" width="12.7109375" customWidth="1"/>
  </cols>
  <sheetData>
    <row r="1" spans="1:45" ht="20.25" customHeight="1" x14ac:dyDescent="0.25">
      <c r="A1" s="321" t="s">
        <v>340</v>
      </c>
      <c r="B1" s="321"/>
      <c r="C1" s="321"/>
      <c r="D1" s="63"/>
      <c r="E1" s="63"/>
      <c r="F1" s="63"/>
      <c r="G1" s="64"/>
      <c r="L1" s="1"/>
    </row>
    <row r="2" spans="1:45" ht="42" customHeight="1" x14ac:dyDescent="0.2">
      <c r="D2" s="151" t="str">
        <f>Data!G1</f>
        <v>GSlt50_kWh</v>
      </c>
      <c r="E2" s="151" t="str">
        <f>Data!H1</f>
        <v>GSlt50_CDM</v>
      </c>
      <c r="F2" s="151" t="str">
        <f>Data!I1</f>
        <v>GSlt50_NoCDM</v>
      </c>
      <c r="G2" s="129" t="str">
        <f>Data!AR1</f>
        <v>HDD14</v>
      </c>
      <c r="H2" s="129" t="str">
        <f>Data!AS1</f>
        <v>CDD14</v>
      </c>
      <c r="I2" s="129" t="str">
        <f>G2&amp;"Norm"</f>
        <v>HDD14Norm</v>
      </c>
      <c r="J2" s="129" t="str">
        <f>H2&amp;"Norm"</f>
        <v>CDD14Norm</v>
      </c>
      <c r="K2" s="8" t="s">
        <v>291</v>
      </c>
      <c r="L2" s="8" t="s">
        <v>274</v>
      </c>
      <c r="M2" s="8" t="s">
        <v>36</v>
      </c>
      <c r="N2" s="139" t="str">
        <f>Data!BZ1</f>
        <v>COVID_AM</v>
      </c>
      <c r="O2" s="8" t="s">
        <v>275</v>
      </c>
      <c r="P2" s="8" t="s">
        <v>290</v>
      </c>
      <c r="Q2" s="8" t="s">
        <v>277</v>
      </c>
      <c r="R2" s="8" t="s">
        <v>278</v>
      </c>
      <c r="AE2" s="7"/>
      <c r="AF2" s="7"/>
      <c r="AG2" s="7"/>
    </row>
    <row r="3" spans="1:45" ht="12.75" customHeight="1" x14ac:dyDescent="0.2">
      <c r="A3" s="2">
        <v>40544</v>
      </c>
      <c r="B3">
        <f>YEAR(A3)</f>
        <v>2011</v>
      </c>
      <c r="C3">
        <f>MONTH(A3)</f>
        <v>1</v>
      </c>
      <c r="D3" s="151">
        <f>Data!G2</f>
        <v>6855369.9400000023</v>
      </c>
      <c r="E3" s="151">
        <f>Data!H2</f>
        <v>9467.620679902544</v>
      </c>
      <c r="F3" s="151">
        <f>Data!I2</f>
        <v>6864837.5606799051</v>
      </c>
      <c r="G3" s="129">
        <f>Data!AR2</f>
        <v>651.30000000000007</v>
      </c>
      <c r="H3" s="129">
        <f>Data!AS2</f>
        <v>0</v>
      </c>
      <c r="I3" s="129">
        <f t="shared" ref="I3:J3" ca="1" si="0">I15</f>
        <v>563.5</v>
      </c>
      <c r="J3" s="129">
        <f t="shared" ca="1" si="0"/>
        <v>0</v>
      </c>
      <c r="K3" s="32">
        <f>Data!BW2</f>
        <v>0</v>
      </c>
      <c r="L3" s="32">
        <f>Data!AB2</f>
        <v>2283</v>
      </c>
      <c r="M3" s="32">
        <f>Data!BI2</f>
        <v>1</v>
      </c>
      <c r="N3" s="140">
        <f>Data!BZ2</f>
        <v>0</v>
      </c>
      <c r="O3" s="32">
        <f ca="1">F3+(I3-G3)*$T$20+(J3-H3)*$T$21</f>
        <v>6562776.8358606109</v>
      </c>
      <c r="P3" s="32">
        <f t="shared" ref="P3:P34" ca="1" si="1">O3-E3</f>
        <v>6553309.2151807081</v>
      </c>
      <c r="Q3" s="33">
        <f t="shared" ref="Q3:Q34" ca="1" si="2">+O3-F3</f>
        <v>-302060.72481929418</v>
      </c>
      <c r="R3" s="50">
        <f t="shared" ref="R3:R34" ca="1" si="3">ABS(Q3/F3)</f>
        <v>4.400114673498226E-2</v>
      </c>
      <c r="AE3"/>
      <c r="AF3" s="39"/>
      <c r="AG3" s="66"/>
      <c r="AH3" s="51"/>
      <c r="AI3" s="74"/>
      <c r="AJ3" s="74"/>
      <c r="AK3" s="204"/>
      <c r="AL3" s="74"/>
      <c r="AM3" s="74"/>
      <c r="AN3" s="197"/>
      <c r="AO3" s="204"/>
      <c r="AP3" s="68"/>
      <c r="AQ3" s="68"/>
      <c r="AR3" s="5"/>
    </row>
    <row r="4" spans="1:45" x14ac:dyDescent="0.2">
      <c r="A4" s="2">
        <v>40575</v>
      </c>
      <c r="B4">
        <f t="shared" ref="B4:B67" si="4">YEAR(A4)</f>
        <v>2011</v>
      </c>
      <c r="C4">
        <f t="shared" ref="C4:C67" si="5">MONTH(A4)</f>
        <v>2</v>
      </c>
      <c r="D4" s="151">
        <f>Data!G3</f>
        <v>7477521.3800000027</v>
      </c>
      <c r="E4" s="151">
        <f>Data!H3</f>
        <v>9467.620679902544</v>
      </c>
      <c r="F4" s="151">
        <f>Data!I3</f>
        <v>7486989.0006799055</v>
      </c>
      <c r="G4" s="129">
        <f>Data!AR3</f>
        <v>542.20000000000016</v>
      </c>
      <c r="H4" s="129">
        <f>Data!AS3</f>
        <v>0</v>
      </c>
      <c r="I4" s="129">
        <f t="shared" ref="I4:J4" ca="1" si="6">I16</f>
        <v>516.6099999999999</v>
      </c>
      <c r="J4" s="129">
        <f t="shared" ca="1" si="6"/>
        <v>0</v>
      </c>
      <c r="K4" s="32">
        <f>Data!BW3</f>
        <v>0</v>
      </c>
      <c r="L4" s="32">
        <f>Data!AB3</f>
        <v>2302</v>
      </c>
      <c r="M4" s="32">
        <f>Data!BI3</f>
        <v>2</v>
      </c>
      <c r="N4" s="140">
        <f>Data!BZ3</f>
        <v>0</v>
      </c>
      <c r="O4" s="32">
        <f t="shared" ref="O4:O67" ca="1" si="7">F4+(I4-G4)*$T$20+(J4-H4)*$T$21</f>
        <v>7398951.0286055794</v>
      </c>
      <c r="P4" s="32">
        <f t="shared" ca="1" si="1"/>
        <v>7389483.4079256766</v>
      </c>
      <c r="Q4" s="33">
        <f t="shared" ca="1" si="2"/>
        <v>-88037.972074326128</v>
      </c>
      <c r="R4" s="50">
        <f t="shared" ca="1" si="3"/>
        <v>1.1758795433829442E-2</v>
      </c>
      <c r="AE4"/>
      <c r="AF4" s="39"/>
      <c r="AG4" s="51"/>
      <c r="AH4" s="74"/>
      <c r="AI4" s="74"/>
      <c r="AJ4" s="74"/>
      <c r="AK4" s="197"/>
      <c r="AL4" s="208"/>
      <c r="AM4" s="74"/>
      <c r="AN4" s="197"/>
      <c r="AO4" s="197"/>
      <c r="AP4" s="68"/>
      <c r="AQ4" s="68"/>
      <c r="AR4" s="5"/>
    </row>
    <row r="5" spans="1:45" x14ac:dyDescent="0.2">
      <c r="A5" s="2">
        <v>40603</v>
      </c>
      <c r="B5">
        <f t="shared" si="4"/>
        <v>2011</v>
      </c>
      <c r="C5">
        <f t="shared" si="5"/>
        <v>3</v>
      </c>
      <c r="D5" s="151">
        <f>Data!G4</f>
        <v>7152568.5900000026</v>
      </c>
      <c r="E5" s="151">
        <f>Data!H4</f>
        <v>9467.620679902544</v>
      </c>
      <c r="F5" s="151">
        <f>Data!I4</f>
        <v>7162036.2106799055</v>
      </c>
      <c r="G5" s="129">
        <f>Data!AR4</f>
        <v>448.8</v>
      </c>
      <c r="H5" s="129">
        <f>Data!AS4</f>
        <v>0</v>
      </c>
      <c r="I5" s="129">
        <f t="shared" ref="I5:J5" ca="1" si="8">I17</f>
        <v>409.90999999999997</v>
      </c>
      <c r="J5" s="129">
        <f t="shared" ca="1" si="8"/>
        <v>1.1599999999999999</v>
      </c>
      <c r="K5" s="32">
        <f>Data!BW4</f>
        <v>0</v>
      </c>
      <c r="L5" s="32">
        <f>Data!AB4</f>
        <v>2305</v>
      </c>
      <c r="M5" s="32">
        <f>Data!BI4</f>
        <v>3</v>
      </c>
      <c r="N5" s="140">
        <f>Data!BZ4</f>
        <v>0</v>
      </c>
      <c r="O5" s="32">
        <f t="shared" ca="1" si="7"/>
        <v>7034002.3526900047</v>
      </c>
      <c r="P5" s="32">
        <f t="shared" ca="1" si="1"/>
        <v>7024534.7320101019</v>
      </c>
      <c r="Q5" s="33">
        <f t="shared" ca="1" si="2"/>
        <v>-128033.85798990075</v>
      </c>
      <c r="R5" s="50">
        <f t="shared" ca="1" si="3"/>
        <v>1.7876739829795731E-2</v>
      </c>
      <c r="AE5"/>
      <c r="AF5" s="51"/>
      <c r="AG5" s="51"/>
      <c r="AH5" s="74"/>
      <c r="AI5" s="74"/>
      <c r="AJ5" s="74"/>
      <c r="AK5" s="197"/>
      <c r="AL5" s="208"/>
      <c r="AM5" s="74"/>
      <c r="AN5" s="197"/>
      <c r="AO5" s="197"/>
      <c r="AP5" s="67"/>
      <c r="AQ5" s="68"/>
      <c r="AR5" s="5"/>
    </row>
    <row r="6" spans="1:45" ht="12.75" customHeight="1" x14ac:dyDescent="0.2">
      <c r="A6" s="2">
        <v>40634</v>
      </c>
      <c r="B6">
        <f t="shared" si="4"/>
        <v>2011</v>
      </c>
      <c r="C6">
        <f t="shared" si="5"/>
        <v>4</v>
      </c>
      <c r="D6" s="151">
        <f>Data!G5</f>
        <v>6467080.2400000058</v>
      </c>
      <c r="E6" s="151">
        <f>Data!H5</f>
        <v>9467.620679902544</v>
      </c>
      <c r="F6" s="151">
        <f>Data!I5</f>
        <v>6476547.8606799087</v>
      </c>
      <c r="G6" s="129">
        <f>Data!AR5</f>
        <v>213.6</v>
      </c>
      <c r="H6" s="129">
        <f>Data!AS5</f>
        <v>1.3000000000000007</v>
      </c>
      <c r="I6" s="129">
        <f t="shared" ref="I6:J6" ca="1" si="9">I18</f>
        <v>227.5</v>
      </c>
      <c r="J6" s="129">
        <f t="shared" ca="1" si="9"/>
        <v>2.3099999999999996</v>
      </c>
      <c r="K6" s="32">
        <f>Data!BW5</f>
        <v>0</v>
      </c>
      <c r="L6" s="32">
        <f>Data!AB5</f>
        <v>2308</v>
      </c>
      <c r="M6" s="32">
        <f>Data!BI5</f>
        <v>4</v>
      </c>
      <c r="N6" s="140">
        <f>Data!BZ5</f>
        <v>0</v>
      </c>
      <c r="O6" s="32">
        <f t="shared" ca="1" si="7"/>
        <v>6529383.985810128</v>
      </c>
      <c r="P6" s="32">
        <f t="shared" ca="1" si="1"/>
        <v>6519916.3651302252</v>
      </c>
      <c r="Q6" s="33">
        <f t="shared" ca="1" si="2"/>
        <v>52836.125130219385</v>
      </c>
      <c r="R6" s="50">
        <f t="shared" ca="1" si="3"/>
        <v>8.1580691236755008E-3</v>
      </c>
      <c r="AE6"/>
      <c r="AG6" s="74"/>
      <c r="AH6" s="69"/>
      <c r="AJ6" s="39"/>
      <c r="AL6" s="209"/>
      <c r="AM6" s="209"/>
      <c r="AN6" s="5"/>
      <c r="AO6" s="5"/>
      <c r="AP6" s="5"/>
      <c r="AQ6" s="5"/>
      <c r="AR6" s="5"/>
      <c r="AS6" s="28"/>
    </row>
    <row r="7" spans="1:45" x14ac:dyDescent="0.2">
      <c r="A7" s="2">
        <v>40664</v>
      </c>
      <c r="B7">
        <f t="shared" si="4"/>
        <v>2011</v>
      </c>
      <c r="C7">
        <f t="shared" si="5"/>
        <v>5</v>
      </c>
      <c r="D7" s="151">
        <f>Data!G6</f>
        <v>6394046.8700000048</v>
      </c>
      <c r="E7" s="151">
        <f>Data!H6</f>
        <v>9467.620679902544</v>
      </c>
      <c r="F7" s="151">
        <f>Data!I6</f>
        <v>6403514.4906799076</v>
      </c>
      <c r="G7" s="129">
        <f>Data!AR6</f>
        <v>50.8</v>
      </c>
      <c r="H7" s="129">
        <f>Data!AS6</f>
        <v>53.7</v>
      </c>
      <c r="I7" s="129">
        <f t="shared" ref="I7:J7" ca="1" si="10">I19</f>
        <v>59.269999999999982</v>
      </c>
      <c r="J7" s="129">
        <f t="shared" ca="1" si="10"/>
        <v>70.86</v>
      </c>
      <c r="K7" s="32">
        <f>Data!BW6</f>
        <v>0</v>
      </c>
      <c r="L7" s="32">
        <f>Data!AB6</f>
        <v>2306</v>
      </c>
      <c r="M7" s="32">
        <f>Data!BI6</f>
        <v>5</v>
      </c>
      <c r="N7" s="140">
        <f>Data!BZ6</f>
        <v>0</v>
      </c>
      <c r="O7" s="32">
        <f t="shared" ca="1" si="7"/>
        <v>6517869.2214023843</v>
      </c>
      <c r="P7" s="32">
        <f t="shared" ca="1" si="1"/>
        <v>6508401.6007224815</v>
      </c>
      <c r="Q7" s="33">
        <f t="shared" ca="1" si="2"/>
        <v>114354.73072247673</v>
      </c>
      <c r="R7" s="50">
        <f t="shared" ca="1" si="3"/>
        <v>1.7858120082169887E-2</v>
      </c>
      <c r="AE7"/>
      <c r="AG7" s="74"/>
      <c r="AH7" s="69"/>
      <c r="AI7" s="39"/>
      <c r="AJ7" s="39"/>
      <c r="AL7" s="209"/>
      <c r="AM7" s="209"/>
      <c r="AN7" s="5"/>
      <c r="AO7" s="5"/>
      <c r="AP7" s="5"/>
      <c r="AQ7" s="5"/>
      <c r="AR7" s="5"/>
      <c r="AS7" s="28"/>
    </row>
    <row r="8" spans="1:45" x14ac:dyDescent="0.2">
      <c r="A8" s="2">
        <v>40695</v>
      </c>
      <c r="B8">
        <f t="shared" si="4"/>
        <v>2011</v>
      </c>
      <c r="C8">
        <f t="shared" si="5"/>
        <v>6</v>
      </c>
      <c r="D8" s="151">
        <f>Data!G7</f>
        <v>6868428.5200000014</v>
      </c>
      <c r="E8" s="151">
        <f>Data!H7</f>
        <v>9467.620679902544</v>
      </c>
      <c r="F8" s="151">
        <f>Data!I7</f>
        <v>6877896.1406799043</v>
      </c>
      <c r="G8" s="129">
        <f>Data!AR7</f>
        <v>0</v>
      </c>
      <c r="H8" s="129">
        <f>Data!AS7</f>
        <v>153.20000000000002</v>
      </c>
      <c r="I8" s="129">
        <f t="shared" ref="I8:J8" ca="1" si="11">I20</f>
        <v>1.85</v>
      </c>
      <c r="J8" s="129">
        <f t="shared" ca="1" si="11"/>
        <v>171.74</v>
      </c>
      <c r="K8" s="32">
        <f>Data!BW7</f>
        <v>0</v>
      </c>
      <c r="L8" s="32">
        <f>Data!AB7</f>
        <v>2316</v>
      </c>
      <c r="M8" s="32">
        <f>Data!BI7</f>
        <v>6</v>
      </c>
      <c r="N8" s="140">
        <f>Data!BZ7</f>
        <v>0</v>
      </c>
      <c r="O8" s="32">
        <f t="shared" ca="1" si="7"/>
        <v>6976328.8729755701</v>
      </c>
      <c r="P8" s="32">
        <f t="shared" ca="1" si="1"/>
        <v>6966861.2522956673</v>
      </c>
      <c r="Q8" s="33">
        <f t="shared" ca="1" si="2"/>
        <v>98432.73229566589</v>
      </c>
      <c r="R8" s="50">
        <f t="shared" ca="1" si="3"/>
        <v>1.4311459533893961E-2</v>
      </c>
      <c r="AE8"/>
      <c r="AG8" s="74"/>
      <c r="AH8" s="69"/>
      <c r="AI8" s="39"/>
      <c r="AJ8" s="39"/>
      <c r="AL8" s="209"/>
      <c r="AM8" s="209"/>
      <c r="AN8" s="5"/>
      <c r="AO8" s="5"/>
      <c r="AP8" s="5"/>
      <c r="AQ8" s="5"/>
      <c r="AR8" s="5"/>
      <c r="AS8" s="28"/>
    </row>
    <row r="9" spans="1:45" x14ac:dyDescent="0.2">
      <c r="A9" s="2">
        <v>40725</v>
      </c>
      <c r="B9">
        <f t="shared" si="4"/>
        <v>2011</v>
      </c>
      <c r="C9">
        <f t="shared" si="5"/>
        <v>7</v>
      </c>
      <c r="D9" s="151">
        <f>Data!G8</f>
        <v>7225446.5600000024</v>
      </c>
      <c r="E9" s="151">
        <f>Data!H8</f>
        <v>9467.620679902544</v>
      </c>
      <c r="F9" s="151">
        <f>Data!I8</f>
        <v>7234914.1806799052</v>
      </c>
      <c r="G9" s="129">
        <f>Data!AR8</f>
        <v>0</v>
      </c>
      <c r="H9" s="129">
        <f>Data!AS8</f>
        <v>322.29999999999995</v>
      </c>
      <c r="I9" s="129">
        <f t="shared" ref="I9:J9" ca="1" si="12">I21</f>
        <v>0</v>
      </c>
      <c r="J9" s="129">
        <f t="shared" ca="1" si="12"/>
        <v>269.41000000000003</v>
      </c>
      <c r="K9" s="32">
        <f>Data!BW8</f>
        <v>0</v>
      </c>
      <c r="L9" s="32">
        <f>Data!AB8</f>
        <v>2335</v>
      </c>
      <c r="M9" s="32">
        <f>Data!BI8</f>
        <v>7</v>
      </c>
      <c r="N9" s="140">
        <f>Data!BZ8</f>
        <v>0</v>
      </c>
      <c r="O9" s="32">
        <f t="shared" ca="1" si="7"/>
        <v>6972266.7567604901</v>
      </c>
      <c r="P9" s="32">
        <f t="shared" ca="1" si="1"/>
        <v>6962799.1360805873</v>
      </c>
      <c r="Q9" s="33">
        <f t="shared" ca="1" si="2"/>
        <v>-262647.4239194151</v>
      </c>
      <c r="R9" s="50">
        <f t="shared" ca="1" si="3"/>
        <v>3.6302769785547431E-2</v>
      </c>
      <c r="AE9"/>
      <c r="AG9" s="74"/>
      <c r="AH9" s="69"/>
      <c r="AI9" s="39"/>
      <c r="AJ9" s="39"/>
      <c r="AL9" s="209"/>
      <c r="AM9" s="209"/>
      <c r="AN9" s="5"/>
      <c r="AO9" s="5"/>
      <c r="AP9" s="5"/>
      <c r="AQ9" s="5"/>
      <c r="AR9" s="5"/>
      <c r="AS9" s="28"/>
    </row>
    <row r="10" spans="1:45" x14ac:dyDescent="0.2">
      <c r="A10" s="2">
        <v>40756</v>
      </c>
      <c r="B10">
        <f t="shared" si="4"/>
        <v>2011</v>
      </c>
      <c r="C10">
        <f t="shared" si="5"/>
        <v>8</v>
      </c>
      <c r="D10" s="151">
        <f>Data!G9</f>
        <v>7335384.9100000048</v>
      </c>
      <c r="E10" s="151">
        <f>Data!H9</f>
        <v>9467.620679902544</v>
      </c>
      <c r="F10" s="151">
        <f>Data!I9</f>
        <v>7344852.5306799076</v>
      </c>
      <c r="G10" s="129">
        <f>Data!AR9</f>
        <v>0</v>
      </c>
      <c r="H10" s="129">
        <f>Data!AS9</f>
        <v>246.19999999999996</v>
      </c>
      <c r="I10" s="129">
        <f t="shared" ref="I10:J10" ca="1" si="13">I22</f>
        <v>0</v>
      </c>
      <c r="J10" s="129">
        <f t="shared" ca="1" si="13"/>
        <v>242.46000000000004</v>
      </c>
      <c r="K10" s="32">
        <f>Data!BW9</f>
        <v>0</v>
      </c>
      <c r="L10" s="32">
        <f>Data!AB9</f>
        <v>2354</v>
      </c>
      <c r="M10" s="32">
        <f>Data!BI9</f>
        <v>8</v>
      </c>
      <c r="N10" s="140">
        <f>Data!BZ9</f>
        <v>0</v>
      </c>
      <c r="O10" s="32">
        <f t="shared" ca="1" si="7"/>
        <v>7326279.995882052</v>
      </c>
      <c r="P10" s="32">
        <f t="shared" ca="1" si="1"/>
        <v>7316812.3752021492</v>
      </c>
      <c r="Q10" s="33">
        <f t="shared" ca="1" si="2"/>
        <v>-18572.534797855653</v>
      </c>
      <c r="R10" s="50">
        <f t="shared" ca="1" si="3"/>
        <v>2.5286463846996266E-3</v>
      </c>
      <c r="AE10"/>
      <c r="AG10" s="74"/>
      <c r="AH10" s="69"/>
      <c r="AI10" s="39"/>
      <c r="AJ10" s="39"/>
      <c r="AL10" s="209"/>
      <c r="AM10" s="209"/>
      <c r="AN10" s="5"/>
      <c r="AO10" s="5"/>
      <c r="AP10" s="5"/>
      <c r="AQ10" s="5"/>
      <c r="AR10" s="5"/>
      <c r="AS10" s="28"/>
    </row>
    <row r="11" spans="1:45" x14ac:dyDescent="0.2">
      <c r="A11" s="2">
        <v>40787</v>
      </c>
      <c r="B11">
        <f t="shared" si="4"/>
        <v>2011</v>
      </c>
      <c r="C11">
        <f t="shared" si="5"/>
        <v>9</v>
      </c>
      <c r="D11" s="151">
        <f>Data!G10</f>
        <v>6365381.4099999992</v>
      </c>
      <c r="E11" s="151">
        <f>Data!H10</f>
        <v>9467.620679902544</v>
      </c>
      <c r="F11" s="151">
        <f>Data!I10</f>
        <v>6374849.0306799021</v>
      </c>
      <c r="G11" s="129">
        <f>Data!AR10</f>
        <v>9</v>
      </c>
      <c r="H11" s="129">
        <f>Data!AS10</f>
        <v>120.3</v>
      </c>
      <c r="I11" s="129">
        <f t="shared" ref="I11:J11" ca="1" si="14">I23</f>
        <v>10.66</v>
      </c>
      <c r="J11" s="129">
        <f t="shared" ca="1" si="14"/>
        <v>124.26999999999998</v>
      </c>
      <c r="K11" s="32">
        <f>Data!BW10</f>
        <v>1</v>
      </c>
      <c r="L11" s="32">
        <f>Data!AB10</f>
        <v>2360</v>
      </c>
      <c r="M11" s="32">
        <f>Data!BI10</f>
        <v>9</v>
      </c>
      <c r="N11" s="140">
        <f>Data!BZ10</f>
        <v>0</v>
      </c>
      <c r="O11" s="32">
        <f t="shared" ca="1" si="7"/>
        <v>6400274.669797481</v>
      </c>
      <c r="P11" s="32">
        <f t="shared" ca="1" si="1"/>
        <v>6390807.0491175782</v>
      </c>
      <c r="Q11" s="33">
        <f t="shared" ca="1" si="2"/>
        <v>25425.639117578976</v>
      </c>
      <c r="R11" s="50">
        <f t="shared" ca="1" si="3"/>
        <v>3.9884299997089085E-3</v>
      </c>
      <c r="AE11"/>
      <c r="AG11" s="74"/>
      <c r="AH11" s="69"/>
      <c r="AI11" s="39"/>
      <c r="AJ11" s="39"/>
      <c r="AL11" s="209"/>
      <c r="AM11" s="209"/>
      <c r="AN11" s="5"/>
      <c r="AO11" s="5"/>
      <c r="AP11" s="5"/>
      <c r="AQ11" s="5"/>
      <c r="AR11" s="5"/>
      <c r="AS11" s="28"/>
    </row>
    <row r="12" spans="1:45" ht="13.5" customHeight="1" x14ac:dyDescent="0.2">
      <c r="A12" s="2">
        <v>40817</v>
      </c>
      <c r="B12">
        <f t="shared" si="4"/>
        <v>2011</v>
      </c>
      <c r="C12">
        <f t="shared" si="5"/>
        <v>10</v>
      </c>
      <c r="D12" s="151">
        <f>Data!G11</f>
        <v>6187538.6099999947</v>
      </c>
      <c r="E12" s="151">
        <f>Data!H11</f>
        <v>9467.620679902544</v>
      </c>
      <c r="F12" s="151">
        <f>Data!I11</f>
        <v>6197006.2306798976</v>
      </c>
      <c r="G12" s="129">
        <f>Data!AR11</f>
        <v>131.60000000000002</v>
      </c>
      <c r="H12" s="129">
        <f>Data!AS11</f>
        <v>22.599999999999994</v>
      </c>
      <c r="I12" s="129">
        <f t="shared" ref="I12:J12" ca="1" si="15">I24</f>
        <v>118.80999999999999</v>
      </c>
      <c r="J12" s="129">
        <f t="shared" ca="1" si="15"/>
        <v>23.209999999999997</v>
      </c>
      <c r="K12" s="32">
        <f>Data!BW11</f>
        <v>1</v>
      </c>
      <c r="L12" s="32">
        <f>Data!AB11</f>
        <v>2364</v>
      </c>
      <c r="M12" s="32">
        <f>Data!BI11</f>
        <v>10</v>
      </c>
      <c r="N12" s="140">
        <f>Data!BZ11</f>
        <v>0</v>
      </c>
      <c r="O12" s="32">
        <f t="shared" ca="1" si="7"/>
        <v>6156033.6564995861</v>
      </c>
      <c r="P12" s="32">
        <f t="shared" ca="1" si="1"/>
        <v>6146566.0358196832</v>
      </c>
      <c r="Q12" s="33">
        <f t="shared" ca="1" si="2"/>
        <v>-40972.574180311523</v>
      </c>
      <c r="R12" s="50">
        <f t="shared" ca="1" si="3"/>
        <v>6.6116722583666439E-3</v>
      </c>
      <c r="AE12"/>
      <c r="AG12" s="74"/>
      <c r="AH12" s="69"/>
      <c r="AI12" s="39"/>
      <c r="AJ12" s="39"/>
      <c r="AL12" s="209"/>
      <c r="AM12" s="209"/>
      <c r="AN12" s="5"/>
      <c r="AO12" s="5"/>
      <c r="AP12" s="5"/>
      <c r="AQ12" s="5"/>
      <c r="AR12" s="5"/>
      <c r="AS12" s="28"/>
    </row>
    <row r="13" spans="1:45" x14ac:dyDescent="0.2">
      <c r="A13" s="2">
        <v>40848</v>
      </c>
      <c r="B13">
        <f t="shared" si="4"/>
        <v>2011</v>
      </c>
      <c r="C13">
        <f t="shared" si="5"/>
        <v>11</v>
      </c>
      <c r="D13" s="151">
        <f>Data!G12</f>
        <v>6503187.4399999985</v>
      </c>
      <c r="E13" s="151">
        <f>Data!H12</f>
        <v>9467.620679902544</v>
      </c>
      <c r="F13" s="151">
        <f>Data!I12</f>
        <v>6512655.0606799014</v>
      </c>
      <c r="G13" s="129">
        <f>Data!AR12</f>
        <v>221.90000000000003</v>
      </c>
      <c r="H13" s="129">
        <f>Data!AS12</f>
        <v>0</v>
      </c>
      <c r="I13" s="129">
        <f t="shared" ref="I13:J13" ca="1" si="16">I25</f>
        <v>307.13</v>
      </c>
      <c r="J13" s="129">
        <f t="shared" ca="1" si="16"/>
        <v>0.89</v>
      </c>
      <c r="K13" s="32">
        <f>Data!BW12</f>
        <v>1</v>
      </c>
      <c r="L13" s="32">
        <f>Data!AB12</f>
        <v>2368</v>
      </c>
      <c r="M13" s="32">
        <f>Data!BI12</f>
        <v>11</v>
      </c>
      <c r="N13" s="140">
        <f>Data!BZ12</f>
        <v>0</v>
      </c>
      <c r="O13" s="32">
        <f t="shared" ca="1" si="7"/>
        <v>6810293.8120646635</v>
      </c>
      <c r="P13" s="32">
        <f t="shared" ca="1" si="1"/>
        <v>6800826.1913847607</v>
      </c>
      <c r="Q13" s="33">
        <f t="shared" ca="1" si="2"/>
        <v>297638.75138476212</v>
      </c>
      <c r="R13" s="50">
        <f t="shared" ca="1" si="3"/>
        <v>4.5701599211319131E-2</v>
      </c>
      <c r="S13" s="149"/>
      <c r="T13" t="s">
        <v>356</v>
      </c>
      <c r="U13" s="149"/>
      <c r="V13" s="149"/>
      <c r="W13" s="149"/>
      <c r="X13" s="149"/>
      <c r="Y13" s="315" t="s">
        <v>349</v>
      </c>
      <c r="AE13"/>
      <c r="AG13" s="74"/>
      <c r="AH13" s="69"/>
      <c r="AI13" s="39"/>
      <c r="AJ13" s="39"/>
      <c r="AL13" s="209"/>
      <c r="AM13" s="209"/>
      <c r="AN13" s="5"/>
      <c r="AO13" s="5"/>
      <c r="AP13" s="5"/>
      <c r="AQ13" s="5"/>
      <c r="AR13" s="5"/>
      <c r="AS13" s="28"/>
    </row>
    <row r="14" spans="1:45" ht="13.5" customHeight="1" x14ac:dyDescent="0.2">
      <c r="A14" s="2">
        <v>40878</v>
      </c>
      <c r="B14">
        <f t="shared" si="4"/>
        <v>2011</v>
      </c>
      <c r="C14">
        <f t="shared" si="5"/>
        <v>12</v>
      </c>
      <c r="D14" s="151">
        <f>Data!G13</f>
        <v>8506879.0700000003</v>
      </c>
      <c r="E14" s="151">
        <f>Data!H13</f>
        <v>9467.620679902544</v>
      </c>
      <c r="F14" s="151">
        <f>Data!I13</f>
        <v>8516346.6906799022</v>
      </c>
      <c r="G14" s="129">
        <f>Data!AR13</f>
        <v>410</v>
      </c>
      <c r="H14" s="129">
        <f>Data!AS13</f>
        <v>0</v>
      </c>
      <c r="I14" s="129">
        <f t="shared" ref="I14:J14" ca="1" si="17">I26</f>
        <v>451.35999999999996</v>
      </c>
      <c r="J14" s="129">
        <f t="shared" ca="1" si="17"/>
        <v>0</v>
      </c>
      <c r="K14" s="32">
        <f>Data!BW13</f>
        <v>0</v>
      </c>
      <c r="L14" s="32">
        <f>Data!AB13</f>
        <v>2374</v>
      </c>
      <c r="M14" s="32">
        <f>Data!BI13</f>
        <v>12</v>
      </c>
      <c r="N14" s="140">
        <f>Data!BZ13</f>
        <v>0</v>
      </c>
      <c r="O14" s="32">
        <f t="shared" ca="1" si="7"/>
        <v>8658638.6220981944</v>
      </c>
      <c r="P14" s="32">
        <f t="shared" ca="1" si="1"/>
        <v>8649171.0014182925</v>
      </c>
      <c r="Q14" s="33">
        <f t="shared" ca="1" si="2"/>
        <v>142291.93141829222</v>
      </c>
      <c r="R14" s="50">
        <f t="shared" ca="1" si="3"/>
        <v>1.6708095218107233E-2</v>
      </c>
      <c r="S14" t="s">
        <v>352</v>
      </c>
      <c r="Y14" s="315" t="s">
        <v>292</v>
      </c>
      <c r="Z14" s="315"/>
      <c r="AA14" s="315"/>
      <c r="AB14" s="315"/>
      <c r="AC14" s="315"/>
      <c r="AE14"/>
      <c r="AG14" s="74"/>
      <c r="AH14" s="69"/>
      <c r="AI14" s="39"/>
      <c r="AJ14" s="39"/>
      <c r="AL14" s="209"/>
      <c r="AM14" s="209"/>
      <c r="AN14" s="5"/>
      <c r="AO14" s="5"/>
      <c r="AP14" s="5"/>
      <c r="AQ14" s="5"/>
      <c r="AR14" s="5"/>
      <c r="AS14" s="28"/>
    </row>
    <row r="15" spans="1:45" x14ac:dyDescent="0.2">
      <c r="A15" s="2">
        <v>40909</v>
      </c>
      <c r="B15">
        <f t="shared" si="4"/>
        <v>2012</v>
      </c>
      <c r="C15">
        <f t="shared" si="5"/>
        <v>1</v>
      </c>
      <c r="D15" s="151">
        <f>Data!G14</f>
        <v>6542070.0699999975</v>
      </c>
      <c r="E15" s="151">
        <f>Data!H14</f>
        <v>32139.174490377161</v>
      </c>
      <c r="F15" s="151">
        <f>Data!I14</f>
        <v>6574209.2444903748</v>
      </c>
      <c r="G15" s="129">
        <f>Data!AR14</f>
        <v>487.1</v>
      </c>
      <c r="H15" s="129">
        <f>Data!AS14</f>
        <v>0</v>
      </c>
      <c r="I15" s="129">
        <f t="shared" ref="I15:J15" ca="1" si="18">I27</f>
        <v>563.5</v>
      </c>
      <c r="J15" s="129">
        <f t="shared" ca="1" si="18"/>
        <v>0</v>
      </c>
      <c r="K15" s="32">
        <f>Data!BW14</f>
        <v>0</v>
      </c>
      <c r="L15" s="32">
        <f>Data!AB14</f>
        <v>2381</v>
      </c>
      <c r="M15" s="32">
        <f>Data!BI14</f>
        <v>13</v>
      </c>
      <c r="N15" s="140">
        <f>Data!BZ14</f>
        <v>0</v>
      </c>
      <c r="O15" s="32">
        <f t="shared" ca="1" si="7"/>
        <v>6837050.2396634277</v>
      </c>
      <c r="P15" s="32">
        <f t="shared" ca="1" si="1"/>
        <v>6804911.0651730504</v>
      </c>
      <c r="Q15" s="33">
        <f t="shared" ca="1" si="2"/>
        <v>262840.99517305288</v>
      </c>
      <c r="R15" s="50">
        <f t="shared" ca="1" si="3"/>
        <v>3.9980625106103999E-2</v>
      </c>
      <c r="S15" t="s">
        <v>293</v>
      </c>
      <c r="Y15" s="315" t="s">
        <v>293</v>
      </c>
      <c r="Z15" s="315"/>
      <c r="AA15" s="315"/>
      <c r="AB15" s="315"/>
      <c r="AC15" s="315"/>
      <c r="AE15"/>
      <c r="AG15" s="74"/>
      <c r="AH15" s="69"/>
      <c r="AI15" s="39"/>
      <c r="AJ15" s="39"/>
      <c r="AL15" s="209"/>
      <c r="AM15" s="209"/>
      <c r="AN15" s="5"/>
      <c r="AO15" s="5"/>
      <c r="AP15" s="5"/>
      <c r="AQ15" s="5"/>
      <c r="AR15" s="5"/>
      <c r="AS15" s="28"/>
    </row>
    <row r="16" spans="1:45" x14ac:dyDescent="0.2">
      <c r="A16" s="2">
        <v>40940</v>
      </c>
      <c r="B16">
        <f t="shared" si="4"/>
        <v>2012</v>
      </c>
      <c r="C16">
        <f t="shared" si="5"/>
        <v>2</v>
      </c>
      <c r="D16" s="151">
        <f>Data!G15</f>
        <v>7307980.3799999999</v>
      </c>
      <c r="E16" s="151">
        <f>Data!H15</f>
        <v>32139.174490377161</v>
      </c>
      <c r="F16" s="151">
        <f>Data!I15</f>
        <v>7340119.5544903772</v>
      </c>
      <c r="G16" s="129">
        <f>Data!AR15</f>
        <v>415.70000000000005</v>
      </c>
      <c r="H16" s="129">
        <f>Data!AS15</f>
        <v>0</v>
      </c>
      <c r="I16" s="129">
        <f t="shared" ref="I16:J16" ca="1" si="19">I28</f>
        <v>516.6099999999999</v>
      </c>
      <c r="J16" s="129">
        <f t="shared" ca="1" si="19"/>
        <v>0</v>
      </c>
      <c r="K16" s="32">
        <f>Data!BW15</f>
        <v>0</v>
      </c>
      <c r="L16" s="32">
        <f>Data!AB15</f>
        <v>2385</v>
      </c>
      <c r="M16" s="32">
        <f>Data!BI15</f>
        <v>14</v>
      </c>
      <c r="N16" s="140">
        <f>Data!BZ15</f>
        <v>0</v>
      </c>
      <c r="O16" s="32">
        <f t="shared" ca="1" si="7"/>
        <v>7687282.9684028476</v>
      </c>
      <c r="P16" s="32">
        <f t="shared" ca="1" si="1"/>
        <v>7655143.7939124703</v>
      </c>
      <c r="Q16" s="33">
        <f t="shared" ca="1" si="2"/>
        <v>347163.41391247045</v>
      </c>
      <c r="R16" s="50">
        <f t="shared" ca="1" si="3"/>
        <v>4.7296697463202822E-2</v>
      </c>
      <c r="S16" t="s">
        <v>353</v>
      </c>
      <c r="Y16" s="315" t="s">
        <v>294</v>
      </c>
      <c r="Z16" s="315"/>
      <c r="AA16" s="315"/>
      <c r="AB16" s="315"/>
      <c r="AC16" s="315"/>
      <c r="AE16"/>
      <c r="AG16" s="74"/>
      <c r="AH16" s="69"/>
      <c r="AI16" s="39"/>
      <c r="AJ16" s="39"/>
      <c r="AL16" s="209"/>
      <c r="AM16" s="209"/>
      <c r="AN16" s="5"/>
      <c r="AO16" s="5"/>
      <c r="AP16" s="5"/>
      <c r="AQ16" s="5"/>
      <c r="AR16" s="35"/>
      <c r="AS16" s="28"/>
    </row>
    <row r="17" spans="1:46" x14ac:dyDescent="0.2">
      <c r="A17" s="2">
        <v>40969</v>
      </c>
      <c r="B17">
        <f t="shared" si="4"/>
        <v>2012</v>
      </c>
      <c r="C17">
        <f t="shared" si="5"/>
        <v>3</v>
      </c>
      <c r="D17" s="151">
        <f>Data!G16</f>
        <v>6926363.8199999947</v>
      </c>
      <c r="E17" s="151">
        <f>Data!H16</f>
        <v>32139.174490377161</v>
      </c>
      <c r="F17" s="151">
        <f>Data!I16</f>
        <v>6958502.994490372</v>
      </c>
      <c r="G17" s="129">
        <f>Data!AR16</f>
        <v>236.3</v>
      </c>
      <c r="H17" s="129">
        <f>Data!AS16</f>
        <v>11.1</v>
      </c>
      <c r="I17" s="129">
        <f t="shared" ref="I17:J17" ca="1" si="20">I29</f>
        <v>409.90999999999997</v>
      </c>
      <c r="J17" s="129">
        <f t="shared" ca="1" si="20"/>
        <v>1.1599999999999999</v>
      </c>
      <c r="K17" s="32">
        <f>Data!BW16</f>
        <v>0</v>
      </c>
      <c r="L17" s="32">
        <f>Data!AB16</f>
        <v>2391</v>
      </c>
      <c r="M17" s="32">
        <f>Data!BI16</f>
        <v>15</v>
      </c>
      <c r="N17" s="140">
        <f>Data!BZ16</f>
        <v>0</v>
      </c>
      <c r="O17" s="32">
        <f t="shared" ca="1" si="7"/>
        <v>7506416.9642288992</v>
      </c>
      <c r="P17" s="32">
        <f t="shared" ca="1" si="1"/>
        <v>7474277.7897385219</v>
      </c>
      <c r="Q17" s="33">
        <f t="shared" ca="1" si="2"/>
        <v>547913.9697385272</v>
      </c>
      <c r="R17" s="50">
        <f t="shared" ca="1" si="3"/>
        <v>7.8740207509051363E-2</v>
      </c>
      <c r="Y17" s="315"/>
      <c r="Z17" s="315"/>
      <c r="AA17" s="315"/>
      <c r="AB17" s="315"/>
      <c r="AC17" s="315"/>
      <c r="AE17"/>
      <c r="AG17" s="74"/>
      <c r="AH17" s="69"/>
      <c r="AI17" s="39"/>
      <c r="AJ17" s="39"/>
      <c r="AL17" s="209"/>
      <c r="AM17" s="209"/>
      <c r="AN17" s="5"/>
      <c r="AO17" s="5"/>
      <c r="AP17" s="5"/>
      <c r="AQ17" s="5"/>
      <c r="AR17" s="5"/>
      <c r="AS17" s="28"/>
    </row>
    <row r="18" spans="1:46" x14ac:dyDescent="0.2">
      <c r="A18" s="2">
        <v>41000</v>
      </c>
      <c r="B18">
        <f t="shared" si="4"/>
        <v>2012</v>
      </c>
      <c r="C18">
        <f t="shared" si="5"/>
        <v>4</v>
      </c>
      <c r="D18" s="151">
        <f>Data!G17</f>
        <v>6496796.9000000078</v>
      </c>
      <c r="E18" s="151">
        <f>Data!H17</f>
        <v>32139.174490377161</v>
      </c>
      <c r="F18" s="151">
        <f>Data!I17</f>
        <v>6528936.0744903851</v>
      </c>
      <c r="G18" s="129">
        <f>Data!AR17</f>
        <v>206.9</v>
      </c>
      <c r="H18" s="129">
        <f>Data!AS17</f>
        <v>5.1999999999999975</v>
      </c>
      <c r="I18" s="129">
        <f t="shared" ref="I18:J18" ca="1" si="21">I30</f>
        <v>227.5</v>
      </c>
      <c r="J18" s="129">
        <f t="shared" ca="1" si="21"/>
        <v>2.3099999999999996</v>
      </c>
      <c r="K18" s="32">
        <f>Data!BW17</f>
        <v>0</v>
      </c>
      <c r="L18" s="32">
        <f>Data!AB17</f>
        <v>2398</v>
      </c>
      <c r="M18" s="32">
        <f>Data!BI17</f>
        <v>16</v>
      </c>
      <c r="N18" s="140">
        <f>Data!BZ17</f>
        <v>0</v>
      </c>
      <c r="O18" s="32">
        <f t="shared" ca="1" si="7"/>
        <v>6585455.3098645946</v>
      </c>
      <c r="P18" s="32">
        <f t="shared" ca="1" si="1"/>
        <v>6553316.1353742173</v>
      </c>
      <c r="Q18" s="33">
        <f t="shared" ca="1" si="2"/>
        <v>56519.235374209471</v>
      </c>
      <c r="R18" s="50">
        <f t="shared" ca="1" si="3"/>
        <v>8.6567297840515409E-3</v>
      </c>
      <c r="S18" s="149"/>
      <c r="T18" s="149" t="s">
        <v>135</v>
      </c>
      <c r="U18" s="149" t="s">
        <v>136</v>
      </c>
      <c r="V18" t="s">
        <v>137</v>
      </c>
      <c r="W18" t="s">
        <v>138</v>
      </c>
      <c r="X18" s="149"/>
      <c r="Y18" s="149"/>
      <c r="Z18" s="149" t="s">
        <v>135</v>
      </c>
      <c r="AA18" s="149" t="s">
        <v>136</v>
      </c>
      <c r="AB18" s="315" t="s">
        <v>137</v>
      </c>
      <c r="AC18" s="315" t="s">
        <v>138</v>
      </c>
      <c r="AE18"/>
      <c r="AF18" s="51"/>
      <c r="AG18" s="69"/>
      <c r="AH18" s="70"/>
      <c r="AI18" s="39"/>
      <c r="AL18" s="60"/>
      <c r="AM18" s="71"/>
      <c r="AN18" s="71"/>
      <c r="AO18" s="71"/>
      <c r="AP18" s="5"/>
      <c r="AQ18" s="5"/>
      <c r="AS18" s="28"/>
    </row>
    <row r="19" spans="1:46" x14ac:dyDescent="0.2">
      <c r="A19" s="2">
        <v>41030</v>
      </c>
      <c r="B19">
        <f t="shared" si="4"/>
        <v>2012</v>
      </c>
      <c r="C19">
        <f t="shared" si="5"/>
        <v>5</v>
      </c>
      <c r="D19" s="151">
        <f>Data!G18</f>
        <v>6393894.2299999967</v>
      </c>
      <c r="E19" s="151">
        <f>Data!H18</f>
        <v>32139.174490377161</v>
      </c>
      <c r="F19" s="151">
        <f>Data!I18</f>
        <v>6426033.404490374</v>
      </c>
      <c r="G19" s="129">
        <f>Data!AR18</f>
        <v>21.499999999999996</v>
      </c>
      <c r="H19" s="129">
        <f>Data!AS18</f>
        <v>101.5</v>
      </c>
      <c r="I19" s="129">
        <f t="shared" ref="I19:J19" ca="1" si="22">I31</f>
        <v>59.269999999999982</v>
      </c>
      <c r="J19" s="129">
        <f t="shared" ca="1" si="22"/>
        <v>70.86</v>
      </c>
      <c r="K19" s="32">
        <f>Data!BW18</f>
        <v>0</v>
      </c>
      <c r="L19" s="32">
        <f>Data!AB18</f>
        <v>2400</v>
      </c>
      <c r="M19" s="32">
        <f>Data!BI18</f>
        <v>17</v>
      </c>
      <c r="N19" s="140">
        <f>Data!BZ18</f>
        <v>0</v>
      </c>
      <c r="O19" s="32">
        <f t="shared" ca="1" si="7"/>
        <v>6403818.8217699053</v>
      </c>
      <c r="P19" s="32">
        <f t="shared" ca="1" si="1"/>
        <v>6371679.647279528</v>
      </c>
      <c r="Q19" s="33">
        <f t="shared" ca="1" si="2"/>
        <v>-22214.582720468752</v>
      </c>
      <c r="R19" s="50">
        <f t="shared" ca="1" si="3"/>
        <v>3.4569665798726908E-3</v>
      </c>
      <c r="S19" t="s">
        <v>139</v>
      </c>
      <c r="T19">
        <v>-6099081.5551802199</v>
      </c>
      <c r="U19">
        <v>2782470.7393203801</v>
      </c>
      <c r="V19">
        <v>-2.1919661073129202</v>
      </c>
      <c r="W19" s="130">
        <v>3.02344359271896E-2</v>
      </c>
      <c r="Y19" s="315" t="s">
        <v>139</v>
      </c>
      <c r="Z19" s="315">
        <v>-5916373.9028787296</v>
      </c>
      <c r="AA19" s="315">
        <v>2782065.71442588</v>
      </c>
      <c r="AB19" s="315">
        <v>-2.1266118453638501</v>
      </c>
      <c r="AC19" s="316">
        <v>3.54180658453924E-2</v>
      </c>
      <c r="AE19"/>
      <c r="AF19" s="74"/>
      <c r="AG19" s="69"/>
      <c r="AH19" s="51"/>
      <c r="AI19" s="77"/>
      <c r="AJ19" s="77"/>
      <c r="AK19" s="1"/>
      <c r="AN19" s="5"/>
      <c r="AO19" s="5"/>
      <c r="AP19" s="5"/>
      <c r="AQ19" s="5"/>
    </row>
    <row r="20" spans="1:46" ht="16.5" customHeight="1" x14ac:dyDescent="0.2">
      <c r="A20" s="2">
        <v>41061</v>
      </c>
      <c r="B20">
        <f t="shared" si="4"/>
        <v>2012</v>
      </c>
      <c r="C20">
        <f t="shared" si="5"/>
        <v>6</v>
      </c>
      <c r="D20" s="151">
        <f>Data!G19</f>
        <v>6938947.9299999932</v>
      </c>
      <c r="E20" s="151">
        <f>Data!H19</f>
        <v>32139.174490377161</v>
      </c>
      <c r="F20" s="151">
        <f>Data!I19</f>
        <v>6971087.1044903705</v>
      </c>
      <c r="G20" s="129">
        <f>Data!AR19</f>
        <v>1.0999999999999996</v>
      </c>
      <c r="H20" s="129">
        <f>Data!AS19</f>
        <v>199.5</v>
      </c>
      <c r="I20" s="129">
        <f t="shared" ref="I20:J20" ca="1" si="23">I32</f>
        <v>1.85</v>
      </c>
      <c r="J20" s="129">
        <f t="shared" ca="1" si="23"/>
        <v>171.74</v>
      </c>
      <c r="K20" s="32">
        <f>Data!BW19</f>
        <v>0</v>
      </c>
      <c r="L20" s="32">
        <f>Data!AB19</f>
        <v>2403</v>
      </c>
      <c r="M20" s="32">
        <f>Data!BI19</f>
        <v>18</v>
      </c>
      <c r="N20" s="140">
        <f>Data!BZ19</f>
        <v>0</v>
      </c>
      <c r="O20" s="32">
        <f t="shared" ca="1" si="7"/>
        <v>6835813.4552125055</v>
      </c>
      <c r="P20" s="32">
        <f t="shared" ca="1" si="1"/>
        <v>6803674.2807221282</v>
      </c>
      <c r="Q20" s="33">
        <f t="shared" ca="1" si="2"/>
        <v>-135273.64927786496</v>
      </c>
      <c r="R20" s="50">
        <f t="shared" ca="1" si="3"/>
        <v>1.9404957541088463E-2</v>
      </c>
      <c r="S20" t="s">
        <v>115</v>
      </c>
      <c r="T20">
        <v>3440.3271619509601</v>
      </c>
      <c r="U20">
        <v>284.828163773168</v>
      </c>
      <c r="V20">
        <v>12.0786059790449</v>
      </c>
      <c r="W20" s="130">
        <v>9.7984551684840799E-23</v>
      </c>
      <c r="Y20" s="315" t="s">
        <v>115</v>
      </c>
      <c r="Z20" s="315">
        <v>3439.9854526525301</v>
      </c>
      <c r="AA20" s="315">
        <v>284.78100360020699</v>
      </c>
      <c r="AB20" s="315">
        <v>12.0794063127953</v>
      </c>
      <c r="AC20" s="316">
        <v>9.7545551048802706E-23</v>
      </c>
      <c r="AE20"/>
      <c r="AF20" s="74"/>
      <c r="AG20" s="212"/>
      <c r="AH20" s="212"/>
      <c r="AI20" s="39"/>
      <c r="AK20" s="1"/>
      <c r="AN20" s="5"/>
      <c r="AO20" s="5"/>
      <c r="AP20" s="5"/>
      <c r="AQ20" s="5"/>
    </row>
    <row r="21" spans="1:46" x14ac:dyDescent="0.2">
      <c r="A21" s="2">
        <v>41091</v>
      </c>
      <c r="B21">
        <f t="shared" si="4"/>
        <v>2012</v>
      </c>
      <c r="C21">
        <f t="shared" si="5"/>
        <v>7</v>
      </c>
      <c r="D21" s="151">
        <f>Data!G20</f>
        <v>7684381.6799999978</v>
      </c>
      <c r="E21" s="151">
        <f>Data!H20</f>
        <v>32139.174490377161</v>
      </c>
      <c r="F21" s="151">
        <f>Data!I20</f>
        <v>7716520.8544903751</v>
      </c>
      <c r="G21" s="129">
        <f>Data!AR20</f>
        <v>0</v>
      </c>
      <c r="H21" s="129">
        <f>Data!AS20</f>
        <v>319.39999999999998</v>
      </c>
      <c r="I21" s="129">
        <f t="shared" ref="I21:J21" ca="1" si="24">I33</f>
        <v>0</v>
      </c>
      <c r="J21" s="129">
        <f t="shared" ca="1" si="24"/>
        <v>269.41000000000003</v>
      </c>
      <c r="K21" s="32">
        <f>Data!BW20</f>
        <v>0</v>
      </c>
      <c r="L21" s="32">
        <f>Data!AB20</f>
        <v>2401</v>
      </c>
      <c r="M21" s="32">
        <f>Data!BI20</f>
        <v>19</v>
      </c>
      <c r="N21" s="140">
        <f>Data!BZ20</f>
        <v>0</v>
      </c>
      <c r="O21" s="32">
        <f t="shared" ca="1" si="7"/>
        <v>7468274.5939168911</v>
      </c>
      <c r="P21" s="32">
        <f t="shared" ca="1" si="1"/>
        <v>7436135.4194265138</v>
      </c>
      <c r="Q21" s="33">
        <f t="shared" ca="1" si="2"/>
        <v>-248246.260573484</v>
      </c>
      <c r="R21" s="50">
        <f t="shared" ca="1" si="3"/>
        <v>3.2170749649309285E-2</v>
      </c>
      <c r="S21" t="s">
        <v>116</v>
      </c>
      <c r="T21">
        <v>4965.9183951487103</v>
      </c>
      <c r="U21">
        <v>609.19005431629603</v>
      </c>
      <c r="V21">
        <v>8.1516734555393402</v>
      </c>
      <c r="W21" s="130">
        <v>3.19616687257932E-13</v>
      </c>
      <c r="Y21" s="315" t="s">
        <v>116</v>
      </c>
      <c r="Z21" s="315">
        <v>4964.6694516031102</v>
      </c>
      <c r="AA21" s="315">
        <v>609.08805613857805</v>
      </c>
      <c r="AB21" s="315">
        <v>8.1509880247488606</v>
      </c>
      <c r="AC21" s="316">
        <v>3.2080165827579198E-13</v>
      </c>
      <c r="AE21"/>
      <c r="AF21" s="51"/>
      <c r="AG21" s="69"/>
      <c r="AH21" s="51"/>
      <c r="AI21" s="39"/>
      <c r="AK21" s="1"/>
      <c r="AN21" s="5"/>
      <c r="AO21" s="5"/>
      <c r="AP21" s="5"/>
      <c r="AQ21" s="5"/>
    </row>
    <row r="22" spans="1:46" x14ac:dyDescent="0.2">
      <c r="A22" s="2">
        <v>41122</v>
      </c>
      <c r="B22">
        <f t="shared" si="4"/>
        <v>2012</v>
      </c>
      <c r="C22">
        <f t="shared" si="5"/>
        <v>8</v>
      </c>
      <c r="D22" s="151">
        <f>Data!G21</f>
        <v>7811739.2400000021</v>
      </c>
      <c r="E22" s="151">
        <f>Data!H21</f>
        <v>32139.174490377161</v>
      </c>
      <c r="F22" s="151">
        <f>Data!I21</f>
        <v>7843878.4144903794</v>
      </c>
      <c r="G22" s="129">
        <f>Data!AR21</f>
        <v>0</v>
      </c>
      <c r="H22" s="129">
        <f>Data!AS21</f>
        <v>234.09999999999997</v>
      </c>
      <c r="I22" s="129">
        <f t="shared" ref="I22:J22" ca="1" si="25">I34</f>
        <v>0</v>
      </c>
      <c r="J22" s="129">
        <f t="shared" ca="1" si="25"/>
        <v>242.46000000000004</v>
      </c>
      <c r="K22" s="32">
        <f>Data!BW21</f>
        <v>0</v>
      </c>
      <c r="L22" s="32">
        <f>Data!AB21</f>
        <v>2402</v>
      </c>
      <c r="M22" s="32">
        <f>Data!BI21</f>
        <v>20</v>
      </c>
      <c r="N22" s="140">
        <f>Data!BZ21</f>
        <v>0</v>
      </c>
      <c r="O22" s="32">
        <f t="shared" ca="1" si="7"/>
        <v>7885393.4922738234</v>
      </c>
      <c r="P22" s="32">
        <f t="shared" ca="1" si="1"/>
        <v>7853254.3177834461</v>
      </c>
      <c r="Q22" s="33">
        <f t="shared" ca="1" si="2"/>
        <v>41515.077783443965</v>
      </c>
      <c r="R22" s="50">
        <f t="shared" ca="1" si="3"/>
        <v>5.2926722712518257E-3</v>
      </c>
      <c r="S22" t="s">
        <v>50</v>
      </c>
      <c r="T22">
        <v>-287241.91419102502</v>
      </c>
      <c r="U22">
        <v>97613.616855249202</v>
      </c>
      <c r="V22">
        <v>-2.9426418510541801</v>
      </c>
      <c r="W22">
        <v>3.8799705432143298E-3</v>
      </c>
      <c r="Y22" s="315" t="s">
        <v>50</v>
      </c>
      <c r="Z22" s="315">
        <v>-287027.88525663299</v>
      </c>
      <c r="AA22" s="315">
        <v>97597.718799890194</v>
      </c>
      <c r="AB22" s="315">
        <v>-2.9409282182623699</v>
      </c>
      <c r="AC22" s="315">
        <v>3.9000816786556101E-3</v>
      </c>
      <c r="AE22"/>
      <c r="AF22" s="51"/>
      <c r="AG22" s="69"/>
      <c r="AH22" s="51"/>
      <c r="AI22" s="39"/>
      <c r="AK22" s="72"/>
      <c r="AL22" s="72"/>
      <c r="AM22" s="72"/>
      <c r="AN22" s="72"/>
      <c r="AO22" s="72"/>
      <c r="AP22" s="72"/>
      <c r="AQ22" s="5"/>
    </row>
    <row r="23" spans="1:46" x14ac:dyDescent="0.2">
      <c r="A23" s="2">
        <v>41153</v>
      </c>
      <c r="B23">
        <f t="shared" si="4"/>
        <v>2012</v>
      </c>
      <c r="C23">
        <f t="shared" si="5"/>
        <v>9</v>
      </c>
      <c r="D23" s="151">
        <f>Data!G22</f>
        <v>6409326.7700000005</v>
      </c>
      <c r="E23" s="151">
        <f>Data!H22</f>
        <v>32139.174490377161</v>
      </c>
      <c r="F23" s="151">
        <f>Data!I22</f>
        <v>6441465.9444903778</v>
      </c>
      <c r="G23" s="129">
        <f>Data!AR22</f>
        <v>21.500000000000004</v>
      </c>
      <c r="H23" s="129">
        <f>Data!AS22</f>
        <v>92.09999999999998</v>
      </c>
      <c r="I23" s="129">
        <f t="shared" ref="I23:J23" ca="1" si="26">I35</f>
        <v>10.66</v>
      </c>
      <c r="J23" s="129">
        <f t="shared" ca="1" si="26"/>
        <v>124.26999999999998</v>
      </c>
      <c r="K23" s="32">
        <f>Data!BW22</f>
        <v>1</v>
      </c>
      <c r="L23" s="32">
        <f>Data!AB22</f>
        <v>2404</v>
      </c>
      <c r="M23" s="32">
        <f>Data!BI22</f>
        <v>21</v>
      </c>
      <c r="N23" s="140">
        <f>Data!BZ22</f>
        <v>0</v>
      </c>
      <c r="O23" s="32">
        <f t="shared" ca="1" si="7"/>
        <v>6563926.392826763</v>
      </c>
      <c r="P23" s="32">
        <f t="shared" ca="1" si="1"/>
        <v>6531787.2183363857</v>
      </c>
      <c r="Q23" s="33">
        <f t="shared" ca="1" si="2"/>
        <v>122460.44833638519</v>
      </c>
      <c r="R23" s="50">
        <f t="shared" ca="1" si="3"/>
        <v>1.9011270010847469E-2</v>
      </c>
      <c r="S23" t="s">
        <v>27</v>
      </c>
      <c r="T23">
        <v>5173.3477246432603</v>
      </c>
      <c r="U23">
        <v>1194.64060921499</v>
      </c>
      <c r="V23">
        <v>4.3304636429886099</v>
      </c>
      <c r="W23" s="130">
        <v>3.02214640267163E-5</v>
      </c>
      <c r="Y23" s="315" t="s">
        <v>27</v>
      </c>
      <c r="Z23" s="315">
        <v>5095.3693580959898</v>
      </c>
      <c r="AA23" s="315">
        <v>1194.4667212147699</v>
      </c>
      <c r="AB23" s="315">
        <v>4.2658110666440399</v>
      </c>
      <c r="AC23" s="316">
        <v>3.89573467034949E-5</v>
      </c>
      <c r="AE23"/>
      <c r="AF23" s="51"/>
      <c r="AG23" s="69"/>
      <c r="AH23" s="51"/>
      <c r="AI23" s="39"/>
      <c r="AK23" s="72"/>
      <c r="AL23" s="72"/>
      <c r="AM23" s="72"/>
      <c r="AN23" s="72"/>
      <c r="AO23" s="72"/>
      <c r="AP23" s="72"/>
      <c r="AQ23" s="5"/>
    </row>
    <row r="24" spans="1:46" x14ac:dyDescent="0.2">
      <c r="A24" s="2">
        <v>41183</v>
      </c>
      <c r="B24">
        <f t="shared" si="4"/>
        <v>2012</v>
      </c>
      <c r="C24">
        <f t="shared" si="5"/>
        <v>10</v>
      </c>
      <c r="D24" s="151">
        <f>Data!G23</f>
        <v>6318161.7399999937</v>
      </c>
      <c r="E24" s="151">
        <f>Data!H23</f>
        <v>32139.174490377161</v>
      </c>
      <c r="F24" s="151">
        <f>Data!I23</f>
        <v>6350300.914490371</v>
      </c>
      <c r="G24" s="129">
        <f>Data!AR23</f>
        <v>130.50000000000003</v>
      </c>
      <c r="H24" s="129">
        <f>Data!AS23</f>
        <v>13.1</v>
      </c>
      <c r="I24" s="129">
        <f t="shared" ref="I24:J24" ca="1" si="27">I36</f>
        <v>118.80999999999999</v>
      </c>
      <c r="J24" s="129">
        <f t="shared" ca="1" si="27"/>
        <v>23.209999999999997</v>
      </c>
      <c r="K24" s="32">
        <f>Data!BW23</f>
        <v>1</v>
      </c>
      <c r="L24" s="32">
        <f>Data!AB23</f>
        <v>2413</v>
      </c>
      <c r="M24" s="32">
        <f>Data!BI23</f>
        <v>22</v>
      </c>
      <c r="N24" s="140">
        <f>Data!BZ23</f>
        <v>0</v>
      </c>
      <c r="O24" s="32">
        <f t="shared" ca="1" si="7"/>
        <v>6360288.9249421181</v>
      </c>
      <c r="P24" s="32">
        <f t="shared" ca="1" si="1"/>
        <v>6328149.7504517408</v>
      </c>
      <c r="Q24" s="33">
        <f t="shared" ca="1" si="2"/>
        <v>9988.0104517471045</v>
      </c>
      <c r="R24" s="50">
        <f t="shared" ca="1" si="3"/>
        <v>1.5728404978346871E-3</v>
      </c>
      <c r="S24" t="s">
        <v>36</v>
      </c>
      <c r="T24">
        <v>-12954.2092742026</v>
      </c>
      <c r="U24">
        <v>4812.4176390859202</v>
      </c>
      <c r="V24">
        <v>-2.6918298131463101</v>
      </c>
      <c r="W24" s="130">
        <v>8.0796885829575796E-3</v>
      </c>
      <c r="Y24" s="315" t="s">
        <v>36</v>
      </c>
      <c r="Z24" s="315">
        <v>-12670.260980515101</v>
      </c>
      <c r="AA24" s="315">
        <v>4811.7199068321797</v>
      </c>
      <c r="AB24" s="315">
        <v>-2.63320833835829</v>
      </c>
      <c r="AC24" s="316">
        <v>9.5258154177304492E-3</v>
      </c>
      <c r="AE24"/>
      <c r="AF24" s="51"/>
      <c r="AG24" s="69"/>
      <c r="AH24" s="51"/>
      <c r="AI24" s="39"/>
      <c r="AK24" s="204"/>
      <c r="AL24" s="204"/>
      <c r="AM24" s="204"/>
      <c r="AN24" s="67"/>
      <c r="AO24" s="67"/>
      <c r="AP24" s="67"/>
      <c r="AQ24" s="5"/>
    </row>
    <row r="25" spans="1:46" x14ac:dyDescent="0.2">
      <c r="A25" s="2">
        <v>41214</v>
      </c>
      <c r="B25">
        <f t="shared" si="4"/>
        <v>2012</v>
      </c>
      <c r="C25">
        <f t="shared" si="5"/>
        <v>11</v>
      </c>
      <c r="D25" s="151">
        <f>Data!G24</f>
        <v>6992291.2000000067</v>
      </c>
      <c r="E25" s="151">
        <f>Data!H24</f>
        <v>32139.174490377161</v>
      </c>
      <c r="F25" s="151">
        <f>Data!I24</f>
        <v>7024430.374490384</v>
      </c>
      <c r="G25" s="129">
        <f>Data!AR24</f>
        <v>313.99999999999994</v>
      </c>
      <c r="H25" s="129">
        <f>Data!AS24</f>
        <v>0</v>
      </c>
      <c r="I25" s="129">
        <f t="shared" ref="I25:J25" ca="1" si="28">I37</f>
        <v>307.13</v>
      </c>
      <c r="J25" s="129">
        <f t="shared" ca="1" si="28"/>
        <v>0.89</v>
      </c>
      <c r="K25" s="32">
        <f>Data!BW24</f>
        <v>1</v>
      </c>
      <c r="L25" s="32">
        <f>Data!AB24</f>
        <v>2417</v>
      </c>
      <c r="M25" s="32">
        <f>Data!BI24</f>
        <v>23</v>
      </c>
      <c r="N25" s="140">
        <f>Data!BZ24</f>
        <v>0</v>
      </c>
      <c r="O25" s="32">
        <f t="shared" ca="1" si="7"/>
        <v>7005214.9942594627</v>
      </c>
      <c r="P25" s="32">
        <f t="shared" ca="1" si="1"/>
        <v>6973075.8197690854</v>
      </c>
      <c r="Q25" s="33">
        <f t="shared" ca="1" si="2"/>
        <v>-19215.380230921321</v>
      </c>
      <c r="R25" s="50">
        <f t="shared" ca="1" si="3"/>
        <v>2.7355072520475199E-3</v>
      </c>
      <c r="S25" t="s">
        <v>53</v>
      </c>
      <c r="T25">
        <v>-668163.50917892903</v>
      </c>
      <c r="U25">
        <v>213311.81132094099</v>
      </c>
      <c r="V25">
        <v>-3.1323324528599801</v>
      </c>
      <c r="W25">
        <v>2.16039676437865E-3</v>
      </c>
      <c r="Y25" s="315" t="s">
        <v>53</v>
      </c>
      <c r="Z25" s="315">
        <v>-677886.28139511496</v>
      </c>
      <c r="AA25" s="315">
        <v>213280.44147183499</v>
      </c>
      <c r="AB25" s="315">
        <v>-3.1783799616929902</v>
      </c>
      <c r="AC25" s="315">
        <v>1.86680283319016E-3</v>
      </c>
      <c r="AE25" s="2"/>
      <c r="AF25" s="51"/>
      <c r="AG25" s="69"/>
      <c r="AH25" s="73"/>
      <c r="AI25" s="2"/>
      <c r="AJ25" s="39"/>
      <c r="AM25" s="2"/>
      <c r="AN25" s="74"/>
      <c r="AO25" s="74"/>
      <c r="AP25" s="74"/>
      <c r="AQ25" s="2"/>
      <c r="AR25" s="74"/>
      <c r="AS25" s="74"/>
      <c r="AT25" s="5"/>
    </row>
    <row r="26" spans="1:46" x14ac:dyDescent="0.2">
      <c r="A26" s="2">
        <v>41244</v>
      </c>
      <c r="B26">
        <f t="shared" si="4"/>
        <v>2012</v>
      </c>
      <c r="C26">
        <f t="shared" si="5"/>
        <v>12</v>
      </c>
      <c r="D26" s="151">
        <f>Data!G25</f>
        <v>8346319.1100000069</v>
      </c>
      <c r="E26" s="151">
        <f>Data!H25</f>
        <v>32139.174490377161</v>
      </c>
      <c r="F26" s="151">
        <f>Data!I25</f>
        <v>8378458.2844903842</v>
      </c>
      <c r="G26" s="129">
        <f>Data!AR25</f>
        <v>409.50000000000006</v>
      </c>
      <c r="H26" s="129">
        <f>Data!AS25</f>
        <v>0</v>
      </c>
      <c r="I26" s="129">
        <f t="shared" ref="I26:J26" ca="1" si="29">I38</f>
        <v>451.35999999999996</v>
      </c>
      <c r="J26" s="129">
        <f t="shared" ca="1" si="29"/>
        <v>0</v>
      </c>
      <c r="K26" s="32">
        <f>Data!BW25</f>
        <v>0</v>
      </c>
      <c r="L26" s="32">
        <f>Data!AB25</f>
        <v>2425</v>
      </c>
      <c r="M26" s="32">
        <f>Data!BI25</f>
        <v>24</v>
      </c>
      <c r="N26" s="140">
        <f>Data!BZ25</f>
        <v>0</v>
      </c>
      <c r="O26" s="32">
        <f t="shared" ca="1" si="7"/>
        <v>8522470.3794896509</v>
      </c>
      <c r="P26" s="32">
        <f t="shared" ca="1" si="1"/>
        <v>8490331.2049992736</v>
      </c>
      <c r="Q26" s="32">
        <f t="shared" ca="1" si="2"/>
        <v>144012.09499926679</v>
      </c>
      <c r="R26" s="50">
        <f t="shared" ca="1" si="3"/>
        <v>1.7188376442221105E-2</v>
      </c>
      <c r="Y26" s="315"/>
      <c r="Z26" s="315"/>
      <c r="AA26" s="315"/>
      <c r="AB26" s="315"/>
      <c r="AC26" s="315"/>
      <c r="AE26" s="2"/>
      <c r="AF26" s="51"/>
      <c r="AG26" s="69"/>
      <c r="AH26" s="73"/>
      <c r="AI26" s="2"/>
      <c r="AJ26" s="39"/>
      <c r="AM26" s="2"/>
      <c r="AN26" s="74"/>
      <c r="AO26" s="74"/>
      <c r="AP26" s="74"/>
      <c r="AQ26" s="2"/>
      <c r="AR26" s="74"/>
      <c r="AS26" s="74"/>
      <c r="AT26" s="5"/>
    </row>
    <row r="27" spans="1:46" x14ac:dyDescent="0.2">
      <c r="A27" s="2">
        <v>41275</v>
      </c>
      <c r="B27">
        <f t="shared" si="4"/>
        <v>2013</v>
      </c>
      <c r="C27">
        <f t="shared" si="5"/>
        <v>1</v>
      </c>
      <c r="D27" s="151">
        <f>Data!G26</f>
        <v>6992984.0799999973</v>
      </c>
      <c r="E27" s="151">
        <f>Data!H26</f>
        <v>64448.148935414909</v>
      </c>
      <c r="F27" s="151">
        <f>Data!I26</f>
        <v>7057432.2289354121</v>
      </c>
      <c r="G27" s="129">
        <f>Data!AR26</f>
        <v>500.50000000000006</v>
      </c>
      <c r="H27" s="129">
        <f>Data!AS26</f>
        <v>0</v>
      </c>
      <c r="I27" s="129">
        <f t="shared" ref="I27:J27" ca="1" si="30">I39</f>
        <v>563.5</v>
      </c>
      <c r="J27" s="129">
        <f t="shared" ca="1" si="30"/>
        <v>0</v>
      </c>
      <c r="K27" s="32">
        <f>Data!BW26</f>
        <v>0</v>
      </c>
      <c r="L27" s="32">
        <f>Data!AB26</f>
        <v>2432</v>
      </c>
      <c r="M27" s="32">
        <f>Data!BI26</f>
        <v>25</v>
      </c>
      <c r="N27" s="140">
        <f>Data!BZ26</f>
        <v>0</v>
      </c>
      <c r="O27" s="32">
        <f t="shared" ca="1" si="7"/>
        <v>7274172.8401383227</v>
      </c>
      <c r="P27" s="32">
        <f t="shared" ca="1" si="1"/>
        <v>7209724.6912029078</v>
      </c>
      <c r="Q27" s="32">
        <f t="shared" ca="1" si="2"/>
        <v>216740.61120291054</v>
      </c>
      <c r="R27" s="50">
        <f t="shared" ca="1" si="3"/>
        <v>3.071097308087152E-2</v>
      </c>
      <c r="S27" t="s">
        <v>140</v>
      </c>
      <c r="Y27" s="315" t="s">
        <v>140</v>
      </c>
      <c r="Z27" s="315"/>
      <c r="AA27" s="315"/>
      <c r="AB27" s="315"/>
      <c r="AC27" s="315"/>
      <c r="AE27" s="2"/>
      <c r="AF27" s="51"/>
      <c r="AG27" s="213"/>
      <c r="AH27" s="73"/>
      <c r="AI27" s="2"/>
      <c r="AJ27" s="39"/>
      <c r="AM27" s="2"/>
      <c r="AN27" s="74"/>
      <c r="AO27" s="5"/>
      <c r="AP27" s="5"/>
      <c r="AQ27" s="2"/>
      <c r="AR27" s="74"/>
      <c r="AS27" s="5"/>
      <c r="AT27" s="5"/>
    </row>
    <row r="28" spans="1:46" x14ac:dyDescent="0.2">
      <c r="A28" s="2">
        <v>41306</v>
      </c>
      <c r="B28">
        <f t="shared" si="4"/>
        <v>2013</v>
      </c>
      <c r="C28">
        <f t="shared" si="5"/>
        <v>2</v>
      </c>
      <c r="D28" s="151">
        <f>Data!G27</f>
        <v>7528794.9500000002</v>
      </c>
      <c r="E28" s="151">
        <f>Data!H27</f>
        <v>64448.148935414909</v>
      </c>
      <c r="F28" s="151">
        <f>Data!I27</f>
        <v>7593243.098935415</v>
      </c>
      <c r="G28" s="129">
        <f>Data!AR27</f>
        <v>519.49999999999989</v>
      </c>
      <c r="H28" s="129">
        <f>Data!AS27</f>
        <v>0</v>
      </c>
      <c r="I28" s="129">
        <f t="shared" ref="I28:J28" ca="1" si="31">I40</f>
        <v>516.6099999999999</v>
      </c>
      <c r="J28" s="129">
        <f t="shared" ca="1" si="31"/>
        <v>0</v>
      </c>
      <c r="K28" s="32">
        <f>Data!BW27</f>
        <v>0</v>
      </c>
      <c r="L28" s="32">
        <f>Data!AB27</f>
        <v>2441</v>
      </c>
      <c r="M28" s="32">
        <f>Data!BI27</f>
        <v>26</v>
      </c>
      <c r="N28" s="140">
        <f>Data!BZ27</f>
        <v>0</v>
      </c>
      <c r="O28" s="32">
        <f t="shared" ca="1" si="7"/>
        <v>7583300.5534373764</v>
      </c>
      <c r="P28" s="32">
        <f t="shared" ca="1" si="1"/>
        <v>7518852.4045019615</v>
      </c>
      <c r="Q28" s="32">
        <f t="shared" ca="1" si="2"/>
        <v>-9942.5454980386421</v>
      </c>
      <c r="R28" s="50">
        <f t="shared" ca="1" si="3"/>
        <v>1.3093938082178091E-3</v>
      </c>
      <c r="S28" t="s">
        <v>141</v>
      </c>
      <c r="T28">
        <v>7441081.56000668</v>
      </c>
      <c r="U28" t="s">
        <v>142</v>
      </c>
      <c r="V28">
        <v>773534.21791930497</v>
      </c>
      <c r="Y28" s="315" t="s">
        <v>141</v>
      </c>
      <c r="Z28" s="315">
        <v>7439770.1888907803</v>
      </c>
      <c r="AA28" s="315" t="s">
        <v>142</v>
      </c>
      <c r="AB28" s="315">
        <v>772806.71759679995</v>
      </c>
      <c r="AC28" s="315"/>
      <c r="AE28" s="2"/>
      <c r="AF28" s="51"/>
      <c r="AG28" s="69"/>
      <c r="AH28" s="73"/>
      <c r="AI28" s="2"/>
      <c r="AJ28" s="39"/>
      <c r="AM28" s="2"/>
      <c r="AN28" s="74"/>
      <c r="AO28" s="5"/>
      <c r="AP28" s="5"/>
      <c r="AQ28" s="2"/>
      <c r="AR28" s="74"/>
      <c r="AS28" s="5"/>
      <c r="AT28" s="5"/>
    </row>
    <row r="29" spans="1:46" x14ac:dyDescent="0.2">
      <c r="A29" s="2">
        <v>41334</v>
      </c>
      <c r="B29">
        <f t="shared" si="4"/>
        <v>2013</v>
      </c>
      <c r="C29">
        <f t="shared" si="5"/>
        <v>3</v>
      </c>
      <c r="D29" s="151">
        <f>Data!G28</f>
        <v>7671019.2299999977</v>
      </c>
      <c r="E29" s="151">
        <f>Data!H28</f>
        <v>64448.148935414909</v>
      </c>
      <c r="F29" s="151">
        <f>Data!I28</f>
        <v>7735467.3789354125</v>
      </c>
      <c r="G29" s="129">
        <f>Data!AR28</f>
        <v>430.8</v>
      </c>
      <c r="H29" s="129">
        <f>Data!AS28</f>
        <v>0</v>
      </c>
      <c r="I29" s="129">
        <f t="shared" ref="I29:J29" ca="1" si="32">I41</f>
        <v>409.90999999999997</v>
      </c>
      <c r="J29" s="129">
        <f t="shared" ca="1" si="32"/>
        <v>1.1599999999999999</v>
      </c>
      <c r="K29" s="32">
        <f>Data!BW28</f>
        <v>0</v>
      </c>
      <c r="L29" s="32">
        <f>Data!AB28</f>
        <v>2459</v>
      </c>
      <c r="M29" s="32">
        <f>Data!BI28</f>
        <v>27</v>
      </c>
      <c r="N29" s="140">
        <f>Data!BZ28</f>
        <v>0</v>
      </c>
      <c r="O29" s="32">
        <f t="shared" ca="1" si="7"/>
        <v>7669359.4098606296</v>
      </c>
      <c r="P29" s="32">
        <f t="shared" ca="1" si="1"/>
        <v>7604911.2609252147</v>
      </c>
      <c r="Q29" s="32">
        <f t="shared" ca="1" si="2"/>
        <v>-66107.969074782915</v>
      </c>
      <c r="R29" s="50">
        <f t="shared" ca="1" si="3"/>
        <v>8.5460859488338987E-3</v>
      </c>
      <c r="S29" t="s">
        <v>143</v>
      </c>
      <c r="T29">
        <v>24391432500431</v>
      </c>
      <c r="U29" t="s">
        <v>144</v>
      </c>
      <c r="V29">
        <v>441736.867380852</v>
      </c>
      <c r="Y29" s="315" t="s">
        <v>143</v>
      </c>
      <c r="Z29" s="315">
        <v>24381832010483</v>
      </c>
      <c r="AA29" s="315" t="s">
        <v>144</v>
      </c>
      <c r="AB29" s="315">
        <v>441649.92480907799</v>
      </c>
      <c r="AC29" s="315"/>
      <c r="AE29" s="2"/>
      <c r="AF29" s="51"/>
      <c r="AG29" s="69"/>
      <c r="AH29" s="73"/>
      <c r="AI29" s="2"/>
      <c r="AJ29" s="39"/>
      <c r="AM29" s="2"/>
      <c r="AN29" s="74"/>
      <c r="AO29" s="5"/>
      <c r="AP29" s="5"/>
      <c r="AQ29" s="2"/>
      <c r="AR29" s="74"/>
      <c r="AS29" s="5"/>
      <c r="AT29" s="5"/>
    </row>
    <row r="30" spans="1:46" x14ac:dyDescent="0.2">
      <c r="A30" s="2">
        <v>41365</v>
      </c>
      <c r="B30">
        <f t="shared" si="4"/>
        <v>2013</v>
      </c>
      <c r="C30">
        <f t="shared" si="5"/>
        <v>4</v>
      </c>
      <c r="D30" s="151">
        <f>Data!G29</f>
        <v>6871568.5999999996</v>
      </c>
      <c r="E30" s="151">
        <f>Data!H29</f>
        <v>64448.148935414909</v>
      </c>
      <c r="F30" s="151">
        <f>Data!I29</f>
        <v>6936016.7489354145</v>
      </c>
      <c r="G30" s="129">
        <f>Data!AR29</f>
        <v>239.99999999999997</v>
      </c>
      <c r="H30" s="129">
        <f>Data!AS29</f>
        <v>1.4000000000000004</v>
      </c>
      <c r="I30" s="129">
        <f t="shared" ref="I30:J30" ca="1" si="33">I42</f>
        <v>227.5</v>
      </c>
      <c r="J30" s="129">
        <f t="shared" ca="1" si="33"/>
        <v>2.3099999999999996</v>
      </c>
      <c r="K30" s="32">
        <f>Data!BW29</f>
        <v>0</v>
      </c>
      <c r="L30" s="32">
        <f>Data!AB29</f>
        <v>2464</v>
      </c>
      <c r="M30" s="32">
        <f>Data!BI29</f>
        <v>28</v>
      </c>
      <c r="N30" s="140">
        <f>Data!BZ29</f>
        <v>0</v>
      </c>
      <c r="O30" s="32">
        <f t="shared" ca="1" si="7"/>
        <v>6897531.645150613</v>
      </c>
      <c r="P30" s="32">
        <f t="shared" ca="1" si="1"/>
        <v>6833083.4962151982</v>
      </c>
      <c r="Q30" s="32">
        <f t="shared" ca="1" si="2"/>
        <v>-38485.103784801438</v>
      </c>
      <c r="R30" s="50">
        <f t="shared" ca="1" si="3"/>
        <v>5.5485886464602882E-3</v>
      </c>
      <c r="S30" t="s">
        <v>145</v>
      </c>
      <c r="T30">
        <v>0.68886490704106995</v>
      </c>
      <c r="U30" t="s">
        <v>146</v>
      </c>
      <c r="V30" s="130">
        <v>0.67393042257904101</v>
      </c>
      <c r="Y30" s="315" t="s">
        <v>145</v>
      </c>
      <c r="Z30" s="315">
        <v>0.688401738845417</v>
      </c>
      <c r="AA30" s="315" t="s">
        <v>146</v>
      </c>
      <c r="AB30" s="316">
        <v>0.67344502230999703</v>
      </c>
      <c r="AC30" s="315"/>
      <c r="AE30" s="2"/>
      <c r="AF30" s="51"/>
      <c r="AG30" s="213"/>
      <c r="AH30" s="73"/>
      <c r="AI30" s="2"/>
      <c r="AJ30" s="39"/>
      <c r="AM30" s="2"/>
      <c r="AN30" s="74"/>
      <c r="AO30" s="5"/>
      <c r="AP30" s="5"/>
      <c r="AQ30" s="2"/>
      <c r="AR30" s="74"/>
      <c r="AS30" s="5"/>
      <c r="AT30" s="5"/>
    </row>
    <row r="31" spans="1:46" x14ac:dyDescent="0.2">
      <c r="A31" s="2">
        <v>41395</v>
      </c>
      <c r="B31">
        <f t="shared" si="4"/>
        <v>2013</v>
      </c>
      <c r="C31">
        <f t="shared" si="5"/>
        <v>5</v>
      </c>
      <c r="D31" s="151">
        <f>Data!G30</f>
        <v>6873417.9000000032</v>
      </c>
      <c r="E31" s="151">
        <f>Data!H30</f>
        <v>64448.148935414909</v>
      </c>
      <c r="F31" s="151">
        <f>Data!I30</f>
        <v>6937866.048935418</v>
      </c>
      <c r="G31" s="129">
        <f>Data!AR30</f>
        <v>45.1</v>
      </c>
      <c r="H31" s="129">
        <f>Data!AS30</f>
        <v>83.1</v>
      </c>
      <c r="I31" s="129">
        <f t="shared" ref="I31:J31" ca="1" si="34">I43</f>
        <v>59.269999999999982</v>
      </c>
      <c r="J31" s="129">
        <f t="shared" ca="1" si="34"/>
        <v>70.86</v>
      </c>
      <c r="K31" s="32">
        <f>Data!BW30</f>
        <v>0</v>
      </c>
      <c r="L31" s="32">
        <f>Data!AB30</f>
        <v>2462</v>
      </c>
      <c r="M31" s="32">
        <f>Data!BI30</f>
        <v>29</v>
      </c>
      <c r="N31" s="140">
        <f>Data!BZ30</f>
        <v>0</v>
      </c>
      <c r="O31" s="32">
        <f t="shared" ca="1" si="7"/>
        <v>6925832.6436636429</v>
      </c>
      <c r="P31" s="32">
        <f t="shared" ca="1" si="1"/>
        <v>6861384.4947282281</v>
      </c>
      <c r="Q31" s="32">
        <f t="shared" ca="1" si="2"/>
        <v>-12033.405271775089</v>
      </c>
      <c r="R31" s="50">
        <f t="shared" ca="1" si="3"/>
        <v>1.7344533876697658E-3</v>
      </c>
      <c r="S31" t="s">
        <v>295</v>
      </c>
      <c r="T31">
        <v>53.341621055279397</v>
      </c>
      <c r="U31" t="s">
        <v>148</v>
      </c>
      <c r="V31" s="130">
        <v>3.6442249671427301E-32</v>
      </c>
      <c r="Y31" s="315" t="s">
        <v>295</v>
      </c>
      <c r="Z31" s="315">
        <v>53.218325624543901</v>
      </c>
      <c r="AA31" s="315" t="s">
        <v>148</v>
      </c>
      <c r="AB31" s="316">
        <v>4.0383923664712798E-32</v>
      </c>
      <c r="AC31" s="315"/>
      <c r="AE31" s="2"/>
      <c r="AF31" s="51"/>
      <c r="AG31" s="69"/>
      <c r="AH31" s="73"/>
      <c r="AI31" s="2"/>
      <c r="AJ31" s="39"/>
      <c r="AM31" s="2"/>
      <c r="AN31" s="74"/>
      <c r="AO31" s="5"/>
      <c r="AP31" s="5"/>
      <c r="AQ31" s="2"/>
      <c r="AR31" s="74"/>
      <c r="AS31" s="5"/>
      <c r="AT31" s="5"/>
    </row>
    <row r="32" spans="1:46" x14ac:dyDescent="0.2">
      <c r="A32" s="2">
        <v>41426</v>
      </c>
      <c r="B32">
        <f t="shared" si="4"/>
        <v>2013</v>
      </c>
      <c r="C32">
        <f t="shared" si="5"/>
        <v>6</v>
      </c>
      <c r="D32" s="151">
        <f>Data!G31</f>
        <v>6715915.2699999977</v>
      </c>
      <c r="E32" s="151">
        <f>Data!H31</f>
        <v>64448.148935414909</v>
      </c>
      <c r="F32" s="151">
        <f>Data!I31</f>
        <v>6780363.4189354125</v>
      </c>
      <c r="G32" s="129">
        <f>Data!AR31</f>
        <v>2.5999999999999996</v>
      </c>
      <c r="H32" s="129">
        <f>Data!AS31</f>
        <v>149.19999999999999</v>
      </c>
      <c r="I32" s="129">
        <f t="shared" ref="I32:J32" ca="1" si="35">I44</f>
        <v>1.85</v>
      </c>
      <c r="J32" s="129">
        <f t="shared" ca="1" si="35"/>
        <v>171.74</v>
      </c>
      <c r="K32" s="32">
        <f>Data!BW31</f>
        <v>0</v>
      </c>
      <c r="L32" s="32">
        <f>Data!AB31</f>
        <v>2453</v>
      </c>
      <c r="M32" s="32">
        <f>Data!BI31</f>
        <v>30</v>
      </c>
      <c r="N32" s="140">
        <f>Data!BZ31</f>
        <v>0</v>
      </c>
      <c r="O32" s="32">
        <f t="shared" ca="1" si="7"/>
        <v>6889714.9741906021</v>
      </c>
      <c r="P32" s="32">
        <f t="shared" ca="1" si="1"/>
        <v>6825266.8252551872</v>
      </c>
      <c r="Q32" s="32">
        <f t="shared" ca="1" si="2"/>
        <v>109351.55525518954</v>
      </c>
      <c r="R32" s="50">
        <f t="shared" ca="1" si="3"/>
        <v>1.6127683502893841E-2</v>
      </c>
      <c r="S32" t="s">
        <v>149</v>
      </c>
      <c r="T32">
        <v>-2.53867192764826E-3</v>
      </c>
      <c r="U32" t="s">
        <v>150</v>
      </c>
      <c r="V32">
        <v>1.9581784596908201</v>
      </c>
      <c r="Y32" s="315" t="s">
        <v>149</v>
      </c>
      <c r="Z32" s="315">
        <v>-2.50123868159357E-3</v>
      </c>
      <c r="AA32" s="315" t="s">
        <v>150</v>
      </c>
      <c r="AB32" s="315">
        <v>1.9576675850104199</v>
      </c>
      <c r="AC32" s="315"/>
      <c r="AE32" s="2"/>
      <c r="AF32" s="51"/>
      <c r="AG32" s="69"/>
      <c r="AH32" s="73"/>
      <c r="AI32" s="2"/>
      <c r="AJ32" s="39"/>
      <c r="AM32" s="2"/>
      <c r="AN32" s="74"/>
      <c r="AO32" s="5"/>
      <c r="AP32" s="5"/>
      <c r="AQ32" s="2"/>
      <c r="AR32" s="74"/>
      <c r="AS32" s="5"/>
      <c r="AT32" s="5"/>
    </row>
    <row r="33" spans="1:49" x14ac:dyDescent="0.2">
      <c r="A33" s="2">
        <v>41456</v>
      </c>
      <c r="B33">
        <f t="shared" si="4"/>
        <v>2013</v>
      </c>
      <c r="C33">
        <f t="shared" si="5"/>
        <v>7</v>
      </c>
      <c r="D33" s="151">
        <f>Data!G32</f>
        <v>7529495.0199999996</v>
      </c>
      <c r="E33" s="151">
        <f>Data!H32</f>
        <v>64448.148935414909</v>
      </c>
      <c r="F33" s="151">
        <f>Data!I32</f>
        <v>7593943.1689354144</v>
      </c>
      <c r="G33" s="129">
        <f>Data!AR32</f>
        <v>0</v>
      </c>
      <c r="H33" s="129">
        <f>Data!AS32</f>
        <v>257.30000000000007</v>
      </c>
      <c r="I33" s="129">
        <f t="shared" ref="I33:J33" ca="1" si="36">I45</f>
        <v>0</v>
      </c>
      <c r="J33" s="129">
        <f t="shared" ca="1" si="36"/>
        <v>269.41000000000003</v>
      </c>
      <c r="K33" s="32">
        <f>Data!BW32</f>
        <v>0</v>
      </c>
      <c r="L33" s="32">
        <f>Data!AB32</f>
        <v>2456</v>
      </c>
      <c r="M33" s="32">
        <f>Data!BI32</f>
        <v>31</v>
      </c>
      <c r="N33" s="140">
        <f>Data!BZ32</f>
        <v>0</v>
      </c>
      <c r="O33" s="32">
        <f t="shared" ca="1" si="7"/>
        <v>7654080.4407006651</v>
      </c>
      <c r="P33" s="32">
        <f t="shared" ca="1" si="1"/>
        <v>7589632.2917652503</v>
      </c>
      <c r="Q33" s="32">
        <f t="shared" ca="1" si="2"/>
        <v>60137.271765250713</v>
      </c>
      <c r="R33" s="50">
        <f t="shared" ca="1" si="3"/>
        <v>7.9191100627740516E-3</v>
      </c>
      <c r="W33" s="130"/>
      <c r="AC33" s="130"/>
      <c r="AE33" s="2"/>
      <c r="AF33" s="51"/>
      <c r="AG33" s="213"/>
      <c r="AH33" s="73"/>
      <c r="AI33" s="2"/>
      <c r="AJ33" s="39"/>
      <c r="AM33" s="2"/>
      <c r="AN33" s="74"/>
      <c r="AO33" s="5"/>
      <c r="AP33" s="5"/>
      <c r="AQ33" s="2"/>
      <c r="AR33" s="74"/>
      <c r="AS33" s="5"/>
      <c r="AT33" s="5"/>
    </row>
    <row r="34" spans="1:49" x14ac:dyDescent="0.2">
      <c r="A34" s="2">
        <v>41487</v>
      </c>
      <c r="B34">
        <f t="shared" si="4"/>
        <v>2013</v>
      </c>
      <c r="C34">
        <f t="shared" si="5"/>
        <v>8</v>
      </c>
      <c r="D34" s="151">
        <f>Data!G33</f>
        <v>7547300.5200000023</v>
      </c>
      <c r="E34" s="151">
        <f>Data!H33</f>
        <v>64448.148935414909</v>
      </c>
      <c r="F34" s="151">
        <f>Data!I33</f>
        <v>7611748.6689354172</v>
      </c>
      <c r="G34" s="129">
        <f>Data!AR33</f>
        <v>0</v>
      </c>
      <c r="H34" s="129">
        <f>Data!AS33</f>
        <v>213.4</v>
      </c>
      <c r="I34" s="129">
        <f t="shared" ref="I34:J34" ca="1" si="37">I46</f>
        <v>0</v>
      </c>
      <c r="J34" s="129">
        <f t="shared" ca="1" si="37"/>
        <v>242.46000000000004</v>
      </c>
      <c r="K34" s="32">
        <f>Data!BW33</f>
        <v>0</v>
      </c>
      <c r="L34" s="32">
        <f>Data!AB33</f>
        <v>2459</v>
      </c>
      <c r="M34" s="32">
        <f>Data!BI33</f>
        <v>32</v>
      </c>
      <c r="N34" s="140">
        <f>Data!BZ33</f>
        <v>0</v>
      </c>
      <c r="O34" s="32">
        <f t="shared" ca="1" si="7"/>
        <v>7756058.2574984385</v>
      </c>
      <c r="P34" s="32">
        <f t="shared" ca="1" si="1"/>
        <v>7691610.1085630236</v>
      </c>
      <c r="Q34" s="32">
        <f t="shared" ca="1" si="2"/>
        <v>144309.58856302127</v>
      </c>
      <c r="R34" s="50">
        <f t="shared" ca="1" si="3"/>
        <v>1.8958795782625923E-2</v>
      </c>
      <c r="W34" s="130"/>
      <c r="AC34" s="130"/>
      <c r="AE34" s="2"/>
      <c r="AF34" s="51"/>
      <c r="AG34" s="69"/>
      <c r="AH34" s="73"/>
      <c r="AI34" s="2"/>
      <c r="AJ34" s="39"/>
      <c r="AM34" s="2"/>
      <c r="AN34" s="74"/>
      <c r="AO34" s="5"/>
      <c r="AP34" s="5"/>
      <c r="AQ34" s="2"/>
      <c r="AR34" s="74"/>
      <c r="AS34" s="5"/>
      <c r="AT34" s="5"/>
    </row>
    <row r="35" spans="1:49" x14ac:dyDescent="0.2">
      <c r="A35" s="2">
        <v>41518</v>
      </c>
      <c r="B35">
        <f t="shared" si="4"/>
        <v>2013</v>
      </c>
      <c r="C35">
        <f t="shared" si="5"/>
        <v>9</v>
      </c>
      <c r="D35" s="151">
        <f>Data!G34</f>
        <v>6186232.4199999981</v>
      </c>
      <c r="E35" s="151">
        <f>Data!H34</f>
        <v>64448.148935414909</v>
      </c>
      <c r="F35" s="151">
        <f>Data!I34</f>
        <v>6250680.5689354129</v>
      </c>
      <c r="G35" s="129">
        <f>Data!AR34</f>
        <v>22.099999999999998</v>
      </c>
      <c r="H35" s="129">
        <f>Data!AS34</f>
        <v>80.200000000000017</v>
      </c>
      <c r="I35" s="129">
        <f t="shared" ref="I35:J35" ca="1" si="38">I47</f>
        <v>10.66</v>
      </c>
      <c r="J35" s="129">
        <f t="shared" ca="1" si="38"/>
        <v>124.26999999999998</v>
      </c>
      <c r="K35" s="32">
        <f>Data!BW34</f>
        <v>1</v>
      </c>
      <c r="L35" s="32">
        <f>Data!AB34</f>
        <v>2460</v>
      </c>
      <c r="M35" s="32">
        <f>Data!BI34</f>
        <v>33</v>
      </c>
      <c r="N35" s="140">
        <f>Data!BZ34</f>
        <v>0</v>
      </c>
      <c r="O35" s="32">
        <f t="shared" ca="1" si="7"/>
        <v>6430171.2498768969</v>
      </c>
      <c r="P35" s="32">
        <f t="shared" ref="P35:P66" ca="1" si="39">O35-E35</f>
        <v>6365723.100941482</v>
      </c>
      <c r="Q35" s="32">
        <f t="shared" ref="Q35:Q66" ca="1" si="40">+O35-F35</f>
        <v>179490.68094148394</v>
      </c>
      <c r="R35" s="50">
        <f t="shared" ref="R35:R66" ca="1" si="41">ABS(Q35/F35)</f>
        <v>2.8715382103112967E-2</v>
      </c>
      <c r="W35" s="130"/>
      <c r="AC35" s="130"/>
      <c r="AE35" s="2"/>
      <c r="AF35" s="51"/>
      <c r="AG35" s="69"/>
      <c r="AH35" s="73"/>
      <c r="AI35" s="2"/>
      <c r="AJ35" s="39"/>
      <c r="AM35" s="2"/>
      <c r="AN35" s="74"/>
      <c r="AO35" s="5"/>
      <c r="AP35" s="5"/>
      <c r="AQ35" s="2"/>
      <c r="AR35" s="74"/>
      <c r="AS35" s="39"/>
      <c r="AT35" s="5"/>
    </row>
    <row r="36" spans="1:49" x14ac:dyDescent="0.2">
      <c r="A36" s="2">
        <v>41548</v>
      </c>
      <c r="B36">
        <f t="shared" si="4"/>
        <v>2013</v>
      </c>
      <c r="C36">
        <f t="shared" si="5"/>
        <v>10</v>
      </c>
      <c r="D36" s="151">
        <f>Data!G35</f>
        <v>6762438.1099999994</v>
      </c>
      <c r="E36" s="151">
        <f>Data!H35</f>
        <v>64448.148935414909</v>
      </c>
      <c r="F36" s="151">
        <f>Data!I35</f>
        <v>6826886.2589354143</v>
      </c>
      <c r="G36" s="129">
        <f>Data!AR35</f>
        <v>115.4</v>
      </c>
      <c r="H36" s="129">
        <f>Data!AS35</f>
        <v>16.100000000000001</v>
      </c>
      <c r="I36" s="129">
        <f t="shared" ref="I36:J36" ca="1" si="42">I48</f>
        <v>118.80999999999999</v>
      </c>
      <c r="J36" s="129">
        <f t="shared" ca="1" si="42"/>
        <v>23.209999999999997</v>
      </c>
      <c r="K36" s="32">
        <f>Data!BW35</f>
        <v>1</v>
      </c>
      <c r="L36" s="32">
        <f>Data!AB35</f>
        <v>2463</v>
      </c>
      <c r="M36" s="32">
        <f>Data!BI35</f>
        <v>34</v>
      </c>
      <c r="N36" s="140">
        <f>Data!BZ35</f>
        <v>0</v>
      </c>
      <c r="O36" s="32">
        <f t="shared" ca="1" si="7"/>
        <v>6873925.4543471746</v>
      </c>
      <c r="P36" s="32">
        <f t="shared" ca="1" si="39"/>
        <v>6809477.3054117598</v>
      </c>
      <c r="Q36" s="32">
        <f t="shared" ca="1" si="40"/>
        <v>47039.19541176036</v>
      </c>
      <c r="R36" s="50">
        <f t="shared" ca="1" si="41"/>
        <v>6.8902855017091875E-3</v>
      </c>
      <c r="AE36" s="2"/>
      <c r="AF36" s="51"/>
      <c r="AH36" s="73"/>
      <c r="AI36" s="2"/>
      <c r="AJ36" s="39"/>
      <c r="AM36" s="2"/>
      <c r="AN36" s="74"/>
      <c r="AO36" s="5"/>
      <c r="AP36" s="5"/>
      <c r="AQ36" s="2"/>
      <c r="AR36" s="74"/>
      <c r="AS36" s="5"/>
      <c r="AT36" s="5"/>
    </row>
    <row r="37" spans="1:49" x14ac:dyDescent="0.2">
      <c r="A37" s="2">
        <v>41579</v>
      </c>
      <c r="B37">
        <f t="shared" si="4"/>
        <v>2013</v>
      </c>
      <c r="C37">
        <f t="shared" si="5"/>
        <v>11</v>
      </c>
      <c r="D37" s="151">
        <f>Data!G36</f>
        <v>6874649.0500000017</v>
      </c>
      <c r="E37" s="151">
        <f>Data!H36</f>
        <v>64448.148935414909</v>
      </c>
      <c r="F37" s="151">
        <f>Data!I36</f>
        <v>6939097.1989354165</v>
      </c>
      <c r="G37" s="129">
        <f>Data!AR36</f>
        <v>358.20000000000005</v>
      </c>
      <c r="H37" s="129">
        <f>Data!AS36</f>
        <v>0</v>
      </c>
      <c r="I37" s="129">
        <f t="shared" ref="I37:J37" ca="1" si="43">I49</f>
        <v>307.13</v>
      </c>
      <c r="J37" s="129">
        <f t="shared" ca="1" si="43"/>
        <v>0.89</v>
      </c>
      <c r="K37" s="32">
        <f>Data!BW36</f>
        <v>1</v>
      </c>
      <c r="L37" s="32">
        <f>Data!AB36</f>
        <v>2472</v>
      </c>
      <c r="M37" s="32">
        <f>Data!BI36</f>
        <v>35</v>
      </c>
      <c r="N37" s="140">
        <f>Data!BZ36</f>
        <v>0</v>
      </c>
      <c r="O37" s="32">
        <f t="shared" ca="1" si="7"/>
        <v>6767819.3581462624</v>
      </c>
      <c r="P37" s="32">
        <f t="shared" ca="1" si="39"/>
        <v>6703371.2092108475</v>
      </c>
      <c r="Q37" s="32">
        <f t="shared" ca="1" si="40"/>
        <v>-171277.84078915417</v>
      </c>
      <c r="R37" s="50">
        <f t="shared" ca="1" si="41"/>
        <v>2.4683015078017831E-2</v>
      </c>
      <c r="AE37" s="2"/>
      <c r="AI37" s="2"/>
      <c r="AM37" s="2"/>
      <c r="AN37" s="76"/>
      <c r="AO37" s="5"/>
      <c r="AP37" s="5"/>
      <c r="AQ37" s="2"/>
      <c r="AR37" s="76"/>
      <c r="AS37" s="71"/>
      <c r="AT37" s="5"/>
      <c r="AU37" s="29"/>
      <c r="AV37" s="29"/>
    </row>
    <row r="38" spans="1:49" x14ac:dyDescent="0.2">
      <c r="A38" s="2">
        <v>41609</v>
      </c>
      <c r="B38">
        <f t="shared" si="4"/>
        <v>2013</v>
      </c>
      <c r="C38">
        <f t="shared" si="5"/>
        <v>12</v>
      </c>
      <c r="D38" s="151">
        <f>Data!G37</f>
        <v>9468067.9800000042</v>
      </c>
      <c r="E38" s="151">
        <f>Data!H37</f>
        <v>64448.148935414909</v>
      </c>
      <c r="F38" s="151">
        <f>Data!I37</f>
        <v>9532516.128935419</v>
      </c>
      <c r="G38" s="129">
        <f>Data!AR37</f>
        <v>563.9</v>
      </c>
      <c r="H38" s="129">
        <f>Data!AS37</f>
        <v>0</v>
      </c>
      <c r="I38" s="129">
        <f t="shared" ref="I38:J38" ca="1" si="44">I50</f>
        <v>451.35999999999996</v>
      </c>
      <c r="J38" s="129">
        <f t="shared" ca="1" si="44"/>
        <v>0</v>
      </c>
      <c r="K38" s="32">
        <f>Data!BW37</f>
        <v>0</v>
      </c>
      <c r="L38" s="32">
        <f>Data!AB37</f>
        <v>2477</v>
      </c>
      <c r="M38" s="32">
        <f>Data!BI37</f>
        <v>36</v>
      </c>
      <c r="N38" s="140">
        <f>Data!BZ37</f>
        <v>0</v>
      </c>
      <c r="O38" s="32">
        <f t="shared" ca="1" si="7"/>
        <v>9145341.7101294585</v>
      </c>
      <c r="P38" s="32">
        <f t="shared" ca="1" si="39"/>
        <v>9080893.5611940436</v>
      </c>
      <c r="Q38" s="32">
        <f t="shared" ca="1" si="40"/>
        <v>-387174.41880596057</v>
      </c>
      <c r="R38" s="50">
        <f t="shared" ca="1" si="41"/>
        <v>4.0616182922650852E-2</v>
      </c>
      <c r="AE38" s="2"/>
      <c r="AI38" s="2"/>
      <c r="AM38" s="2"/>
      <c r="AN38" s="76"/>
      <c r="AO38" s="5"/>
      <c r="AP38" s="5"/>
      <c r="AQ38" s="2"/>
      <c r="AR38" s="76"/>
      <c r="AS38" s="5"/>
      <c r="AT38" s="5"/>
      <c r="AU38" s="29"/>
      <c r="AV38" s="29"/>
    </row>
    <row r="39" spans="1:49" x14ac:dyDescent="0.2">
      <c r="A39" s="2">
        <v>41640</v>
      </c>
      <c r="B39">
        <f t="shared" si="4"/>
        <v>2014</v>
      </c>
      <c r="C39">
        <f t="shared" si="5"/>
        <v>1</v>
      </c>
      <c r="D39" s="151">
        <f>Data!G38</f>
        <v>7382347.2899999991</v>
      </c>
      <c r="E39" s="151">
        <f>Data!H38</f>
        <v>105551.56172052656</v>
      </c>
      <c r="F39" s="151">
        <f>Data!I38</f>
        <v>7487898.8517205259</v>
      </c>
      <c r="G39" s="129">
        <f>Data!AR38</f>
        <v>701.9000000000002</v>
      </c>
      <c r="H39" s="129">
        <f>Data!AS38</f>
        <v>0</v>
      </c>
      <c r="I39" s="129">
        <f t="shared" ref="I39:J39" ca="1" si="45">I51</f>
        <v>563.5</v>
      </c>
      <c r="J39" s="129">
        <f t="shared" ca="1" si="45"/>
        <v>0</v>
      </c>
      <c r="K39" s="32">
        <f>Data!BW38</f>
        <v>0</v>
      </c>
      <c r="L39" s="32">
        <f>Data!AB38</f>
        <v>2482</v>
      </c>
      <c r="M39" s="32">
        <f>Data!BI38</f>
        <v>37</v>
      </c>
      <c r="N39" s="140">
        <f>Data!BZ38</f>
        <v>0</v>
      </c>
      <c r="O39" s="32">
        <f t="shared" ca="1" si="7"/>
        <v>7011757.5725065125</v>
      </c>
      <c r="P39" s="32">
        <f t="shared" ca="1" si="39"/>
        <v>6906206.0107859857</v>
      </c>
      <c r="Q39" s="32">
        <f t="shared" ca="1" si="40"/>
        <v>-476141.27921401337</v>
      </c>
      <c r="R39" s="50">
        <f t="shared" ca="1" si="41"/>
        <v>6.3588102436053659E-2</v>
      </c>
      <c r="W39" s="130"/>
      <c r="AC39" s="130"/>
      <c r="AE39" s="2"/>
      <c r="AI39" s="2"/>
      <c r="AM39" s="2"/>
      <c r="AN39" s="76"/>
      <c r="AO39" s="5"/>
      <c r="AP39" s="5"/>
      <c r="AQ39" s="2"/>
      <c r="AR39" s="76"/>
      <c r="AS39" s="5"/>
      <c r="AT39" s="5"/>
      <c r="AU39" s="29"/>
      <c r="AV39" s="29"/>
    </row>
    <row r="40" spans="1:49" x14ac:dyDescent="0.2">
      <c r="A40" s="2">
        <v>41671</v>
      </c>
      <c r="B40">
        <f t="shared" si="4"/>
        <v>2014</v>
      </c>
      <c r="C40">
        <f t="shared" si="5"/>
        <v>2</v>
      </c>
      <c r="D40" s="151">
        <f>Data!G39</f>
        <v>8397444.3799999971</v>
      </c>
      <c r="E40" s="151">
        <f>Data!H39</f>
        <v>105551.56172052656</v>
      </c>
      <c r="F40" s="151">
        <f>Data!I39</f>
        <v>8502995.9417205229</v>
      </c>
      <c r="G40" s="129">
        <f>Data!AR39</f>
        <v>625.09999999999991</v>
      </c>
      <c r="H40" s="129">
        <f>Data!AS39</f>
        <v>0</v>
      </c>
      <c r="I40" s="129">
        <f t="shared" ref="I40:J40" ca="1" si="46">I52</f>
        <v>516.6099999999999</v>
      </c>
      <c r="J40" s="129">
        <f t="shared" ca="1" si="46"/>
        <v>0</v>
      </c>
      <c r="K40" s="32">
        <f>Data!BW39</f>
        <v>0</v>
      </c>
      <c r="L40" s="32">
        <f>Data!AB39</f>
        <v>2488</v>
      </c>
      <c r="M40" s="32">
        <f>Data!BI39</f>
        <v>38</v>
      </c>
      <c r="N40" s="140">
        <f>Data!BZ39</f>
        <v>0</v>
      </c>
      <c r="O40" s="32">
        <f t="shared" ca="1" si="7"/>
        <v>8129754.8479204634</v>
      </c>
      <c r="P40" s="32">
        <f t="shared" ca="1" si="39"/>
        <v>8024203.2861999366</v>
      </c>
      <c r="Q40" s="32">
        <f t="shared" ca="1" si="40"/>
        <v>-373241.09380005952</v>
      </c>
      <c r="R40" s="50">
        <f t="shared" ca="1" si="41"/>
        <v>4.3895245435638386E-2</v>
      </c>
      <c r="V40" s="130"/>
      <c r="W40" s="130"/>
      <c r="AE40" s="2"/>
      <c r="AI40" s="2"/>
      <c r="AM40" s="2"/>
      <c r="AN40" s="76"/>
      <c r="AO40" s="5"/>
      <c r="AP40" s="5"/>
      <c r="AQ40" s="2"/>
      <c r="AR40" s="76"/>
      <c r="AS40" s="5"/>
      <c r="AT40" s="5"/>
      <c r="AU40" s="29"/>
      <c r="AV40" s="29"/>
    </row>
    <row r="41" spans="1:49" x14ac:dyDescent="0.2">
      <c r="A41" s="2">
        <v>41699</v>
      </c>
      <c r="B41">
        <f t="shared" si="4"/>
        <v>2014</v>
      </c>
      <c r="C41">
        <f t="shared" si="5"/>
        <v>3</v>
      </c>
      <c r="D41" s="151">
        <f>Data!G40</f>
        <v>8130248.8600000041</v>
      </c>
      <c r="E41" s="151">
        <f>Data!H40</f>
        <v>105551.56172052656</v>
      </c>
      <c r="F41" s="151">
        <f>Data!I40</f>
        <v>8235800.4217205308</v>
      </c>
      <c r="G41" s="129">
        <f>Data!AR40</f>
        <v>566.6</v>
      </c>
      <c r="H41" s="129">
        <f>Data!AS40</f>
        <v>0</v>
      </c>
      <c r="I41" s="129">
        <f t="shared" ref="I41:J41" ca="1" si="47">I53</f>
        <v>409.90999999999997</v>
      </c>
      <c r="J41" s="129">
        <f t="shared" ca="1" si="47"/>
        <v>1.1599999999999999</v>
      </c>
      <c r="K41" s="32">
        <f>Data!BW40</f>
        <v>0</v>
      </c>
      <c r="L41" s="32">
        <f>Data!AB40</f>
        <v>2489</v>
      </c>
      <c r="M41" s="32">
        <f>Data!BI40</f>
        <v>39</v>
      </c>
      <c r="N41" s="140">
        <f>Data!BZ40</f>
        <v>0</v>
      </c>
      <c r="O41" s="32">
        <f t="shared" ca="1" si="7"/>
        <v>7702496.0240528071</v>
      </c>
      <c r="P41" s="32">
        <f t="shared" ca="1" si="39"/>
        <v>7596944.4623322804</v>
      </c>
      <c r="Q41" s="32">
        <f t="shared" ca="1" si="40"/>
        <v>-533304.39766772371</v>
      </c>
      <c r="R41" s="50">
        <f t="shared" ca="1" si="41"/>
        <v>6.4754410058459347E-2</v>
      </c>
      <c r="W41" s="130"/>
      <c r="AE41" s="2"/>
      <c r="AI41" s="2"/>
      <c r="AM41" s="2"/>
      <c r="AN41" s="76"/>
      <c r="AO41" s="5"/>
      <c r="AP41" s="5"/>
      <c r="AQ41" s="2"/>
      <c r="AR41" s="76"/>
      <c r="AS41" s="5"/>
      <c r="AT41" s="5"/>
      <c r="AU41" s="29"/>
      <c r="AV41" s="29"/>
    </row>
    <row r="42" spans="1:49" x14ac:dyDescent="0.2">
      <c r="A42" s="2">
        <v>41730</v>
      </c>
      <c r="B42">
        <f t="shared" si="4"/>
        <v>2014</v>
      </c>
      <c r="C42">
        <f t="shared" si="5"/>
        <v>4</v>
      </c>
      <c r="D42" s="151">
        <f>Data!G41</f>
        <v>7475909.6799999997</v>
      </c>
      <c r="E42" s="151">
        <f>Data!H41</f>
        <v>105551.56172052656</v>
      </c>
      <c r="F42" s="151">
        <f>Data!I41</f>
        <v>7581461.2417205265</v>
      </c>
      <c r="G42" s="129">
        <f>Data!AR41</f>
        <v>236.89999999999995</v>
      </c>
      <c r="H42" s="129">
        <f>Data!AS41</f>
        <v>0</v>
      </c>
      <c r="I42" s="129">
        <f t="shared" ref="I42:J42" ca="1" si="48">I54</f>
        <v>227.5</v>
      </c>
      <c r="J42" s="129">
        <f t="shared" ca="1" si="48"/>
        <v>2.3099999999999996</v>
      </c>
      <c r="K42" s="32">
        <f>Data!BW41</f>
        <v>0</v>
      </c>
      <c r="L42" s="32">
        <f>Data!AB41</f>
        <v>2491</v>
      </c>
      <c r="M42" s="32">
        <f>Data!BI41</f>
        <v>40</v>
      </c>
      <c r="N42" s="140">
        <f>Data!BZ41</f>
        <v>0</v>
      </c>
      <c r="O42" s="32">
        <f t="shared" ca="1" si="7"/>
        <v>7560593.4378909804</v>
      </c>
      <c r="P42" s="32">
        <f t="shared" ca="1" si="39"/>
        <v>7455041.8761704536</v>
      </c>
      <c r="Q42" s="32">
        <f t="shared" ca="1" si="40"/>
        <v>-20867.803829546086</v>
      </c>
      <c r="R42" s="50">
        <f t="shared" ca="1" si="41"/>
        <v>2.7524778092528211E-3</v>
      </c>
      <c r="W42" s="130"/>
      <c r="AE42" s="2"/>
      <c r="AI42" s="2"/>
      <c r="AM42" s="2"/>
      <c r="AN42" s="76"/>
      <c r="AO42" s="5"/>
      <c r="AP42" s="5"/>
      <c r="AQ42" s="2"/>
      <c r="AR42" s="76"/>
      <c r="AS42" s="5"/>
      <c r="AT42" s="5"/>
      <c r="AU42" s="29"/>
      <c r="AV42" s="29"/>
    </row>
    <row r="43" spans="1:49" x14ac:dyDescent="0.2">
      <c r="A43" s="2">
        <v>41760</v>
      </c>
      <c r="B43">
        <f t="shared" si="4"/>
        <v>2014</v>
      </c>
      <c r="C43">
        <f t="shared" si="5"/>
        <v>5</v>
      </c>
      <c r="D43" s="151">
        <f>Data!G42</f>
        <v>6796663.4799999958</v>
      </c>
      <c r="E43" s="151">
        <f>Data!H42</f>
        <v>105551.56172052656</v>
      </c>
      <c r="F43" s="151">
        <f>Data!I42</f>
        <v>6902215.0417205226</v>
      </c>
      <c r="G43" s="129">
        <f>Data!AR42</f>
        <v>46.599999999999994</v>
      </c>
      <c r="H43" s="129">
        <f>Data!AS42</f>
        <v>50.400000000000006</v>
      </c>
      <c r="I43" s="129">
        <f t="shared" ref="I43:J43" ca="1" si="49">I55</f>
        <v>59.269999999999982</v>
      </c>
      <c r="J43" s="129">
        <f t="shared" ca="1" si="49"/>
        <v>70.86</v>
      </c>
      <c r="K43" s="32">
        <f>Data!BW42</f>
        <v>0</v>
      </c>
      <c r="L43" s="32">
        <f>Data!AB42</f>
        <v>2495</v>
      </c>
      <c r="M43" s="32">
        <f>Data!BI42</f>
        <v>41</v>
      </c>
      <c r="N43" s="140">
        <f>Data!BZ42</f>
        <v>0</v>
      </c>
      <c r="O43" s="32">
        <f t="shared" ca="1" si="7"/>
        <v>7047406.6772271842</v>
      </c>
      <c r="P43" s="32">
        <f t="shared" ca="1" si="39"/>
        <v>6941855.1155066574</v>
      </c>
      <c r="Q43" s="32">
        <f t="shared" ca="1" si="40"/>
        <v>145191.63550666161</v>
      </c>
      <c r="R43" s="50">
        <f t="shared" ca="1" si="41"/>
        <v>2.1035513183673502E-2</v>
      </c>
      <c r="Z43" s="130"/>
      <c r="AE43" s="2"/>
      <c r="AI43" s="2"/>
      <c r="AM43" s="2"/>
      <c r="AN43" s="76"/>
      <c r="AO43" s="5"/>
      <c r="AP43" s="5"/>
      <c r="AQ43" s="2"/>
      <c r="AR43" s="76"/>
      <c r="AS43" s="5"/>
      <c r="AT43" s="5"/>
      <c r="AU43" s="29"/>
      <c r="AV43" s="29"/>
    </row>
    <row r="44" spans="1:49" x14ac:dyDescent="0.2">
      <c r="A44" s="2">
        <v>41791</v>
      </c>
      <c r="B44">
        <f t="shared" si="4"/>
        <v>2014</v>
      </c>
      <c r="C44">
        <f t="shared" si="5"/>
        <v>6</v>
      </c>
      <c r="D44" s="151">
        <f>Data!G43</f>
        <v>6448751.459999999</v>
      </c>
      <c r="E44" s="151">
        <f>Data!H43</f>
        <v>105551.56172052656</v>
      </c>
      <c r="F44" s="151">
        <f>Data!I43</f>
        <v>6554303.0217205258</v>
      </c>
      <c r="G44" s="129">
        <f>Data!AR43</f>
        <v>0</v>
      </c>
      <c r="H44" s="129">
        <f>Data!AS43</f>
        <v>174</v>
      </c>
      <c r="I44" s="129">
        <f t="shared" ref="I44:J44" ca="1" si="50">I56</f>
        <v>1.85</v>
      </c>
      <c r="J44" s="129">
        <f t="shared" ca="1" si="50"/>
        <v>171.74</v>
      </c>
      <c r="K44" s="32">
        <f>Data!BW43</f>
        <v>0</v>
      </c>
      <c r="L44" s="32">
        <f>Data!AB43</f>
        <v>2502</v>
      </c>
      <c r="M44" s="32">
        <f>Data!BI43</f>
        <v>42</v>
      </c>
      <c r="N44" s="140">
        <f>Data!BZ43</f>
        <v>0</v>
      </c>
      <c r="O44" s="32">
        <f t="shared" ca="1" si="7"/>
        <v>6549444.6513970988</v>
      </c>
      <c r="P44" s="32">
        <f t="shared" ca="1" si="39"/>
        <v>6443893.089676572</v>
      </c>
      <c r="Q44" s="32">
        <f t="shared" ca="1" si="40"/>
        <v>-4858.3703234270215</v>
      </c>
      <c r="R44" s="50">
        <f t="shared" ca="1" si="41"/>
        <v>7.4124896382219503E-4</v>
      </c>
      <c r="W44" s="130"/>
      <c r="AB44" s="130"/>
      <c r="AE44" s="2"/>
      <c r="AI44" s="2"/>
      <c r="AM44" s="2"/>
      <c r="AN44" s="76"/>
      <c r="AO44" s="5"/>
      <c r="AP44" s="5"/>
      <c r="AQ44" s="2"/>
      <c r="AR44" s="76"/>
      <c r="AS44" s="5"/>
      <c r="AT44" s="5"/>
      <c r="AU44" s="29"/>
      <c r="AV44" s="29"/>
    </row>
    <row r="45" spans="1:49" x14ac:dyDescent="0.2">
      <c r="A45" s="2">
        <v>41821</v>
      </c>
      <c r="B45">
        <f t="shared" si="4"/>
        <v>2014</v>
      </c>
      <c r="C45">
        <f t="shared" si="5"/>
        <v>7</v>
      </c>
      <c r="D45" s="151">
        <f>Data!G44</f>
        <v>7390493.370000002</v>
      </c>
      <c r="E45" s="151">
        <f>Data!H44</f>
        <v>105551.56172052656</v>
      </c>
      <c r="F45" s="151">
        <f>Data!I44</f>
        <v>7496044.9317205288</v>
      </c>
      <c r="G45" s="129">
        <f>Data!AR44</f>
        <v>0</v>
      </c>
      <c r="H45" s="129">
        <f>Data!AS44</f>
        <v>190.99999999999997</v>
      </c>
      <c r="I45" s="129">
        <f t="shared" ref="I45:J45" ca="1" si="51">I57</f>
        <v>0</v>
      </c>
      <c r="J45" s="129">
        <f t="shared" ca="1" si="51"/>
        <v>269.41000000000003</v>
      </c>
      <c r="K45" s="32">
        <f>Data!BW44</f>
        <v>0</v>
      </c>
      <c r="L45" s="32">
        <f>Data!AB44</f>
        <v>2512</v>
      </c>
      <c r="M45" s="32">
        <f>Data!BI44</f>
        <v>43</v>
      </c>
      <c r="N45" s="140">
        <f>Data!BZ44</f>
        <v>0</v>
      </c>
      <c r="O45" s="32">
        <f t="shared" ca="1" si="7"/>
        <v>7885422.5930841397</v>
      </c>
      <c r="P45" s="32">
        <f t="shared" ca="1" si="39"/>
        <v>7779871.031363613</v>
      </c>
      <c r="Q45" s="32">
        <f t="shared" ca="1" si="40"/>
        <v>389377.661363611</v>
      </c>
      <c r="R45" s="50">
        <f t="shared" ca="1" si="41"/>
        <v>5.1944414009033844E-2</v>
      </c>
      <c r="T45" s="130"/>
      <c r="W45" s="130"/>
      <c r="AB45" s="130"/>
      <c r="AE45" s="2"/>
      <c r="AI45" s="2"/>
      <c r="AM45" s="2"/>
      <c r="AN45" s="76"/>
      <c r="AO45" s="5"/>
      <c r="AP45" s="5"/>
      <c r="AQ45" s="2"/>
      <c r="AR45" s="76"/>
      <c r="AS45" s="5"/>
      <c r="AT45" s="5"/>
      <c r="AU45" s="29"/>
      <c r="AV45" s="29"/>
    </row>
    <row r="46" spans="1:49" x14ac:dyDescent="0.2">
      <c r="A46" s="2">
        <v>41852</v>
      </c>
      <c r="B46">
        <f t="shared" si="4"/>
        <v>2014</v>
      </c>
      <c r="C46">
        <f t="shared" si="5"/>
        <v>8</v>
      </c>
      <c r="D46" s="151">
        <f>Data!G45</f>
        <v>6944132.1800000006</v>
      </c>
      <c r="E46" s="151">
        <f>Data!H45</f>
        <v>105551.56172052656</v>
      </c>
      <c r="F46" s="151">
        <f>Data!I45</f>
        <v>7049683.7417205274</v>
      </c>
      <c r="G46" s="129">
        <f>Data!AR45</f>
        <v>0</v>
      </c>
      <c r="H46" s="129">
        <f>Data!AS45</f>
        <v>197</v>
      </c>
      <c r="I46" s="129">
        <f t="shared" ref="I46:J46" ca="1" si="52">I58</f>
        <v>0</v>
      </c>
      <c r="J46" s="129">
        <f t="shared" ca="1" si="52"/>
        <v>242.46000000000004</v>
      </c>
      <c r="K46" s="32">
        <f>Data!BW45</f>
        <v>0</v>
      </c>
      <c r="L46" s="32">
        <f>Data!AB45</f>
        <v>2521</v>
      </c>
      <c r="M46" s="32">
        <f>Data!BI45</f>
        <v>44</v>
      </c>
      <c r="N46" s="140">
        <f>Data!BZ45</f>
        <v>0</v>
      </c>
      <c r="O46" s="32">
        <f t="shared" ca="1" si="7"/>
        <v>7275434.3919639876</v>
      </c>
      <c r="P46" s="32">
        <f t="shared" ca="1" si="39"/>
        <v>7169882.8302434608</v>
      </c>
      <c r="Q46" s="32">
        <f t="shared" ca="1" si="40"/>
        <v>225750.6502434602</v>
      </c>
      <c r="R46" s="50">
        <f t="shared" ca="1" si="41"/>
        <v>3.2022805350465845E-2</v>
      </c>
      <c r="V46" s="130"/>
      <c r="W46" s="130"/>
      <c r="AE46" s="2"/>
      <c r="AI46" s="2"/>
      <c r="AM46" s="2"/>
      <c r="AN46" s="76"/>
      <c r="AO46" s="5"/>
      <c r="AP46" s="5"/>
      <c r="AQ46" s="2"/>
      <c r="AR46" s="76"/>
      <c r="AS46" s="5"/>
      <c r="AT46" s="5"/>
      <c r="AU46" s="29"/>
      <c r="AV46" s="29"/>
      <c r="AW46" s="29"/>
    </row>
    <row r="47" spans="1:49" x14ac:dyDescent="0.2">
      <c r="A47" s="2">
        <v>41883</v>
      </c>
      <c r="B47">
        <f t="shared" si="4"/>
        <v>2014</v>
      </c>
      <c r="C47">
        <f t="shared" si="5"/>
        <v>9</v>
      </c>
      <c r="D47" s="151">
        <f>Data!G46</f>
        <v>6510451.410000002</v>
      </c>
      <c r="E47" s="151">
        <f>Data!H46</f>
        <v>105551.56172052656</v>
      </c>
      <c r="F47" s="151">
        <f>Data!I46</f>
        <v>6616002.9717205288</v>
      </c>
      <c r="G47" s="129">
        <f>Data!AR46</f>
        <v>20.5</v>
      </c>
      <c r="H47" s="129">
        <f>Data!AS46</f>
        <v>100.89999999999998</v>
      </c>
      <c r="I47" s="129">
        <f t="shared" ref="I47:J47" ca="1" si="53">I59</f>
        <v>10.66</v>
      </c>
      <c r="J47" s="129">
        <f t="shared" ca="1" si="53"/>
        <v>124.26999999999998</v>
      </c>
      <c r="K47" s="32">
        <f>Data!BW46</f>
        <v>1</v>
      </c>
      <c r="L47" s="32">
        <f>Data!AB46</f>
        <v>2528</v>
      </c>
      <c r="M47" s="32">
        <f>Data!BI46</f>
        <v>45</v>
      </c>
      <c r="N47" s="140">
        <f>Data!BZ46</f>
        <v>0</v>
      </c>
      <c r="O47" s="32">
        <f t="shared" ca="1" si="7"/>
        <v>6698203.665341557</v>
      </c>
      <c r="P47" s="32">
        <f t="shared" ca="1" si="39"/>
        <v>6592652.1036210302</v>
      </c>
      <c r="Q47" s="32">
        <f t="shared" ca="1" si="40"/>
        <v>82200.693621028215</v>
      </c>
      <c r="R47" s="50">
        <f t="shared" ca="1" si="41"/>
        <v>1.2424524894016404E-2</v>
      </c>
      <c r="AE47" s="2"/>
      <c r="AI47" s="2"/>
      <c r="AM47" s="2"/>
      <c r="AN47" s="76"/>
      <c r="AO47" s="5"/>
      <c r="AP47" s="5"/>
      <c r="AQ47" s="2"/>
      <c r="AR47" s="76"/>
      <c r="AS47" s="5"/>
      <c r="AT47" s="5"/>
      <c r="AU47" s="29"/>
      <c r="AV47" s="29"/>
    </row>
    <row r="48" spans="1:49" x14ac:dyDescent="0.2">
      <c r="A48" s="2">
        <v>41913</v>
      </c>
      <c r="B48">
        <f t="shared" si="4"/>
        <v>2014</v>
      </c>
      <c r="C48">
        <f t="shared" si="5"/>
        <v>10</v>
      </c>
      <c r="D48" s="151">
        <f>Data!G47</f>
        <v>6792373.7300000032</v>
      </c>
      <c r="E48" s="151">
        <f>Data!H47</f>
        <v>105551.56172052656</v>
      </c>
      <c r="F48" s="151">
        <f>Data!I47</f>
        <v>6897925.29172053</v>
      </c>
      <c r="G48" s="129">
        <f>Data!AR47</f>
        <v>117.8</v>
      </c>
      <c r="H48" s="129">
        <f>Data!AS47</f>
        <v>18.800000000000004</v>
      </c>
      <c r="I48" s="129">
        <f t="shared" ref="I48:J48" ca="1" si="54">I60</f>
        <v>118.80999999999999</v>
      </c>
      <c r="J48" s="129">
        <f t="shared" ca="1" si="54"/>
        <v>23.209999999999997</v>
      </c>
      <c r="K48" s="32">
        <f>Data!BW47</f>
        <v>1</v>
      </c>
      <c r="L48" s="32">
        <f>Data!AB47</f>
        <v>2530</v>
      </c>
      <c r="M48" s="32">
        <f>Data!BI47</f>
        <v>46</v>
      </c>
      <c r="N48" s="140">
        <f>Data!BZ47</f>
        <v>0</v>
      </c>
      <c r="O48" s="32">
        <f t="shared" ca="1" si="7"/>
        <v>6923299.7222767062</v>
      </c>
      <c r="P48" s="32">
        <f t="shared" ca="1" si="39"/>
        <v>6817748.1605561795</v>
      </c>
      <c r="Q48" s="32">
        <f t="shared" ca="1" si="40"/>
        <v>25374.43055617623</v>
      </c>
      <c r="R48" s="50">
        <f t="shared" ca="1" si="41"/>
        <v>3.6785597818278426E-3</v>
      </c>
      <c r="AE48" s="2"/>
      <c r="AI48" s="2"/>
      <c r="AM48" s="2"/>
      <c r="AN48" s="76"/>
      <c r="AO48" s="5"/>
      <c r="AP48" s="5"/>
      <c r="AQ48" s="2"/>
      <c r="AR48" s="76"/>
      <c r="AS48" s="5"/>
      <c r="AT48" s="5"/>
      <c r="AU48" s="29"/>
      <c r="AV48" s="29"/>
    </row>
    <row r="49" spans="1:48" x14ac:dyDescent="0.2">
      <c r="A49" s="2">
        <v>41944</v>
      </c>
      <c r="B49">
        <f t="shared" si="4"/>
        <v>2014</v>
      </c>
      <c r="C49">
        <f t="shared" si="5"/>
        <v>11</v>
      </c>
      <c r="D49" s="151">
        <f>Data!G48</f>
        <v>7187665.7199999969</v>
      </c>
      <c r="E49" s="151">
        <f>Data!H48</f>
        <v>105551.56172052656</v>
      </c>
      <c r="F49" s="151">
        <f>Data!I48</f>
        <v>7293217.2817205237</v>
      </c>
      <c r="G49" s="129">
        <f>Data!AR48</f>
        <v>362.10000000000008</v>
      </c>
      <c r="H49" s="129">
        <f>Data!AS48</f>
        <v>0</v>
      </c>
      <c r="I49" s="129">
        <f t="shared" ref="I49:J49" ca="1" si="55">I61</f>
        <v>307.13</v>
      </c>
      <c r="J49" s="129">
        <f t="shared" ca="1" si="55"/>
        <v>0.89</v>
      </c>
      <c r="K49" s="32">
        <f>Data!BW48</f>
        <v>1</v>
      </c>
      <c r="L49" s="32">
        <f>Data!AB48</f>
        <v>2539</v>
      </c>
      <c r="M49" s="32">
        <f>Data!BI48</f>
        <v>47</v>
      </c>
      <c r="N49" s="140">
        <f>Data!BZ48</f>
        <v>0</v>
      </c>
      <c r="O49" s="32">
        <f t="shared" ca="1" si="7"/>
        <v>7108522.1649997607</v>
      </c>
      <c r="P49" s="32">
        <f t="shared" ca="1" si="39"/>
        <v>7002970.6032792339</v>
      </c>
      <c r="Q49" s="32">
        <f t="shared" ca="1" si="40"/>
        <v>-184695.11672076304</v>
      </c>
      <c r="R49" s="50">
        <f t="shared" ca="1" si="41"/>
        <v>2.5324230663424319E-2</v>
      </c>
      <c r="AE49" s="2"/>
      <c r="AI49" s="2"/>
      <c r="AM49" s="2"/>
      <c r="AN49" s="76"/>
      <c r="AO49" s="5"/>
      <c r="AP49" s="5"/>
      <c r="AQ49" s="2"/>
      <c r="AR49" s="76"/>
      <c r="AS49" s="5"/>
      <c r="AT49" s="5"/>
      <c r="AU49" s="29"/>
      <c r="AV49" s="29"/>
    </row>
    <row r="50" spans="1:48" x14ac:dyDescent="0.2">
      <c r="A50" s="2">
        <v>41974</v>
      </c>
      <c r="B50">
        <f t="shared" si="4"/>
        <v>2014</v>
      </c>
      <c r="C50">
        <f t="shared" si="5"/>
        <v>12</v>
      </c>
      <c r="D50" s="151">
        <f>Data!G49</f>
        <v>8927945.1699999962</v>
      </c>
      <c r="E50" s="151">
        <f>Data!H49</f>
        <v>105551.56172052656</v>
      </c>
      <c r="F50" s="151">
        <f>Data!I49</f>
        <v>9033496.731720522</v>
      </c>
      <c r="G50" s="129">
        <f>Data!AR49</f>
        <v>433.30000000000007</v>
      </c>
      <c r="H50" s="129">
        <f>Data!AS49</f>
        <v>0</v>
      </c>
      <c r="I50" s="129">
        <f t="shared" ref="I50:J50" ca="1" si="56">I62</f>
        <v>451.35999999999996</v>
      </c>
      <c r="J50" s="129">
        <f t="shared" ca="1" si="56"/>
        <v>0</v>
      </c>
      <c r="K50" s="32">
        <f>Data!BW49</f>
        <v>0</v>
      </c>
      <c r="L50" s="32">
        <f>Data!AB49</f>
        <v>2544</v>
      </c>
      <c r="M50" s="32">
        <f>Data!BI49</f>
        <v>48</v>
      </c>
      <c r="N50" s="140">
        <f>Data!BZ49</f>
        <v>0</v>
      </c>
      <c r="O50" s="32">
        <f t="shared" ca="1" si="7"/>
        <v>9095629.0402653553</v>
      </c>
      <c r="P50" s="32">
        <f t="shared" ca="1" si="39"/>
        <v>8990077.4785448294</v>
      </c>
      <c r="Q50" s="32">
        <f t="shared" ca="1" si="40"/>
        <v>62132.308544833213</v>
      </c>
      <c r="R50" s="50">
        <f t="shared" ca="1" si="41"/>
        <v>6.8779909253367799E-3</v>
      </c>
      <c r="AE50" s="2"/>
      <c r="AI50" s="2"/>
      <c r="AM50" s="2"/>
      <c r="AN50" s="76"/>
      <c r="AO50" s="5"/>
      <c r="AP50" s="5"/>
      <c r="AQ50" s="2"/>
      <c r="AR50" s="76"/>
      <c r="AS50" s="5"/>
      <c r="AT50" s="5"/>
      <c r="AU50" s="29"/>
      <c r="AV50" s="29"/>
    </row>
    <row r="51" spans="1:48" x14ac:dyDescent="0.2">
      <c r="A51" s="2">
        <v>42005</v>
      </c>
      <c r="B51">
        <f t="shared" si="4"/>
        <v>2015</v>
      </c>
      <c r="C51">
        <f t="shared" si="5"/>
        <v>1</v>
      </c>
      <c r="D51" s="151">
        <f>Data!G50</f>
        <v>8967430.3132530134</v>
      </c>
      <c r="E51" s="151">
        <f>Data!H50</f>
        <v>194937.46716045527</v>
      </c>
      <c r="F51" s="151">
        <f>Data!I50</f>
        <v>9162367.7804134693</v>
      </c>
      <c r="G51" s="129">
        <f>Data!AR50</f>
        <v>668.39999999999986</v>
      </c>
      <c r="H51" s="129">
        <f>Data!AS50</f>
        <v>0</v>
      </c>
      <c r="I51" s="129">
        <f t="shared" ref="I51:J51" ca="1" si="57">I63</f>
        <v>563.5</v>
      </c>
      <c r="J51" s="129">
        <f t="shared" ca="1" si="57"/>
        <v>0</v>
      </c>
      <c r="K51" s="32">
        <f>Data!BW50</f>
        <v>0</v>
      </c>
      <c r="L51" s="32">
        <f>Data!AB50</f>
        <v>2548</v>
      </c>
      <c r="M51" s="32">
        <f>Data!BI50</f>
        <v>49</v>
      </c>
      <c r="N51" s="140">
        <f>Data!BZ50</f>
        <v>0</v>
      </c>
      <c r="O51" s="32">
        <f t="shared" ca="1" si="7"/>
        <v>8801477.4611248132</v>
      </c>
      <c r="P51" s="32">
        <f t="shared" ca="1" si="39"/>
        <v>8606539.9939643573</v>
      </c>
      <c r="Q51" s="32">
        <f t="shared" ca="1" si="40"/>
        <v>-360890.31928865612</v>
      </c>
      <c r="R51" s="50">
        <f t="shared" ca="1" si="41"/>
        <v>3.9388324932790493E-2</v>
      </c>
      <c r="V51" s="130"/>
      <c r="AE51" s="2"/>
      <c r="AI51" s="2"/>
      <c r="AM51" s="2"/>
      <c r="AN51" s="76"/>
      <c r="AO51" s="5"/>
      <c r="AP51" s="5"/>
      <c r="AQ51" s="2"/>
      <c r="AR51" s="76"/>
      <c r="AS51" s="5"/>
      <c r="AT51" s="5"/>
      <c r="AU51" s="29"/>
      <c r="AV51" s="29"/>
    </row>
    <row r="52" spans="1:48" x14ac:dyDescent="0.2">
      <c r="A52" s="2">
        <v>42036</v>
      </c>
      <c r="B52">
        <f t="shared" si="4"/>
        <v>2015</v>
      </c>
      <c r="C52">
        <f t="shared" si="5"/>
        <v>2</v>
      </c>
      <c r="D52" s="151">
        <f>Data!G51</f>
        <v>8632890.5734939743</v>
      </c>
      <c r="E52" s="151">
        <f>Data!H51</f>
        <v>194937.46716045527</v>
      </c>
      <c r="F52" s="151">
        <f>Data!I51</f>
        <v>8827828.0406544302</v>
      </c>
      <c r="G52" s="129">
        <f>Data!AR51</f>
        <v>744.79999999999984</v>
      </c>
      <c r="H52" s="129">
        <f>Data!AS51</f>
        <v>0</v>
      </c>
      <c r="I52" s="129">
        <f t="shared" ref="I52:J52" ca="1" si="58">I64</f>
        <v>516.6099999999999</v>
      </c>
      <c r="J52" s="129">
        <f t="shared" ca="1" si="58"/>
        <v>0</v>
      </c>
      <c r="K52" s="32">
        <f>Data!BW51</f>
        <v>0</v>
      </c>
      <c r="L52" s="32">
        <f>Data!AB51</f>
        <v>2555</v>
      </c>
      <c r="M52" s="32">
        <f>Data!BI51</f>
        <v>50</v>
      </c>
      <c r="N52" s="140">
        <f>Data!BZ51</f>
        <v>0</v>
      </c>
      <c r="O52" s="32">
        <f t="shared" ca="1" si="7"/>
        <v>8042779.7855688408</v>
      </c>
      <c r="P52" s="32">
        <f t="shared" ca="1" si="39"/>
        <v>7847842.3184083859</v>
      </c>
      <c r="Q52" s="32">
        <f t="shared" ca="1" si="40"/>
        <v>-785048.25508558936</v>
      </c>
      <c r="R52" s="50">
        <f t="shared" ca="1" si="41"/>
        <v>8.8928811421137705E-2</v>
      </c>
      <c r="V52" s="130"/>
      <c r="AE52" s="2"/>
      <c r="AI52" s="2"/>
      <c r="AM52" s="2"/>
      <c r="AN52" s="76"/>
      <c r="AO52" s="5"/>
      <c r="AP52" s="5"/>
      <c r="AQ52" s="2"/>
      <c r="AR52" s="76"/>
      <c r="AS52" s="5"/>
      <c r="AT52" s="5"/>
      <c r="AU52" s="29"/>
      <c r="AV52" s="29"/>
    </row>
    <row r="53" spans="1:48" x14ac:dyDescent="0.2">
      <c r="A53" s="2">
        <v>42064</v>
      </c>
      <c r="B53">
        <f t="shared" si="4"/>
        <v>2015</v>
      </c>
      <c r="C53">
        <f t="shared" si="5"/>
        <v>3</v>
      </c>
      <c r="D53" s="151">
        <f>Data!G52</f>
        <v>8240875.3638554187</v>
      </c>
      <c r="E53" s="151">
        <f>Data!H52</f>
        <v>194937.46716045527</v>
      </c>
      <c r="F53" s="151">
        <f>Data!I52</f>
        <v>8435812.8310158737</v>
      </c>
      <c r="G53" s="129">
        <f>Data!AR52</f>
        <v>491.5</v>
      </c>
      <c r="H53" s="129">
        <f>Data!AS52</f>
        <v>0</v>
      </c>
      <c r="I53" s="129">
        <f t="shared" ref="I53:J53" ca="1" si="59">I65</f>
        <v>409.90999999999997</v>
      </c>
      <c r="J53" s="129">
        <f t="shared" ca="1" si="59"/>
        <v>1.1599999999999999</v>
      </c>
      <c r="K53" s="32">
        <f>Data!BW52</f>
        <v>0</v>
      </c>
      <c r="L53" s="32">
        <f>Data!AB52</f>
        <v>2553</v>
      </c>
      <c r="M53" s="32">
        <f>Data!BI52</f>
        <v>51</v>
      </c>
      <c r="N53" s="140">
        <f>Data!BZ52</f>
        <v>0</v>
      </c>
      <c r="O53" s="32">
        <f t="shared" ca="1" si="7"/>
        <v>8160877.0032106675</v>
      </c>
      <c r="P53" s="32">
        <f t="shared" ca="1" si="39"/>
        <v>7965939.5360502126</v>
      </c>
      <c r="Q53" s="32">
        <f t="shared" ca="1" si="40"/>
        <v>-274935.82780520618</v>
      </c>
      <c r="R53" s="50">
        <f t="shared" ca="1" si="41"/>
        <v>3.2591504021325865E-2</v>
      </c>
      <c r="AE53" s="2"/>
      <c r="AI53" s="2"/>
      <c r="AM53" s="2"/>
      <c r="AN53" s="76"/>
      <c r="AO53" s="5"/>
      <c r="AP53" s="5"/>
      <c r="AQ53" s="2"/>
      <c r="AR53" s="76"/>
      <c r="AS53" s="5"/>
      <c r="AT53" s="5"/>
      <c r="AU53" s="29"/>
      <c r="AV53" s="29"/>
    </row>
    <row r="54" spans="1:48" x14ac:dyDescent="0.2">
      <c r="A54" s="2">
        <v>42095</v>
      </c>
      <c r="B54">
        <f t="shared" si="4"/>
        <v>2015</v>
      </c>
      <c r="C54">
        <f t="shared" si="5"/>
        <v>4</v>
      </c>
      <c r="D54" s="151">
        <f>Data!G53</f>
        <v>7175293.9469879493</v>
      </c>
      <c r="E54" s="151">
        <f>Data!H53</f>
        <v>194937.46716045527</v>
      </c>
      <c r="F54" s="151">
        <f>Data!I53</f>
        <v>7370231.4141484043</v>
      </c>
      <c r="G54" s="129">
        <f>Data!AR53</f>
        <v>195.89999999999998</v>
      </c>
      <c r="H54" s="129">
        <f>Data!AS53</f>
        <v>2.1999999999999993</v>
      </c>
      <c r="I54" s="129">
        <f t="shared" ref="I54:J54" ca="1" si="60">I66</f>
        <v>227.5</v>
      </c>
      <c r="J54" s="129">
        <f t="shared" ca="1" si="60"/>
        <v>2.3099999999999996</v>
      </c>
      <c r="K54" s="32">
        <f>Data!BW53</f>
        <v>0</v>
      </c>
      <c r="L54" s="32">
        <f>Data!AB53</f>
        <v>2549</v>
      </c>
      <c r="M54" s="32">
        <f>Data!BI53</f>
        <v>52</v>
      </c>
      <c r="N54" s="140">
        <f>Data!BZ53</f>
        <v>0</v>
      </c>
      <c r="O54" s="32">
        <f t="shared" ca="1" si="7"/>
        <v>7479492.0034895213</v>
      </c>
      <c r="P54" s="32">
        <f t="shared" ca="1" si="39"/>
        <v>7284554.5363290664</v>
      </c>
      <c r="Q54" s="32">
        <f t="shared" ca="1" si="40"/>
        <v>109260.58934111707</v>
      </c>
      <c r="R54" s="50">
        <f t="shared" ca="1" si="41"/>
        <v>1.4824580559488662E-2</v>
      </c>
      <c r="AE54" s="2"/>
      <c r="AI54" s="2"/>
      <c r="AM54" s="2"/>
      <c r="AN54" s="76"/>
      <c r="AO54" s="5"/>
      <c r="AP54" s="5"/>
      <c r="AQ54" s="2"/>
      <c r="AR54" s="76"/>
      <c r="AS54" s="5"/>
      <c r="AT54" s="5"/>
      <c r="AU54" s="29"/>
      <c r="AV54" s="29"/>
    </row>
    <row r="55" spans="1:48" x14ac:dyDescent="0.2">
      <c r="A55" s="2">
        <v>42125</v>
      </c>
      <c r="B55">
        <f t="shared" si="4"/>
        <v>2015</v>
      </c>
      <c r="C55">
        <f t="shared" si="5"/>
        <v>5</v>
      </c>
      <c r="D55" s="151">
        <f>Data!G54</f>
        <v>6882245.3012048155</v>
      </c>
      <c r="E55" s="151">
        <f>Data!H54</f>
        <v>194937.46716045527</v>
      </c>
      <c r="F55" s="151">
        <f>Data!I54</f>
        <v>7077182.7683652705</v>
      </c>
      <c r="G55" s="129">
        <f>Data!AR54</f>
        <v>31.1</v>
      </c>
      <c r="H55" s="129">
        <f>Data!AS54</f>
        <v>99.9</v>
      </c>
      <c r="I55" s="129">
        <f t="shared" ref="I55:J55" ca="1" si="61">I67</f>
        <v>59.269999999999982</v>
      </c>
      <c r="J55" s="129">
        <f t="shared" ca="1" si="61"/>
        <v>70.86</v>
      </c>
      <c r="K55" s="32">
        <f>Data!BW54</f>
        <v>0</v>
      </c>
      <c r="L55" s="32">
        <f>Data!AB54</f>
        <v>2546</v>
      </c>
      <c r="M55" s="32">
        <f>Data!BI54</f>
        <v>53</v>
      </c>
      <c r="N55" s="140">
        <f>Data!BZ54</f>
        <v>0</v>
      </c>
      <c r="O55" s="32">
        <f t="shared" ca="1" si="7"/>
        <v>7029886.5143223107</v>
      </c>
      <c r="P55" s="32">
        <f t="shared" ca="1" si="39"/>
        <v>6834949.0471618557</v>
      </c>
      <c r="Q55" s="32">
        <f t="shared" ca="1" si="40"/>
        <v>-47296.254042959772</v>
      </c>
      <c r="R55" s="50">
        <f t="shared" ca="1" si="41"/>
        <v>6.6829210988265239E-3</v>
      </c>
      <c r="AE55" s="2"/>
      <c r="AI55" s="2"/>
      <c r="AM55" s="2"/>
      <c r="AN55" s="76"/>
      <c r="AO55" s="5"/>
      <c r="AP55" s="5"/>
      <c r="AQ55" s="2"/>
      <c r="AR55" s="76"/>
      <c r="AS55" s="5"/>
      <c r="AT55" s="5"/>
      <c r="AU55" s="29"/>
      <c r="AV55" s="29"/>
    </row>
    <row r="56" spans="1:48" x14ac:dyDescent="0.2">
      <c r="A56" s="2">
        <v>42156</v>
      </c>
      <c r="B56">
        <f t="shared" si="4"/>
        <v>2015</v>
      </c>
      <c r="C56">
        <f t="shared" si="5"/>
        <v>6</v>
      </c>
      <c r="D56" s="151">
        <f>Data!G55</f>
        <v>6719082.4385542162</v>
      </c>
      <c r="E56" s="151">
        <f>Data!H55</f>
        <v>194937.46716045527</v>
      </c>
      <c r="F56" s="151">
        <f>Data!I55</f>
        <v>6914019.9057146711</v>
      </c>
      <c r="G56" s="129">
        <f>Data!AR55</f>
        <v>2.9999999999999982</v>
      </c>
      <c r="H56" s="129">
        <f>Data!AS55</f>
        <v>121.5</v>
      </c>
      <c r="I56" s="129">
        <f t="shared" ref="I56:J56" ca="1" si="62">I68</f>
        <v>1.85</v>
      </c>
      <c r="J56" s="129">
        <f t="shared" ca="1" si="62"/>
        <v>171.74</v>
      </c>
      <c r="K56" s="32">
        <f>Data!BW55</f>
        <v>0</v>
      </c>
      <c r="L56" s="32">
        <f>Data!AB55</f>
        <v>2547</v>
      </c>
      <c r="M56" s="32">
        <f>Data!BI55</f>
        <v>54</v>
      </c>
      <c r="N56" s="140">
        <f>Data!BZ55</f>
        <v>0</v>
      </c>
      <c r="O56" s="32">
        <f t="shared" ca="1" si="7"/>
        <v>7159551.2696506996</v>
      </c>
      <c r="P56" s="32">
        <f t="shared" ca="1" si="39"/>
        <v>6964613.8024902446</v>
      </c>
      <c r="Q56" s="32">
        <f t="shared" ca="1" si="40"/>
        <v>245531.36393602844</v>
      </c>
      <c r="R56" s="50">
        <f t="shared" ca="1" si="41"/>
        <v>3.5512099658997001E-2</v>
      </c>
      <c r="AE56" s="2"/>
      <c r="AI56" s="2"/>
      <c r="AM56" s="2"/>
      <c r="AN56" s="76"/>
      <c r="AO56" s="5"/>
      <c r="AP56" s="5"/>
      <c r="AQ56" s="2"/>
      <c r="AR56" s="76"/>
      <c r="AS56" s="5"/>
      <c r="AT56" s="5"/>
      <c r="AU56" s="29"/>
      <c r="AV56" s="29"/>
    </row>
    <row r="57" spans="1:48" x14ac:dyDescent="0.2">
      <c r="A57" s="2">
        <v>42186</v>
      </c>
      <c r="B57">
        <f t="shared" si="4"/>
        <v>2015</v>
      </c>
      <c r="C57">
        <f t="shared" si="5"/>
        <v>7</v>
      </c>
      <c r="D57" s="151">
        <f>Data!G56</f>
        <v>7642373.2048192788</v>
      </c>
      <c r="E57" s="151">
        <f>Data!H56</f>
        <v>194937.46716045527</v>
      </c>
      <c r="F57" s="151">
        <f>Data!I56</f>
        <v>7837310.6719797337</v>
      </c>
      <c r="G57" s="129">
        <f>Data!AR56</f>
        <v>0</v>
      </c>
      <c r="H57" s="129">
        <f>Data!AS56</f>
        <v>234.3</v>
      </c>
      <c r="I57" s="129">
        <f t="shared" ref="I57:J57" ca="1" si="63">I69</f>
        <v>0</v>
      </c>
      <c r="J57" s="129">
        <f t="shared" ca="1" si="63"/>
        <v>269.41000000000003</v>
      </c>
      <c r="K57" s="32">
        <f>Data!BW56</f>
        <v>0</v>
      </c>
      <c r="L57" s="32">
        <f>Data!AB56</f>
        <v>2538</v>
      </c>
      <c r="M57" s="32">
        <f>Data!BI56</f>
        <v>55</v>
      </c>
      <c r="N57" s="140">
        <f>Data!BZ56</f>
        <v>0</v>
      </c>
      <c r="O57" s="32">
        <f t="shared" ca="1" si="7"/>
        <v>8011664.0668334048</v>
      </c>
      <c r="P57" s="32">
        <f t="shared" ca="1" si="39"/>
        <v>7816726.5996729499</v>
      </c>
      <c r="Q57" s="32">
        <f t="shared" ca="1" si="40"/>
        <v>174353.39485367108</v>
      </c>
      <c r="R57" s="50">
        <f t="shared" ca="1" si="41"/>
        <v>2.2246584594001906E-2</v>
      </c>
      <c r="AE57" s="2"/>
      <c r="AI57" s="2"/>
      <c r="AM57" s="2"/>
      <c r="AN57" s="76"/>
      <c r="AO57" s="5"/>
      <c r="AP57" s="5"/>
      <c r="AQ57" s="2"/>
      <c r="AR57" s="76"/>
      <c r="AS57" s="5"/>
      <c r="AT57" s="5"/>
      <c r="AU57" s="29"/>
      <c r="AV57" s="29"/>
    </row>
    <row r="58" spans="1:48" x14ac:dyDescent="0.2">
      <c r="A58" s="2">
        <v>42217</v>
      </c>
      <c r="B58">
        <f t="shared" si="4"/>
        <v>2015</v>
      </c>
      <c r="C58">
        <f t="shared" si="5"/>
        <v>8</v>
      </c>
      <c r="D58" s="151">
        <f>Data!G57</f>
        <v>7190501.1855421662</v>
      </c>
      <c r="E58" s="151">
        <f>Data!H57</f>
        <v>194937.46716045527</v>
      </c>
      <c r="F58" s="151">
        <f>Data!I57</f>
        <v>7385438.6527026212</v>
      </c>
      <c r="G58" s="129">
        <f>Data!AR57</f>
        <v>0</v>
      </c>
      <c r="H58" s="129">
        <f>Data!AS57</f>
        <v>208.20000000000002</v>
      </c>
      <c r="I58" s="129">
        <f t="shared" ref="I58:J58" ca="1" si="64">I70</f>
        <v>0</v>
      </c>
      <c r="J58" s="129">
        <f t="shared" ca="1" si="64"/>
        <v>242.46000000000004</v>
      </c>
      <c r="K58" s="32">
        <f>Data!BW57</f>
        <v>0</v>
      </c>
      <c r="L58" s="32">
        <f>Data!AB57</f>
        <v>2537</v>
      </c>
      <c r="M58" s="32">
        <f>Data!BI57</f>
        <v>56</v>
      </c>
      <c r="N58" s="140">
        <f>Data!BZ57</f>
        <v>0</v>
      </c>
      <c r="O58" s="32">
        <f t="shared" ca="1" si="7"/>
        <v>7555571.0169204157</v>
      </c>
      <c r="P58" s="32">
        <f t="shared" ca="1" si="39"/>
        <v>7360633.5497599607</v>
      </c>
      <c r="Q58" s="32">
        <f t="shared" ca="1" si="40"/>
        <v>170132.3642177945</v>
      </c>
      <c r="R58" s="50">
        <f t="shared" ca="1" si="41"/>
        <v>2.3036189482873358E-2</v>
      </c>
      <c r="AE58" s="2"/>
      <c r="AI58" s="2"/>
      <c r="AM58" s="2"/>
      <c r="AN58" s="76"/>
      <c r="AO58" s="5"/>
      <c r="AP58" s="5"/>
      <c r="AQ58" s="2"/>
      <c r="AR58" s="76"/>
      <c r="AS58" s="5"/>
      <c r="AT58" s="5"/>
      <c r="AU58" s="29"/>
      <c r="AV58" s="29"/>
    </row>
    <row r="59" spans="1:48" x14ac:dyDescent="0.2">
      <c r="A59" s="2">
        <v>42248</v>
      </c>
      <c r="B59">
        <f t="shared" si="4"/>
        <v>2015</v>
      </c>
      <c r="C59">
        <f t="shared" si="5"/>
        <v>9</v>
      </c>
      <c r="D59" s="151">
        <f>Data!G58</f>
        <v>7066672.2313253004</v>
      </c>
      <c r="E59" s="151">
        <f>Data!H58</f>
        <v>194937.46716045527</v>
      </c>
      <c r="F59" s="151">
        <f>Data!I58</f>
        <v>7261609.6984857554</v>
      </c>
      <c r="G59" s="129">
        <f>Data!AR58</f>
        <v>3.2999999999999989</v>
      </c>
      <c r="H59" s="129">
        <f>Data!AS58</f>
        <v>174.09999999999997</v>
      </c>
      <c r="I59" s="129">
        <f t="shared" ref="I59:J59" ca="1" si="65">I71</f>
        <v>10.66</v>
      </c>
      <c r="J59" s="129">
        <f t="shared" ca="1" si="65"/>
        <v>124.26999999999998</v>
      </c>
      <c r="K59" s="32">
        <f>Data!BW58</f>
        <v>1</v>
      </c>
      <c r="L59" s="32">
        <f>Data!AB58</f>
        <v>2544</v>
      </c>
      <c r="M59" s="32">
        <f>Data!BI58</f>
        <v>57</v>
      </c>
      <c r="N59" s="140">
        <f>Data!BZ58</f>
        <v>0</v>
      </c>
      <c r="O59" s="32">
        <f t="shared" ca="1" si="7"/>
        <v>7039478.7927674549</v>
      </c>
      <c r="P59" s="32">
        <f t="shared" ca="1" si="39"/>
        <v>6844541.3256069999</v>
      </c>
      <c r="Q59" s="32">
        <f t="shared" ca="1" si="40"/>
        <v>-222130.90571830049</v>
      </c>
      <c r="R59" s="50">
        <f t="shared" ca="1" si="41"/>
        <v>3.0589761077990857E-2</v>
      </c>
      <c r="AE59" s="2"/>
      <c r="AI59" s="2"/>
      <c r="AM59" s="2"/>
      <c r="AN59" s="76"/>
      <c r="AO59" s="5"/>
      <c r="AP59" s="5"/>
      <c r="AQ59" s="2"/>
      <c r="AR59" s="76"/>
      <c r="AS59" s="5"/>
      <c r="AT59" s="5"/>
      <c r="AU59" s="29"/>
      <c r="AV59" s="29"/>
    </row>
    <row r="60" spans="1:48" x14ac:dyDescent="0.2">
      <c r="A60" s="2">
        <v>42278</v>
      </c>
      <c r="B60">
        <f t="shared" si="4"/>
        <v>2015</v>
      </c>
      <c r="C60">
        <f t="shared" si="5"/>
        <v>10</v>
      </c>
      <c r="D60" s="151">
        <f>Data!G59</f>
        <v>6796226.5349397603</v>
      </c>
      <c r="E60" s="151">
        <f>Data!H59</f>
        <v>194937.46716045527</v>
      </c>
      <c r="F60" s="151">
        <f>Data!I59</f>
        <v>6991164.0021002153</v>
      </c>
      <c r="G60" s="129">
        <f>Data!AR59</f>
        <v>135.30000000000001</v>
      </c>
      <c r="H60" s="129">
        <f>Data!AS59</f>
        <v>9.4999999999999982</v>
      </c>
      <c r="I60" s="129">
        <f t="shared" ref="I60:J60" ca="1" si="66">I72</f>
        <v>118.80999999999999</v>
      </c>
      <c r="J60" s="129">
        <f t="shared" ca="1" si="66"/>
        <v>23.209999999999997</v>
      </c>
      <c r="K60" s="32">
        <f>Data!BW59</f>
        <v>1</v>
      </c>
      <c r="L60" s="32">
        <f>Data!AB59</f>
        <v>2557</v>
      </c>
      <c r="M60" s="32">
        <f>Data!BI59</f>
        <v>58</v>
      </c>
      <c r="N60" s="140">
        <f>Data!BZ59</f>
        <v>0</v>
      </c>
      <c r="O60" s="32">
        <f t="shared" ca="1" si="7"/>
        <v>7002515.7483971333</v>
      </c>
      <c r="P60" s="32">
        <f t="shared" ca="1" si="39"/>
        <v>6807578.2812366784</v>
      </c>
      <c r="Q60" s="32">
        <f t="shared" ca="1" si="40"/>
        <v>11351.74629691802</v>
      </c>
      <c r="R60" s="50">
        <f t="shared" ca="1" si="41"/>
        <v>1.6237276501463623E-3</v>
      </c>
      <c r="AE60" s="2"/>
      <c r="AI60" s="2"/>
      <c r="AM60" s="2"/>
      <c r="AN60" s="76"/>
      <c r="AO60" s="5"/>
      <c r="AP60" s="5"/>
      <c r="AQ60" s="2"/>
      <c r="AR60" s="76"/>
      <c r="AS60" s="5"/>
      <c r="AT60" s="5"/>
      <c r="AU60" s="29"/>
      <c r="AV60" s="29"/>
    </row>
    <row r="61" spans="1:48" x14ac:dyDescent="0.2">
      <c r="A61" s="2">
        <v>42309</v>
      </c>
      <c r="B61">
        <f t="shared" si="4"/>
        <v>2015</v>
      </c>
      <c r="C61">
        <f t="shared" si="5"/>
        <v>11</v>
      </c>
      <c r="D61" s="151">
        <f>Data!G60</f>
        <v>6323671.9614457851</v>
      </c>
      <c r="E61" s="151">
        <f>Data!H60</f>
        <v>194937.46716045527</v>
      </c>
      <c r="F61" s="151">
        <f>Data!I60</f>
        <v>6518609.4286062401</v>
      </c>
      <c r="G61" s="129">
        <f>Data!AR60</f>
        <v>227.2</v>
      </c>
      <c r="H61" s="129">
        <f>Data!AS60</f>
        <v>2.1999999999999993</v>
      </c>
      <c r="I61" s="129">
        <f t="shared" ref="I61:J61" ca="1" si="67">I73</f>
        <v>307.13</v>
      </c>
      <c r="J61" s="129">
        <f t="shared" ca="1" si="67"/>
        <v>0.89</v>
      </c>
      <c r="K61" s="32">
        <f>Data!BW60</f>
        <v>1</v>
      </c>
      <c r="L61" s="32">
        <f>Data!AB60</f>
        <v>2574</v>
      </c>
      <c r="M61" s="32">
        <f>Data!BI60</f>
        <v>59</v>
      </c>
      <c r="N61" s="140">
        <f>Data!BZ60</f>
        <v>0</v>
      </c>
      <c r="O61" s="32">
        <f t="shared" ca="1" si="7"/>
        <v>6787089.4255633354</v>
      </c>
      <c r="P61" s="32">
        <f t="shared" ca="1" si="39"/>
        <v>6592151.9584028805</v>
      </c>
      <c r="Q61" s="32">
        <f t="shared" ca="1" si="40"/>
        <v>268479.99695709534</v>
      </c>
      <c r="R61" s="50">
        <f t="shared" ca="1" si="41"/>
        <v>4.1186697852903839E-2</v>
      </c>
      <c r="AE61" s="2"/>
      <c r="AN61" s="5"/>
      <c r="AO61" s="5"/>
      <c r="AP61" s="5"/>
      <c r="AQ61" s="5"/>
      <c r="AR61" s="5"/>
      <c r="AS61" s="5"/>
      <c r="AU61" s="29"/>
      <c r="AV61" s="29"/>
    </row>
    <row r="62" spans="1:48" x14ac:dyDescent="0.2">
      <c r="A62" s="2">
        <v>42339</v>
      </c>
      <c r="B62">
        <f t="shared" si="4"/>
        <v>2015</v>
      </c>
      <c r="C62">
        <f t="shared" si="5"/>
        <v>12</v>
      </c>
      <c r="D62" s="151">
        <f>Data!G61</f>
        <v>6695925.5710843336</v>
      </c>
      <c r="E62" s="151">
        <f>Data!H61</f>
        <v>194937.46716045527</v>
      </c>
      <c r="F62" s="151">
        <f>Data!I61</f>
        <v>6890863.0382447885</v>
      </c>
      <c r="G62" s="129">
        <f>Data!AR61</f>
        <v>305.7</v>
      </c>
      <c r="H62" s="129">
        <f>Data!AS61</f>
        <v>0</v>
      </c>
      <c r="I62" s="129">
        <f t="shared" ref="I62:J62" ca="1" si="68">I74</f>
        <v>451.35999999999996</v>
      </c>
      <c r="J62" s="129">
        <f t="shared" ca="1" si="68"/>
        <v>0</v>
      </c>
      <c r="K62" s="32">
        <f>Data!BW61</f>
        <v>0</v>
      </c>
      <c r="L62" s="32">
        <f>Data!AB61</f>
        <v>2574</v>
      </c>
      <c r="M62" s="32">
        <f>Data!BI61</f>
        <v>60</v>
      </c>
      <c r="N62" s="140">
        <f>Data!BZ61</f>
        <v>0</v>
      </c>
      <c r="O62" s="32">
        <f t="shared" ca="1" si="7"/>
        <v>7391981.0926545653</v>
      </c>
      <c r="P62" s="32">
        <f t="shared" ca="1" si="39"/>
        <v>7197043.6254941104</v>
      </c>
      <c r="Q62" s="32">
        <f t="shared" ca="1" si="40"/>
        <v>501118.05440977681</v>
      </c>
      <c r="R62" s="50">
        <f t="shared" ca="1" si="41"/>
        <v>7.272210340396193E-2</v>
      </c>
      <c r="AE62" s="2"/>
      <c r="AN62" s="5"/>
      <c r="AO62" s="5"/>
      <c r="AP62" s="5"/>
      <c r="AQ62" s="5"/>
      <c r="AR62" s="5"/>
    </row>
    <row r="63" spans="1:48" x14ac:dyDescent="0.2">
      <c r="A63" s="2">
        <v>42370</v>
      </c>
      <c r="B63">
        <f t="shared" si="4"/>
        <v>2016</v>
      </c>
      <c r="C63">
        <f t="shared" si="5"/>
        <v>1</v>
      </c>
      <c r="D63" s="151">
        <f>Data!G62</f>
        <v>8357389.1277108472</v>
      </c>
      <c r="E63" s="151">
        <f>Data!H62</f>
        <v>331866.97414415696</v>
      </c>
      <c r="F63" s="151">
        <f>Data!I62</f>
        <v>8689256.1018550042</v>
      </c>
      <c r="G63" s="129">
        <f>Data!AR62</f>
        <v>546.4</v>
      </c>
      <c r="H63" s="129">
        <f>Data!AS62</f>
        <v>0</v>
      </c>
      <c r="I63" s="129">
        <f t="shared" ref="I63:J63" ca="1" si="69">I75</f>
        <v>563.5</v>
      </c>
      <c r="J63" s="129">
        <f t="shared" ca="1" si="69"/>
        <v>0</v>
      </c>
      <c r="K63" s="32">
        <f>Data!BW62</f>
        <v>0</v>
      </c>
      <c r="L63" s="32">
        <f>Data!AB62</f>
        <v>2571</v>
      </c>
      <c r="M63" s="32">
        <f>Data!BI62</f>
        <v>61</v>
      </c>
      <c r="N63" s="140">
        <f>Data!BZ62</f>
        <v>0</v>
      </c>
      <c r="O63" s="32">
        <f t="shared" ca="1" si="7"/>
        <v>8748085.6963243652</v>
      </c>
      <c r="P63" s="32">
        <f t="shared" ca="1" si="39"/>
        <v>8416218.7221802082</v>
      </c>
      <c r="Q63" s="32">
        <f t="shared" ca="1" si="40"/>
        <v>58829.594469361007</v>
      </c>
      <c r="R63" s="50">
        <f t="shared" ca="1" si="41"/>
        <v>6.770383307818712E-3</v>
      </c>
    </row>
    <row r="64" spans="1:48" x14ac:dyDescent="0.2">
      <c r="A64" s="2">
        <v>42401</v>
      </c>
      <c r="B64">
        <f t="shared" si="4"/>
        <v>2016</v>
      </c>
      <c r="C64">
        <f t="shared" si="5"/>
        <v>2</v>
      </c>
      <c r="D64" s="151">
        <f>Data!G63</f>
        <v>8192805.8506024061</v>
      </c>
      <c r="E64" s="151">
        <f>Data!H63</f>
        <v>331866.97414415696</v>
      </c>
      <c r="F64" s="151">
        <f>Data!I63</f>
        <v>8524672.8247465622</v>
      </c>
      <c r="G64" s="129">
        <f>Data!AR63</f>
        <v>472.40000000000009</v>
      </c>
      <c r="H64" s="129">
        <f>Data!AS63</f>
        <v>0</v>
      </c>
      <c r="I64" s="129">
        <f t="shared" ref="I64:J64" ca="1" si="70">I76</f>
        <v>516.6099999999999</v>
      </c>
      <c r="J64" s="129">
        <f t="shared" ca="1" si="70"/>
        <v>0</v>
      </c>
      <c r="K64" s="32">
        <f>Data!BW63</f>
        <v>0</v>
      </c>
      <c r="L64" s="32">
        <f>Data!AB63</f>
        <v>2577</v>
      </c>
      <c r="M64" s="32">
        <f>Data!BI63</f>
        <v>62</v>
      </c>
      <c r="N64" s="140">
        <f>Data!BZ63</f>
        <v>0</v>
      </c>
      <c r="O64" s="32">
        <f t="shared" ca="1" si="7"/>
        <v>8676769.6885764133</v>
      </c>
      <c r="P64" s="32">
        <f t="shared" ca="1" si="39"/>
        <v>8344902.7144322563</v>
      </c>
      <c r="Q64" s="32">
        <f t="shared" ca="1" si="40"/>
        <v>152096.86382985115</v>
      </c>
      <c r="R64" s="50">
        <f t="shared" ca="1" si="41"/>
        <v>1.784195909411608E-2</v>
      </c>
    </row>
    <row r="65" spans="1:18" x14ac:dyDescent="0.2">
      <c r="A65" s="2">
        <v>42430</v>
      </c>
      <c r="B65">
        <f t="shared" si="4"/>
        <v>2016</v>
      </c>
      <c r="C65">
        <f t="shared" si="5"/>
        <v>3</v>
      </c>
      <c r="D65" s="151">
        <f>Data!G64</f>
        <v>7702210.1783132562</v>
      </c>
      <c r="E65" s="151">
        <f>Data!H64</f>
        <v>331866.97414415696</v>
      </c>
      <c r="F65" s="151">
        <f>Data!I64</f>
        <v>8034077.1524574133</v>
      </c>
      <c r="G65" s="129">
        <f>Data!AR64</f>
        <v>352.09999999999985</v>
      </c>
      <c r="H65" s="129">
        <f>Data!AS64</f>
        <v>0</v>
      </c>
      <c r="I65" s="129">
        <f t="shared" ref="I65:J65" ca="1" si="71">I77</f>
        <v>409.90999999999997</v>
      </c>
      <c r="J65" s="129">
        <f t="shared" ca="1" si="71"/>
        <v>1.1599999999999999</v>
      </c>
      <c r="K65" s="32">
        <f>Data!BW64</f>
        <v>0</v>
      </c>
      <c r="L65" s="32">
        <f>Data!AB64</f>
        <v>2605</v>
      </c>
      <c r="M65" s="32">
        <f>Data!BI64</f>
        <v>63</v>
      </c>
      <c r="N65" s="140">
        <f>Data!BZ64</f>
        <v>0</v>
      </c>
      <c r="O65" s="32">
        <f t="shared" ca="1" si="7"/>
        <v>8238722.9310281714</v>
      </c>
      <c r="P65" s="32">
        <f t="shared" ca="1" si="39"/>
        <v>7906855.9568840144</v>
      </c>
      <c r="Q65" s="32">
        <f t="shared" ca="1" si="40"/>
        <v>204645.77857075818</v>
      </c>
      <c r="R65" s="50">
        <f t="shared" ca="1" si="41"/>
        <v>2.5472219731940512E-2</v>
      </c>
    </row>
    <row r="66" spans="1:18" x14ac:dyDescent="0.2">
      <c r="A66" s="2">
        <v>42461</v>
      </c>
      <c r="B66">
        <f t="shared" si="4"/>
        <v>2016</v>
      </c>
      <c r="C66">
        <f t="shared" si="5"/>
        <v>4</v>
      </c>
      <c r="D66" s="151">
        <f>Data!G65</f>
        <v>7574603.3349397629</v>
      </c>
      <c r="E66" s="151">
        <f>Data!H65</f>
        <v>331866.97414415696</v>
      </c>
      <c r="F66" s="151">
        <f>Data!I65</f>
        <v>7906470.30908392</v>
      </c>
      <c r="G66" s="129">
        <f>Data!AR65</f>
        <v>277.10000000000008</v>
      </c>
      <c r="H66" s="129">
        <f>Data!AS65</f>
        <v>2.3000000000000007</v>
      </c>
      <c r="I66" s="129">
        <f t="shared" ref="I66:J66" ca="1" si="72">I78</f>
        <v>227.5</v>
      </c>
      <c r="J66" s="129">
        <f t="shared" ca="1" si="72"/>
        <v>2.3099999999999996</v>
      </c>
      <c r="K66" s="32">
        <f>Data!BW65</f>
        <v>0</v>
      </c>
      <c r="L66" s="32">
        <f>Data!AB65</f>
        <v>2601</v>
      </c>
      <c r="M66" s="32">
        <f>Data!BI65</f>
        <v>64</v>
      </c>
      <c r="N66" s="140">
        <f>Data!BZ65</f>
        <v>0</v>
      </c>
      <c r="O66" s="32">
        <f t="shared" ca="1" si="7"/>
        <v>7735879.7410351029</v>
      </c>
      <c r="P66" s="32">
        <f t="shared" ca="1" si="39"/>
        <v>7404012.7668909458</v>
      </c>
      <c r="Q66" s="32">
        <f t="shared" ca="1" si="40"/>
        <v>-170590.56804881711</v>
      </c>
      <c r="R66" s="50">
        <f t="shared" ca="1" si="41"/>
        <v>2.157607141745942E-2</v>
      </c>
    </row>
    <row r="67" spans="1:18" x14ac:dyDescent="0.2">
      <c r="A67" s="2">
        <v>42491</v>
      </c>
      <c r="B67">
        <f t="shared" si="4"/>
        <v>2016</v>
      </c>
      <c r="C67">
        <f t="shared" si="5"/>
        <v>5</v>
      </c>
      <c r="D67" s="151">
        <f>Data!G66</f>
        <v>6410930.6313253017</v>
      </c>
      <c r="E67" s="151">
        <f>Data!H66</f>
        <v>331866.97414415696</v>
      </c>
      <c r="F67" s="151">
        <f>Data!I66</f>
        <v>6742797.6054694587</v>
      </c>
      <c r="G67" s="129">
        <f>Data!AR66</f>
        <v>66.599999999999994</v>
      </c>
      <c r="H67" s="129">
        <f>Data!AS66</f>
        <v>85</v>
      </c>
      <c r="I67" s="129">
        <f t="shared" ref="I67:J67" ca="1" si="73">I79</f>
        <v>59.269999999999982</v>
      </c>
      <c r="J67" s="129">
        <f t="shared" ca="1" si="73"/>
        <v>70.86</v>
      </c>
      <c r="K67" s="32">
        <f>Data!BW66</f>
        <v>0</v>
      </c>
      <c r="L67" s="32">
        <f>Data!AB66</f>
        <v>2598</v>
      </c>
      <c r="M67" s="32">
        <f>Data!BI66</f>
        <v>65</v>
      </c>
      <c r="N67" s="140">
        <f>Data!BZ66</f>
        <v>0</v>
      </c>
      <c r="O67" s="32">
        <f t="shared" ca="1" si="7"/>
        <v>6647361.9212649548</v>
      </c>
      <c r="P67" s="32">
        <f t="shared" ref="P67:P98" ca="1" si="74">O67-E67</f>
        <v>6315494.9471207978</v>
      </c>
      <c r="Q67" s="32">
        <f t="shared" ref="Q67:Q98" ca="1" si="75">+O67-F67</f>
        <v>-95435.684204503894</v>
      </c>
      <c r="R67" s="50">
        <f t="shared" ref="R67:R98" ca="1" si="76">ABS(Q67/F67)</f>
        <v>1.415372220680192E-2</v>
      </c>
    </row>
    <row r="68" spans="1:18" x14ac:dyDescent="0.2">
      <c r="A68" s="2">
        <v>42522</v>
      </c>
      <c r="B68">
        <f t="shared" ref="B68:B127" si="77">YEAR(A68)</f>
        <v>2016</v>
      </c>
      <c r="C68">
        <f t="shared" ref="C68:C127" si="78">MONTH(A68)</f>
        <v>6</v>
      </c>
      <c r="D68" s="151">
        <f>Data!G67</f>
        <v>7343347.5469879536</v>
      </c>
      <c r="E68" s="151">
        <f>Data!H67</f>
        <v>331866.97414415696</v>
      </c>
      <c r="F68" s="151">
        <f>Data!I67</f>
        <v>7675214.5211321106</v>
      </c>
      <c r="G68" s="129">
        <f>Data!AR67</f>
        <v>3.0999999999999996</v>
      </c>
      <c r="H68" s="129">
        <f>Data!AS67</f>
        <v>182.6</v>
      </c>
      <c r="I68" s="129">
        <f t="shared" ref="I68:J68" ca="1" si="79">I80</f>
        <v>1.85</v>
      </c>
      <c r="J68" s="129">
        <f t="shared" ca="1" si="79"/>
        <v>171.74</v>
      </c>
      <c r="K68" s="32">
        <f>Data!BW67</f>
        <v>0</v>
      </c>
      <c r="L68" s="32">
        <f>Data!AB67</f>
        <v>2602</v>
      </c>
      <c r="M68" s="32">
        <f>Data!BI67</f>
        <v>66</v>
      </c>
      <c r="N68" s="140">
        <f>Data!BZ67</f>
        <v>0</v>
      </c>
      <c r="O68" s="32">
        <f t="shared" ref="O68:O131" ca="1" si="80">F68+(I68-G68)*$T$20+(J68-H68)*$T$21</f>
        <v>7616984.2384083578</v>
      </c>
      <c r="P68" s="32">
        <f t="shared" ca="1" si="74"/>
        <v>7285117.2642642008</v>
      </c>
      <c r="Q68" s="32">
        <f t="shared" ca="1" si="75"/>
        <v>-58230.282723752782</v>
      </c>
      <c r="R68" s="50">
        <f t="shared" ca="1" si="76"/>
        <v>7.5867954652508772E-3</v>
      </c>
    </row>
    <row r="69" spans="1:18" x14ac:dyDescent="0.2">
      <c r="A69" s="2">
        <v>42552</v>
      </c>
      <c r="B69">
        <f t="shared" si="77"/>
        <v>2016</v>
      </c>
      <c r="C69">
        <f t="shared" si="78"/>
        <v>7</v>
      </c>
      <c r="D69" s="151">
        <f>Data!G68</f>
        <v>7871478.3710843381</v>
      </c>
      <c r="E69" s="151">
        <f>Data!H68</f>
        <v>331866.97414415696</v>
      </c>
      <c r="F69" s="151">
        <f>Data!I68</f>
        <v>8203345.3452284951</v>
      </c>
      <c r="G69" s="129">
        <f>Data!AR68</f>
        <v>0</v>
      </c>
      <c r="H69" s="129">
        <f>Data!AS68</f>
        <v>300.89999999999998</v>
      </c>
      <c r="I69" s="129">
        <f t="shared" ref="I69:J69" ca="1" si="81">I81</f>
        <v>0</v>
      </c>
      <c r="J69" s="129">
        <f t="shared" ca="1" si="81"/>
        <v>269.41000000000003</v>
      </c>
      <c r="K69" s="32">
        <f>Data!BW68</f>
        <v>0</v>
      </c>
      <c r="L69" s="32">
        <f>Data!AB68</f>
        <v>2606</v>
      </c>
      <c r="M69" s="32">
        <f>Data!BI68</f>
        <v>67</v>
      </c>
      <c r="N69" s="140">
        <f>Data!BZ68</f>
        <v>0</v>
      </c>
      <c r="O69" s="32">
        <f t="shared" ca="1" si="80"/>
        <v>8046968.5749652628</v>
      </c>
      <c r="P69" s="32">
        <f t="shared" ca="1" si="74"/>
        <v>7715101.6008211058</v>
      </c>
      <c r="Q69" s="32">
        <f t="shared" ca="1" si="75"/>
        <v>-156376.77026323229</v>
      </c>
      <c r="R69" s="50">
        <f t="shared" ca="1" si="76"/>
        <v>1.9062560904398521E-2</v>
      </c>
    </row>
    <row r="70" spans="1:18" x14ac:dyDescent="0.2">
      <c r="A70" s="2">
        <v>42583</v>
      </c>
      <c r="B70">
        <f t="shared" si="77"/>
        <v>2016</v>
      </c>
      <c r="C70">
        <f t="shared" si="78"/>
        <v>8</v>
      </c>
      <c r="D70" s="151">
        <f>Data!G69</f>
        <v>7755227.0457831379</v>
      </c>
      <c r="E70" s="151">
        <f>Data!H69</f>
        <v>331866.97414415696</v>
      </c>
      <c r="F70" s="151">
        <f>Data!I69</f>
        <v>8087094.0199272949</v>
      </c>
      <c r="G70" s="129">
        <f>Data!AR69</f>
        <v>0</v>
      </c>
      <c r="H70" s="129">
        <f>Data!AS69</f>
        <v>319.40000000000003</v>
      </c>
      <c r="I70" s="129">
        <f t="shared" ref="I70:J70" ca="1" si="82">I82</f>
        <v>0</v>
      </c>
      <c r="J70" s="129">
        <f t="shared" ca="1" si="82"/>
        <v>242.46000000000004</v>
      </c>
      <c r="K70" s="32">
        <f>Data!BW69</f>
        <v>0</v>
      </c>
      <c r="L70" s="32">
        <f>Data!AB69</f>
        <v>2607</v>
      </c>
      <c r="M70" s="32">
        <f>Data!BI69</f>
        <v>68</v>
      </c>
      <c r="N70" s="140">
        <f>Data!BZ69</f>
        <v>0</v>
      </c>
      <c r="O70" s="32">
        <f t="shared" ca="1" si="80"/>
        <v>7705016.2586045535</v>
      </c>
      <c r="P70" s="32">
        <f t="shared" ca="1" si="74"/>
        <v>7373149.2844603965</v>
      </c>
      <c r="Q70" s="32">
        <f t="shared" ca="1" si="75"/>
        <v>-382077.7613227414</v>
      </c>
      <c r="R70" s="50">
        <f t="shared" ca="1" si="76"/>
        <v>4.7245371499486585E-2</v>
      </c>
    </row>
    <row r="71" spans="1:18" x14ac:dyDescent="0.2">
      <c r="A71" s="2">
        <v>42614</v>
      </c>
      <c r="B71">
        <f t="shared" si="77"/>
        <v>2016</v>
      </c>
      <c r="C71">
        <f t="shared" si="78"/>
        <v>9</v>
      </c>
      <c r="D71" s="151">
        <f>Data!G70</f>
        <v>7032991.7686746987</v>
      </c>
      <c r="E71" s="151">
        <f>Data!H70</f>
        <v>331866.97414415696</v>
      </c>
      <c r="F71" s="151">
        <f>Data!I70</f>
        <v>7364858.7428188557</v>
      </c>
      <c r="G71" s="129">
        <f>Data!AR70</f>
        <v>1.2999999999999989</v>
      </c>
      <c r="H71" s="129">
        <f>Data!AS70</f>
        <v>164.79999999999998</v>
      </c>
      <c r="I71" s="129">
        <f t="shared" ref="I71:J71" ca="1" si="83">I83</f>
        <v>10.66</v>
      </c>
      <c r="J71" s="129">
        <f t="shared" ca="1" si="83"/>
        <v>124.26999999999998</v>
      </c>
      <c r="K71" s="32">
        <f>Data!BW70</f>
        <v>1</v>
      </c>
      <c r="L71" s="32">
        <f>Data!AB70</f>
        <v>2608</v>
      </c>
      <c r="M71" s="32">
        <f>Data!BI70</f>
        <v>69</v>
      </c>
      <c r="N71" s="140">
        <f>Data!BZ70</f>
        <v>0</v>
      </c>
      <c r="O71" s="32">
        <f t="shared" ca="1" si="80"/>
        <v>7195791.5324993394</v>
      </c>
      <c r="P71" s="32">
        <f t="shared" ca="1" si="74"/>
        <v>6863924.5583551824</v>
      </c>
      <c r="Q71" s="32">
        <f t="shared" ca="1" si="75"/>
        <v>-169067.21031951625</v>
      </c>
      <c r="R71" s="50">
        <f t="shared" ca="1" si="76"/>
        <v>2.2955933877803987E-2</v>
      </c>
    </row>
    <row r="72" spans="1:18" x14ac:dyDescent="0.2">
      <c r="A72" s="2">
        <v>42644</v>
      </c>
      <c r="B72">
        <f t="shared" si="77"/>
        <v>2016</v>
      </c>
      <c r="C72">
        <f t="shared" si="78"/>
        <v>10</v>
      </c>
      <c r="D72" s="151">
        <f>Data!G71</f>
        <v>6150053.96626506</v>
      </c>
      <c r="E72" s="151">
        <f>Data!H71</f>
        <v>331866.97414415696</v>
      </c>
      <c r="F72" s="151">
        <f>Data!I71</f>
        <v>6481920.940409217</v>
      </c>
      <c r="G72" s="129">
        <f>Data!AR71</f>
        <v>105.89999999999999</v>
      </c>
      <c r="H72" s="129">
        <f>Data!AS71</f>
        <v>39.800000000000004</v>
      </c>
      <c r="I72" s="129">
        <f t="shared" ref="I72:J72" ca="1" si="84">I84</f>
        <v>118.80999999999999</v>
      </c>
      <c r="J72" s="129">
        <f t="shared" ca="1" si="84"/>
        <v>23.209999999999997</v>
      </c>
      <c r="K72" s="32">
        <f>Data!BW71</f>
        <v>1</v>
      </c>
      <c r="L72" s="32">
        <f>Data!AB71</f>
        <v>2614</v>
      </c>
      <c r="M72" s="32">
        <f>Data!BI71</f>
        <v>70</v>
      </c>
      <c r="N72" s="140">
        <f>Data!BZ71</f>
        <v>0</v>
      </c>
      <c r="O72" s="32">
        <f t="shared" ca="1" si="80"/>
        <v>6443950.9778944869</v>
      </c>
      <c r="P72" s="32">
        <f t="shared" ca="1" si="74"/>
        <v>6112084.0037503298</v>
      </c>
      <c r="Q72" s="32">
        <f t="shared" ca="1" si="75"/>
        <v>-37969.96251473017</v>
      </c>
      <c r="R72" s="50">
        <f t="shared" ca="1" si="76"/>
        <v>5.8578256143205984E-3</v>
      </c>
    </row>
    <row r="73" spans="1:18" x14ac:dyDescent="0.2">
      <c r="A73" s="2">
        <v>42675</v>
      </c>
      <c r="B73">
        <f t="shared" si="77"/>
        <v>2016</v>
      </c>
      <c r="C73">
        <f t="shared" si="78"/>
        <v>11</v>
      </c>
      <c r="D73" s="151">
        <f>Data!G72</f>
        <v>6266723.7204819247</v>
      </c>
      <c r="E73" s="151">
        <f>Data!H72</f>
        <v>331866.97414415696</v>
      </c>
      <c r="F73" s="151">
        <f>Data!I72</f>
        <v>6598590.6946260817</v>
      </c>
      <c r="G73" s="129">
        <f>Data!AR72</f>
        <v>218.89999999999995</v>
      </c>
      <c r="H73" s="129">
        <f>Data!AS72</f>
        <v>1.0999999999999996</v>
      </c>
      <c r="I73" s="129">
        <f t="shared" ref="I73:J73" ca="1" si="85">I85</f>
        <v>307.13</v>
      </c>
      <c r="J73" s="129">
        <f t="shared" ca="1" si="85"/>
        <v>0.89</v>
      </c>
      <c r="K73" s="32">
        <f>Data!BW72</f>
        <v>1</v>
      </c>
      <c r="L73" s="32">
        <f>Data!AB72</f>
        <v>2621</v>
      </c>
      <c r="M73" s="32">
        <f>Data!BI72</f>
        <v>71</v>
      </c>
      <c r="N73" s="140">
        <f>Data!BZ72</f>
        <v>0</v>
      </c>
      <c r="O73" s="32">
        <f t="shared" ca="1" si="80"/>
        <v>6901087.9172620336</v>
      </c>
      <c r="P73" s="32">
        <f t="shared" ca="1" si="74"/>
        <v>6569220.9431178765</v>
      </c>
      <c r="Q73" s="32">
        <f t="shared" ca="1" si="75"/>
        <v>302497.22263595182</v>
      </c>
      <c r="R73" s="50">
        <f t="shared" ca="1" si="76"/>
        <v>4.5842701363839215E-2</v>
      </c>
    </row>
    <row r="74" spans="1:18" x14ac:dyDescent="0.2">
      <c r="A74" s="2">
        <v>42705</v>
      </c>
      <c r="B74">
        <f t="shared" si="77"/>
        <v>2016</v>
      </c>
      <c r="C74">
        <f t="shared" si="78"/>
        <v>12</v>
      </c>
      <c r="D74" s="151">
        <f>Data!G73</f>
        <v>8092166.8722891547</v>
      </c>
      <c r="E74" s="151">
        <f>Data!H73</f>
        <v>331866.97414415696</v>
      </c>
      <c r="F74" s="151">
        <f>Data!I73</f>
        <v>8424033.8464333117</v>
      </c>
      <c r="G74" s="129">
        <f>Data!AR73</f>
        <v>483.99999999999989</v>
      </c>
      <c r="H74" s="129">
        <f>Data!AS73</f>
        <v>0</v>
      </c>
      <c r="I74" s="129">
        <f t="shared" ref="I74:J74" ca="1" si="86">I86</f>
        <v>451.35999999999996</v>
      </c>
      <c r="J74" s="129">
        <f t="shared" ca="1" si="86"/>
        <v>0</v>
      </c>
      <c r="K74" s="32">
        <f>Data!BW73</f>
        <v>0</v>
      </c>
      <c r="L74" s="32">
        <f>Data!AB73</f>
        <v>2625</v>
      </c>
      <c r="M74" s="32">
        <f>Data!BI73</f>
        <v>72</v>
      </c>
      <c r="N74" s="140">
        <f>Data!BZ73</f>
        <v>0</v>
      </c>
      <c r="O74" s="32">
        <f t="shared" ca="1" si="80"/>
        <v>8311741.5678672325</v>
      </c>
      <c r="P74" s="32">
        <f t="shared" ca="1" si="74"/>
        <v>7979874.5937230755</v>
      </c>
      <c r="Q74" s="32">
        <f t="shared" ca="1" si="75"/>
        <v>-112292.27856607921</v>
      </c>
      <c r="R74" s="50">
        <f t="shared" ca="1" si="76"/>
        <v>1.3329989006825173E-2</v>
      </c>
    </row>
    <row r="75" spans="1:18" x14ac:dyDescent="0.2">
      <c r="A75" s="2">
        <v>42736</v>
      </c>
      <c r="B75">
        <f t="shared" si="77"/>
        <v>2017</v>
      </c>
      <c r="C75">
        <f t="shared" si="78"/>
        <v>1</v>
      </c>
      <c r="D75" s="151">
        <f>Data!G74</f>
        <v>8536456.1253012065</v>
      </c>
      <c r="E75" s="151">
        <f>Data!H74</f>
        <v>425326.81217228295</v>
      </c>
      <c r="F75" s="151">
        <f>Data!I74</f>
        <v>8961782.937473489</v>
      </c>
      <c r="G75" s="129">
        <f>Data!AR74</f>
        <v>484.9</v>
      </c>
      <c r="H75" s="129">
        <f>Data!AS74</f>
        <v>0</v>
      </c>
      <c r="I75" s="129">
        <f t="shared" ref="I75:J75" ca="1" si="87">I87</f>
        <v>563.5</v>
      </c>
      <c r="J75" s="129">
        <f t="shared" ca="1" si="87"/>
        <v>0</v>
      </c>
      <c r="K75" s="32">
        <f>Data!BW74</f>
        <v>0</v>
      </c>
      <c r="L75" s="32">
        <f>Data!AB74</f>
        <v>2632</v>
      </c>
      <c r="M75" s="32">
        <f>Data!BI74</f>
        <v>73</v>
      </c>
      <c r="N75" s="140">
        <f>Data!BZ74</f>
        <v>0</v>
      </c>
      <c r="O75" s="32">
        <f t="shared" ca="1" si="80"/>
        <v>9232192.652402835</v>
      </c>
      <c r="P75" s="32">
        <f t="shared" ca="1" si="74"/>
        <v>8806865.8402305525</v>
      </c>
      <c r="Q75" s="32">
        <f t="shared" ca="1" si="75"/>
        <v>270409.714929346</v>
      </c>
      <c r="R75" s="50">
        <f t="shared" ca="1" si="76"/>
        <v>3.0173651472703494E-2</v>
      </c>
    </row>
    <row r="76" spans="1:18" x14ac:dyDescent="0.2">
      <c r="A76" s="2">
        <v>42767</v>
      </c>
      <c r="B76">
        <f t="shared" si="77"/>
        <v>2017</v>
      </c>
      <c r="C76">
        <f t="shared" si="78"/>
        <v>2</v>
      </c>
      <c r="D76" s="151">
        <f>Data!G75</f>
        <v>7050356.7518072287</v>
      </c>
      <c r="E76" s="151">
        <f>Data!H75</f>
        <v>425326.81217228295</v>
      </c>
      <c r="F76" s="151">
        <f>Data!I75</f>
        <v>7475683.5639795121</v>
      </c>
      <c r="G76" s="129">
        <f>Data!AR75</f>
        <v>398.4</v>
      </c>
      <c r="H76" s="129">
        <f>Data!AS75</f>
        <v>0</v>
      </c>
      <c r="I76" s="129">
        <f t="shared" ref="I76:J76" ca="1" si="88">I88</f>
        <v>516.6099999999999</v>
      </c>
      <c r="J76" s="129">
        <f t="shared" ca="1" si="88"/>
        <v>0</v>
      </c>
      <c r="K76" s="32">
        <f>Data!BW75</f>
        <v>0</v>
      </c>
      <c r="L76" s="32">
        <f>Data!AB75</f>
        <v>2632</v>
      </c>
      <c r="M76" s="32">
        <f>Data!BI75</f>
        <v>74</v>
      </c>
      <c r="N76" s="140">
        <f>Data!BZ75</f>
        <v>0</v>
      </c>
      <c r="O76" s="32">
        <f t="shared" ca="1" si="80"/>
        <v>7882364.6377937347</v>
      </c>
      <c r="P76" s="32">
        <f t="shared" ca="1" si="74"/>
        <v>7457037.8256214522</v>
      </c>
      <c r="Q76" s="32">
        <f t="shared" ca="1" si="75"/>
        <v>406681.07381422259</v>
      </c>
      <c r="R76" s="50">
        <f t="shared" ca="1" si="76"/>
        <v>5.4400520077355317E-2</v>
      </c>
    </row>
    <row r="77" spans="1:18" x14ac:dyDescent="0.2">
      <c r="A77" s="2">
        <v>42795</v>
      </c>
      <c r="B77">
        <f t="shared" si="77"/>
        <v>2017</v>
      </c>
      <c r="C77">
        <f t="shared" si="78"/>
        <v>3</v>
      </c>
      <c r="D77" s="151">
        <f>Data!G76</f>
        <v>7960777.1951807197</v>
      </c>
      <c r="E77" s="151">
        <f>Data!H76</f>
        <v>425326.81217228295</v>
      </c>
      <c r="F77" s="151">
        <f>Data!I76</f>
        <v>8386104.0073530022</v>
      </c>
      <c r="G77" s="129">
        <f>Data!AR76</f>
        <v>450</v>
      </c>
      <c r="H77" s="129">
        <f>Data!AS76</f>
        <v>0</v>
      </c>
      <c r="I77" s="129">
        <f t="shared" ref="I77:J77" ca="1" si="89">I89</f>
        <v>409.90999999999997</v>
      </c>
      <c r="J77" s="129">
        <f t="shared" ca="1" si="89"/>
        <v>1.1599999999999999</v>
      </c>
      <c r="K77" s="32">
        <f>Data!BW76</f>
        <v>0</v>
      </c>
      <c r="L77" s="32">
        <f>Data!AB76</f>
        <v>2641</v>
      </c>
      <c r="M77" s="32">
        <f>Data!BI76</f>
        <v>75</v>
      </c>
      <c r="N77" s="140">
        <f>Data!BZ76</f>
        <v>0</v>
      </c>
      <c r="O77" s="32">
        <f t="shared" ca="1" si="80"/>
        <v>8253941.7567687603</v>
      </c>
      <c r="P77" s="32">
        <f t="shared" ca="1" si="74"/>
        <v>7828614.9445964769</v>
      </c>
      <c r="Q77" s="32">
        <f t="shared" ca="1" si="75"/>
        <v>-132162.25058424193</v>
      </c>
      <c r="R77" s="50">
        <f t="shared" ca="1" si="76"/>
        <v>1.5759672246893317E-2</v>
      </c>
    </row>
    <row r="78" spans="1:18" x14ac:dyDescent="0.2">
      <c r="A78" s="2">
        <v>42826</v>
      </c>
      <c r="B78">
        <f t="shared" si="77"/>
        <v>2017</v>
      </c>
      <c r="C78">
        <f t="shared" si="78"/>
        <v>4</v>
      </c>
      <c r="D78" s="151">
        <f>Data!G77</f>
        <v>6536291.9132530158</v>
      </c>
      <c r="E78" s="151">
        <f>Data!H77</f>
        <v>425326.81217228295</v>
      </c>
      <c r="F78" s="151">
        <f>Data!I77</f>
        <v>6961618.7254252993</v>
      </c>
      <c r="G78" s="129">
        <f>Data!AR77</f>
        <v>145.9</v>
      </c>
      <c r="H78" s="129">
        <f>Data!AS77</f>
        <v>8.3999999999999986</v>
      </c>
      <c r="I78" s="129">
        <f t="shared" ref="I78:J78" ca="1" si="90">I90</f>
        <v>227.5</v>
      </c>
      <c r="J78" s="129">
        <f t="shared" ca="1" si="90"/>
        <v>2.3099999999999996</v>
      </c>
      <c r="K78" s="32">
        <f>Data!BW77</f>
        <v>0</v>
      </c>
      <c r="L78" s="32">
        <f>Data!AB77</f>
        <v>2638</v>
      </c>
      <c r="M78" s="32">
        <f>Data!BI77</f>
        <v>76</v>
      </c>
      <c r="N78" s="140">
        <f>Data!BZ77</f>
        <v>0</v>
      </c>
      <c r="O78" s="32">
        <f t="shared" ca="1" si="80"/>
        <v>7212106.9788140412</v>
      </c>
      <c r="P78" s="32">
        <f t="shared" ca="1" si="74"/>
        <v>6786780.1666417588</v>
      </c>
      <c r="Q78" s="32">
        <f t="shared" ca="1" si="75"/>
        <v>250488.25338874198</v>
      </c>
      <c r="R78" s="50">
        <f t="shared" ca="1" si="76"/>
        <v>3.5981323204889989E-2</v>
      </c>
    </row>
    <row r="79" spans="1:18" x14ac:dyDescent="0.2">
      <c r="A79" s="2">
        <v>42856</v>
      </c>
      <c r="B79">
        <f t="shared" si="77"/>
        <v>2017</v>
      </c>
      <c r="C79">
        <f t="shared" si="78"/>
        <v>5</v>
      </c>
      <c r="D79" s="151">
        <f>Data!G78</f>
        <v>6062612.0385542186</v>
      </c>
      <c r="E79" s="151">
        <f>Data!H78</f>
        <v>425326.81217228295</v>
      </c>
      <c r="F79" s="151">
        <f>Data!I78</f>
        <v>6487938.850726502</v>
      </c>
      <c r="G79" s="129">
        <f>Data!AR78</f>
        <v>82.59999999999998</v>
      </c>
      <c r="H79" s="129">
        <f>Data!AS78</f>
        <v>38.6</v>
      </c>
      <c r="I79" s="129">
        <f t="shared" ref="I79:J79" ca="1" si="91">I91</f>
        <v>59.269999999999982</v>
      </c>
      <c r="J79" s="129">
        <f t="shared" ca="1" si="91"/>
        <v>70.86</v>
      </c>
      <c r="K79" s="32">
        <f>Data!BW78</f>
        <v>0</v>
      </c>
      <c r="L79" s="32">
        <f>Data!AB78</f>
        <v>2624</v>
      </c>
      <c r="M79" s="32">
        <f>Data!BI78</f>
        <v>77</v>
      </c>
      <c r="N79" s="140">
        <f>Data!BZ78</f>
        <v>0</v>
      </c>
      <c r="O79" s="32">
        <f t="shared" ca="1" si="80"/>
        <v>6567876.5454656836</v>
      </c>
      <c r="P79" s="32">
        <f t="shared" ca="1" si="74"/>
        <v>6142549.7332934011</v>
      </c>
      <c r="Q79" s="32">
        <f t="shared" ca="1" si="75"/>
        <v>79937.694739181548</v>
      </c>
      <c r="R79" s="50">
        <f t="shared" ca="1" si="76"/>
        <v>1.2320969198134525E-2</v>
      </c>
    </row>
    <row r="80" spans="1:18" x14ac:dyDescent="0.2">
      <c r="A80" s="2">
        <v>42887</v>
      </c>
      <c r="B80">
        <f t="shared" si="77"/>
        <v>2017</v>
      </c>
      <c r="C80">
        <f t="shared" si="78"/>
        <v>6</v>
      </c>
      <c r="D80" s="151">
        <f>Data!G79</f>
        <v>6670926.1301204795</v>
      </c>
      <c r="E80" s="151">
        <f>Data!H79</f>
        <v>425326.81217228295</v>
      </c>
      <c r="F80" s="151">
        <f>Data!I79</f>
        <v>7096252.9422927629</v>
      </c>
      <c r="G80" s="129">
        <f>Data!AR79</f>
        <v>0.70000000000000107</v>
      </c>
      <c r="H80" s="129">
        <f>Data!AS79</f>
        <v>162.19999999999999</v>
      </c>
      <c r="I80" s="129">
        <f t="shared" ref="I80:J80" ca="1" si="92">I92</f>
        <v>1.85</v>
      </c>
      <c r="J80" s="129">
        <f t="shared" ca="1" si="92"/>
        <v>171.74</v>
      </c>
      <c r="K80" s="32">
        <f>Data!BW79</f>
        <v>0</v>
      </c>
      <c r="L80" s="32">
        <f>Data!AB79</f>
        <v>2633</v>
      </c>
      <c r="M80" s="32">
        <f>Data!BI79</f>
        <v>78</v>
      </c>
      <c r="N80" s="140">
        <f>Data!BZ79</f>
        <v>0</v>
      </c>
      <c r="O80" s="32">
        <f t="shared" ca="1" si="80"/>
        <v>7147584.1800187249</v>
      </c>
      <c r="P80" s="32">
        <f t="shared" ca="1" si="74"/>
        <v>6722257.3678464424</v>
      </c>
      <c r="Q80" s="32">
        <f t="shared" ca="1" si="75"/>
        <v>51331.237725961953</v>
      </c>
      <c r="R80" s="50">
        <f t="shared" ca="1" si="76"/>
        <v>7.2335693419317568E-3</v>
      </c>
    </row>
    <row r="81" spans="1:34" x14ac:dyDescent="0.2">
      <c r="A81" s="2">
        <v>42917</v>
      </c>
      <c r="B81">
        <f t="shared" si="77"/>
        <v>2017</v>
      </c>
      <c r="C81">
        <f t="shared" si="78"/>
        <v>7</v>
      </c>
      <c r="D81" s="151">
        <f>Data!G80</f>
        <v>6544660.1638554176</v>
      </c>
      <c r="E81" s="151">
        <f>Data!H80</f>
        <v>425326.81217228295</v>
      </c>
      <c r="F81" s="151">
        <f>Data!I80</f>
        <v>6969986.9760277011</v>
      </c>
      <c r="G81" s="129">
        <f>Data!AR80</f>
        <v>0</v>
      </c>
      <c r="H81" s="129">
        <f>Data!AS80</f>
        <v>240.50000000000009</v>
      </c>
      <c r="I81" s="129">
        <f t="shared" ref="I81:J81" ca="1" si="93">I93</f>
        <v>0</v>
      </c>
      <c r="J81" s="129">
        <f t="shared" ca="1" si="93"/>
        <v>269.41000000000003</v>
      </c>
      <c r="K81" s="32">
        <f>Data!BW80</f>
        <v>0</v>
      </c>
      <c r="L81" s="32">
        <f>Data!AB80</f>
        <v>2648</v>
      </c>
      <c r="M81" s="32">
        <f>Data!BI80</f>
        <v>79</v>
      </c>
      <c r="N81" s="140">
        <f>Data!BZ80</f>
        <v>0</v>
      </c>
      <c r="O81" s="32">
        <f t="shared" ca="1" si="80"/>
        <v>7113551.6768314503</v>
      </c>
      <c r="P81" s="32">
        <f t="shared" ca="1" si="74"/>
        <v>6688224.8646591678</v>
      </c>
      <c r="Q81" s="32">
        <f t="shared" ca="1" si="75"/>
        <v>143564.70080374926</v>
      </c>
      <c r="R81" s="50">
        <f t="shared" ca="1" si="76"/>
        <v>2.0597556537411053E-2</v>
      </c>
    </row>
    <row r="82" spans="1:34" x14ac:dyDescent="0.2">
      <c r="A82" s="2">
        <v>42948</v>
      </c>
      <c r="B82">
        <f t="shared" si="77"/>
        <v>2017</v>
      </c>
      <c r="C82">
        <f t="shared" si="78"/>
        <v>8</v>
      </c>
      <c r="D82" s="151">
        <f>Data!G81</f>
        <v>7044220.3084337329</v>
      </c>
      <c r="E82" s="151">
        <f>Data!H81</f>
        <v>425326.81217228295</v>
      </c>
      <c r="F82" s="151">
        <f>Data!I81</f>
        <v>7469547.1206060164</v>
      </c>
      <c r="G82" s="129">
        <f>Data!AR81</f>
        <v>0</v>
      </c>
      <c r="H82" s="129">
        <f>Data!AS81</f>
        <v>187.60000000000002</v>
      </c>
      <c r="I82" s="129">
        <f t="shared" ref="I82:J82" ca="1" si="94">I94</f>
        <v>0</v>
      </c>
      <c r="J82" s="129">
        <f t="shared" ca="1" si="94"/>
        <v>242.46000000000004</v>
      </c>
      <c r="K82" s="32">
        <f>Data!BW81</f>
        <v>0</v>
      </c>
      <c r="L82" s="32">
        <f>Data!AB81</f>
        <v>2658</v>
      </c>
      <c r="M82" s="32">
        <f>Data!BI81</f>
        <v>80</v>
      </c>
      <c r="N82" s="140">
        <f>Data!BZ81</f>
        <v>0</v>
      </c>
      <c r="O82" s="32">
        <f t="shared" ca="1" si="80"/>
        <v>7741977.4037638744</v>
      </c>
      <c r="P82" s="32">
        <f t="shared" ca="1" si="74"/>
        <v>7316650.591591591</v>
      </c>
      <c r="Q82" s="32">
        <f t="shared" ca="1" si="75"/>
        <v>272430.28315785807</v>
      </c>
      <c r="R82" s="50">
        <f t="shared" ca="1" si="76"/>
        <v>3.6472128598842732E-2</v>
      </c>
      <c r="AE82"/>
      <c r="AF82"/>
    </row>
    <row r="83" spans="1:34" x14ac:dyDescent="0.2">
      <c r="A83" s="2">
        <v>42979</v>
      </c>
      <c r="B83">
        <f t="shared" si="77"/>
        <v>2017</v>
      </c>
      <c r="C83">
        <f t="shared" si="78"/>
        <v>9</v>
      </c>
      <c r="D83" s="151">
        <f>Data!G82</f>
        <v>6545898.053012046</v>
      </c>
      <c r="E83" s="151">
        <f>Data!H82</f>
        <v>425326.81217228295</v>
      </c>
      <c r="F83" s="151">
        <f>Data!I82</f>
        <v>6971224.8651843295</v>
      </c>
      <c r="G83" s="129">
        <f>Data!AR82</f>
        <v>7.7000000000000011</v>
      </c>
      <c r="H83" s="129">
        <f>Data!AS82</f>
        <v>150.10000000000002</v>
      </c>
      <c r="I83" s="129">
        <f t="shared" ref="I83:J83" ca="1" si="95">I95</f>
        <v>10.66</v>
      </c>
      <c r="J83" s="129">
        <f t="shared" ca="1" si="95"/>
        <v>124.26999999999998</v>
      </c>
      <c r="K83" s="32">
        <f>Data!BW82</f>
        <v>1</v>
      </c>
      <c r="L83" s="32">
        <f>Data!AB82</f>
        <v>2656</v>
      </c>
      <c r="M83" s="32">
        <f>Data!BI82</f>
        <v>81</v>
      </c>
      <c r="N83" s="140">
        <f>Data!BZ82</f>
        <v>0</v>
      </c>
      <c r="O83" s="32">
        <f t="shared" ca="1" si="80"/>
        <v>6853138.5614370136</v>
      </c>
      <c r="P83" s="32">
        <f t="shared" ca="1" si="74"/>
        <v>6427811.7492647301</v>
      </c>
      <c r="Q83" s="32">
        <f t="shared" ca="1" si="75"/>
        <v>-118086.30374731589</v>
      </c>
      <c r="R83" s="50">
        <f t="shared" ca="1" si="76"/>
        <v>1.6939104107380348E-2</v>
      </c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H83" s="5">
        <f>SUM(U83:AF83)</f>
        <v>0</v>
      </c>
    </row>
    <row r="84" spans="1:34" x14ac:dyDescent="0.2">
      <c r="A84" s="2">
        <v>43009</v>
      </c>
      <c r="B84">
        <f t="shared" si="77"/>
        <v>2017</v>
      </c>
      <c r="C84">
        <f t="shared" si="78"/>
        <v>10</v>
      </c>
      <c r="D84" s="151">
        <f>Data!G83</f>
        <v>5870284.5879518026</v>
      </c>
      <c r="E84" s="151">
        <f>Data!H83</f>
        <v>425326.81217228295</v>
      </c>
      <c r="F84" s="151">
        <f>Data!I83</f>
        <v>6295611.4001240861</v>
      </c>
      <c r="G84" s="129">
        <f>Data!AR83</f>
        <v>70.000000000000014</v>
      </c>
      <c r="H84" s="129">
        <f>Data!AS83</f>
        <v>48.1</v>
      </c>
      <c r="I84" s="129">
        <f t="shared" ref="I84:J84" ca="1" si="96">I96</f>
        <v>118.80999999999999</v>
      </c>
      <c r="J84" s="129">
        <f t="shared" ca="1" si="96"/>
        <v>23.209999999999997</v>
      </c>
      <c r="K84" s="32">
        <f>Data!BW83</f>
        <v>1</v>
      </c>
      <c r="L84" s="32">
        <f>Data!AB83</f>
        <v>2655</v>
      </c>
      <c r="M84" s="32">
        <f>Data!BI83</f>
        <v>82</v>
      </c>
      <c r="N84" s="140">
        <f>Data!BZ83</f>
        <v>0</v>
      </c>
      <c r="O84" s="32">
        <f t="shared" ca="1" si="80"/>
        <v>6339932.0600436609</v>
      </c>
      <c r="P84" s="32">
        <f t="shared" ca="1" si="74"/>
        <v>5914605.2478713784</v>
      </c>
      <c r="Q84" s="32">
        <f t="shared" ca="1" si="75"/>
        <v>44320.659919574857</v>
      </c>
      <c r="R84" s="50">
        <f t="shared" ca="1" si="76"/>
        <v>7.0399294211045647E-3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H84" s="5">
        <f t="shared" ref="AH84:AH93" si="97">SUM(U84:AF84)</f>
        <v>0</v>
      </c>
    </row>
    <row r="85" spans="1:34" x14ac:dyDescent="0.2">
      <c r="A85" s="2">
        <v>43040</v>
      </c>
      <c r="B85">
        <f t="shared" si="77"/>
        <v>2017</v>
      </c>
      <c r="C85">
        <f t="shared" si="78"/>
        <v>11</v>
      </c>
      <c r="D85" s="151">
        <f>Data!G84</f>
        <v>6629922.1975903567</v>
      </c>
      <c r="E85" s="151">
        <f>Data!H84</f>
        <v>425326.81217228295</v>
      </c>
      <c r="F85" s="151">
        <f>Data!I84</f>
        <v>7055249.0097626392</v>
      </c>
      <c r="G85" s="129">
        <f>Data!AR84</f>
        <v>309.40000000000003</v>
      </c>
      <c r="H85" s="129">
        <f>Data!AS84</f>
        <v>0</v>
      </c>
      <c r="I85" s="129">
        <f t="shared" ref="I85:J85" ca="1" si="98">I97</f>
        <v>307.13</v>
      </c>
      <c r="J85" s="129">
        <f t="shared" ca="1" si="98"/>
        <v>0.89</v>
      </c>
      <c r="K85" s="32">
        <f>Data!BW84</f>
        <v>1</v>
      </c>
      <c r="L85" s="32">
        <f>Data!AB84</f>
        <v>2671</v>
      </c>
      <c r="M85" s="32">
        <f>Data!BI84</f>
        <v>83</v>
      </c>
      <c r="N85" s="140">
        <f>Data!BZ84</f>
        <v>0</v>
      </c>
      <c r="O85" s="32">
        <f t="shared" ca="1" si="80"/>
        <v>7051859.1344766924</v>
      </c>
      <c r="P85" s="32">
        <f t="shared" ca="1" si="74"/>
        <v>6626532.322304409</v>
      </c>
      <c r="Q85" s="32">
        <f t="shared" ca="1" si="75"/>
        <v>-3389.8752859467641</v>
      </c>
      <c r="R85" s="50">
        <f t="shared" ca="1" si="76"/>
        <v>4.8047564037159479E-4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H85" s="5">
        <f t="shared" si="97"/>
        <v>0</v>
      </c>
    </row>
    <row r="86" spans="1:34" x14ac:dyDescent="0.2">
      <c r="A86" s="2">
        <v>43070</v>
      </c>
      <c r="B86">
        <f t="shared" si="77"/>
        <v>2017</v>
      </c>
      <c r="C86">
        <f t="shared" si="78"/>
        <v>12</v>
      </c>
      <c r="D86" s="151">
        <f>Data!G85</f>
        <v>7447066.4385542134</v>
      </c>
      <c r="E86" s="151">
        <f>Data!H85</f>
        <v>425326.81217228295</v>
      </c>
      <c r="F86" s="151">
        <f>Data!I85</f>
        <v>7872393.2507264968</v>
      </c>
      <c r="G86" s="129">
        <f>Data!AR85</f>
        <v>594.49999999999989</v>
      </c>
      <c r="H86" s="129">
        <f>Data!AS85</f>
        <v>0</v>
      </c>
      <c r="I86" s="129">
        <f t="shared" ref="I86:J86" ca="1" si="99">I98</f>
        <v>451.35999999999996</v>
      </c>
      <c r="J86" s="129">
        <f t="shared" ca="1" si="99"/>
        <v>0</v>
      </c>
      <c r="K86" s="32">
        <f>Data!BW85</f>
        <v>0</v>
      </c>
      <c r="L86" s="32">
        <f>Data!AB85</f>
        <v>2668</v>
      </c>
      <c r="M86" s="32">
        <f>Data!BI85</f>
        <v>84</v>
      </c>
      <c r="N86" s="140">
        <f>Data!BZ85</f>
        <v>0</v>
      </c>
      <c r="O86" s="32">
        <f t="shared" ca="1" si="80"/>
        <v>7379944.8207648369</v>
      </c>
      <c r="P86" s="32">
        <f t="shared" ca="1" si="74"/>
        <v>6954618.0085925534</v>
      </c>
      <c r="Q86" s="32">
        <f t="shared" ca="1" si="75"/>
        <v>-492448.42996165995</v>
      </c>
      <c r="R86" s="50">
        <f t="shared" ca="1" si="76"/>
        <v>6.2553840271662595E-2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H86" s="5">
        <f t="shared" si="97"/>
        <v>0</v>
      </c>
    </row>
    <row r="87" spans="1:34" x14ac:dyDescent="0.2">
      <c r="A87" s="2">
        <v>43101</v>
      </c>
      <c r="B87">
        <f t="shared" si="77"/>
        <v>2018</v>
      </c>
      <c r="C87">
        <f t="shared" si="78"/>
        <v>1</v>
      </c>
      <c r="D87" s="151">
        <f>Data!G86</f>
        <v>8456682.110843366</v>
      </c>
      <c r="E87" s="151">
        <f>Data!H86</f>
        <v>516993.78053170216</v>
      </c>
      <c r="F87" s="151">
        <f>Data!I86</f>
        <v>8973675.8913750686</v>
      </c>
      <c r="G87" s="129">
        <f>Data!AR86</f>
        <v>608.29999999999984</v>
      </c>
      <c r="H87" s="129">
        <f>Data!AS86</f>
        <v>0</v>
      </c>
      <c r="I87" s="129">
        <f t="shared" ref="I87:J87" ca="1" si="100">I99</f>
        <v>563.5</v>
      </c>
      <c r="J87" s="129">
        <f t="shared" ca="1" si="100"/>
        <v>0</v>
      </c>
      <c r="K87" s="32">
        <f>Data!BW86</f>
        <v>0</v>
      </c>
      <c r="L87" s="32">
        <f>Data!AB86</f>
        <v>2666</v>
      </c>
      <c r="M87" s="32">
        <f>Data!BI86</f>
        <v>85</v>
      </c>
      <c r="N87" s="140">
        <f>Data!BZ86</f>
        <v>0</v>
      </c>
      <c r="O87" s="32">
        <f t="shared" ca="1" si="80"/>
        <v>8819549.2345196661</v>
      </c>
      <c r="P87" s="32">
        <f t="shared" ca="1" si="74"/>
        <v>8302555.4539879635</v>
      </c>
      <c r="Q87" s="32">
        <f t="shared" ca="1" si="75"/>
        <v>-154126.65685540251</v>
      </c>
      <c r="R87" s="50">
        <f t="shared" ca="1" si="76"/>
        <v>1.7175420498921668E-2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H87" s="5">
        <f t="shared" si="97"/>
        <v>0</v>
      </c>
    </row>
    <row r="88" spans="1:34" x14ac:dyDescent="0.2">
      <c r="A88" s="2">
        <v>43132</v>
      </c>
      <c r="B88">
        <f t="shared" si="77"/>
        <v>2018</v>
      </c>
      <c r="C88">
        <f t="shared" si="78"/>
        <v>2</v>
      </c>
      <c r="D88" s="151">
        <f>Data!G87</f>
        <v>7043598.3132530134</v>
      </c>
      <c r="E88" s="151">
        <f>Data!H87</f>
        <v>516993.78053170216</v>
      </c>
      <c r="F88" s="151">
        <f>Data!I87</f>
        <v>7560592.093784716</v>
      </c>
      <c r="G88" s="129">
        <f>Data!AR87</f>
        <v>443.00000000000011</v>
      </c>
      <c r="H88" s="129">
        <f>Data!AS87</f>
        <v>0</v>
      </c>
      <c r="I88" s="129">
        <f t="shared" ref="I88:J88" ca="1" si="101">I100</f>
        <v>516.6099999999999</v>
      </c>
      <c r="J88" s="129">
        <f t="shared" ca="1" si="101"/>
        <v>0</v>
      </c>
      <c r="K88" s="32">
        <f>Data!BW87</f>
        <v>0</v>
      </c>
      <c r="L88" s="32">
        <f>Data!AB87</f>
        <v>2673</v>
      </c>
      <c r="M88" s="32">
        <f>Data!BI87</f>
        <v>86</v>
      </c>
      <c r="N88" s="140">
        <f>Data!BZ87</f>
        <v>0</v>
      </c>
      <c r="O88" s="32">
        <f t="shared" ca="1" si="80"/>
        <v>7813834.5761759253</v>
      </c>
      <c r="P88" s="32">
        <f t="shared" ca="1" si="74"/>
        <v>7296840.7956442228</v>
      </c>
      <c r="Q88" s="32">
        <f t="shared" ca="1" si="75"/>
        <v>253242.48239120934</v>
      </c>
      <c r="R88" s="50">
        <f t="shared" ca="1" si="76"/>
        <v>3.3495059546909116E-2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H88" s="5">
        <f t="shared" si="97"/>
        <v>0</v>
      </c>
    </row>
    <row r="89" spans="1:34" x14ac:dyDescent="0.2">
      <c r="A89" s="2">
        <v>43160</v>
      </c>
      <c r="B89">
        <f t="shared" si="77"/>
        <v>2018</v>
      </c>
      <c r="C89">
        <f t="shared" si="78"/>
        <v>3</v>
      </c>
      <c r="D89" s="151">
        <f>Data!G88</f>
        <v>7715573.493975902</v>
      </c>
      <c r="E89" s="151">
        <f>Data!H88</f>
        <v>516993.78053170216</v>
      </c>
      <c r="F89" s="151">
        <f>Data!I88</f>
        <v>8232567.2745076045</v>
      </c>
      <c r="G89" s="129">
        <f>Data!AR88</f>
        <v>430</v>
      </c>
      <c r="H89" s="129">
        <f>Data!AS88</f>
        <v>0</v>
      </c>
      <c r="I89" s="129">
        <f t="shared" ref="I89:J89" ca="1" si="102">I101</f>
        <v>409.90999999999997</v>
      </c>
      <c r="J89" s="129">
        <f t="shared" ca="1" si="102"/>
        <v>1.1599999999999999</v>
      </c>
      <c r="K89" s="32">
        <f>Data!BW88</f>
        <v>0</v>
      </c>
      <c r="L89" s="32">
        <f>Data!AB88</f>
        <v>2677</v>
      </c>
      <c r="M89" s="32">
        <f>Data!BI88</f>
        <v>87</v>
      </c>
      <c r="N89" s="140">
        <f>Data!BZ88</f>
        <v>0</v>
      </c>
      <c r="O89" s="32">
        <f t="shared" ca="1" si="80"/>
        <v>8169211.5671623824</v>
      </c>
      <c r="P89" s="32">
        <f t="shared" ca="1" si="74"/>
        <v>7652217.7866306799</v>
      </c>
      <c r="Q89" s="32">
        <f t="shared" ca="1" si="75"/>
        <v>-63355.707345222123</v>
      </c>
      <c r="R89" s="50">
        <f t="shared" ca="1" si="76"/>
        <v>7.6957412229603029E-3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H89" s="5">
        <f t="shared" si="97"/>
        <v>0</v>
      </c>
    </row>
    <row r="90" spans="1:34" x14ac:dyDescent="0.2">
      <c r="A90" s="2">
        <v>43191</v>
      </c>
      <c r="B90">
        <f t="shared" si="77"/>
        <v>2018</v>
      </c>
      <c r="C90">
        <f t="shared" si="78"/>
        <v>4</v>
      </c>
      <c r="D90" s="151">
        <f>Data!G89</f>
        <v>6658362.8048192756</v>
      </c>
      <c r="E90" s="151">
        <f>Data!H89</f>
        <v>516993.78053170216</v>
      </c>
      <c r="F90" s="151">
        <f>Data!I89</f>
        <v>7175356.5853509782</v>
      </c>
      <c r="G90" s="129">
        <f>Data!AR89</f>
        <v>317.2</v>
      </c>
      <c r="H90" s="129">
        <f>Data!AS89</f>
        <v>0</v>
      </c>
      <c r="I90" s="129">
        <f t="shared" ref="I90:J90" ca="1" si="103">I102</f>
        <v>227.5</v>
      </c>
      <c r="J90" s="129">
        <f t="shared" ca="1" si="103"/>
        <v>2.3099999999999996</v>
      </c>
      <c r="K90" s="32">
        <f>Data!BW89</f>
        <v>0</v>
      </c>
      <c r="L90" s="32">
        <f>Data!AB89</f>
        <v>2679</v>
      </c>
      <c r="M90" s="32">
        <f>Data!BI89</f>
        <v>88</v>
      </c>
      <c r="N90" s="140">
        <f>Data!BZ89</f>
        <v>0</v>
      </c>
      <c r="O90" s="32">
        <f t="shared" ca="1" si="80"/>
        <v>6878230.5104167704</v>
      </c>
      <c r="P90" s="32">
        <f t="shared" ca="1" si="74"/>
        <v>6361236.7298850678</v>
      </c>
      <c r="Q90" s="32">
        <f t="shared" ca="1" si="75"/>
        <v>-297126.07493420783</v>
      </c>
      <c r="R90" s="50">
        <f t="shared" ca="1" si="76"/>
        <v>4.1409241673203076E-2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H90" s="5">
        <f t="shared" si="97"/>
        <v>0</v>
      </c>
    </row>
    <row r="91" spans="1:34" x14ac:dyDescent="0.2">
      <c r="A91" s="2">
        <v>43221</v>
      </c>
      <c r="B91">
        <f t="shared" si="77"/>
        <v>2018</v>
      </c>
      <c r="C91">
        <f t="shared" si="78"/>
        <v>5</v>
      </c>
      <c r="D91" s="151">
        <f>Data!G90</f>
        <v>6587285.6771084294</v>
      </c>
      <c r="E91" s="151">
        <f>Data!H90</f>
        <v>516993.78053170216</v>
      </c>
      <c r="F91" s="151">
        <f>Data!I90</f>
        <v>7104279.4576401319</v>
      </c>
      <c r="G91" s="129">
        <f>Data!AR90</f>
        <v>15</v>
      </c>
      <c r="H91" s="129">
        <f>Data!AS90</f>
        <v>107.10000000000001</v>
      </c>
      <c r="I91" s="129">
        <f t="shared" ref="I91:J91" ca="1" si="104">I103</f>
        <v>59.269999999999982</v>
      </c>
      <c r="J91" s="129">
        <f t="shared" ca="1" si="104"/>
        <v>70.86</v>
      </c>
      <c r="K91" s="32">
        <f>Data!BW90</f>
        <v>0</v>
      </c>
      <c r="L91" s="32">
        <f>Data!AB90</f>
        <v>2673</v>
      </c>
      <c r="M91" s="32">
        <f>Data!BI90</f>
        <v>89</v>
      </c>
      <c r="N91" s="140">
        <f>Data!BZ90</f>
        <v>0</v>
      </c>
      <c r="O91" s="32">
        <f t="shared" ca="1" si="80"/>
        <v>7076617.8584595118</v>
      </c>
      <c r="P91" s="32">
        <f t="shared" ca="1" si="74"/>
        <v>6559624.0779278092</v>
      </c>
      <c r="Q91" s="32">
        <f t="shared" ca="1" si="75"/>
        <v>-27661.599180620164</v>
      </c>
      <c r="R91" s="50">
        <f t="shared" ca="1" si="76"/>
        <v>3.8936530221755482E-3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H91" s="5">
        <f t="shared" si="97"/>
        <v>0</v>
      </c>
    </row>
    <row r="92" spans="1:34" x14ac:dyDescent="0.2">
      <c r="A92" s="2">
        <v>43252</v>
      </c>
      <c r="B92">
        <f t="shared" si="77"/>
        <v>2018</v>
      </c>
      <c r="C92">
        <f t="shared" si="78"/>
        <v>6</v>
      </c>
      <c r="D92" s="151">
        <f>Data!G91</f>
        <v>7073215.3156626513</v>
      </c>
      <c r="E92" s="151">
        <f>Data!H91</f>
        <v>516993.78053170216</v>
      </c>
      <c r="F92" s="151">
        <f>Data!I91</f>
        <v>7590209.0961943539</v>
      </c>
      <c r="G92" s="129">
        <f>Data!AR91</f>
        <v>1.6999999999999993</v>
      </c>
      <c r="H92" s="129">
        <f>Data!AS91</f>
        <v>167.39999999999998</v>
      </c>
      <c r="I92" s="129">
        <f t="shared" ref="I92:J92" ca="1" si="105">I104</f>
        <v>1.85</v>
      </c>
      <c r="J92" s="129">
        <f t="shared" ca="1" si="105"/>
        <v>171.74</v>
      </c>
      <c r="K92" s="32">
        <f>Data!BW91</f>
        <v>0</v>
      </c>
      <c r="L92" s="32">
        <f>Data!AB91</f>
        <v>2677</v>
      </c>
      <c r="M92" s="32">
        <f>Data!BI91</f>
        <v>90</v>
      </c>
      <c r="N92" s="140">
        <f>Data!BZ91</f>
        <v>0</v>
      </c>
      <c r="O92" s="32">
        <f t="shared" ca="1" si="80"/>
        <v>7612277.2311035916</v>
      </c>
      <c r="P92" s="32">
        <f t="shared" ca="1" si="74"/>
        <v>7095283.4505718891</v>
      </c>
      <c r="Q92" s="32">
        <f t="shared" ca="1" si="75"/>
        <v>22068.134909237735</v>
      </c>
      <c r="R92" s="50">
        <f t="shared" ca="1" si="76"/>
        <v>2.9074475590273861E-3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H92" s="5">
        <f t="shared" si="97"/>
        <v>0</v>
      </c>
    </row>
    <row r="93" spans="1:34" x14ac:dyDescent="0.2">
      <c r="A93" s="2">
        <v>43282</v>
      </c>
      <c r="B93">
        <f t="shared" si="77"/>
        <v>2018</v>
      </c>
      <c r="C93">
        <f t="shared" si="78"/>
        <v>7</v>
      </c>
      <c r="D93" s="151">
        <f>Data!G92</f>
        <v>7168019.7397590335</v>
      </c>
      <c r="E93" s="151">
        <f>Data!H92</f>
        <v>516993.78053170216</v>
      </c>
      <c r="F93" s="151">
        <f>Data!I92</f>
        <v>7685013.5202907361</v>
      </c>
      <c r="G93" s="129">
        <f>Data!AR92</f>
        <v>0</v>
      </c>
      <c r="H93" s="129">
        <f>Data!AS92</f>
        <v>291.79999999999995</v>
      </c>
      <c r="I93" s="129">
        <f t="shared" ref="I93:J93" ca="1" si="106">I105</f>
        <v>0</v>
      </c>
      <c r="J93" s="129">
        <f t="shared" ca="1" si="106"/>
        <v>269.41000000000003</v>
      </c>
      <c r="K93" s="32">
        <f>Data!BW92</f>
        <v>0</v>
      </c>
      <c r="L93" s="32">
        <f>Data!AB92</f>
        <v>2686</v>
      </c>
      <c r="M93" s="32">
        <f>Data!BI92</f>
        <v>91</v>
      </c>
      <c r="N93" s="140">
        <f>Data!BZ92</f>
        <v>0</v>
      </c>
      <c r="O93" s="32">
        <f t="shared" ca="1" si="80"/>
        <v>7573826.6074233567</v>
      </c>
      <c r="P93" s="32">
        <f t="shared" ca="1" si="74"/>
        <v>7056832.8268916542</v>
      </c>
      <c r="Q93" s="32">
        <f t="shared" ca="1" si="75"/>
        <v>-111186.91286737937</v>
      </c>
      <c r="R93" s="50">
        <f t="shared" ca="1" si="76"/>
        <v>1.446801786019148E-2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H93" s="5">
        <f t="shared" si="97"/>
        <v>0</v>
      </c>
    </row>
    <row r="94" spans="1:34" x14ac:dyDescent="0.2">
      <c r="A94" s="2">
        <v>43313</v>
      </c>
      <c r="B94">
        <f t="shared" si="77"/>
        <v>2018</v>
      </c>
      <c r="C94">
        <f t="shared" si="78"/>
        <v>8</v>
      </c>
      <c r="D94" s="151">
        <f>Data!G93</f>
        <v>7788838.81445783</v>
      </c>
      <c r="E94" s="151">
        <f>Data!H93</f>
        <v>516993.78053170216</v>
      </c>
      <c r="F94" s="151">
        <f>Data!I93</f>
        <v>8305832.5949895326</v>
      </c>
      <c r="G94" s="129">
        <f>Data!AR93</f>
        <v>0</v>
      </c>
      <c r="H94" s="129">
        <f>Data!AS93</f>
        <v>285.2</v>
      </c>
      <c r="I94" s="129">
        <f t="shared" ref="I94:J94" ca="1" si="107">I106</f>
        <v>0</v>
      </c>
      <c r="J94" s="129">
        <f t="shared" ca="1" si="107"/>
        <v>242.46000000000004</v>
      </c>
      <c r="K94" s="32">
        <f>Data!BW93</f>
        <v>0</v>
      </c>
      <c r="L94" s="32">
        <f>Data!AB93</f>
        <v>2693</v>
      </c>
      <c r="M94" s="32">
        <f>Data!BI93</f>
        <v>92</v>
      </c>
      <c r="N94" s="140">
        <f>Data!BZ93</f>
        <v>0</v>
      </c>
      <c r="O94" s="32">
        <f t="shared" ca="1" si="80"/>
        <v>8093589.2427808773</v>
      </c>
      <c r="P94" s="32">
        <f t="shared" ca="1" si="74"/>
        <v>7576595.4622491747</v>
      </c>
      <c r="Q94" s="32">
        <f t="shared" ca="1" si="75"/>
        <v>-212243.35220865533</v>
      </c>
      <c r="R94" s="50">
        <f t="shared" ca="1" si="76"/>
        <v>2.5553531182014245E-2</v>
      </c>
    </row>
    <row r="95" spans="1:34" x14ac:dyDescent="0.2">
      <c r="A95" s="2">
        <v>43344</v>
      </c>
      <c r="B95">
        <f t="shared" si="77"/>
        <v>2018</v>
      </c>
      <c r="C95">
        <f t="shared" si="78"/>
        <v>9</v>
      </c>
      <c r="D95" s="151">
        <f>Data!G94</f>
        <v>6718606.6602409622</v>
      </c>
      <c r="E95" s="151">
        <f>Data!H94</f>
        <v>516993.78053170216</v>
      </c>
      <c r="F95" s="151">
        <f>Data!I94</f>
        <v>7235600.4407726647</v>
      </c>
      <c r="G95" s="129">
        <f>Data!AR94</f>
        <v>8.7000000000000011</v>
      </c>
      <c r="H95" s="129">
        <f>Data!AS94</f>
        <v>158.5</v>
      </c>
      <c r="I95" s="129">
        <f t="shared" ref="I95:J95" ca="1" si="108">I107</f>
        <v>10.66</v>
      </c>
      <c r="J95" s="129">
        <f t="shared" ca="1" si="108"/>
        <v>124.26999999999998</v>
      </c>
      <c r="K95" s="32">
        <f>Data!BW94</f>
        <v>1</v>
      </c>
      <c r="L95" s="32">
        <f>Data!AB94</f>
        <v>2702</v>
      </c>
      <c r="M95" s="32">
        <f>Data!BI94</f>
        <v>93</v>
      </c>
      <c r="N95" s="140">
        <f>Data!BZ94</f>
        <v>0</v>
      </c>
      <c r="O95" s="32">
        <f t="shared" ca="1" si="80"/>
        <v>7072360.0953441486</v>
      </c>
      <c r="P95" s="32">
        <f t="shared" ca="1" si="74"/>
        <v>6555366.314812446</v>
      </c>
      <c r="Q95" s="32">
        <f t="shared" ca="1" si="75"/>
        <v>-163240.34542851616</v>
      </c>
      <c r="R95" s="50">
        <f t="shared" ca="1" si="76"/>
        <v>2.2560718597541062E-2</v>
      </c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</row>
    <row r="96" spans="1:34" x14ac:dyDescent="0.2">
      <c r="A96" s="2">
        <v>43374</v>
      </c>
      <c r="B96">
        <f t="shared" si="77"/>
        <v>2018</v>
      </c>
      <c r="C96">
        <f t="shared" si="78"/>
        <v>10</v>
      </c>
      <c r="D96" s="151">
        <f>Data!G95</f>
        <v>6341396.2313253004</v>
      </c>
      <c r="E96" s="151">
        <f>Data!H95</f>
        <v>516993.78053170216</v>
      </c>
      <c r="F96" s="151">
        <f>Data!I95</f>
        <v>6858390.011857003</v>
      </c>
      <c r="G96" s="129">
        <f>Data!AR95</f>
        <v>175.3</v>
      </c>
      <c r="H96" s="129">
        <f>Data!AS95</f>
        <v>18.100000000000001</v>
      </c>
      <c r="I96" s="129">
        <f t="shared" ref="I96:J96" ca="1" si="109">I108</f>
        <v>118.80999999999999</v>
      </c>
      <c r="J96" s="129">
        <f t="shared" ca="1" si="109"/>
        <v>23.209999999999997</v>
      </c>
      <c r="K96" s="32">
        <f>Data!BW95</f>
        <v>1</v>
      </c>
      <c r="L96" s="32">
        <f>Data!AB95</f>
        <v>2700</v>
      </c>
      <c r="M96" s="32">
        <f>Data!BI95</f>
        <v>94</v>
      </c>
      <c r="N96" s="140">
        <f>Data!BZ95</f>
        <v>0</v>
      </c>
      <c r="O96" s="32">
        <f t="shared" ca="1" si="80"/>
        <v>6689421.7734776028</v>
      </c>
      <c r="P96" s="32">
        <f t="shared" ca="1" si="74"/>
        <v>6172427.9929459002</v>
      </c>
      <c r="Q96" s="32">
        <f t="shared" ca="1" si="75"/>
        <v>-168968.23837940022</v>
      </c>
      <c r="R96" s="50">
        <f t="shared" ca="1" si="76"/>
        <v>2.4636720584172458E-2</v>
      </c>
    </row>
    <row r="97" spans="1:39" x14ac:dyDescent="0.2">
      <c r="A97" s="2">
        <v>43405</v>
      </c>
      <c r="B97">
        <f t="shared" si="77"/>
        <v>2018</v>
      </c>
      <c r="C97">
        <f t="shared" si="78"/>
        <v>11</v>
      </c>
      <c r="D97" s="151">
        <f>Data!G96</f>
        <v>6327373.6674698787</v>
      </c>
      <c r="E97" s="151">
        <f>Data!H96</f>
        <v>516993.78053170216</v>
      </c>
      <c r="F97" s="151">
        <f>Data!I96</f>
        <v>6844367.4480015812</v>
      </c>
      <c r="G97" s="129">
        <f>Data!AR96</f>
        <v>374.10000000000008</v>
      </c>
      <c r="H97" s="129">
        <f>Data!AS96</f>
        <v>0</v>
      </c>
      <c r="I97" s="129">
        <f t="shared" ref="I97:J97" ca="1" si="110">I109</f>
        <v>307.13</v>
      </c>
      <c r="J97" s="129">
        <f t="shared" ca="1" si="110"/>
        <v>0.89</v>
      </c>
      <c r="K97" s="32">
        <f>Data!BW96</f>
        <v>1</v>
      </c>
      <c r="L97" s="32">
        <f>Data!AB96</f>
        <v>2703</v>
      </c>
      <c r="M97" s="32">
        <f>Data!BI96</f>
        <v>95</v>
      </c>
      <c r="N97" s="140">
        <f>Data!BZ96</f>
        <v>0</v>
      </c>
      <c r="O97" s="32">
        <f t="shared" ca="1" si="80"/>
        <v>6618388.4053374073</v>
      </c>
      <c r="P97" s="32">
        <f t="shared" ca="1" si="74"/>
        <v>6101394.6248057047</v>
      </c>
      <c r="Q97" s="32">
        <f t="shared" ca="1" si="75"/>
        <v>-225979.04266417399</v>
      </c>
      <c r="R97" s="50">
        <f t="shared" ca="1" si="76"/>
        <v>3.3016789992792596E-2</v>
      </c>
    </row>
    <row r="98" spans="1:39" x14ac:dyDescent="0.2">
      <c r="A98" s="2">
        <v>43435</v>
      </c>
      <c r="B98">
        <f t="shared" si="77"/>
        <v>2018</v>
      </c>
      <c r="C98">
        <f t="shared" si="78"/>
        <v>12</v>
      </c>
      <c r="D98" s="151">
        <f>Data!G97</f>
        <v>8214792.0096385563</v>
      </c>
      <c r="E98" s="151">
        <f>Data!H97</f>
        <v>516993.78053170216</v>
      </c>
      <c r="F98" s="151">
        <f>Data!I97</f>
        <v>8731785.7901702579</v>
      </c>
      <c r="G98" s="129">
        <f>Data!AR97</f>
        <v>439.59999999999997</v>
      </c>
      <c r="H98" s="129">
        <f>Data!AS97</f>
        <v>0</v>
      </c>
      <c r="I98" s="129">
        <f t="shared" ref="I98:J98" ca="1" si="111">I110</f>
        <v>451.35999999999996</v>
      </c>
      <c r="J98" s="129">
        <f t="shared" ca="1" si="111"/>
        <v>0</v>
      </c>
      <c r="K98" s="32">
        <f>Data!BW97</f>
        <v>0</v>
      </c>
      <c r="L98" s="32">
        <f>Data!AB97</f>
        <v>2702</v>
      </c>
      <c r="M98" s="32">
        <f>Data!BI97</f>
        <v>96</v>
      </c>
      <c r="N98" s="140">
        <f>Data!BZ97</f>
        <v>0</v>
      </c>
      <c r="O98" s="32">
        <f t="shared" ca="1" si="80"/>
        <v>8772244.0375948008</v>
      </c>
      <c r="P98" s="32">
        <f t="shared" ca="1" si="74"/>
        <v>8255250.2570630983</v>
      </c>
      <c r="Q98" s="32">
        <f t="shared" ca="1" si="75"/>
        <v>40458.247424542904</v>
      </c>
      <c r="R98" s="50">
        <f t="shared" ca="1" si="76"/>
        <v>4.6334447954607949E-3</v>
      </c>
    </row>
    <row r="99" spans="1:39" s="9" customFormat="1" x14ac:dyDescent="0.2">
      <c r="A99" s="2">
        <v>43466</v>
      </c>
      <c r="B99">
        <f t="shared" si="77"/>
        <v>2019</v>
      </c>
      <c r="C99">
        <f t="shared" si="78"/>
        <v>1</v>
      </c>
      <c r="D99" s="151">
        <f>Data!G98</f>
        <v>8493510.5734939743</v>
      </c>
      <c r="E99" s="151">
        <f>Data!H98</f>
        <v>606940.22447486676</v>
      </c>
      <c r="F99" s="151">
        <f>Data!I98</f>
        <v>9100450.7979688402</v>
      </c>
      <c r="G99" s="129">
        <f>Data!AR98</f>
        <v>640.5</v>
      </c>
      <c r="H99" s="129">
        <f>Data!AS98</f>
        <v>0</v>
      </c>
      <c r="I99" s="129">
        <f t="shared" ref="I99:J99" ca="1" si="112">I111</f>
        <v>563.5</v>
      </c>
      <c r="J99" s="129">
        <f t="shared" ca="1" si="112"/>
        <v>0</v>
      </c>
      <c r="K99" s="32">
        <f>Data!BW98</f>
        <v>0</v>
      </c>
      <c r="L99" s="32">
        <f>Data!AB98</f>
        <v>2692</v>
      </c>
      <c r="M99" s="32">
        <f>Data!BI98</f>
        <v>97</v>
      </c>
      <c r="N99" s="140">
        <f>Data!BZ98</f>
        <v>0</v>
      </c>
      <c r="O99" s="32">
        <f t="shared" ca="1" si="80"/>
        <v>8835545.6064986158</v>
      </c>
      <c r="P99" s="32">
        <f t="shared" ref="P99:P127" ca="1" si="113">O99-E99</f>
        <v>8228605.3820237489</v>
      </c>
      <c r="Q99" s="32">
        <f t="shared" ref="Q99:Q127" ca="1" si="114">+O99-F99</f>
        <v>-264905.19147022441</v>
      </c>
      <c r="R99" s="50">
        <f t="shared" ref="R99:R127" ca="1" si="115">ABS(Q99/F99)</f>
        <v>2.9109018591622897E-2</v>
      </c>
      <c r="S99"/>
      <c r="T99"/>
      <c r="U99"/>
      <c r="V99"/>
      <c r="W99"/>
      <c r="X99"/>
      <c r="Y99"/>
      <c r="Z99"/>
      <c r="AA99"/>
      <c r="AB99"/>
      <c r="AC99"/>
      <c r="AD99"/>
      <c r="AE99" s="39"/>
      <c r="AF99" s="39"/>
      <c r="AG99" s="39"/>
      <c r="AH99" s="39"/>
      <c r="AI99" s="39"/>
      <c r="AJ99" s="39"/>
      <c r="AK99" s="39"/>
      <c r="AL99" s="39"/>
      <c r="AM99" s="39"/>
    </row>
    <row r="100" spans="1:39" x14ac:dyDescent="0.2">
      <c r="A100" s="2">
        <v>43497</v>
      </c>
      <c r="B100">
        <f t="shared" si="77"/>
        <v>2019</v>
      </c>
      <c r="C100">
        <f t="shared" si="78"/>
        <v>2</v>
      </c>
      <c r="D100" s="151">
        <f>Data!G99</f>
        <v>7650394.8433734914</v>
      </c>
      <c r="E100" s="151">
        <f>Data!H99</f>
        <v>606940.22447486676</v>
      </c>
      <c r="F100" s="151">
        <f>Data!I99</f>
        <v>8257335.0678483583</v>
      </c>
      <c r="G100" s="129">
        <f>Data!AR99</f>
        <v>509.70000000000005</v>
      </c>
      <c r="H100" s="129">
        <f>Data!AS99</f>
        <v>0</v>
      </c>
      <c r="I100" s="129">
        <f t="shared" ref="I100:J100" ca="1" si="116">I112</f>
        <v>516.6099999999999</v>
      </c>
      <c r="J100" s="129">
        <f t="shared" ca="1" si="116"/>
        <v>0</v>
      </c>
      <c r="K100" s="32">
        <f>Data!BW99</f>
        <v>0</v>
      </c>
      <c r="L100" s="32">
        <f>Data!AB99</f>
        <v>2696</v>
      </c>
      <c r="M100" s="32">
        <f>Data!BI99</f>
        <v>98</v>
      </c>
      <c r="N100" s="140">
        <f>Data!BZ99</f>
        <v>0</v>
      </c>
      <c r="O100" s="32">
        <f t="shared" ca="1" si="80"/>
        <v>8281107.7285374394</v>
      </c>
      <c r="P100" s="32">
        <f t="shared" ca="1" si="113"/>
        <v>7674167.5040625725</v>
      </c>
      <c r="Q100" s="32">
        <f t="shared" ca="1" si="114"/>
        <v>23772.660689081065</v>
      </c>
      <c r="R100" s="50">
        <f t="shared" ca="1" si="115"/>
        <v>2.8789749348606228E-3</v>
      </c>
    </row>
    <row r="101" spans="1:39" x14ac:dyDescent="0.2">
      <c r="A101" s="2">
        <v>43525</v>
      </c>
      <c r="B101">
        <f t="shared" si="77"/>
        <v>2019</v>
      </c>
      <c r="C101">
        <f t="shared" si="78"/>
        <v>3</v>
      </c>
      <c r="D101" s="151">
        <f>Data!G100</f>
        <v>7603009.9566265009</v>
      </c>
      <c r="E101" s="151">
        <f>Data!H100</f>
        <v>606940.22447486676</v>
      </c>
      <c r="F101" s="151">
        <f>Data!I100</f>
        <v>8209950.1811013678</v>
      </c>
      <c r="G101" s="129">
        <f>Data!AR100</f>
        <v>469.9</v>
      </c>
      <c r="H101" s="129">
        <f>Data!AS100</f>
        <v>0</v>
      </c>
      <c r="I101" s="129">
        <f t="shared" ref="I101:J101" ca="1" si="117">I113</f>
        <v>409.90999999999997</v>
      </c>
      <c r="J101" s="129">
        <f t="shared" ca="1" si="117"/>
        <v>1.1599999999999999</v>
      </c>
      <c r="K101" s="32">
        <f>Data!BW100</f>
        <v>0</v>
      </c>
      <c r="L101" s="32">
        <f>Data!AB100</f>
        <v>2699</v>
      </c>
      <c r="M101" s="32">
        <f>Data!BI100</f>
        <v>99</v>
      </c>
      <c r="N101" s="140">
        <f>Data!BZ100</f>
        <v>0</v>
      </c>
      <c r="O101" s="32">
        <f t="shared" ca="1" si="80"/>
        <v>8009325.4199943021</v>
      </c>
      <c r="P101" s="32">
        <f t="shared" ca="1" si="113"/>
        <v>7402385.1955194352</v>
      </c>
      <c r="Q101" s="32">
        <f t="shared" ca="1" si="114"/>
        <v>-200624.76110706571</v>
      </c>
      <c r="R101" s="50">
        <f t="shared" ca="1" si="115"/>
        <v>2.4436781793011054E-2</v>
      </c>
    </row>
    <row r="102" spans="1:39" x14ac:dyDescent="0.2">
      <c r="A102" s="2">
        <v>43556</v>
      </c>
      <c r="B102">
        <f t="shared" si="77"/>
        <v>2019</v>
      </c>
      <c r="C102">
        <f t="shared" si="78"/>
        <v>4</v>
      </c>
      <c r="D102" s="151">
        <f>Data!G101</f>
        <v>6777657.9951807288</v>
      </c>
      <c r="E102" s="151">
        <f>Data!H101</f>
        <v>606940.22447486676</v>
      </c>
      <c r="F102" s="151">
        <f>Data!I101</f>
        <v>7384598.2196555957</v>
      </c>
      <c r="G102" s="129">
        <f>Data!AR101</f>
        <v>226.80000000000004</v>
      </c>
      <c r="H102" s="129">
        <f>Data!AS101</f>
        <v>0</v>
      </c>
      <c r="I102" s="129">
        <f t="shared" ref="I102:J102" ca="1" si="118">I114</f>
        <v>227.5</v>
      </c>
      <c r="J102" s="129">
        <f t="shared" ca="1" si="118"/>
        <v>2.3099999999999996</v>
      </c>
      <c r="K102" s="32">
        <f>Data!BW101</f>
        <v>0</v>
      </c>
      <c r="L102" s="32">
        <f>Data!AB101</f>
        <v>2695</v>
      </c>
      <c r="M102" s="32">
        <f>Data!BI101</f>
        <v>100</v>
      </c>
      <c r="N102" s="140">
        <f>Data!BZ101</f>
        <v>0</v>
      </c>
      <c r="O102" s="32">
        <f t="shared" ca="1" si="80"/>
        <v>7398477.7201617546</v>
      </c>
      <c r="P102" s="32">
        <f t="shared" ca="1" si="113"/>
        <v>6791537.4956868878</v>
      </c>
      <c r="Q102" s="32">
        <f t="shared" ca="1" si="114"/>
        <v>13879.500506158918</v>
      </c>
      <c r="R102" s="50">
        <f t="shared" ca="1" si="115"/>
        <v>1.8795200623394556E-3</v>
      </c>
    </row>
    <row r="103" spans="1:39" x14ac:dyDescent="0.2">
      <c r="A103" s="2">
        <v>43586</v>
      </c>
      <c r="B103">
        <f t="shared" si="77"/>
        <v>2019</v>
      </c>
      <c r="C103">
        <f t="shared" si="78"/>
        <v>5</v>
      </c>
      <c r="D103" s="151">
        <f>Data!G102</f>
        <v>6404967.7975903675</v>
      </c>
      <c r="E103" s="151">
        <f>Data!H102</f>
        <v>606940.22447486676</v>
      </c>
      <c r="F103" s="151">
        <f>Data!I102</f>
        <v>7011908.0220652344</v>
      </c>
      <c r="G103" s="129">
        <f>Data!AR102</f>
        <v>87.700000000000017</v>
      </c>
      <c r="H103" s="129">
        <f>Data!AS102</f>
        <v>18.7</v>
      </c>
      <c r="I103" s="129">
        <f t="shared" ref="I103:J103" ca="1" si="119">I115</f>
        <v>59.269999999999982</v>
      </c>
      <c r="J103" s="129">
        <f t="shared" ca="1" si="119"/>
        <v>70.86</v>
      </c>
      <c r="K103" s="32">
        <f>Data!BW102</f>
        <v>0</v>
      </c>
      <c r="L103" s="32">
        <f>Data!AB102</f>
        <v>2691</v>
      </c>
      <c r="M103" s="32">
        <f>Data!BI102</f>
        <v>101</v>
      </c>
      <c r="N103" s="140">
        <f>Data!BZ102</f>
        <v>0</v>
      </c>
      <c r="O103" s="32">
        <f t="shared" ca="1" si="80"/>
        <v>7173121.8243419249</v>
      </c>
      <c r="P103" s="32">
        <f t="shared" ca="1" si="113"/>
        <v>6566181.599867058</v>
      </c>
      <c r="Q103" s="32">
        <f t="shared" ca="1" si="114"/>
        <v>161213.80227669049</v>
      </c>
      <c r="R103" s="50">
        <f t="shared" ca="1" si="115"/>
        <v>2.2991431400608674E-2</v>
      </c>
    </row>
    <row r="104" spans="1:39" x14ac:dyDescent="0.2">
      <c r="A104" s="2">
        <v>43617</v>
      </c>
      <c r="B104">
        <f t="shared" si="77"/>
        <v>2019</v>
      </c>
      <c r="C104">
        <f t="shared" si="78"/>
        <v>6</v>
      </c>
      <c r="D104" s="151">
        <f>Data!G103</f>
        <v>6035483.3349397592</v>
      </c>
      <c r="E104" s="151">
        <f>Data!H103</f>
        <v>606940.22447486676</v>
      </c>
      <c r="F104" s="151">
        <f>Data!I103</f>
        <v>6642423.5594146261</v>
      </c>
      <c r="G104" s="129">
        <f>Data!AR103</f>
        <v>4.2000000000000011</v>
      </c>
      <c r="H104" s="129">
        <f>Data!AS103</f>
        <v>130</v>
      </c>
      <c r="I104" s="129">
        <f t="shared" ref="I104:J104" ca="1" si="120">I116</f>
        <v>1.85</v>
      </c>
      <c r="J104" s="129">
        <f t="shared" ca="1" si="120"/>
        <v>171.74</v>
      </c>
      <c r="K104" s="32">
        <f>Data!BW103</f>
        <v>0</v>
      </c>
      <c r="L104" s="32">
        <f>Data!AB103</f>
        <v>2687</v>
      </c>
      <c r="M104" s="32">
        <f>Data!BI103</f>
        <v>102</v>
      </c>
      <c r="N104" s="140">
        <f>Data!BZ103</f>
        <v>0</v>
      </c>
      <c r="O104" s="32">
        <f t="shared" ca="1" si="80"/>
        <v>6841616.2243975494</v>
      </c>
      <c r="P104" s="32">
        <f t="shared" ca="1" si="113"/>
        <v>6234675.9999226825</v>
      </c>
      <c r="Q104" s="32">
        <f t="shared" ca="1" si="114"/>
        <v>199192.66498292331</v>
      </c>
      <c r="R104" s="50">
        <f t="shared" ca="1" si="115"/>
        <v>2.9987949910330238E-2</v>
      </c>
    </row>
    <row r="105" spans="1:39" x14ac:dyDescent="0.2">
      <c r="A105" s="2">
        <v>43647</v>
      </c>
      <c r="B105">
        <f t="shared" si="77"/>
        <v>2019</v>
      </c>
      <c r="C105">
        <f t="shared" si="78"/>
        <v>7</v>
      </c>
      <c r="D105" s="151">
        <f>Data!G104</f>
        <v>7346858.1783132479</v>
      </c>
      <c r="E105" s="151">
        <f>Data!H104</f>
        <v>606940.22447486676</v>
      </c>
      <c r="F105" s="151">
        <f>Data!I104</f>
        <v>7953798.4027881147</v>
      </c>
      <c r="G105" s="129">
        <f>Data!AR104</f>
        <v>0</v>
      </c>
      <c r="H105" s="129">
        <f>Data!AS104</f>
        <v>290.89999999999992</v>
      </c>
      <c r="I105" s="129">
        <f t="shared" ref="I105:J105" ca="1" si="121">I117</f>
        <v>0</v>
      </c>
      <c r="J105" s="129">
        <f t="shared" ca="1" si="121"/>
        <v>269.41000000000003</v>
      </c>
      <c r="K105" s="32">
        <f>Data!BW104</f>
        <v>0</v>
      </c>
      <c r="L105" s="32">
        <f>Data!AB104</f>
        <v>2688</v>
      </c>
      <c r="M105" s="32">
        <f>Data!BI104</f>
        <v>103</v>
      </c>
      <c r="N105" s="140">
        <f>Data!BZ104</f>
        <v>0</v>
      </c>
      <c r="O105" s="32">
        <f t="shared" ca="1" si="80"/>
        <v>7847080.8164763693</v>
      </c>
      <c r="P105" s="32">
        <f t="shared" ca="1" si="113"/>
        <v>7240140.5920015024</v>
      </c>
      <c r="Q105" s="32">
        <f t="shared" ca="1" si="114"/>
        <v>-106717.58631174546</v>
      </c>
      <c r="R105" s="50">
        <f t="shared" ca="1" si="115"/>
        <v>1.3417185212330351E-2</v>
      </c>
    </row>
    <row r="106" spans="1:39" x14ac:dyDescent="0.2">
      <c r="A106" s="2">
        <v>43678</v>
      </c>
      <c r="B106">
        <f t="shared" si="77"/>
        <v>2019</v>
      </c>
      <c r="C106">
        <f t="shared" si="78"/>
        <v>8</v>
      </c>
      <c r="D106" s="151">
        <f>Data!G105</f>
        <v>7213289.7060240963</v>
      </c>
      <c r="E106" s="151">
        <f>Data!H105</f>
        <v>606940.22447486676</v>
      </c>
      <c r="F106" s="151">
        <f>Data!I105</f>
        <v>7820229.9304989632</v>
      </c>
      <c r="G106" s="129">
        <f>Data!AR105</f>
        <v>0</v>
      </c>
      <c r="H106" s="129">
        <f>Data!AS105</f>
        <v>226.40000000000006</v>
      </c>
      <c r="I106" s="129">
        <f t="shared" ref="I106:J106" ca="1" si="122">I118</f>
        <v>0</v>
      </c>
      <c r="J106" s="129">
        <f t="shared" ca="1" si="122"/>
        <v>242.46000000000004</v>
      </c>
      <c r="K106" s="32">
        <f>Data!BW105</f>
        <v>0</v>
      </c>
      <c r="L106" s="32">
        <f>Data!AB105</f>
        <v>2684</v>
      </c>
      <c r="M106" s="32">
        <f>Data!BI105</f>
        <v>104</v>
      </c>
      <c r="N106" s="140">
        <f>Data!BZ105</f>
        <v>0</v>
      </c>
      <c r="O106" s="32">
        <f t="shared" ca="1" si="80"/>
        <v>7899982.579925051</v>
      </c>
      <c r="P106" s="32">
        <f t="shared" ca="1" si="113"/>
        <v>7293042.3554501841</v>
      </c>
      <c r="Q106" s="32">
        <f t="shared" ca="1" si="114"/>
        <v>79752.649426087737</v>
      </c>
      <c r="R106" s="50">
        <f t="shared" ca="1" si="115"/>
        <v>1.0198248662107967E-2</v>
      </c>
    </row>
    <row r="107" spans="1:39" x14ac:dyDescent="0.2">
      <c r="A107" s="2">
        <v>43709</v>
      </c>
      <c r="B107">
        <f t="shared" si="77"/>
        <v>2019</v>
      </c>
      <c r="C107">
        <f t="shared" si="78"/>
        <v>9</v>
      </c>
      <c r="D107" s="151">
        <f>Data!G106</f>
        <v>6412383.0746987946</v>
      </c>
      <c r="E107" s="151">
        <f>Data!H106</f>
        <v>606940.22447486676</v>
      </c>
      <c r="F107" s="151">
        <f>Data!I106</f>
        <v>7019323.2991736615</v>
      </c>
      <c r="G107" s="129">
        <f>Data!AR106</f>
        <v>2.5999999999999979</v>
      </c>
      <c r="H107" s="129">
        <f>Data!AS106</f>
        <v>109.6</v>
      </c>
      <c r="I107" s="129">
        <f t="shared" ref="I107:J107" ca="1" si="123">I119</f>
        <v>10.66</v>
      </c>
      <c r="J107" s="129">
        <f t="shared" ca="1" si="123"/>
        <v>124.26999999999998</v>
      </c>
      <c r="K107" s="32">
        <f>Data!BW106</f>
        <v>1</v>
      </c>
      <c r="L107" s="32">
        <f>Data!AB106</f>
        <v>2683</v>
      </c>
      <c r="M107" s="32">
        <f>Data!BI106</f>
        <v>105</v>
      </c>
      <c r="N107" s="140">
        <f>Data!BZ106</f>
        <v>0</v>
      </c>
      <c r="O107" s="32">
        <f t="shared" ca="1" si="80"/>
        <v>7119902.3589558182</v>
      </c>
      <c r="P107" s="32">
        <f t="shared" ca="1" si="113"/>
        <v>6512962.1344809514</v>
      </c>
      <c r="Q107" s="32">
        <f t="shared" ca="1" si="114"/>
        <v>100579.05978215672</v>
      </c>
      <c r="R107" s="50">
        <f t="shared" ca="1" si="115"/>
        <v>1.4328882642290779E-2</v>
      </c>
    </row>
    <row r="108" spans="1:39" x14ac:dyDescent="0.2">
      <c r="A108" s="2">
        <v>43739</v>
      </c>
      <c r="B108">
        <f t="shared" si="77"/>
        <v>2019</v>
      </c>
      <c r="C108">
        <f t="shared" si="78"/>
        <v>10</v>
      </c>
      <c r="D108" s="151">
        <f>Data!G107</f>
        <v>6175914.5445783148</v>
      </c>
      <c r="E108" s="151">
        <f>Data!H107</f>
        <v>606940.22447486676</v>
      </c>
      <c r="F108" s="151">
        <f>Data!I107</f>
        <v>6782854.7690531816</v>
      </c>
      <c r="G108" s="129">
        <f>Data!AR107</f>
        <v>119.39999999999999</v>
      </c>
      <c r="H108" s="129">
        <f>Data!AS107</f>
        <v>12.000000000000004</v>
      </c>
      <c r="I108" s="129">
        <f t="shared" ref="I108:J108" ca="1" si="124">I120</f>
        <v>118.80999999999999</v>
      </c>
      <c r="J108" s="129">
        <f t="shared" ca="1" si="124"/>
        <v>23.209999999999997</v>
      </c>
      <c r="K108" s="32">
        <f>Data!BW107</f>
        <v>1</v>
      </c>
      <c r="L108" s="32">
        <f>Data!AB107</f>
        <v>2694</v>
      </c>
      <c r="M108" s="32">
        <f>Data!BI107</f>
        <v>106</v>
      </c>
      <c r="N108" s="140">
        <f>Data!BZ107</f>
        <v>0</v>
      </c>
      <c r="O108" s="32">
        <f t="shared" ca="1" si="80"/>
        <v>6836492.9212372471</v>
      </c>
      <c r="P108" s="32">
        <f t="shared" ca="1" si="113"/>
        <v>6229552.6967623802</v>
      </c>
      <c r="Q108" s="32">
        <f t="shared" ca="1" si="114"/>
        <v>53638.152184065431</v>
      </c>
      <c r="R108" s="50">
        <f t="shared" ca="1" si="115"/>
        <v>7.9079022049520862E-3</v>
      </c>
    </row>
    <row r="109" spans="1:39" x14ac:dyDescent="0.2">
      <c r="A109" s="2">
        <v>43770</v>
      </c>
      <c r="B109">
        <f t="shared" si="77"/>
        <v>2019</v>
      </c>
      <c r="C109">
        <f t="shared" si="78"/>
        <v>11</v>
      </c>
      <c r="D109" s="151">
        <f>Data!G108</f>
        <v>6158689.3783132555</v>
      </c>
      <c r="E109" s="151">
        <f>Data!H108</f>
        <v>606940.22447486676</v>
      </c>
      <c r="F109" s="151">
        <f>Data!I108</f>
        <v>6765629.6027881224</v>
      </c>
      <c r="G109" s="129">
        <f>Data!AR108</f>
        <v>393.30000000000007</v>
      </c>
      <c r="H109" s="129">
        <f>Data!AS108</f>
        <v>0</v>
      </c>
      <c r="I109" s="129">
        <f t="shared" ref="I109:J109" ca="1" si="125">I121</f>
        <v>307.13</v>
      </c>
      <c r="J109" s="129">
        <f t="shared" ca="1" si="125"/>
        <v>0.89</v>
      </c>
      <c r="K109" s="32">
        <f>Data!BW108</f>
        <v>1</v>
      </c>
      <c r="L109" s="32">
        <f>Data!AB108</f>
        <v>2694</v>
      </c>
      <c r="M109" s="32">
        <f>Data!BI108</f>
        <v>107</v>
      </c>
      <c r="N109" s="140">
        <f>Data!BZ108</f>
        <v>0</v>
      </c>
      <c r="O109" s="32">
        <f t="shared" ca="1" si="80"/>
        <v>6473596.2786144894</v>
      </c>
      <c r="P109" s="32">
        <f t="shared" ca="1" si="113"/>
        <v>5866656.0541396225</v>
      </c>
      <c r="Q109" s="32">
        <f t="shared" ca="1" si="114"/>
        <v>-292033.32417363301</v>
      </c>
      <c r="R109" s="50">
        <f t="shared" ca="1" si="115"/>
        <v>4.3164249496201477E-2</v>
      </c>
    </row>
    <row r="110" spans="1:39" x14ac:dyDescent="0.2">
      <c r="A110" s="2">
        <v>43800</v>
      </c>
      <c r="B110">
        <f t="shared" si="77"/>
        <v>2019</v>
      </c>
      <c r="C110">
        <f t="shared" si="78"/>
        <v>12</v>
      </c>
      <c r="D110" s="151">
        <f>Data!G109</f>
        <v>7536491.3638554169</v>
      </c>
      <c r="E110" s="151">
        <f>Data!H109</f>
        <v>606940.22447486676</v>
      </c>
      <c r="F110" s="151">
        <f>Data!I109</f>
        <v>8143431.5883302838</v>
      </c>
      <c r="G110" s="129">
        <f>Data!AR109</f>
        <v>458.39999999999992</v>
      </c>
      <c r="H110" s="129">
        <f>Data!AS109</f>
        <v>0</v>
      </c>
      <c r="I110" s="129">
        <f t="shared" ref="I110:J110" ca="1" si="126">I122</f>
        <v>451.35999999999996</v>
      </c>
      <c r="J110" s="129">
        <f t="shared" ca="1" si="126"/>
        <v>0</v>
      </c>
      <c r="K110" s="32">
        <f>Data!BW109</f>
        <v>0</v>
      </c>
      <c r="L110" s="32">
        <f>Data!AB109</f>
        <v>2697</v>
      </c>
      <c r="M110" s="32">
        <f>Data!BI109</f>
        <v>108</v>
      </c>
      <c r="N110" s="140">
        <f>Data!BZ109</f>
        <v>0</v>
      </c>
      <c r="O110" s="32">
        <f t="shared" ca="1" si="80"/>
        <v>8119211.685110149</v>
      </c>
      <c r="P110" s="32">
        <f t="shared" ca="1" si="113"/>
        <v>7512271.4606352821</v>
      </c>
      <c r="Q110" s="32">
        <f t="shared" ca="1" si="114"/>
        <v>-24219.903220134787</v>
      </c>
      <c r="R110" s="50">
        <f t="shared" ca="1" si="115"/>
        <v>2.9741642644659089E-3</v>
      </c>
    </row>
    <row r="111" spans="1:39" x14ac:dyDescent="0.2">
      <c r="A111" s="2">
        <v>43831</v>
      </c>
      <c r="B111">
        <f t="shared" si="77"/>
        <v>2020</v>
      </c>
      <c r="C111">
        <f t="shared" si="78"/>
        <v>1</v>
      </c>
      <c r="D111" s="151">
        <f>Data!G110</f>
        <v>8484041.1759036183</v>
      </c>
      <c r="E111" s="151">
        <f>Data!H110</f>
        <v>649812.80140259408</v>
      </c>
      <c r="F111" s="151">
        <f>Data!I110</f>
        <v>9133853.9773062132</v>
      </c>
      <c r="G111" s="129">
        <f>Data!AR110</f>
        <v>481</v>
      </c>
      <c r="H111" s="129">
        <f>Data!AS110</f>
        <v>0</v>
      </c>
      <c r="I111" s="129">
        <f t="shared" ref="I111:J111" ca="1" si="127">I123</f>
        <v>563.5</v>
      </c>
      <c r="J111" s="129">
        <f t="shared" ca="1" si="127"/>
        <v>0</v>
      </c>
      <c r="K111" s="32">
        <f>Data!BW110</f>
        <v>0</v>
      </c>
      <c r="L111" s="32">
        <f>Data!AB110</f>
        <v>2693</v>
      </c>
      <c r="M111" s="32">
        <f>Data!BI110</f>
        <v>109</v>
      </c>
      <c r="N111" s="140">
        <f>Data!BZ110</f>
        <v>0</v>
      </c>
      <c r="O111" s="32">
        <f t="shared" ca="1" si="80"/>
        <v>9417680.9681671672</v>
      </c>
      <c r="P111" s="32">
        <f t="shared" ca="1" si="113"/>
        <v>8767868.1667645723</v>
      </c>
      <c r="Q111" s="32">
        <f t="shared" ca="1" si="114"/>
        <v>283826.99086095393</v>
      </c>
      <c r="R111" s="50">
        <f t="shared" ca="1" si="115"/>
        <v>3.1074176526813838E-2</v>
      </c>
      <c r="S111" s="12"/>
      <c r="AE111" s="39"/>
      <c r="AF111" s="39"/>
      <c r="AG111" s="39"/>
    </row>
    <row r="112" spans="1:39" x14ac:dyDescent="0.2">
      <c r="A112" s="2">
        <v>43862</v>
      </c>
      <c r="B112">
        <f t="shared" si="77"/>
        <v>2020</v>
      </c>
      <c r="C112">
        <f t="shared" si="78"/>
        <v>2</v>
      </c>
      <c r="D112" s="151">
        <f>Data!G111</f>
        <v>7437125.9180722833</v>
      </c>
      <c r="E112" s="151">
        <f>Data!H111</f>
        <v>649812.80140259408</v>
      </c>
      <c r="F112" s="151">
        <f>Data!I111</f>
        <v>8086938.7194748772</v>
      </c>
      <c r="G112" s="129">
        <f>Data!AR111</f>
        <v>495.8</v>
      </c>
      <c r="H112" s="129">
        <f>Data!AS111</f>
        <v>0</v>
      </c>
      <c r="I112" s="129">
        <f t="shared" ref="I112:J112" ca="1" si="128">I124</f>
        <v>516.6099999999999</v>
      </c>
      <c r="J112" s="129">
        <f t="shared" ca="1" si="128"/>
        <v>0</v>
      </c>
      <c r="K112" s="32">
        <f>Data!BW111</f>
        <v>0</v>
      </c>
      <c r="L112" s="32">
        <f>Data!AB111</f>
        <v>2694</v>
      </c>
      <c r="M112" s="32">
        <f>Data!BI111</f>
        <v>110</v>
      </c>
      <c r="N112" s="140">
        <f>Data!BZ111</f>
        <v>0</v>
      </c>
      <c r="O112" s="32">
        <f t="shared" ca="1" si="80"/>
        <v>8158531.9277150761</v>
      </c>
      <c r="P112" s="32">
        <f t="shared" ca="1" si="113"/>
        <v>7508719.1263124822</v>
      </c>
      <c r="Q112" s="32">
        <f t="shared" ca="1" si="114"/>
        <v>71593.208240198903</v>
      </c>
      <c r="R112" s="50">
        <f t="shared" ca="1" si="115"/>
        <v>8.852943088067295E-3</v>
      </c>
    </row>
    <row r="113" spans="1:18" x14ac:dyDescent="0.2">
      <c r="A113" s="2">
        <v>43891</v>
      </c>
      <c r="B113">
        <f t="shared" si="77"/>
        <v>2020</v>
      </c>
      <c r="C113">
        <f t="shared" si="78"/>
        <v>3</v>
      </c>
      <c r="D113" s="151">
        <f>Data!G112</f>
        <v>7029333.0698795123</v>
      </c>
      <c r="E113" s="151">
        <f>Data!H112</f>
        <v>649812.80140259408</v>
      </c>
      <c r="F113" s="151">
        <f>Data!I112</f>
        <v>7679145.8712821063</v>
      </c>
      <c r="G113" s="129">
        <f>Data!AR112</f>
        <v>334.7</v>
      </c>
      <c r="H113" s="129">
        <f>Data!AS112</f>
        <v>0</v>
      </c>
      <c r="I113" s="129">
        <f t="shared" ref="I113:J113" ca="1" si="129">I125</f>
        <v>409.90999999999997</v>
      </c>
      <c r="J113" s="129">
        <f t="shared" ca="1" si="129"/>
        <v>1.1599999999999999</v>
      </c>
      <c r="K113" s="32">
        <f>Data!BW112</f>
        <v>0</v>
      </c>
      <c r="L113" s="32">
        <f>Data!AB112</f>
        <v>2707</v>
      </c>
      <c r="M113" s="32">
        <f>Data!BI112</f>
        <v>111</v>
      </c>
      <c r="N113" s="140">
        <f>Data!BZ112</f>
        <v>0.5</v>
      </c>
      <c r="O113" s="32">
        <f t="shared" ca="1" si="80"/>
        <v>7943653.3424708107</v>
      </c>
      <c r="P113" s="32">
        <f t="shared" ca="1" si="113"/>
        <v>7293840.5410682168</v>
      </c>
      <c r="Q113" s="32">
        <f t="shared" ca="1" si="114"/>
        <v>264507.47118870448</v>
      </c>
      <c r="R113" s="50">
        <f t="shared" ca="1" si="115"/>
        <v>3.4444907756979809E-2</v>
      </c>
    </row>
    <row r="114" spans="1:18" x14ac:dyDescent="0.2">
      <c r="A114" s="2">
        <v>43922</v>
      </c>
      <c r="B114">
        <f t="shared" si="77"/>
        <v>2020</v>
      </c>
      <c r="C114">
        <f t="shared" si="78"/>
        <v>4</v>
      </c>
      <c r="D114" s="151">
        <f>Data!G113</f>
        <v>6060516.9927710835</v>
      </c>
      <c r="E114" s="151">
        <f>Data!H113</f>
        <v>649812.80140259408</v>
      </c>
      <c r="F114" s="151">
        <f>Data!I113</f>
        <v>6710329.7941736775</v>
      </c>
      <c r="G114" s="129">
        <f>Data!AR113</f>
        <v>242.3</v>
      </c>
      <c r="H114" s="129">
        <f>Data!AS113</f>
        <v>0</v>
      </c>
      <c r="I114" s="129">
        <f t="shared" ref="I114:J114" ca="1" si="130">I126</f>
        <v>227.5</v>
      </c>
      <c r="J114" s="129">
        <f t="shared" ca="1" si="130"/>
        <v>2.3099999999999996</v>
      </c>
      <c r="K114" s="32">
        <f>Data!BW113</f>
        <v>0</v>
      </c>
      <c r="L114" s="32">
        <f>Data!AB113</f>
        <v>2708</v>
      </c>
      <c r="M114" s="32">
        <f>Data!BI113</f>
        <v>112</v>
      </c>
      <c r="N114" s="140">
        <f>Data!BZ113</f>
        <v>1</v>
      </c>
      <c r="O114" s="32">
        <f t="shared" ca="1" si="80"/>
        <v>6670884.223669596</v>
      </c>
      <c r="P114" s="32">
        <f t="shared" ca="1" si="113"/>
        <v>6021071.4222670021</v>
      </c>
      <c r="Q114" s="32">
        <f t="shared" ca="1" si="114"/>
        <v>-39445.570504081436</v>
      </c>
      <c r="R114" s="50">
        <f t="shared" ca="1" si="115"/>
        <v>5.8783355980998901E-3</v>
      </c>
    </row>
    <row r="115" spans="1:18" x14ac:dyDescent="0.2">
      <c r="A115" s="2">
        <v>43952</v>
      </c>
      <c r="B115">
        <f t="shared" si="77"/>
        <v>2020</v>
      </c>
      <c r="C115">
        <f t="shared" si="78"/>
        <v>5</v>
      </c>
      <c r="D115" s="151">
        <f>Data!G114</f>
        <v>5500006.03373494</v>
      </c>
      <c r="E115" s="151">
        <f>Data!H114</f>
        <v>649812.80140259408</v>
      </c>
      <c r="F115" s="151">
        <f>Data!I114</f>
        <v>6149818.835137534</v>
      </c>
      <c r="G115" s="129">
        <f>Data!AR114</f>
        <v>116.19999999999999</v>
      </c>
      <c r="H115" s="129">
        <f>Data!AS114</f>
        <v>56.300000000000004</v>
      </c>
      <c r="I115" s="129">
        <f t="shared" ref="I115:J115" ca="1" si="131">I127</f>
        <v>59.269999999999982</v>
      </c>
      <c r="J115" s="129">
        <f t="shared" ca="1" si="131"/>
        <v>70.86</v>
      </c>
      <c r="K115" s="32">
        <f>Data!BW114</f>
        <v>0</v>
      </c>
      <c r="L115" s="32">
        <f>Data!AB114</f>
        <v>2709</v>
      </c>
      <c r="M115" s="32">
        <f>Data!BI114</f>
        <v>113</v>
      </c>
      <c r="N115" s="140">
        <f>Data!BZ114</f>
        <v>1</v>
      </c>
      <c r="O115" s="32">
        <f t="shared" ca="1" si="80"/>
        <v>6026264.7816410307</v>
      </c>
      <c r="P115" s="32">
        <f t="shared" ca="1" si="113"/>
        <v>5376451.9802384367</v>
      </c>
      <c r="Q115" s="32">
        <f t="shared" ca="1" si="114"/>
        <v>-123554.05349650327</v>
      </c>
      <c r="R115" s="50">
        <f t="shared" ca="1" si="115"/>
        <v>2.0090681824733805E-2</v>
      </c>
    </row>
    <row r="116" spans="1:18" x14ac:dyDescent="0.2">
      <c r="A116" s="2">
        <v>43983</v>
      </c>
      <c r="B116">
        <f t="shared" si="77"/>
        <v>2020</v>
      </c>
      <c r="C116">
        <f t="shared" si="78"/>
        <v>6</v>
      </c>
      <c r="D116" s="151">
        <f>Data!G115</f>
        <v>6178943.248192776</v>
      </c>
      <c r="E116" s="151">
        <f>Data!H115</f>
        <v>649812.80140259408</v>
      </c>
      <c r="F116" s="151">
        <f>Data!I115</f>
        <v>6828756.04959537</v>
      </c>
      <c r="G116" s="129">
        <f>Data!AR115</f>
        <v>2.0999999999999996</v>
      </c>
      <c r="H116" s="129">
        <f>Data!AS115</f>
        <v>196.00000000000003</v>
      </c>
      <c r="I116" s="129">
        <f t="shared" ref="I116:J116" ca="1" si="132">I128</f>
        <v>1.85</v>
      </c>
      <c r="J116" s="129">
        <f t="shared" ca="1" si="132"/>
        <v>171.74</v>
      </c>
      <c r="K116" s="32">
        <f>Data!BW115</f>
        <v>0</v>
      </c>
      <c r="L116" s="32">
        <f>Data!AB115</f>
        <v>2721</v>
      </c>
      <c r="M116" s="32">
        <f>Data!BI115</f>
        <v>114</v>
      </c>
      <c r="N116" s="140">
        <f>Data!BZ115</f>
        <v>0.5</v>
      </c>
      <c r="O116" s="32">
        <f t="shared" ca="1" si="80"/>
        <v>6707422.787538575</v>
      </c>
      <c r="P116" s="32">
        <f t="shared" ca="1" si="113"/>
        <v>6057609.986135981</v>
      </c>
      <c r="Q116" s="32">
        <f t="shared" ca="1" si="114"/>
        <v>-121333.26205679495</v>
      </c>
      <c r="R116" s="50">
        <f t="shared" ca="1" si="115"/>
        <v>1.7767988953710599E-2</v>
      </c>
    </row>
    <row r="117" spans="1:18" x14ac:dyDescent="0.2">
      <c r="A117" s="2">
        <v>44013</v>
      </c>
      <c r="B117">
        <f t="shared" si="77"/>
        <v>2020</v>
      </c>
      <c r="C117">
        <f t="shared" si="78"/>
        <v>7</v>
      </c>
      <c r="D117" s="151">
        <f>Data!G116</f>
        <v>7125657.9277108368</v>
      </c>
      <c r="E117" s="151">
        <f>Data!H116</f>
        <v>649812.80140259408</v>
      </c>
      <c r="F117" s="151">
        <f>Data!I116</f>
        <v>7775470.7291134307</v>
      </c>
      <c r="G117" s="129">
        <f>Data!AR116</f>
        <v>0</v>
      </c>
      <c r="H117" s="129">
        <f>Data!AS116</f>
        <v>339.70000000000005</v>
      </c>
      <c r="I117" s="129">
        <f t="shared" ref="I117:J117" ca="1" si="133">I129</f>
        <v>0</v>
      </c>
      <c r="J117" s="129">
        <f t="shared" ca="1" si="133"/>
        <v>269.41000000000003</v>
      </c>
      <c r="K117" s="32">
        <f>Data!BW116</f>
        <v>0</v>
      </c>
      <c r="L117" s="32">
        <f>Data!AB116</f>
        <v>2724</v>
      </c>
      <c r="M117" s="32">
        <f>Data!BI116</f>
        <v>115</v>
      </c>
      <c r="N117" s="140">
        <f>Data!BZ116</f>
        <v>0.5</v>
      </c>
      <c r="O117" s="32">
        <f t="shared" ca="1" si="80"/>
        <v>7426416.3251184281</v>
      </c>
      <c r="P117" s="32">
        <f t="shared" ca="1" si="113"/>
        <v>6776603.5237158341</v>
      </c>
      <c r="Q117" s="32">
        <f t="shared" ca="1" si="114"/>
        <v>-349054.40399500262</v>
      </c>
      <c r="R117" s="50">
        <f t="shared" ca="1" si="115"/>
        <v>4.4891739182818871E-2</v>
      </c>
    </row>
    <row r="118" spans="1:18" x14ac:dyDescent="0.2">
      <c r="A118" s="2">
        <v>44044</v>
      </c>
      <c r="B118">
        <f t="shared" si="77"/>
        <v>2020</v>
      </c>
      <c r="C118">
        <f t="shared" si="78"/>
        <v>8</v>
      </c>
      <c r="D118" s="151">
        <f>Data!G117</f>
        <v>6952279.6530120457</v>
      </c>
      <c r="E118" s="151">
        <f>Data!H117</f>
        <v>649812.80140259408</v>
      </c>
      <c r="F118" s="151">
        <f>Data!I117</f>
        <v>7602092.4544146396</v>
      </c>
      <c r="G118" s="129">
        <f>Data!AR117</f>
        <v>0</v>
      </c>
      <c r="H118" s="129">
        <f>Data!AS117</f>
        <v>249.89999999999998</v>
      </c>
      <c r="I118" s="129">
        <f t="shared" ref="I118:J118" ca="1" si="134">I130</f>
        <v>0</v>
      </c>
      <c r="J118" s="129">
        <f t="shared" ca="1" si="134"/>
        <v>242.46000000000004</v>
      </c>
      <c r="K118" s="32">
        <f>Data!BW117</f>
        <v>0</v>
      </c>
      <c r="L118" s="32">
        <f>Data!AB117</f>
        <v>2731</v>
      </c>
      <c r="M118" s="32">
        <f>Data!BI117</f>
        <v>116</v>
      </c>
      <c r="N118" s="140">
        <f>Data!BZ117</f>
        <v>0.5</v>
      </c>
      <c r="O118" s="32">
        <f t="shared" ca="1" si="80"/>
        <v>7565146.0215547336</v>
      </c>
      <c r="P118" s="32">
        <f t="shared" ca="1" si="113"/>
        <v>6915333.2201521397</v>
      </c>
      <c r="Q118" s="32">
        <f t="shared" ca="1" si="114"/>
        <v>-36946.432859905995</v>
      </c>
      <c r="R118" s="50">
        <f t="shared" ca="1" si="115"/>
        <v>4.8600346656466524E-3</v>
      </c>
    </row>
    <row r="119" spans="1:18" x14ac:dyDescent="0.2">
      <c r="A119" s="2">
        <v>44075</v>
      </c>
      <c r="B119">
        <f t="shared" si="77"/>
        <v>2020</v>
      </c>
      <c r="C119">
        <f t="shared" si="78"/>
        <v>9</v>
      </c>
      <c r="D119" s="151">
        <f>Data!G118</f>
        <v>6152713.3975903597</v>
      </c>
      <c r="E119" s="151">
        <f>Data!H118</f>
        <v>649812.80140259408</v>
      </c>
      <c r="F119" s="151">
        <f>Data!I118</f>
        <v>6802526.1989929536</v>
      </c>
      <c r="G119" s="129">
        <f>Data!AR118</f>
        <v>15.899999999999999</v>
      </c>
      <c r="H119" s="129">
        <f>Data!AS118</f>
        <v>100.10000000000001</v>
      </c>
      <c r="I119" s="129">
        <f t="shared" ref="I119:J119" ca="1" si="135">I131</f>
        <v>10.66</v>
      </c>
      <c r="J119" s="129">
        <f t="shared" ca="1" si="135"/>
        <v>124.26999999999998</v>
      </c>
      <c r="K119" s="32">
        <f>Data!BW118</f>
        <v>1</v>
      </c>
      <c r="L119" s="32">
        <f>Data!AB118</f>
        <v>2734</v>
      </c>
      <c r="M119" s="32">
        <f>Data!BI118</f>
        <v>117</v>
      </c>
      <c r="N119" s="140">
        <f>Data!BZ118</f>
        <v>0.5</v>
      </c>
      <c r="O119" s="32">
        <f t="shared" ca="1" si="80"/>
        <v>6904525.1322750747</v>
      </c>
      <c r="P119" s="32">
        <f t="shared" ca="1" si="113"/>
        <v>6254712.3308724808</v>
      </c>
      <c r="Q119" s="32">
        <f t="shared" ca="1" si="114"/>
        <v>101998.93328212108</v>
      </c>
      <c r="R119" s="50">
        <f t="shared" ca="1" si="115"/>
        <v>1.4994272759614071E-2</v>
      </c>
    </row>
    <row r="120" spans="1:18" x14ac:dyDescent="0.2">
      <c r="A120" s="2">
        <v>44105</v>
      </c>
      <c r="B120">
        <f t="shared" si="77"/>
        <v>2020</v>
      </c>
      <c r="C120">
        <f t="shared" si="78"/>
        <v>10</v>
      </c>
      <c r="D120" s="151">
        <f>Data!G119</f>
        <v>6063787.8939759014</v>
      </c>
      <c r="E120" s="151">
        <f>Data!H119</f>
        <v>649812.80140259408</v>
      </c>
      <c r="F120" s="151">
        <f>Data!I119</f>
        <v>6713600.6953784954</v>
      </c>
      <c r="G120" s="129">
        <f>Data!AR119</f>
        <v>149.90000000000003</v>
      </c>
      <c r="H120" s="129">
        <f>Data!AS119</f>
        <v>3.5999999999999996</v>
      </c>
      <c r="I120" s="129">
        <f t="shared" ref="I120:J120" ca="1" si="136">I132</f>
        <v>118.80999999999999</v>
      </c>
      <c r="J120" s="129">
        <f t="shared" ca="1" si="136"/>
        <v>23.209999999999997</v>
      </c>
      <c r="K120" s="32">
        <f>Data!BW119</f>
        <v>1</v>
      </c>
      <c r="L120" s="32">
        <f>Data!AB119</f>
        <v>2744</v>
      </c>
      <c r="M120" s="32">
        <f>Data!BI119</f>
        <v>118</v>
      </c>
      <c r="N120" s="140">
        <f>Data!BZ119</f>
        <v>0.5</v>
      </c>
      <c r="O120" s="32">
        <f t="shared" ca="1" si="80"/>
        <v>6704022.5836423058</v>
      </c>
      <c r="P120" s="32">
        <f t="shared" ca="1" si="113"/>
        <v>6054209.7822397118</v>
      </c>
      <c r="Q120" s="32">
        <f t="shared" ca="1" si="114"/>
        <v>-9578.111736189574</v>
      </c>
      <c r="R120" s="50">
        <f t="shared" ca="1" si="115"/>
        <v>1.4266728348593847E-3</v>
      </c>
    </row>
    <row r="121" spans="1:18" x14ac:dyDescent="0.2">
      <c r="A121" s="2">
        <v>44136</v>
      </c>
      <c r="B121">
        <f t="shared" si="77"/>
        <v>2020</v>
      </c>
      <c r="C121">
        <f t="shared" si="78"/>
        <v>11</v>
      </c>
      <c r="D121" s="151">
        <f>Data!G120</f>
        <v>5989978.6987951752</v>
      </c>
      <c r="E121" s="151">
        <f>Data!H120</f>
        <v>649812.80140259408</v>
      </c>
      <c r="F121" s="151">
        <f>Data!I120</f>
        <v>6639791.5001977691</v>
      </c>
      <c r="G121" s="129">
        <f>Data!AR120</f>
        <v>220.39999999999998</v>
      </c>
      <c r="H121" s="129">
        <f>Data!AS120</f>
        <v>5.6000000000000014</v>
      </c>
      <c r="I121" s="129">
        <f t="shared" ref="I121:J121" ca="1" si="137">I133</f>
        <v>307.13</v>
      </c>
      <c r="J121" s="129">
        <f t="shared" ca="1" si="137"/>
        <v>0.89</v>
      </c>
      <c r="K121" s="32">
        <f>Data!BW120</f>
        <v>1</v>
      </c>
      <c r="L121" s="32">
        <f>Data!AB120</f>
        <v>2753</v>
      </c>
      <c r="M121" s="32">
        <f>Data!BI120</f>
        <v>119</v>
      </c>
      <c r="N121" s="140">
        <f>Data!BZ120</f>
        <v>0.5</v>
      </c>
      <c r="O121" s="32">
        <f t="shared" ca="1" si="80"/>
        <v>6914781.5993126258</v>
      </c>
      <c r="P121" s="32">
        <f t="shared" ca="1" si="113"/>
        <v>6264968.7979100319</v>
      </c>
      <c r="Q121" s="32">
        <f t="shared" ca="1" si="114"/>
        <v>274990.09911485668</v>
      </c>
      <c r="R121" s="50">
        <f t="shared" ca="1" si="115"/>
        <v>4.1415472022979335E-2</v>
      </c>
    </row>
    <row r="122" spans="1:18" x14ac:dyDescent="0.2">
      <c r="A122" s="2">
        <v>44166</v>
      </c>
      <c r="B122">
        <f t="shared" si="77"/>
        <v>2020</v>
      </c>
      <c r="C122">
        <f t="shared" si="78"/>
        <v>12</v>
      </c>
      <c r="D122" s="151">
        <f>Data!G121</f>
        <v>6720380.9831325309</v>
      </c>
      <c r="E122" s="151">
        <f>Data!H121</f>
        <v>649812.80140259408</v>
      </c>
      <c r="F122" s="151">
        <f>Data!I121</f>
        <v>7370193.7845351249</v>
      </c>
      <c r="G122" s="129">
        <f>Data!AR121</f>
        <v>443.3</v>
      </c>
      <c r="H122" s="129">
        <f>Data!AS121</f>
        <v>0</v>
      </c>
      <c r="I122" s="129">
        <f t="shared" ref="I122:J122" ca="1" si="138">I134</f>
        <v>451.35999999999996</v>
      </c>
      <c r="J122" s="129">
        <f t="shared" ca="1" si="138"/>
        <v>0</v>
      </c>
      <c r="K122" s="32">
        <f>Data!BW121</f>
        <v>0</v>
      </c>
      <c r="L122" s="32">
        <f>Data!AB121</f>
        <v>2781</v>
      </c>
      <c r="M122" s="32">
        <f>Data!BI121</f>
        <v>120</v>
      </c>
      <c r="N122" s="140">
        <f>Data!BZ121</f>
        <v>0.5</v>
      </c>
      <c r="O122" s="32">
        <f t="shared" ca="1" si="80"/>
        <v>7397922.8214604491</v>
      </c>
      <c r="P122" s="32">
        <f t="shared" ca="1" si="113"/>
        <v>6748110.0200578552</v>
      </c>
      <c r="Q122" s="32">
        <f t="shared" ca="1" si="114"/>
        <v>27729.036925324239</v>
      </c>
      <c r="R122" s="50">
        <f t="shared" ca="1" si="115"/>
        <v>3.7623212816341504E-3</v>
      </c>
    </row>
    <row r="123" spans="1:18" x14ac:dyDescent="0.2">
      <c r="A123" s="2">
        <v>44197</v>
      </c>
      <c r="B123">
        <f t="shared" si="77"/>
        <v>2021</v>
      </c>
      <c r="C123">
        <f t="shared" si="78"/>
        <v>1</v>
      </c>
      <c r="D123" s="151">
        <f>Data!G122</f>
        <v>8317144.8867469896</v>
      </c>
      <c r="E123" s="151">
        <f>Data!H122</f>
        <v>750051.28129892715</v>
      </c>
      <c r="F123" s="151">
        <f>Data!I122</f>
        <v>9067196.1680459175</v>
      </c>
      <c r="G123" s="129">
        <f>Data!AR122</f>
        <v>516</v>
      </c>
      <c r="H123" s="129">
        <f>Data!AS122</f>
        <v>0</v>
      </c>
      <c r="I123" s="129">
        <f t="shared" ref="I123:J123" ca="1" si="139">I135</f>
        <v>563.5</v>
      </c>
      <c r="J123" s="129">
        <f t="shared" ca="1" si="139"/>
        <v>0</v>
      </c>
      <c r="K123" s="32">
        <f>Data!BW122</f>
        <v>0</v>
      </c>
      <c r="L123" s="32">
        <f>Data!AB122</f>
        <v>2807</v>
      </c>
      <c r="M123" s="32">
        <f>Data!BI122</f>
        <v>121</v>
      </c>
      <c r="N123" s="140">
        <f>Data!BZ122</f>
        <v>0.5</v>
      </c>
      <c r="O123" s="32">
        <f t="shared" ca="1" si="80"/>
        <v>9230611.7082385886</v>
      </c>
      <c r="P123" s="32">
        <f t="shared" ca="1" si="113"/>
        <v>8480560.4269396607</v>
      </c>
      <c r="Q123" s="32">
        <f t="shared" ca="1" si="114"/>
        <v>163415.54019267112</v>
      </c>
      <c r="R123" s="50">
        <f t="shared" ca="1" si="115"/>
        <v>1.8022720272510548E-2</v>
      </c>
    </row>
    <row r="124" spans="1:18" x14ac:dyDescent="0.2">
      <c r="A124" s="2">
        <v>44228</v>
      </c>
      <c r="B124">
        <f t="shared" si="77"/>
        <v>2021</v>
      </c>
      <c r="C124">
        <f t="shared" si="78"/>
        <v>2</v>
      </c>
      <c r="D124" s="151">
        <f>Data!G123</f>
        <v>7899265.667469875</v>
      </c>
      <c r="E124" s="151">
        <f>Data!H123</f>
        <v>750051.28129892715</v>
      </c>
      <c r="F124" s="151">
        <f>Data!I123</f>
        <v>8649316.948768802</v>
      </c>
      <c r="G124" s="129">
        <f>Data!AR123</f>
        <v>541.69999999999993</v>
      </c>
      <c r="H124" s="129">
        <f>Data!AS123</f>
        <v>0</v>
      </c>
      <c r="I124" s="129">
        <f t="shared" ref="I124:J124" ca="1" si="140">I136</f>
        <v>516.6099999999999</v>
      </c>
      <c r="J124" s="129">
        <f t="shared" ca="1" si="140"/>
        <v>0</v>
      </c>
      <c r="K124" s="32">
        <f>Data!BW123</f>
        <v>0</v>
      </c>
      <c r="L124" s="32">
        <f>Data!AB123</f>
        <v>2848</v>
      </c>
      <c r="M124" s="32">
        <f>Data!BI123</f>
        <v>122</v>
      </c>
      <c r="N124" s="140">
        <f>Data!BZ123</f>
        <v>0.5</v>
      </c>
      <c r="O124" s="32">
        <f t="shared" ca="1" si="80"/>
        <v>8562999.1402754523</v>
      </c>
      <c r="P124" s="32">
        <f t="shared" ca="1" si="113"/>
        <v>7812947.8589765253</v>
      </c>
      <c r="Q124" s="32">
        <f t="shared" ca="1" si="114"/>
        <v>-86317.808493349701</v>
      </c>
      <c r="R124" s="50">
        <f t="shared" ca="1" si="115"/>
        <v>9.9797254516886119E-3</v>
      </c>
    </row>
    <row r="125" spans="1:18" x14ac:dyDescent="0.2">
      <c r="A125" s="2">
        <v>44256</v>
      </c>
      <c r="B125">
        <f t="shared" si="77"/>
        <v>2021</v>
      </c>
      <c r="C125">
        <f t="shared" si="78"/>
        <v>3</v>
      </c>
      <c r="D125" s="151">
        <f>Data!G124</f>
        <v>7196997.5518072229</v>
      </c>
      <c r="E125" s="151">
        <f>Data!H124</f>
        <v>750051.28129892715</v>
      </c>
      <c r="F125" s="151">
        <f>Data!I124</f>
        <v>7947048.8331061499</v>
      </c>
      <c r="G125" s="129">
        <f>Data!AR124</f>
        <v>337.20000000000005</v>
      </c>
      <c r="H125" s="129">
        <f>Data!AS124</f>
        <v>0.5</v>
      </c>
      <c r="I125" s="129">
        <f t="shared" ref="I125:J125" ca="1" si="141">I137</f>
        <v>409.90999999999997</v>
      </c>
      <c r="J125" s="129">
        <f t="shared" ca="1" si="141"/>
        <v>1.1599999999999999</v>
      </c>
      <c r="K125" s="32">
        <f>Data!BW124</f>
        <v>0</v>
      </c>
      <c r="L125" s="32">
        <f>Data!AB124</f>
        <v>2849</v>
      </c>
      <c r="M125" s="32">
        <f>Data!BI124</f>
        <v>123</v>
      </c>
      <c r="N125" s="140">
        <f>Data!BZ124</f>
        <v>0.5</v>
      </c>
      <c r="O125" s="32">
        <f t="shared" ca="1" si="80"/>
        <v>8200472.5271924026</v>
      </c>
      <c r="P125" s="32">
        <f t="shared" ca="1" si="113"/>
        <v>7450421.2458934756</v>
      </c>
      <c r="Q125" s="32">
        <f t="shared" ca="1" si="114"/>
        <v>253423.69408625271</v>
      </c>
      <c r="R125" s="50">
        <f t="shared" ca="1" si="115"/>
        <v>3.1889031942339358E-2</v>
      </c>
    </row>
    <row r="126" spans="1:18" x14ac:dyDescent="0.2">
      <c r="A126" s="2">
        <v>44287</v>
      </c>
      <c r="B126">
        <f t="shared" si="77"/>
        <v>2021</v>
      </c>
      <c r="C126">
        <f t="shared" si="78"/>
        <v>4</v>
      </c>
      <c r="D126" s="151">
        <f>Data!G125</f>
        <v>6547512.9831325319</v>
      </c>
      <c r="E126" s="151">
        <f>Data!H125</f>
        <v>750051.28129892715</v>
      </c>
      <c r="F126" s="151">
        <f>Data!I125</f>
        <v>7297564.2644314589</v>
      </c>
      <c r="G126" s="129">
        <f>Data!AR125</f>
        <v>185.99999999999997</v>
      </c>
      <c r="H126" s="129">
        <f>Data!AS125</f>
        <v>3.5999999999999996</v>
      </c>
      <c r="I126" s="129">
        <f t="shared" ref="I126:J126" ca="1" si="142">I138</f>
        <v>227.5</v>
      </c>
      <c r="J126" s="129">
        <f t="shared" ca="1" si="142"/>
        <v>2.3099999999999996</v>
      </c>
      <c r="K126" s="32">
        <f>Data!BW125</f>
        <v>0</v>
      </c>
      <c r="L126" s="32">
        <f>Data!AB125</f>
        <v>2861</v>
      </c>
      <c r="M126" s="32">
        <f>Data!BI125</f>
        <v>124</v>
      </c>
      <c r="N126" s="140">
        <f>Data!BZ125</f>
        <v>0.5</v>
      </c>
      <c r="O126" s="32">
        <f t="shared" ca="1" si="80"/>
        <v>7433931.8069226826</v>
      </c>
      <c r="P126" s="32">
        <f t="shared" ca="1" si="113"/>
        <v>6683880.5256237555</v>
      </c>
      <c r="Q126" s="32">
        <f t="shared" ca="1" si="114"/>
        <v>136367.54249122366</v>
      </c>
      <c r="R126" s="50">
        <f t="shared" ca="1" si="115"/>
        <v>1.8686720328847675E-2</v>
      </c>
    </row>
    <row r="127" spans="1:18" x14ac:dyDescent="0.2">
      <c r="A127" s="2">
        <v>44317</v>
      </c>
      <c r="B127">
        <f t="shared" si="77"/>
        <v>2021</v>
      </c>
      <c r="C127">
        <f t="shared" si="78"/>
        <v>5</v>
      </c>
      <c r="D127" s="151">
        <f>Data!G126</f>
        <v>5916481.4457831262</v>
      </c>
      <c r="E127" s="151">
        <f>Data!H126</f>
        <v>750051.28129892715</v>
      </c>
      <c r="F127" s="151">
        <f>Data!I126</f>
        <v>6666532.7270820532</v>
      </c>
      <c r="G127" s="129">
        <f>Data!AR126</f>
        <v>80.299999999999983</v>
      </c>
      <c r="H127" s="129">
        <f>Data!AS126</f>
        <v>67.999999999999986</v>
      </c>
      <c r="I127" s="129">
        <f t="shared" ref="I127:J127" ca="1" si="143">I139</f>
        <v>59.269999999999982</v>
      </c>
      <c r="J127" s="129">
        <f t="shared" ca="1" si="143"/>
        <v>70.86</v>
      </c>
      <c r="K127" s="32">
        <f>Data!BW126</f>
        <v>0</v>
      </c>
      <c r="L127" s="32">
        <f>Data!AB126</f>
        <v>2864</v>
      </c>
      <c r="M127" s="32">
        <f>Data!BI126</f>
        <v>125</v>
      </c>
      <c r="N127" s="140">
        <f>Data!BZ126</f>
        <v>0.5</v>
      </c>
      <c r="O127" s="32">
        <f t="shared" ca="1" si="80"/>
        <v>6608385.1734763505</v>
      </c>
      <c r="P127" s="32">
        <f t="shared" ca="1" si="113"/>
        <v>5858333.8921774235</v>
      </c>
      <c r="Q127" s="32">
        <f t="shared" ca="1" si="114"/>
        <v>-58147.553605702706</v>
      </c>
      <c r="R127" s="50">
        <f t="shared" ca="1" si="115"/>
        <v>8.7223082802075948E-3</v>
      </c>
    </row>
    <row r="128" spans="1:18" x14ac:dyDescent="0.2">
      <c r="A128" s="2">
        <v>44348</v>
      </c>
      <c r="B128">
        <f t="shared" ref="B128:B134" si="144">YEAR(A128)</f>
        <v>2021</v>
      </c>
      <c r="C128">
        <f t="shared" ref="C128:C134" si="145">MONTH(A128)</f>
        <v>6</v>
      </c>
      <c r="D128" s="151">
        <f>Data!G127</f>
        <v>6502732.9156626537</v>
      </c>
      <c r="E128" s="151">
        <f>Data!H127</f>
        <v>750051.28129892715</v>
      </c>
      <c r="F128" s="151">
        <f>Data!I127</f>
        <v>7252784.1969615808</v>
      </c>
      <c r="G128" s="129">
        <f>Data!AR127</f>
        <v>0</v>
      </c>
      <c r="H128" s="129">
        <f>Data!AS127</f>
        <v>235.00000000000006</v>
      </c>
      <c r="I128" s="129">
        <f t="shared" ref="I128:J128" ca="1" si="146">I140</f>
        <v>1.85</v>
      </c>
      <c r="J128" s="129">
        <f t="shared" ca="1" si="146"/>
        <v>171.74</v>
      </c>
      <c r="K128" s="32">
        <f>Data!BW127</f>
        <v>0</v>
      </c>
      <c r="L128" s="32">
        <f>Data!AB127</f>
        <v>2867</v>
      </c>
      <c r="M128" s="32">
        <f>Data!BI127</f>
        <v>126</v>
      </c>
      <c r="N128" s="140">
        <f>Data!BZ127</f>
        <v>0.5</v>
      </c>
      <c r="O128" s="32">
        <f t="shared" ca="1" si="80"/>
        <v>6945004.8045340823</v>
      </c>
      <c r="P128" s="32">
        <f t="shared" ref="P128:P134" ca="1" si="147">O128-E128</f>
        <v>6194953.5232351553</v>
      </c>
      <c r="Q128" s="32">
        <f t="shared" ref="Q128:Q134" ca="1" si="148">+O128-F128</f>
        <v>-307779.39242749847</v>
      </c>
      <c r="R128" s="50">
        <f t="shared" ref="R128:R134" ca="1" si="149">ABS(Q128/F128)</f>
        <v>4.2436033400309492E-2</v>
      </c>
    </row>
    <row r="129" spans="1:21" x14ac:dyDescent="0.2">
      <c r="A129" s="2">
        <v>44378</v>
      </c>
      <c r="B129">
        <f t="shared" si="144"/>
        <v>2021</v>
      </c>
      <c r="C129">
        <f t="shared" si="145"/>
        <v>7</v>
      </c>
      <c r="D129" s="151">
        <f>Data!G128</f>
        <v>7081289.7349397596</v>
      </c>
      <c r="E129" s="151">
        <f>Data!H128</f>
        <v>750051.28129892715</v>
      </c>
      <c r="F129" s="151">
        <f>Data!I128</f>
        <v>7831341.0162386866</v>
      </c>
      <c r="G129" s="129">
        <f>Data!AR128</f>
        <v>0</v>
      </c>
      <c r="H129" s="129">
        <f>Data!AS128</f>
        <v>228.30000000000004</v>
      </c>
      <c r="I129" s="129">
        <f t="shared" ref="I129:J129" ca="1" si="150">I141</f>
        <v>0</v>
      </c>
      <c r="J129" s="129">
        <f t="shared" ca="1" si="150"/>
        <v>269.41000000000003</v>
      </c>
      <c r="K129" s="32">
        <f>Data!BW128</f>
        <v>0</v>
      </c>
      <c r="L129" s="32">
        <f>Data!AB128</f>
        <v>2870</v>
      </c>
      <c r="M129" s="32">
        <f>Data!BI128</f>
        <v>127</v>
      </c>
      <c r="N129" s="140">
        <f>Data!BZ128</f>
        <v>0.5</v>
      </c>
      <c r="O129" s="32">
        <f t="shared" ca="1" si="80"/>
        <v>8035489.9214632502</v>
      </c>
      <c r="P129" s="32">
        <f t="shared" ca="1" si="147"/>
        <v>7285438.6401643232</v>
      </c>
      <c r="Q129" s="32">
        <f t="shared" ca="1" si="148"/>
        <v>204148.90522456355</v>
      </c>
      <c r="R129" s="50">
        <f t="shared" ca="1" si="149"/>
        <v>2.6068192510229134E-2</v>
      </c>
    </row>
    <row r="130" spans="1:21" x14ac:dyDescent="0.2">
      <c r="A130" s="2">
        <v>44409</v>
      </c>
      <c r="B130">
        <f t="shared" si="144"/>
        <v>2021</v>
      </c>
      <c r="C130">
        <f t="shared" si="145"/>
        <v>8</v>
      </c>
      <c r="D130" s="151">
        <f>Data!G129</f>
        <v>7851599.4891566234</v>
      </c>
      <c r="E130" s="151">
        <f>Data!H129</f>
        <v>750051.28129892715</v>
      </c>
      <c r="F130" s="151">
        <f>Data!I129</f>
        <v>8601650.7704555504</v>
      </c>
      <c r="G130" s="129">
        <f>Data!AR129</f>
        <v>0</v>
      </c>
      <c r="H130" s="129">
        <f>Data!AS129</f>
        <v>303.39999999999998</v>
      </c>
      <c r="I130" s="129">
        <f t="shared" ref="I130:J130" ca="1" si="151">I142</f>
        <v>0</v>
      </c>
      <c r="J130" s="129">
        <f t="shared" ca="1" si="151"/>
        <v>242.46000000000004</v>
      </c>
      <c r="K130" s="32">
        <f>Data!BW129</f>
        <v>0</v>
      </c>
      <c r="L130" s="32">
        <f>Data!AB129</f>
        <v>2898</v>
      </c>
      <c r="M130" s="32">
        <f>Data!BI129</f>
        <v>128</v>
      </c>
      <c r="N130" s="140">
        <f>Data!BZ129</f>
        <v>0.5</v>
      </c>
      <c r="O130" s="32">
        <f t="shared" ca="1" si="80"/>
        <v>8299027.7034551883</v>
      </c>
      <c r="P130" s="32">
        <f t="shared" ca="1" si="147"/>
        <v>7548976.4221562613</v>
      </c>
      <c r="Q130" s="32">
        <f t="shared" ca="1" si="148"/>
        <v>-302623.06700036209</v>
      </c>
      <c r="R130" s="50">
        <f t="shared" ca="1" si="149"/>
        <v>3.5181975538904023E-2</v>
      </c>
    </row>
    <row r="131" spans="1:21" x14ac:dyDescent="0.2">
      <c r="A131" s="2">
        <v>44440</v>
      </c>
      <c r="B131">
        <f t="shared" si="144"/>
        <v>2021</v>
      </c>
      <c r="C131">
        <f t="shared" si="145"/>
        <v>9</v>
      </c>
      <c r="D131" s="151">
        <f>Data!G130</f>
        <v>7157403.4891566234</v>
      </c>
      <c r="E131" s="151">
        <f>Data!H130</f>
        <v>750051.28129892715</v>
      </c>
      <c r="F131" s="151">
        <f>Data!I130</f>
        <v>7907454.7704555504</v>
      </c>
      <c r="G131" s="129">
        <f>Data!AR130</f>
        <v>3</v>
      </c>
      <c r="H131" s="129">
        <f>Data!AS130</f>
        <v>112.3</v>
      </c>
      <c r="I131" s="129">
        <f t="shared" ref="I131:J131" ca="1" si="152">I143</f>
        <v>10.66</v>
      </c>
      <c r="J131" s="129">
        <f t="shared" ca="1" si="152"/>
        <v>124.26999999999998</v>
      </c>
      <c r="K131" s="32">
        <f>Data!BW130</f>
        <v>1</v>
      </c>
      <c r="L131" s="32">
        <f>Data!AB130</f>
        <v>2914</v>
      </c>
      <c r="M131" s="32">
        <f>Data!BI130</f>
        <v>129</v>
      </c>
      <c r="N131" s="140">
        <f>Data!BZ130</f>
        <v>0.5</v>
      </c>
      <c r="O131" s="32">
        <f t="shared" ca="1" si="80"/>
        <v>7993249.719706025</v>
      </c>
      <c r="P131" s="32">
        <f t="shared" ca="1" si="147"/>
        <v>7243198.4384070979</v>
      </c>
      <c r="Q131" s="32">
        <f t="shared" ca="1" si="148"/>
        <v>85794.949250474572</v>
      </c>
      <c r="R131" s="50">
        <f t="shared" ca="1" si="149"/>
        <v>1.0849881756014382E-2</v>
      </c>
    </row>
    <row r="132" spans="1:21" x14ac:dyDescent="0.2">
      <c r="A132" s="2">
        <v>44470</v>
      </c>
      <c r="B132">
        <f t="shared" si="144"/>
        <v>2021</v>
      </c>
      <c r="C132">
        <f t="shared" si="145"/>
        <v>10</v>
      </c>
      <c r="D132" s="151">
        <f>Data!G131</f>
        <v>6765314.053012046</v>
      </c>
      <c r="E132" s="151">
        <f>Data!H131</f>
        <v>750051.28129892715</v>
      </c>
      <c r="F132" s="151">
        <f>Data!I131</f>
        <v>7515365.3343109731</v>
      </c>
      <c r="G132" s="129">
        <f>Data!AR131</f>
        <v>68.600000000000009</v>
      </c>
      <c r="H132" s="129">
        <f>Data!AS131</f>
        <v>52.999999999999986</v>
      </c>
      <c r="I132" s="129">
        <f t="shared" ref="I132:J132" ca="1" si="153">I144</f>
        <v>118.80999999999999</v>
      </c>
      <c r="J132" s="129">
        <f t="shared" ca="1" si="153"/>
        <v>23.209999999999997</v>
      </c>
      <c r="K132" s="32">
        <f>Data!BW131</f>
        <v>1</v>
      </c>
      <c r="L132" s="32">
        <f>Data!AB131</f>
        <v>2906</v>
      </c>
      <c r="M132" s="32">
        <f>Data!BI131</f>
        <v>130</v>
      </c>
      <c r="N132" s="140">
        <f>Data!BZ131</f>
        <v>0.5</v>
      </c>
      <c r="O132" s="32">
        <f t="shared" ref="O132:O134" ca="1" si="154">F132+(I132-G132)*$T$20+(J132-H132)*$T$21</f>
        <v>7540169.452121051</v>
      </c>
      <c r="P132" s="32">
        <f t="shared" ca="1" si="147"/>
        <v>6790118.170822124</v>
      </c>
      <c r="Q132" s="32">
        <f t="shared" ca="1" si="148"/>
        <v>24804.117810077965</v>
      </c>
      <c r="R132" s="50">
        <f t="shared" ca="1" si="149"/>
        <v>3.3004540307356952E-3</v>
      </c>
    </row>
    <row r="133" spans="1:21" x14ac:dyDescent="0.2">
      <c r="A133" s="2">
        <v>44501</v>
      </c>
      <c r="B133">
        <f t="shared" si="144"/>
        <v>2021</v>
      </c>
      <c r="C133">
        <f t="shared" si="145"/>
        <v>11</v>
      </c>
      <c r="D133" s="151">
        <f>Data!G132</f>
        <v>6721158.9108433723</v>
      </c>
      <c r="E133" s="151">
        <f>Data!H132</f>
        <v>750051.28129892715</v>
      </c>
      <c r="F133" s="151">
        <f>Data!I132</f>
        <v>7471210.1921422994</v>
      </c>
      <c r="G133" s="129">
        <f>Data!AR132</f>
        <v>293.70000000000005</v>
      </c>
      <c r="H133" s="129">
        <f>Data!AS132</f>
        <v>0</v>
      </c>
      <c r="I133" s="129">
        <f t="shared" ref="I133:J133" ca="1" si="155">I145</f>
        <v>307.13</v>
      </c>
      <c r="J133" s="129">
        <f t="shared" ca="1" si="155"/>
        <v>0.89</v>
      </c>
      <c r="K133" s="32">
        <f>Data!BW132</f>
        <v>1</v>
      </c>
      <c r="L133" s="32">
        <f>Data!AB132</f>
        <v>2907</v>
      </c>
      <c r="M133" s="32">
        <f>Data!BI132</f>
        <v>131</v>
      </c>
      <c r="N133" s="140">
        <f>Data!BZ132</f>
        <v>0.5</v>
      </c>
      <c r="O133" s="32">
        <f t="shared" ca="1" si="154"/>
        <v>7521833.4532989822</v>
      </c>
      <c r="P133" s="32">
        <f t="shared" ca="1" si="147"/>
        <v>6771782.1720000552</v>
      </c>
      <c r="Q133" s="32">
        <f t="shared" ca="1" si="148"/>
        <v>50623.261156682856</v>
      </c>
      <c r="R133" s="50">
        <f t="shared" ca="1" si="149"/>
        <v>6.775777933530085E-3</v>
      </c>
    </row>
    <row r="134" spans="1:21" x14ac:dyDescent="0.2">
      <c r="A134" s="2">
        <v>44531</v>
      </c>
      <c r="B134">
        <f t="shared" si="144"/>
        <v>2021</v>
      </c>
      <c r="C134">
        <f t="shared" si="145"/>
        <v>12</v>
      </c>
      <c r="D134" s="151">
        <f>Data!G133</f>
        <v>7522268.6361445729</v>
      </c>
      <c r="E134" s="151">
        <f>Data!H133</f>
        <v>750051.28129892715</v>
      </c>
      <c r="F134" s="151">
        <f>Data!I133</f>
        <v>8272319.9174434999</v>
      </c>
      <c r="G134" s="129">
        <f>Data!AR133</f>
        <v>381.4</v>
      </c>
      <c r="H134" s="129">
        <f>Data!AS133</f>
        <v>0</v>
      </c>
      <c r="I134" s="129">
        <f ca="1">I146</f>
        <v>451.35999999999996</v>
      </c>
      <c r="J134" s="129">
        <f ca="1">J146</f>
        <v>0</v>
      </c>
      <c r="K134" s="32">
        <f>Data!BW133</f>
        <v>0</v>
      </c>
      <c r="L134" s="32">
        <f>Data!AB133</f>
        <v>2918</v>
      </c>
      <c r="M134" s="32">
        <f>Data!BI133</f>
        <v>132</v>
      </c>
      <c r="N134" s="140">
        <f>Data!BZ133</f>
        <v>0.5</v>
      </c>
      <c r="O134" s="32">
        <f t="shared" ca="1" si="154"/>
        <v>8513005.2056935895</v>
      </c>
      <c r="P134" s="32">
        <f t="shared" ca="1" si="147"/>
        <v>7762953.9243946625</v>
      </c>
      <c r="Q134" s="32">
        <f t="shared" ca="1" si="148"/>
        <v>240685.28825008962</v>
      </c>
      <c r="R134" s="50">
        <f t="shared" ca="1" si="149"/>
        <v>2.9095258724528592E-2</v>
      </c>
      <c r="S134" s="80" t="s">
        <v>52</v>
      </c>
    </row>
    <row r="135" spans="1:21" x14ac:dyDescent="0.2">
      <c r="A135" s="2">
        <v>44562</v>
      </c>
      <c r="B135">
        <f t="shared" ref="B135:B158" si="156">YEAR(A135)</f>
        <v>2022</v>
      </c>
      <c r="C135">
        <f t="shared" ref="C135:C158" si="157">MONTH(A135)</f>
        <v>1</v>
      </c>
      <c r="E135" s="151">
        <f>'Historic CDM'!N16/12</f>
        <v>748499.25627711928</v>
      </c>
      <c r="F135" s="151"/>
      <c r="G135" s="129">
        <f ca="1">Weather!CD61</f>
        <v>563.5</v>
      </c>
      <c r="H135" s="129">
        <f ca="1">Weather!CE61</f>
        <v>0</v>
      </c>
      <c r="I135" s="129">
        <f ca="1">G135</f>
        <v>563.5</v>
      </c>
      <c r="J135" s="129">
        <f ca="1">H135</f>
        <v>0</v>
      </c>
      <c r="K135" s="32">
        <f t="shared" ref="K135:K146" si="158">K111</f>
        <v>0</v>
      </c>
      <c r="L135" s="156">
        <f>'Rate Class Customer Model'!E60</f>
        <v>2921.8407564334648</v>
      </c>
      <c r="M135" s="32">
        <f t="shared" ref="M135:M158" si="159">M134+1</f>
        <v>133</v>
      </c>
      <c r="N135" s="199">
        <f>S135*0.5</f>
        <v>0.375</v>
      </c>
      <c r="O135" s="32">
        <f t="shared" ref="O135:O158" ca="1" si="160">$T$19+G135*$T$20+H135*$T$21+K135*$T$22+L135*$T$23+M135*$T$24+N135*$T$25</f>
        <v>8981769.880233109</v>
      </c>
      <c r="P135" s="32">
        <f t="shared" ref="P135:P158" ca="1" si="161">O135-E135</f>
        <v>8233270.6239559893</v>
      </c>
      <c r="Q135" s="32">
        <f t="shared" ref="Q135:Q158" ca="1" si="162">+O135-F135</f>
        <v>8981769.880233109</v>
      </c>
      <c r="R135" s="50"/>
      <c r="S135">
        <f>Residential!S135</f>
        <v>0.75</v>
      </c>
    </row>
    <row r="136" spans="1:21" x14ac:dyDescent="0.2">
      <c r="A136" s="2">
        <v>44593</v>
      </c>
      <c r="B136">
        <f t="shared" si="156"/>
        <v>2022</v>
      </c>
      <c r="C136">
        <f t="shared" si="157"/>
        <v>2</v>
      </c>
      <c r="E136" s="151">
        <f>E135</f>
        <v>748499.25627711928</v>
      </c>
      <c r="F136" s="151"/>
      <c r="G136" s="129">
        <f ca="1">Weather!CD62</f>
        <v>516.6099999999999</v>
      </c>
      <c r="H136" s="129">
        <f ca="1">Weather!CE62</f>
        <v>0</v>
      </c>
      <c r="I136" s="129">
        <f t="shared" ref="I136:I158" ca="1" si="163">G136</f>
        <v>516.6099999999999</v>
      </c>
      <c r="J136" s="129">
        <f t="shared" ref="J136:J158" ca="1" si="164">H136</f>
        <v>0</v>
      </c>
      <c r="K136" s="32">
        <f t="shared" si="158"/>
        <v>0</v>
      </c>
      <c r="L136" s="156">
        <f>'Rate Class Customer Model'!E61</f>
        <v>2925.6865681822078</v>
      </c>
      <c r="M136" s="32">
        <f t="shared" si="159"/>
        <v>134</v>
      </c>
      <c r="N136" s="199">
        <f t="shared" ref="N136:N158" si="165">S136*0.5</f>
        <v>0.375</v>
      </c>
      <c r="O136" s="32">
        <f t="shared" ca="1" si="160"/>
        <v>8827394.451794792</v>
      </c>
      <c r="P136" s="32">
        <f t="shared" ca="1" si="161"/>
        <v>8078895.1955176722</v>
      </c>
      <c r="Q136" s="32">
        <f t="shared" ca="1" si="162"/>
        <v>8827394.451794792</v>
      </c>
      <c r="R136" s="50"/>
      <c r="S136">
        <f>S135</f>
        <v>0.75</v>
      </c>
    </row>
    <row r="137" spans="1:21" x14ac:dyDescent="0.2">
      <c r="A137" s="2">
        <v>44621</v>
      </c>
      <c r="B137">
        <f t="shared" si="156"/>
        <v>2022</v>
      </c>
      <c r="C137">
        <f t="shared" si="157"/>
        <v>3</v>
      </c>
      <c r="E137" s="151">
        <f>E136</f>
        <v>748499.25627711928</v>
      </c>
      <c r="F137" s="151"/>
      <c r="G137" s="129">
        <f ca="1">Weather!CD63</f>
        <v>409.90999999999997</v>
      </c>
      <c r="H137" s="129">
        <f ca="1">Weather!CE63</f>
        <v>1.1599999999999999</v>
      </c>
      <c r="I137" s="129">
        <f t="shared" ca="1" si="163"/>
        <v>409.90999999999997</v>
      </c>
      <c r="J137" s="129">
        <f t="shared" ca="1" si="164"/>
        <v>1.1599999999999999</v>
      </c>
      <c r="K137" s="32">
        <f t="shared" si="158"/>
        <v>0</v>
      </c>
      <c r="L137" s="156">
        <f>'Rate Class Customer Model'!E62</f>
        <v>2929.5374419001814</v>
      </c>
      <c r="M137" s="32">
        <f t="shared" si="159"/>
        <v>135</v>
      </c>
      <c r="N137" s="199">
        <f t="shared" si="165"/>
        <v>0.375</v>
      </c>
      <c r="O137" s="32">
        <f ca="1">$T$19+G137*$T$20+H137*$T$21+K137*$T$22+L137*$T$23+M137*$T$24+N137*$T$25</f>
        <v>8473039.7084655613</v>
      </c>
      <c r="P137" s="32">
        <f t="shared" ca="1" si="161"/>
        <v>7724540.4521884415</v>
      </c>
      <c r="Q137" s="32">
        <f t="shared" ca="1" si="162"/>
        <v>8473039.7084655613</v>
      </c>
      <c r="R137" s="50"/>
      <c r="S137">
        <f t="shared" ref="S137:S158" si="166">S136</f>
        <v>0.75</v>
      </c>
    </row>
    <row r="138" spans="1:21" x14ac:dyDescent="0.2">
      <c r="A138" s="2">
        <v>44652</v>
      </c>
      <c r="B138">
        <f t="shared" si="156"/>
        <v>2022</v>
      </c>
      <c r="C138">
        <f t="shared" si="157"/>
        <v>4</v>
      </c>
      <c r="E138" s="151">
        <f t="shared" ref="E138:E146" si="167">E137</f>
        <v>748499.25627711928</v>
      </c>
      <c r="F138" s="151"/>
      <c r="G138" s="129">
        <f ca="1">Weather!CD64</f>
        <v>227.5</v>
      </c>
      <c r="H138" s="129">
        <f ca="1">Weather!CE64</f>
        <v>2.3099999999999996</v>
      </c>
      <c r="I138" s="129">
        <f t="shared" ca="1" si="163"/>
        <v>227.5</v>
      </c>
      <c r="J138" s="129">
        <f t="shared" ca="1" si="164"/>
        <v>2.3099999999999996</v>
      </c>
      <c r="K138" s="32">
        <f t="shared" si="158"/>
        <v>0</v>
      </c>
      <c r="L138" s="156">
        <f>'Rate Class Customer Model'!E63</f>
        <v>2933.3933842500974</v>
      </c>
      <c r="M138" s="32">
        <f t="shared" si="159"/>
        <v>136</v>
      </c>
      <c r="N138" s="199">
        <f t="shared" si="165"/>
        <v>0.375</v>
      </c>
      <c r="O138" s="32">
        <f t="shared" ca="1" si="160"/>
        <v>7858194.3583166013</v>
      </c>
      <c r="P138" s="32">
        <f t="shared" ca="1" si="161"/>
        <v>7109695.1020394824</v>
      </c>
      <c r="Q138" s="32">
        <f t="shared" ca="1" si="162"/>
        <v>7858194.3583166013</v>
      </c>
      <c r="R138" s="50"/>
      <c r="S138">
        <f t="shared" si="166"/>
        <v>0.75</v>
      </c>
    </row>
    <row r="139" spans="1:21" x14ac:dyDescent="0.2">
      <c r="A139" s="2">
        <v>44682</v>
      </c>
      <c r="B139">
        <f t="shared" si="156"/>
        <v>2022</v>
      </c>
      <c r="C139">
        <f t="shared" si="157"/>
        <v>5</v>
      </c>
      <c r="E139" s="151">
        <f t="shared" si="167"/>
        <v>748499.25627711928</v>
      </c>
      <c r="F139" s="151"/>
      <c r="G139" s="129">
        <f ca="1">Weather!CD65</f>
        <v>59.269999999999982</v>
      </c>
      <c r="H139" s="129">
        <f ca="1">Weather!CE65</f>
        <v>70.86</v>
      </c>
      <c r="I139" s="129">
        <f t="shared" ca="1" si="163"/>
        <v>59.269999999999982</v>
      </c>
      <c r="J139" s="129">
        <f t="shared" ca="1" si="164"/>
        <v>70.86</v>
      </c>
      <c r="K139" s="32">
        <f t="shared" si="158"/>
        <v>0</v>
      </c>
      <c r="L139" s="156">
        <f>'Rate Class Customer Model'!E64</f>
        <v>2937.2544019034358</v>
      </c>
      <c r="M139" s="32">
        <f t="shared" si="159"/>
        <v>137</v>
      </c>
      <c r="N139" s="199">
        <f t="shared" si="165"/>
        <v>0.375</v>
      </c>
      <c r="O139" s="32">
        <f t="shared" ca="1" si="160"/>
        <v>7626862.0034665363</v>
      </c>
      <c r="P139" s="32">
        <f t="shared" ca="1" si="161"/>
        <v>6878362.7471894175</v>
      </c>
      <c r="Q139" s="32">
        <f t="shared" ca="1" si="162"/>
        <v>7626862.0034665363</v>
      </c>
      <c r="R139" s="50"/>
      <c r="S139">
        <f t="shared" si="166"/>
        <v>0.75</v>
      </c>
    </row>
    <row r="140" spans="1:21" x14ac:dyDescent="0.2">
      <c r="A140" s="2">
        <v>44713</v>
      </c>
      <c r="B140">
        <f t="shared" si="156"/>
        <v>2022</v>
      </c>
      <c r="C140">
        <f t="shared" si="157"/>
        <v>6</v>
      </c>
      <c r="E140" s="151">
        <f t="shared" si="167"/>
        <v>748499.25627711928</v>
      </c>
      <c r="F140" s="151"/>
      <c r="G140" s="129">
        <f ca="1">Weather!CD66</f>
        <v>1.85</v>
      </c>
      <c r="H140" s="129">
        <f ca="1">Weather!CE66</f>
        <v>171.74</v>
      </c>
      <c r="I140" s="129">
        <f t="shared" ca="1" si="163"/>
        <v>1.85</v>
      </c>
      <c r="J140" s="129">
        <f t="shared" ca="1" si="164"/>
        <v>171.74</v>
      </c>
      <c r="K140" s="32">
        <f t="shared" si="158"/>
        <v>0</v>
      </c>
      <c r="L140" s="156">
        <f>'Rate Class Customer Model'!E65</f>
        <v>2941.1205015404589</v>
      </c>
      <c r="M140" s="32">
        <f t="shared" si="159"/>
        <v>138</v>
      </c>
      <c r="N140" s="199">
        <f t="shared" si="165"/>
        <v>0.375</v>
      </c>
      <c r="O140" s="32">
        <f t="shared" ca="1" si="160"/>
        <v>7937326.7340161493</v>
      </c>
      <c r="P140" s="32">
        <f t="shared" ca="1" si="161"/>
        <v>7188827.4777390305</v>
      </c>
      <c r="Q140" s="32">
        <f t="shared" ca="1" si="162"/>
        <v>7937326.7340161493</v>
      </c>
      <c r="R140" s="50"/>
      <c r="S140">
        <f t="shared" si="166"/>
        <v>0.75</v>
      </c>
    </row>
    <row r="141" spans="1:21" x14ac:dyDescent="0.2">
      <c r="A141" s="2">
        <v>44743</v>
      </c>
      <c r="B141">
        <f t="shared" si="156"/>
        <v>2022</v>
      </c>
      <c r="C141">
        <f t="shared" si="157"/>
        <v>7</v>
      </c>
      <c r="E141" s="151">
        <f t="shared" si="167"/>
        <v>748499.25627711928</v>
      </c>
      <c r="F141" s="151"/>
      <c r="G141" s="129">
        <f ca="1">Weather!CD67</f>
        <v>0</v>
      </c>
      <c r="H141" s="129">
        <f ca="1">Weather!CE67</f>
        <v>269.41000000000003</v>
      </c>
      <c r="I141" s="129">
        <f t="shared" ca="1" si="163"/>
        <v>0</v>
      </c>
      <c r="J141" s="129">
        <f t="shared" ca="1" si="164"/>
        <v>269.41000000000003</v>
      </c>
      <c r="K141" s="32">
        <f t="shared" si="158"/>
        <v>0</v>
      </c>
      <c r="L141" s="156">
        <f>'Rate Class Customer Model'!E66</f>
        <v>2944.9916898502215</v>
      </c>
      <c r="M141" s="32">
        <f t="shared" si="159"/>
        <v>139</v>
      </c>
      <c r="N141" s="199">
        <f t="shared" si="165"/>
        <v>0.375</v>
      </c>
      <c r="O141" s="32">
        <f t="shared" ca="1" si="160"/>
        <v>8423056.1723804884</v>
      </c>
      <c r="P141" s="32">
        <f t="shared" ca="1" si="161"/>
        <v>7674556.9161033686</v>
      </c>
      <c r="Q141" s="32">
        <f t="shared" ca="1" si="162"/>
        <v>8423056.1723804884</v>
      </c>
      <c r="R141" s="50"/>
      <c r="S141">
        <f t="shared" si="166"/>
        <v>0.75</v>
      </c>
    </row>
    <row r="142" spans="1:21" x14ac:dyDescent="0.2">
      <c r="A142" s="2">
        <v>44774</v>
      </c>
      <c r="B142">
        <f t="shared" si="156"/>
        <v>2022</v>
      </c>
      <c r="C142">
        <f t="shared" si="157"/>
        <v>8</v>
      </c>
      <c r="E142" s="151">
        <f t="shared" si="167"/>
        <v>748499.25627711928</v>
      </c>
      <c r="F142" s="151"/>
      <c r="G142" s="129">
        <f ca="1">Weather!CD68</f>
        <v>0</v>
      </c>
      <c r="H142" s="129">
        <f ca="1">Weather!CE68</f>
        <v>242.46000000000004</v>
      </c>
      <c r="I142" s="129">
        <f t="shared" ca="1" si="163"/>
        <v>0</v>
      </c>
      <c r="J142" s="129">
        <f t="shared" ca="1" si="164"/>
        <v>242.46000000000004</v>
      </c>
      <c r="K142" s="32">
        <f t="shared" si="158"/>
        <v>0</v>
      </c>
      <c r="L142" s="156">
        <f>'Rate Class Customer Model'!E67</f>
        <v>2948.8679735305823</v>
      </c>
      <c r="M142" s="32">
        <f t="shared" si="159"/>
        <v>140</v>
      </c>
      <c r="N142" s="199">
        <f t="shared" si="165"/>
        <v>0.375</v>
      </c>
      <c r="O142" s="32">
        <f t="shared" ca="1" si="160"/>
        <v>8296323.8257148946</v>
      </c>
      <c r="P142" s="32">
        <f t="shared" ca="1" si="161"/>
        <v>7547824.5694377758</v>
      </c>
      <c r="Q142" s="32">
        <f t="shared" ca="1" si="162"/>
        <v>8296323.8257148946</v>
      </c>
      <c r="R142" s="50"/>
      <c r="S142">
        <f t="shared" si="166"/>
        <v>0.75</v>
      </c>
    </row>
    <row r="143" spans="1:21" x14ac:dyDescent="0.2">
      <c r="A143" s="2">
        <v>44805</v>
      </c>
      <c r="B143">
        <f t="shared" si="156"/>
        <v>2022</v>
      </c>
      <c r="C143">
        <f t="shared" si="157"/>
        <v>9</v>
      </c>
      <c r="E143" s="151">
        <f t="shared" si="167"/>
        <v>748499.25627711928</v>
      </c>
      <c r="F143" s="151"/>
      <c r="G143" s="129">
        <f ca="1">Weather!CD69</f>
        <v>10.66</v>
      </c>
      <c r="H143" s="129">
        <f ca="1">Weather!CE69</f>
        <v>124.26999999999998</v>
      </c>
      <c r="I143" s="129">
        <f t="shared" ca="1" si="163"/>
        <v>10.66</v>
      </c>
      <c r="J143" s="129">
        <f t="shared" ca="1" si="164"/>
        <v>124.26999999999998</v>
      </c>
      <c r="K143" s="32">
        <f t="shared" si="158"/>
        <v>1</v>
      </c>
      <c r="L143" s="156">
        <f>'Rate Class Customer Model'!E68</f>
        <v>2952.7493592882161</v>
      </c>
      <c r="M143" s="32">
        <f t="shared" si="159"/>
        <v>141</v>
      </c>
      <c r="N143" s="199">
        <f t="shared" si="165"/>
        <v>0.375</v>
      </c>
      <c r="O143" s="32">
        <f t="shared" ca="1" si="160"/>
        <v>7465959.4528511548</v>
      </c>
      <c r="P143" s="32">
        <f t="shared" ca="1" si="161"/>
        <v>6717460.196574036</v>
      </c>
      <c r="Q143" s="32">
        <f t="shared" ca="1" si="162"/>
        <v>7465959.4528511548</v>
      </c>
      <c r="R143" s="50"/>
      <c r="S143">
        <f t="shared" si="166"/>
        <v>0.75</v>
      </c>
    </row>
    <row r="144" spans="1:21" x14ac:dyDescent="0.2">
      <c r="A144" s="2">
        <v>44835</v>
      </c>
      <c r="B144">
        <f t="shared" si="156"/>
        <v>2022</v>
      </c>
      <c r="C144">
        <f t="shared" si="157"/>
        <v>10</v>
      </c>
      <c r="E144" s="151">
        <f t="shared" si="167"/>
        <v>748499.25627711928</v>
      </c>
      <c r="F144" s="151"/>
      <c r="G144" s="129">
        <f ca="1">Weather!CD70</f>
        <v>118.80999999999999</v>
      </c>
      <c r="H144" s="129">
        <f ca="1">Weather!CE70</f>
        <v>23.209999999999997</v>
      </c>
      <c r="I144" s="129">
        <f t="shared" ca="1" si="163"/>
        <v>118.80999999999999</v>
      </c>
      <c r="J144" s="129">
        <f t="shared" ca="1" si="164"/>
        <v>23.209999999999997</v>
      </c>
      <c r="K144" s="32">
        <f t="shared" si="158"/>
        <v>1</v>
      </c>
      <c r="L144" s="156">
        <f>'Rate Class Customer Model'!E69</f>
        <v>2956.6358538386257</v>
      </c>
      <c r="M144" s="32">
        <f t="shared" si="159"/>
        <v>142</v>
      </c>
      <c r="N144" s="199">
        <f t="shared" si="165"/>
        <v>0.375</v>
      </c>
      <c r="O144" s="32">
        <f t="shared" ca="1" si="160"/>
        <v>7343327.1008674214</v>
      </c>
      <c r="P144" s="32">
        <f t="shared" ca="1" si="161"/>
        <v>6594827.8445903026</v>
      </c>
      <c r="Q144" s="32">
        <f t="shared" ca="1" si="162"/>
        <v>7343327.1008674214</v>
      </c>
      <c r="R144" s="50"/>
      <c r="S144">
        <f t="shared" si="166"/>
        <v>0.75</v>
      </c>
      <c r="T144" s="322"/>
      <c r="U144" s="323"/>
    </row>
    <row r="145" spans="1:21" x14ac:dyDescent="0.2">
      <c r="A145" s="2">
        <v>44866</v>
      </c>
      <c r="B145">
        <f t="shared" si="156"/>
        <v>2022</v>
      </c>
      <c r="C145">
        <f t="shared" si="157"/>
        <v>11</v>
      </c>
      <c r="E145" s="151">
        <f t="shared" si="167"/>
        <v>748499.25627711928</v>
      </c>
      <c r="F145" s="151"/>
      <c r="G145" s="129">
        <f ca="1">Weather!CD71</f>
        <v>307.13</v>
      </c>
      <c r="H145" s="129">
        <f ca="1">Weather!CE71</f>
        <v>0.89</v>
      </c>
      <c r="I145" s="129">
        <f t="shared" ca="1" si="163"/>
        <v>307.13</v>
      </c>
      <c r="J145" s="129">
        <f t="shared" ca="1" si="164"/>
        <v>0.89</v>
      </c>
      <c r="K145" s="32">
        <f t="shared" si="158"/>
        <v>1</v>
      </c>
      <c r="L145" s="156">
        <f>'Rate Class Customer Model'!E70</f>
        <v>2960.5274639061527</v>
      </c>
      <c r="M145" s="32">
        <f t="shared" si="159"/>
        <v>143</v>
      </c>
      <c r="N145" s="199">
        <f t="shared" si="165"/>
        <v>0.375</v>
      </c>
      <c r="O145" s="32">
        <f t="shared" ca="1" si="160"/>
        <v>7887548.656240142</v>
      </c>
      <c r="P145" s="32">
        <f t="shared" ca="1" si="161"/>
        <v>7139049.3999630231</v>
      </c>
      <c r="Q145" s="32">
        <f t="shared" ca="1" si="162"/>
        <v>7887548.656240142</v>
      </c>
      <c r="R145" s="50"/>
      <c r="S145">
        <f t="shared" si="166"/>
        <v>0.75</v>
      </c>
      <c r="T145" s="322"/>
      <c r="U145" s="323"/>
    </row>
    <row r="146" spans="1:21" x14ac:dyDescent="0.2">
      <c r="A146" s="2">
        <v>44896</v>
      </c>
      <c r="B146">
        <f t="shared" si="156"/>
        <v>2022</v>
      </c>
      <c r="C146">
        <f t="shared" si="157"/>
        <v>12</v>
      </c>
      <c r="E146" s="151">
        <f t="shared" si="167"/>
        <v>748499.25627711928</v>
      </c>
      <c r="F146" s="151"/>
      <c r="G146" s="129">
        <f ca="1">Weather!CD72</f>
        <v>451.35999999999996</v>
      </c>
      <c r="H146" s="129">
        <f ca="1">Weather!CE72</f>
        <v>0</v>
      </c>
      <c r="I146" s="129">
        <f t="shared" ca="1" si="163"/>
        <v>451.35999999999996</v>
      </c>
      <c r="J146" s="129">
        <f t="shared" ca="1" si="164"/>
        <v>0</v>
      </c>
      <c r="K146" s="32">
        <f t="shared" si="158"/>
        <v>0</v>
      </c>
      <c r="L146" s="156">
        <f>'Rate Class Customer Model'!E71</f>
        <v>2964.4241962239889</v>
      </c>
      <c r="M146" s="32">
        <f t="shared" si="159"/>
        <v>144</v>
      </c>
      <c r="N146" s="199">
        <f t="shared" si="165"/>
        <v>0.375</v>
      </c>
      <c r="O146" s="32">
        <f t="shared" ca="1" si="160"/>
        <v>8673774.2316234931</v>
      </c>
      <c r="P146" s="32">
        <f t="shared" ca="1" si="161"/>
        <v>7925274.9753463734</v>
      </c>
      <c r="Q146" s="32">
        <f t="shared" ca="1" si="162"/>
        <v>8673774.2316234931</v>
      </c>
      <c r="R146" s="50"/>
      <c r="S146">
        <f t="shared" si="166"/>
        <v>0.75</v>
      </c>
      <c r="T146" s="322"/>
      <c r="U146" s="323"/>
    </row>
    <row r="147" spans="1:21" ht="12.75" customHeight="1" x14ac:dyDescent="0.2">
      <c r="A147" s="2">
        <v>44927</v>
      </c>
      <c r="B147">
        <f t="shared" si="156"/>
        <v>2023</v>
      </c>
      <c r="C147">
        <f t="shared" si="157"/>
        <v>1</v>
      </c>
      <c r="E147" s="151">
        <f>'Historic CDM'!N17/12</f>
        <v>733324.62972581247</v>
      </c>
      <c r="G147" s="129">
        <f ca="1">G135</f>
        <v>563.5</v>
      </c>
      <c r="H147" s="129">
        <f ca="1">H135</f>
        <v>0</v>
      </c>
      <c r="I147" s="129">
        <f t="shared" ca="1" si="163"/>
        <v>563.5</v>
      </c>
      <c r="J147" s="129">
        <f t="shared" ca="1" si="164"/>
        <v>0</v>
      </c>
      <c r="K147" s="32">
        <f>K135</f>
        <v>0</v>
      </c>
      <c r="L147" s="156">
        <f>'Rate Class Customer Model'!E72</f>
        <v>2968.3260575341897</v>
      </c>
      <c r="M147" s="32">
        <f t="shared" si="159"/>
        <v>145</v>
      </c>
      <c r="N147" s="199">
        <f t="shared" si="165"/>
        <v>0.25</v>
      </c>
      <c r="O147" s="32">
        <f t="shared" ca="1" si="160"/>
        <v>9150324.4342688359</v>
      </c>
      <c r="P147" s="32">
        <f t="shared" ca="1" si="161"/>
        <v>8416999.8045430239</v>
      </c>
      <c r="Q147" s="32">
        <f t="shared" ca="1" si="162"/>
        <v>9150324.4342688359</v>
      </c>
      <c r="R147" s="50"/>
      <c r="S147">
        <f>Residential!S147</f>
        <v>0.5</v>
      </c>
      <c r="T147" s="29"/>
      <c r="U147" s="41"/>
    </row>
    <row r="148" spans="1:21" x14ac:dyDescent="0.2">
      <c r="A148" s="2">
        <v>44958</v>
      </c>
      <c r="B148">
        <f t="shared" si="156"/>
        <v>2023</v>
      </c>
      <c r="C148">
        <f t="shared" si="157"/>
        <v>2</v>
      </c>
      <c r="E148" s="62">
        <f>E147</f>
        <v>733324.62972581247</v>
      </c>
      <c r="G148" s="129">
        <f t="shared" ref="G148:K158" ca="1" si="168">G136</f>
        <v>516.6099999999999</v>
      </c>
      <c r="H148" s="129">
        <f t="shared" ca="1" si="168"/>
        <v>0</v>
      </c>
      <c r="I148" s="129">
        <f t="shared" ca="1" si="163"/>
        <v>516.6099999999999</v>
      </c>
      <c r="J148" s="129">
        <f t="shared" ca="1" si="164"/>
        <v>0</v>
      </c>
      <c r="K148" s="32">
        <f t="shared" si="168"/>
        <v>0</v>
      </c>
      <c r="L148" s="156">
        <f>'Rate Class Customer Model'!E73</f>
        <v>2972.2330545876839</v>
      </c>
      <c r="M148" s="32">
        <f t="shared" si="159"/>
        <v>146</v>
      </c>
      <c r="N148" s="199">
        <f t="shared" si="165"/>
        <v>0.25</v>
      </c>
      <c r="O148" s="32">
        <f t="shared" ca="1" si="160"/>
        <v>8996265.5386876352</v>
      </c>
      <c r="P148" s="32">
        <f t="shared" ca="1" si="161"/>
        <v>8262940.9089618232</v>
      </c>
      <c r="Q148" s="32">
        <f t="shared" ca="1" si="162"/>
        <v>8996265.5386876352</v>
      </c>
      <c r="R148" s="50"/>
      <c r="S148">
        <f t="shared" si="166"/>
        <v>0.5</v>
      </c>
      <c r="T148" s="29"/>
      <c r="U148" s="41"/>
    </row>
    <row r="149" spans="1:21" x14ac:dyDescent="0.2">
      <c r="A149" s="2">
        <v>44986</v>
      </c>
      <c r="B149">
        <f t="shared" si="156"/>
        <v>2023</v>
      </c>
      <c r="C149">
        <f t="shared" si="157"/>
        <v>3</v>
      </c>
      <c r="E149" s="62">
        <f t="shared" ref="E149:E158" si="169">E148</f>
        <v>733324.62972581247</v>
      </c>
      <c r="G149" s="129">
        <f t="shared" ca="1" si="168"/>
        <v>409.90999999999997</v>
      </c>
      <c r="H149" s="129">
        <f t="shared" ca="1" si="168"/>
        <v>1.1599999999999999</v>
      </c>
      <c r="I149" s="129">
        <f t="shared" ca="1" si="163"/>
        <v>409.90999999999997</v>
      </c>
      <c r="J149" s="129">
        <f t="shared" ca="1" si="164"/>
        <v>1.1599999999999999</v>
      </c>
      <c r="K149" s="32">
        <f t="shared" si="168"/>
        <v>0</v>
      </c>
      <c r="L149" s="156">
        <f>'Rate Class Customer Model'!E74</f>
        <v>2976.1451941442856</v>
      </c>
      <c r="M149" s="32">
        <f t="shared" si="159"/>
        <v>147</v>
      </c>
      <c r="N149" s="199">
        <f t="shared" si="165"/>
        <v>0.25</v>
      </c>
      <c r="O149" s="32">
        <f t="shared" ca="1" si="160"/>
        <v>8642227.7448452711</v>
      </c>
      <c r="P149" s="32">
        <f t="shared" ca="1" si="161"/>
        <v>7908903.1151194591</v>
      </c>
      <c r="Q149" s="32">
        <f t="shared" ca="1" si="162"/>
        <v>8642227.7448452711</v>
      </c>
      <c r="R149" s="50"/>
      <c r="S149">
        <f t="shared" si="166"/>
        <v>0.5</v>
      </c>
      <c r="T149" s="29"/>
      <c r="U149" s="41"/>
    </row>
    <row r="150" spans="1:21" x14ac:dyDescent="0.2">
      <c r="A150" s="2">
        <v>45017</v>
      </c>
      <c r="B150">
        <f t="shared" si="156"/>
        <v>2023</v>
      </c>
      <c r="C150">
        <f t="shared" si="157"/>
        <v>4</v>
      </c>
      <c r="E150" s="62">
        <f t="shared" si="169"/>
        <v>733324.62972581247</v>
      </c>
      <c r="G150" s="129">
        <f t="shared" ca="1" si="168"/>
        <v>227.5</v>
      </c>
      <c r="H150" s="129">
        <f t="shared" ca="1" si="168"/>
        <v>2.3099999999999996</v>
      </c>
      <c r="I150" s="129">
        <f t="shared" ca="1" si="163"/>
        <v>227.5</v>
      </c>
      <c r="J150" s="129">
        <f t="shared" ca="1" si="164"/>
        <v>2.3099999999999996</v>
      </c>
      <c r="K150" s="32">
        <f t="shared" si="168"/>
        <v>0</v>
      </c>
      <c r="L150" s="156">
        <f>'Rate Class Customer Model'!E75</f>
        <v>2980.0624829727076</v>
      </c>
      <c r="M150" s="32">
        <f t="shared" si="159"/>
        <v>148</v>
      </c>
      <c r="N150" s="199">
        <f t="shared" si="165"/>
        <v>0.25</v>
      </c>
      <c r="O150" s="32">
        <f t="shared" ca="1" si="160"/>
        <v>8027699.7613613009</v>
      </c>
      <c r="P150" s="32">
        <f t="shared" ca="1" si="161"/>
        <v>7294375.1316354889</v>
      </c>
      <c r="Q150" s="32">
        <f t="shared" ca="1" si="162"/>
        <v>8027699.7613613009</v>
      </c>
      <c r="R150" s="50"/>
      <c r="S150">
        <f t="shared" si="166"/>
        <v>0.5</v>
      </c>
      <c r="T150" s="29"/>
      <c r="U150" s="41"/>
    </row>
    <row r="151" spans="1:21" x14ac:dyDescent="0.2">
      <c r="A151" s="2">
        <v>45047</v>
      </c>
      <c r="B151">
        <f t="shared" si="156"/>
        <v>2023</v>
      </c>
      <c r="C151">
        <f t="shared" si="157"/>
        <v>5</v>
      </c>
      <c r="E151" s="62">
        <f t="shared" si="169"/>
        <v>733324.62972581247</v>
      </c>
      <c r="G151" s="129">
        <f t="shared" ca="1" si="168"/>
        <v>59.269999999999982</v>
      </c>
      <c r="H151" s="129">
        <f t="shared" ca="1" si="168"/>
        <v>70.86</v>
      </c>
      <c r="I151" s="129">
        <f t="shared" ca="1" si="163"/>
        <v>59.269999999999982</v>
      </c>
      <c r="J151" s="129">
        <f t="shared" ca="1" si="164"/>
        <v>70.86</v>
      </c>
      <c r="K151" s="32">
        <f t="shared" si="168"/>
        <v>0</v>
      </c>
      <c r="L151" s="156">
        <f>'Rate Class Customer Model'!E76</f>
        <v>2983.9849278505708</v>
      </c>
      <c r="M151" s="32">
        <f t="shared" si="159"/>
        <v>149</v>
      </c>
      <c r="N151" s="199">
        <f t="shared" si="165"/>
        <v>0.25</v>
      </c>
      <c r="O151" s="32">
        <f t="shared" ca="1" si="160"/>
        <v>7796685.1909034662</v>
      </c>
      <c r="P151" s="32">
        <f t="shared" ca="1" si="161"/>
        <v>7063360.5611776542</v>
      </c>
      <c r="Q151" s="32">
        <f t="shared" ca="1" si="162"/>
        <v>7796685.1909034662</v>
      </c>
      <c r="R151" s="50"/>
      <c r="S151">
        <f t="shared" si="166"/>
        <v>0.5</v>
      </c>
      <c r="T151" s="29"/>
      <c r="U151" s="41"/>
    </row>
    <row r="152" spans="1:21" x14ac:dyDescent="0.2">
      <c r="A152" s="2">
        <v>45078</v>
      </c>
      <c r="B152">
        <f t="shared" si="156"/>
        <v>2023</v>
      </c>
      <c r="C152">
        <f t="shared" si="157"/>
        <v>6</v>
      </c>
      <c r="E152" s="62">
        <f t="shared" si="169"/>
        <v>733324.62972581247</v>
      </c>
      <c r="G152" s="129">
        <f t="shared" ca="1" si="168"/>
        <v>1.85</v>
      </c>
      <c r="H152" s="129">
        <f t="shared" ca="1" si="168"/>
        <v>171.74</v>
      </c>
      <c r="I152" s="129">
        <f t="shared" ca="1" si="163"/>
        <v>1.85</v>
      </c>
      <c r="J152" s="129">
        <f t="shared" ca="1" si="164"/>
        <v>171.74</v>
      </c>
      <c r="K152" s="32">
        <f t="shared" si="168"/>
        <v>0</v>
      </c>
      <c r="L152" s="156">
        <f>'Rate Class Customer Model'!E77</f>
        <v>2987.9125355644173</v>
      </c>
      <c r="M152" s="32">
        <f t="shared" si="159"/>
        <v>150</v>
      </c>
      <c r="N152" s="199">
        <f t="shared" si="165"/>
        <v>0.25</v>
      </c>
      <c r="O152" s="32">
        <f t="shared" ca="1" si="160"/>
        <v>8107468.1241223589</v>
      </c>
      <c r="P152" s="32">
        <f t="shared" ca="1" si="161"/>
        <v>7374143.4943965469</v>
      </c>
      <c r="Q152" s="32">
        <f t="shared" ca="1" si="162"/>
        <v>8107468.1241223589</v>
      </c>
      <c r="R152" s="50"/>
      <c r="S152">
        <f t="shared" si="166"/>
        <v>0.5</v>
      </c>
      <c r="T152" s="29"/>
      <c r="U152" s="41"/>
    </row>
    <row r="153" spans="1:21" x14ac:dyDescent="0.2">
      <c r="A153" s="2">
        <v>45108</v>
      </c>
      <c r="B153">
        <f t="shared" si="156"/>
        <v>2023</v>
      </c>
      <c r="C153">
        <f t="shared" si="157"/>
        <v>7</v>
      </c>
      <c r="E153" s="62">
        <f t="shared" si="169"/>
        <v>733324.62972581247</v>
      </c>
      <c r="G153" s="129">
        <f t="shared" ca="1" si="168"/>
        <v>0</v>
      </c>
      <c r="H153" s="129">
        <f t="shared" ca="1" si="168"/>
        <v>269.41000000000003</v>
      </c>
      <c r="I153" s="129">
        <f t="shared" ca="1" si="163"/>
        <v>0</v>
      </c>
      <c r="J153" s="129">
        <f t="shared" ca="1" si="164"/>
        <v>269.41000000000003</v>
      </c>
      <c r="K153" s="32">
        <f t="shared" si="168"/>
        <v>0</v>
      </c>
      <c r="L153" s="156">
        <f>'Rate Class Customer Model'!E78</f>
        <v>2991.845312909722</v>
      </c>
      <c r="M153" s="32">
        <f t="shared" si="159"/>
        <v>151</v>
      </c>
      <c r="N153" s="199">
        <f t="shared" si="165"/>
        <v>0.25</v>
      </c>
      <c r="O153" s="32">
        <f t="shared" ca="1" si="160"/>
        <v>8593516.183983583</v>
      </c>
      <c r="P153" s="32">
        <f t="shared" ca="1" si="161"/>
        <v>7860191.554257771</v>
      </c>
      <c r="Q153" s="32">
        <f t="shared" ca="1" si="162"/>
        <v>8593516.183983583</v>
      </c>
      <c r="R153" s="50"/>
      <c r="S153">
        <f t="shared" si="166"/>
        <v>0.5</v>
      </c>
      <c r="T153" s="29"/>
      <c r="U153" s="41"/>
    </row>
    <row r="154" spans="1:21" x14ac:dyDescent="0.2">
      <c r="A154" s="2">
        <v>45139</v>
      </c>
      <c r="B154">
        <f t="shared" si="156"/>
        <v>2023</v>
      </c>
      <c r="C154">
        <f t="shared" si="157"/>
        <v>8</v>
      </c>
      <c r="E154" s="62">
        <f t="shared" si="169"/>
        <v>733324.62972581247</v>
      </c>
      <c r="G154" s="129">
        <f t="shared" ca="1" si="168"/>
        <v>0</v>
      </c>
      <c r="H154" s="129">
        <f t="shared" ca="1" si="168"/>
        <v>242.46000000000004</v>
      </c>
      <c r="I154" s="129">
        <f t="shared" ca="1" si="163"/>
        <v>0</v>
      </c>
      <c r="J154" s="129">
        <f t="shared" ca="1" si="164"/>
        <v>242.46000000000004</v>
      </c>
      <c r="K154" s="32">
        <f t="shared" si="168"/>
        <v>0</v>
      </c>
      <c r="L154" s="156">
        <f>'Rate Class Customer Model'!E79</f>
        <v>2995.7832666909039</v>
      </c>
      <c r="M154" s="32">
        <f t="shared" si="159"/>
        <v>152</v>
      </c>
      <c r="N154" s="199">
        <f t="shared" si="165"/>
        <v>0.25</v>
      </c>
      <c r="O154" s="32">
        <f t="shared" ca="1" si="160"/>
        <v>8467102.878193751</v>
      </c>
      <c r="P154" s="32">
        <f t="shared" ca="1" si="161"/>
        <v>7733778.248467939</v>
      </c>
      <c r="Q154" s="32">
        <f t="shared" ca="1" si="162"/>
        <v>8467102.878193751</v>
      </c>
      <c r="R154" s="50"/>
      <c r="S154">
        <f t="shared" si="166"/>
        <v>0.5</v>
      </c>
      <c r="T154" s="29"/>
      <c r="U154" s="41"/>
    </row>
    <row r="155" spans="1:21" x14ac:dyDescent="0.2">
      <c r="A155" s="2">
        <v>45170</v>
      </c>
      <c r="B155">
        <f t="shared" si="156"/>
        <v>2023</v>
      </c>
      <c r="C155">
        <f t="shared" si="157"/>
        <v>9</v>
      </c>
      <c r="E155" s="62">
        <f t="shared" si="169"/>
        <v>733324.62972581247</v>
      </c>
      <c r="G155" s="129">
        <f t="shared" ca="1" si="168"/>
        <v>10.66</v>
      </c>
      <c r="H155" s="129">
        <f t="shared" ca="1" si="168"/>
        <v>124.26999999999998</v>
      </c>
      <c r="I155" s="129">
        <f t="shared" ca="1" si="163"/>
        <v>10.66</v>
      </c>
      <c r="J155" s="129">
        <f t="shared" ca="1" si="164"/>
        <v>124.26999999999998</v>
      </c>
      <c r="K155" s="32">
        <f t="shared" si="168"/>
        <v>1</v>
      </c>
      <c r="L155" s="156">
        <f>'Rate Class Customer Model'!E80</f>
        <v>2999.726403721339</v>
      </c>
      <c r="M155" s="32">
        <f t="shared" si="159"/>
        <v>153</v>
      </c>
      <c r="N155" s="199">
        <f t="shared" si="165"/>
        <v>0.25</v>
      </c>
      <c r="O155" s="32">
        <f t="shared" ca="1" si="160"/>
        <v>7637057.966136653</v>
      </c>
      <c r="P155" s="32">
        <f t="shared" ca="1" si="161"/>
        <v>6903733.336410841</v>
      </c>
      <c r="Q155" s="32">
        <f t="shared" ca="1" si="162"/>
        <v>7637057.966136653</v>
      </c>
      <c r="R155" s="50"/>
      <c r="S155">
        <f t="shared" si="166"/>
        <v>0.5</v>
      </c>
      <c r="T155" s="29"/>
      <c r="U155" s="41"/>
    </row>
    <row r="156" spans="1:21" x14ac:dyDescent="0.2">
      <c r="A156" s="2">
        <v>45200</v>
      </c>
      <c r="B156">
        <f t="shared" si="156"/>
        <v>2023</v>
      </c>
      <c r="C156">
        <f t="shared" si="157"/>
        <v>10</v>
      </c>
      <c r="E156" s="62">
        <f t="shared" si="169"/>
        <v>733324.62972581247</v>
      </c>
      <c r="G156" s="129">
        <f t="shared" ca="1" si="168"/>
        <v>118.80999999999999</v>
      </c>
      <c r="H156" s="129">
        <f t="shared" ca="1" si="168"/>
        <v>23.209999999999997</v>
      </c>
      <c r="I156" s="129">
        <f t="shared" ca="1" si="163"/>
        <v>118.80999999999999</v>
      </c>
      <c r="J156" s="129">
        <f t="shared" ca="1" si="164"/>
        <v>23.209999999999997</v>
      </c>
      <c r="K156" s="32">
        <f t="shared" si="168"/>
        <v>1</v>
      </c>
      <c r="L156" s="156">
        <f>'Rate Class Customer Model'!E81</f>
        <v>3003.6747308233703</v>
      </c>
      <c r="M156" s="32">
        <f t="shared" si="159"/>
        <v>154</v>
      </c>
      <c r="N156" s="199">
        <f t="shared" si="165"/>
        <v>0.25</v>
      </c>
      <c r="O156" s="32">
        <f t="shared" ca="1" si="160"/>
        <v>7514745.4954431579</v>
      </c>
      <c r="P156" s="32">
        <f t="shared" ca="1" si="161"/>
        <v>6781420.8657173458</v>
      </c>
      <c r="Q156" s="32">
        <f t="shared" ca="1" si="162"/>
        <v>7514745.4954431579</v>
      </c>
      <c r="R156" s="50"/>
      <c r="S156">
        <f t="shared" si="166"/>
        <v>0.5</v>
      </c>
      <c r="T156" s="29"/>
      <c r="U156" s="41"/>
    </row>
    <row r="157" spans="1:21" x14ac:dyDescent="0.2">
      <c r="A157" s="2">
        <v>45231</v>
      </c>
      <c r="B157">
        <f t="shared" si="156"/>
        <v>2023</v>
      </c>
      <c r="C157">
        <f t="shared" si="157"/>
        <v>11</v>
      </c>
      <c r="E157" s="62">
        <f t="shared" si="169"/>
        <v>733324.62972581247</v>
      </c>
      <c r="G157" s="129">
        <f t="shared" ca="1" si="168"/>
        <v>307.13</v>
      </c>
      <c r="H157" s="129">
        <f t="shared" ca="1" si="168"/>
        <v>0.89</v>
      </c>
      <c r="I157" s="129">
        <f t="shared" ca="1" si="163"/>
        <v>307.13</v>
      </c>
      <c r="J157" s="129">
        <f t="shared" ca="1" si="164"/>
        <v>0.89</v>
      </c>
      <c r="K157" s="32">
        <f t="shared" si="168"/>
        <v>1</v>
      </c>
      <c r="L157" s="156">
        <f>'Rate Class Customer Model'!E82</f>
        <v>3007.6282548283207</v>
      </c>
      <c r="M157" s="32">
        <f t="shared" si="159"/>
        <v>155</v>
      </c>
      <c r="N157" s="199">
        <f t="shared" si="165"/>
        <v>0.25</v>
      </c>
      <c r="O157" s="32">
        <f t="shared" ca="1" si="160"/>
        <v>8059287.3531431723</v>
      </c>
      <c r="P157" s="32">
        <f t="shared" ca="1" si="161"/>
        <v>7325962.7234173603</v>
      </c>
      <c r="Q157" s="32">
        <f t="shared" ca="1" si="162"/>
        <v>8059287.3531431723</v>
      </c>
      <c r="R157" s="50"/>
      <c r="S157">
        <f t="shared" si="166"/>
        <v>0.5</v>
      </c>
      <c r="T157" s="29"/>
    </row>
    <row r="158" spans="1:21" x14ac:dyDescent="0.2">
      <c r="A158" s="2">
        <v>45261</v>
      </c>
      <c r="B158">
        <f t="shared" si="156"/>
        <v>2023</v>
      </c>
      <c r="C158">
        <f t="shared" si="157"/>
        <v>12</v>
      </c>
      <c r="E158" s="62">
        <f t="shared" si="169"/>
        <v>733324.62972581247</v>
      </c>
      <c r="G158" s="129">
        <f t="shared" ca="1" si="168"/>
        <v>451.35999999999996</v>
      </c>
      <c r="H158" s="129">
        <f t="shared" ca="1" si="168"/>
        <v>0</v>
      </c>
      <c r="I158" s="129">
        <f t="shared" ca="1" si="163"/>
        <v>451.35999999999996</v>
      </c>
      <c r="J158" s="129">
        <f t="shared" ca="1" si="164"/>
        <v>0</v>
      </c>
      <c r="K158" s="32">
        <f t="shared" si="168"/>
        <v>0</v>
      </c>
      <c r="L158" s="156">
        <f>'Rate Class Customer Model'!E83</f>
        <v>3011.5869825765053</v>
      </c>
      <c r="M158" s="32">
        <f t="shared" si="159"/>
        <v>156</v>
      </c>
      <c r="N158" s="199">
        <f t="shared" si="165"/>
        <v>0.25</v>
      </c>
      <c r="O158" s="32">
        <f t="shared" ca="1" si="160"/>
        <v>8845833.6524450537</v>
      </c>
      <c r="P158" s="32">
        <f t="shared" ca="1" si="161"/>
        <v>8112509.0227192417</v>
      </c>
      <c r="Q158" s="32">
        <f t="shared" ca="1" si="162"/>
        <v>8845833.6524450537</v>
      </c>
      <c r="R158" s="50"/>
      <c r="S158">
        <f t="shared" si="166"/>
        <v>0.5</v>
      </c>
      <c r="T158" s="29"/>
    </row>
    <row r="159" spans="1:21" x14ac:dyDescent="0.2">
      <c r="A159" s="2"/>
      <c r="B159" s="2"/>
      <c r="C159" s="2"/>
      <c r="D159" s="2"/>
      <c r="E159" s="2"/>
      <c r="G159" s="52">
        <f ca="1">SUM(G3:G158)</f>
        <v>34678.400000000009</v>
      </c>
      <c r="H159" s="52">
        <f ca="1">SUM(H3:H158)</f>
        <v>11795.32</v>
      </c>
      <c r="I159" s="52"/>
      <c r="J159" s="52"/>
      <c r="K159" s="32"/>
      <c r="L159" s="59"/>
      <c r="M159" s="32"/>
      <c r="N159" s="32"/>
      <c r="O159" s="32"/>
      <c r="P159" s="32"/>
      <c r="Q159" s="32"/>
      <c r="R159" s="116">
        <f ca="1">AVERAGE(R3:R134)</f>
        <v>2.1850620596812909E-2</v>
      </c>
    </row>
    <row r="160" spans="1:21" x14ac:dyDescent="0.2">
      <c r="A160" s="2"/>
      <c r="B160" s="2"/>
      <c r="C160" s="2"/>
      <c r="D160" s="2"/>
      <c r="E160" s="2"/>
      <c r="G160" s="52"/>
      <c r="H160" s="52"/>
      <c r="I160" s="52"/>
      <c r="J160" s="52"/>
      <c r="K160" s="32"/>
      <c r="L160" s="59"/>
      <c r="M160" s="32"/>
      <c r="N160" s="32"/>
      <c r="O160" s="32"/>
      <c r="P160" s="32"/>
      <c r="Q160" s="32"/>
      <c r="R160" s="50"/>
    </row>
    <row r="161" spans="1:33" x14ac:dyDescent="0.2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59"/>
      <c r="M161" s="32"/>
      <c r="N161" s="32"/>
      <c r="O161" s="32"/>
      <c r="P161" s="32"/>
      <c r="Q161" s="32"/>
      <c r="R161" s="50"/>
    </row>
    <row r="162" spans="1:33" x14ac:dyDescent="0.2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59"/>
      <c r="M162" s="32"/>
      <c r="N162" s="32"/>
      <c r="O162" s="32"/>
      <c r="P162" s="32"/>
      <c r="Q162" s="32"/>
      <c r="R162" s="50"/>
    </row>
    <row r="163" spans="1:33" x14ac:dyDescent="0.2">
      <c r="A163" s="2"/>
      <c r="B163" s="2"/>
      <c r="C163" s="2"/>
      <c r="D163" s="2"/>
      <c r="E163" s="2"/>
      <c r="G163" s="52"/>
      <c r="H163" s="52"/>
      <c r="I163" s="52"/>
      <c r="J163" s="52"/>
      <c r="M163" s="28"/>
      <c r="O163" s="26"/>
      <c r="P163" s="26"/>
    </row>
    <row r="164" spans="1:33" x14ac:dyDescent="0.2">
      <c r="A164" s="2"/>
      <c r="B164" s="2"/>
      <c r="C164" s="2"/>
      <c r="D164" s="2"/>
      <c r="E164" s="2"/>
    </row>
    <row r="165" spans="1:33" x14ac:dyDescent="0.2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L165" s="1"/>
      <c r="N165" s="57"/>
      <c r="P165" s="80" t="s">
        <v>289</v>
      </c>
      <c r="Q165" s="80" t="s">
        <v>270</v>
      </c>
      <c r="R165" s="80" t="s">
        <v>290</v>
      </c>
    </row>
    <row r="166" spans="1:33" x14ac:dyDescent="0.2">
      <c r="A166" s="11">
        <v>2011</v>
      </c>
      <c r="B166" s="11"/>
      <c r="C166" s="11"/>
      <c r="D166" s="41">
        <f>SUMIF(B:B,A166,D:D)</f>
        <v>83338833.540000021</v>
      </c>
      <c r="E166" s="41">
        <f>SUMIF(B:B,A166,E:E)</f>
        <v>113611.44815883051</v>
      </c>
      <c r="F166" s="5">
        <f>SUMIF(B:B,A166,F:F)</f>
        <v>83452444.988158852</v>
      </c>
      <c r="L166" s="1"/>
      <c r="N166" s="57"/>
      <c r="P166" s="5">
        <f t="shared" ref="P166:P178" ca="1" si="170">SUMIF(B:B,A166,O:O)</f>
        <v>83343099.810446739</v>
      </c>
      <c r="Q166" s="57">
        <f>'Historic CDM'!N5</f>
        <v>113611.44815883054</v>
      </c>
      <c r="R166" s="57">
        <f t="shared" ref="R166:R178" ca="1" si="171">SUMIF(B:B,A166,P:P)</f>
        <v>83229488.362287909</v>
      </c>
    </row>
    <row r="167" spans="1:33" x14ac:dyDescent="0.2">
      <c r="A167" s="11">
        <f>A166+1</f>
        <v>2012</v>
      </c>
      <c r="B167" s="11"/>
      <c r="C167" s="11"/>
      <c r="D167" s="41">
        <f t="shared" ref="D167:D175" si="172">SUMIF(B:B,A167,D:D)</f>
        <v>84168273.069999993</v>
      </c>
      <c r="E167" s="41">
        <f t="shared" ref="E167:E176" si="173">SUMIF(B:B,A167,E:E)</f>
        <v>385670.09388452605</v>
      </c>
      <c r="F167" s="5">
        <f t="shared" ref="F167:F176" si="174">SUMIF(B:B,A167,F:F)</f>
        <v>84553943.163884521</v>
      </c>
      <c r="L167" s="1"/>
      <c r="N167" s="57"/>
      <c r="P167" s="5">
        <f t="shared" ca="1" si="170"/>
        <v>85661406.536850885</v>
      </c>
      <c r="Q167" s="57">
        <f>'Historic CDM'!N6</f>
        <v>385670.09388452594</v>
      </c>
      <c r="R167" s="57">
        <f t="shared" ca="1" si="171"/>
        <v>85275736.442966357</v>
      </c>
    </row>
    <row r="168" spans="1:33" x14ac:dyDescent="0.2">
      <c r="A168" s="11">
        <f t="shared" ref="A168:A178" si="175">A167+1</f>
        <v>2013</v>
      </c>
      <c r="B168" s="11"/>
      <c r="C168" s="11"/>
      <c r="D168" s="41">
        <f t="shared" si="172"/>
        <v>87021883.129999995</v>
      </c>
      <c r="E168" s="41">
        <f t="shared" si="173"/>
        <v>773377.78722497867</v>
      </c>
      <c r="F168" s="5">
        <f t="shared" si="174"/>
        <v>87795260.917224973</v>
      </c>
      <c r="L168" s="1"/>
      <c r="N168" s="57"/>
      <c r="P168" s="5">
        <f t="shared" ca="1" si="170"/>
        <v>87867308.537140071</v>
      </c>
      <c r="Q168" s="57">
        <f>'Historic CDM'!N7</f>
        <v>773377.78722497891</v>
      </c>
      <c r="R168" s="57">
        <f t="shared" ca="1" si="171"/>
        <v>87093930.749915093</v>
      </c>
    </row>
    <row r="169" spans="1:33" x14ac:dyDescent="0.2">
      <c r="A169" s="11">
        <f t="shared" si="175"/>
        <v>2014</v>
      </c>
      <c r="D169" s="41">
        <f t="shared" si="172"/>
        <v>88384426.730000004</v>
      </c>
      <c r="E169" s="41">
        <f t="shared" si="173"/>
        <v>1266618.7406463188</v>
      </c>
      <c r="F169" s="5">
        <f t="shared" si="174"/>
        <v>89651045.470646307</v>
      </c>
      <c r="L169" s="1"/>
      <c r="N169" s="57"/>
      <c r="P169" s="5">
        <f t="shared" ca="1" si="170"/>
        <v>88987964.788926542</v>
      </c>
      <c r="Q169" s="57">
        <f>'Historic CDM'!N8</f>
        <v>1266618.7406463188</v>
      </c>
      <c r="R169" s="57">
        <f t="shared" ca="1" si="171"/>
        <v>87721346.048280239</v>
      </c>
    </row>
    <row r="170" spans="1:33" x14ac:dyDescent="0.2">
      <c r="A170" s="11">
        <f t="shared" si="175"/>
        <v>2015</v>
      </c>
      <c r="B170" s="11"/>
      <c r="C170" s="11"/>
      <c r="D170" s="41">
        <f t="shared" si="172"/>
        <v>88333188.626506001</v>
      </c>
      <c r="E170" s="41">
        <f t="shared" si="173"/>
        <v>2339249.6059254631</v>
      </c>
      <c r="F170" s="5">
        <f t="shared" si="174"/>
        <v>90672438.232431471</v>
      </c>
      <c r="L170" s="1"/>
      <c r="N170" s="57"/>
      <c r="P170" s="5">
        <f t="shared" ca="1" si="170"/>
        <v>90462364.18050316</v>
      </c>
      <c r="Q170" s="57">
        <f>'Historic CDM'!N9</f>
        <v>2339249.6059254631</v>
      </c>
      <c r="R170" s="57">
        <f t="shared" ca="1" si="171"/>
        <v>88123114.574577704</v>
      </c>
      <c r="AE170" s="39"/>
      <c r="AF170" s="39"/>
      <c r="AG170" s="39"/>
    </row>
    <row r="171" spans="1:33" x14ac:dyDescent="0.2">
      <c r="A171" s="11">
        <f t="shared" si="175"/>
        <v>2016</v>
      </c>
      <c r="D171" s="41">
        <f t="shared" si="172"/>
        <v>88749928.414457858</v>
      </c>
      <c r="E171" s="41">
        <f t="shared" si="173"/>
        <v>3982403.6897298838</v>
      </c>
      <c r="F171" s="5">
        <f t="shared" si="174"/>
        <v>92732332.104187712</v>
      </c>
      <c r="L171" s="1"/>
      <c r="N171" s="57"/>
      <c r="P171" s="5">
        <f t="shared" ca="1" si="170"/>
        <v>92268361.045730278</v>
      </c>
      <c r="Q171" s="57">
        <f>'Historic CDM'!N10</f>
        <v>3982403.6897298833</v>
      </c>
      <c r="R171" s="57">
        <f t="shared" ca="1" si="171"/>
        <v>88285957.356000394</v>
      </c>
    </row>
    <row r="172" spans="1:33" x14ac:dyDescent="0.2">
      <c r="A172" s="11">
        <f t="shared" si="175"/>
        <v>2017</v>
      </c>
      <c r="B172" s="11"/>
      <c r="C172" s="11"/>
      <c r="D172" s="41">
        <f t="shared" si="172"/>
        <v>82899471.903614432</v>
      </c>
      <c r="E172" s="41">
        <f t="shared" si="173"/>
        <v>5103921.7460673954</v>
      </c>
      <c r="F172" s="5">
        <f t="shared" si="174"/>
        <v>88003393.649681836</v>
      </c>
      <c r="L172" s="1"/>
      <c r="N172" s="57"/>
      <c r="P172" s="5">
        <f t="shared" ca="1" si="170"/>
        <v>88776470.408581302</v>
      </c>
      <c r="Q172" s="57">
        <f>'Historic CDM'!N11</f>
        <v>5103921.7460673954</v>
      </c>
      <c r="R172" s="57">
        <f t="shared" ca="1" si="171"/>
        <v>83672548.662513912</v>
      </c>
    </row>
    <row r="173" spans="1:33" x14ac:dyDescent="0.2">
      <c r="A173" s="11">
        <f t="shared" si="175"/>
        <v>2018</v>
      </c>
      <c r="D173" s="41">
        <f t="shared" si="172"/>
        <v>86093744.838554204</v>
      </c>
      <c r="E173" s="41">
        <f t="shared" si="173"/>
        <v>6203925.366380427</v>
      </c>
      <c r="F173" s="5">
        <f t="shared" si="174"/>
        <v>92297670.204934612</v>
      </c>
      <c r="L173" s="1"/>
      <c r="N173" s="57"/>
      <c r="P173" s="5">
        <f t="shared" ca="1" si="170"/>
        <v>91189551.139796034</v>
      </c>
      <c r="Q173" s="57">
        <f>'Historic CDM'!N12</f>
        <v>6203925.3663804261</v>
      </c>
      <c r="R173" s="57">
        <f t="shared" ca="1" si="171"/>
        <v>84985625.773415595</v>
      </c>
    </row>
    <row r="174" spans="1:33" x14ac:dyDescent="0.2">
      <c r="A174" s="11">
        <f t="shared" si="175"/>
        <v>2019</v>
      </c>
      <c r="B174" s="11"/>
      <c r="C174" s="11"/>
      <c r="D174" s="41">
        <f t="shared" si="172"/>
        <v>83808650.746987954</v>
      </c>
      <c r="E174" s="41">
        <f t="shared" si="173"/>
        <v>7283282.6936984016</v>
      </c>
      <c r="F174" s="5">
        <f t="shared" si="174"/>
        <v>91091933.440686345</v>
      </c>
      <c r="L174" s="1"/>
      <c r="N174" s="57"/>
      <c r="P174" s="5">
        <f t="shared" ca="1" si="170"/>
        <v>90835461.164250717</v>
      </c>
      <c r="Q174" s="57">
        <f>'Historic CDM'!N13</f>
        <v>7283282.6936984016</v>
      </c>
      <c r="R174" s="57">
        <f t="shared" ca="1" si="171"/>
        <v>83552178.470552325</v>
      </c>
    </row>
    <row r="175" spans="1:33" x14ac:dyDescent="0.2">
      <c r="A175" s="11">
        <f t="shared" si="175"/>
        <v>2020</v>
      </c>
      <c r="D175" s="41">
        <f t="shared" si="172"/>
        <v>79694764.992771059</v>
      </c>
      <c r="E175" s="41">
        <f t="shared" si="173"/>
        <v>7797753.6168311285</v>
      </c>
      <c r="F175" s="5">
        <f t="shared" si="174"/>
        <v>87492518.609602198</v>
      </c>
      <c r="L175" s="1"/>
      <c r="N175" s="57"/>
      <c r="P175" s="5">
        <f t="shared" ca="1" si="170"/>
        <v>87837252.514565885</v>
      </c>
      <c r="Q175" s="57">
        <f>'Historic CDM'!N14</f>
        <v>7797753.6168311285</v>
      </c>
      <c r="R175" s="57">
        <f t="shared" ca="1" si="171"/>
        <v>80039498.897734746</v>
      </c>
      <c r="S175" s="5"/>
    </row>
    <row r="176" spans="1:33" x14ac:dyDescent="0.2">
      <c r="A176" s="11">
        <f t="shared" si="175"/>
        <v>2021</v>
      </c>
      <c r="B176" s="11"/>
      <c r="C176" s="11"/>
      <c r="D176" s="41">
        <f>SUMIF(B:B,A176,D:D)</f>
        <v>85479169.763855413</v>
      </c>
      <c r="E176" s="41">
        <f t="shared" si="173"/>
        <v>9000615.3755871262</v>
      </c>
      <c r="F176" s="5">
        <f t="shared" si="174"/>
        <v>94479785.139442518</v>
      </c>
      <c r="L176" s="1"/>
      <c r="N176" s="57"/>
      <c r="P176" s="5">
        <f t="shared" ca="1" si="170"/>
        <v>94884180.616377652</v>
      </c>
      <c r="Q176" s="57">
        <f>'Historic CDM'!N15</f>
        <v>9000615.3755871262</v>
      </c>
      <c r="R176" s="57">
        <f t="shared" ca="1" si="171"/>
        <v>85883565.240790531</v>
      </c>
      <c r="S176" s="5"/>
    </row>
    <row r="177" spans="1:33" x14ac:dyDescent="0.2">
      <c r="A177" s="11">
        <f t="shared" si="175"/>
        <v>2022</v>
      </c>
      <c r="B177" s="11"/>
      <c r="C177" s="11"/>
      <c r="D177" s="41"/>
      <c r="E177" s="41"/>
      <c r="L177" s="1"/>
      <c r="N177" s="57"/>
      <c r="P177" s="5">
        <f t="shared" ca="1" si="170"/>
        <v>97794576.575970352</v>
      </c>
      <c r="Q177" s="57">
        <f>'Historic CDM'!N16</f>
        <v>8981991.0753254313</v>
      </c>
      <c r="R177" s="57">
        <f t="shared" ca="1" si="171"/>
        <v>88812585.500644907</v>
      </c>
    </row>
    <row r="178" spans="1:33" x14ac:dyDescent="0.2">
      <c r="A178" s="11">
        <f t="shared" si="175"/>
        <v>2023</v>
      </c>
      <c r="D178" s="41"/>
      <c r="E178" s="41"/>
      <c r="K178" s="43"/>
      <c r="L178" s="43"/>
      <c r="N178" s="54"/>
      <c r="O178" s="43"/>
      <c r="P178" s="5">
        <f t="shared" ca="1" si="170"/>
        <v>99838214.323534235</v>
      </c>
      <c r="Q178" s="57">
        <f>'Historic CDM'!N17</f>
        <v>8799895.5567097496</v>
      </c>
      <c r="R178" s="57">
        <f t="shared" ca="1" si="171"/>
        <v>91038318.766824484</v>
      </c>
      <c r="S178" s="79"/>
    </row>
    <row r="179" spans="1:33" x14ac:dyDescent="0.2">
      <c r="A179" s="28" t="s">
        <v>300</v>
      </c>
      <c r="B179" s="28"/>
      <c r="C179" s="28"/>
      <c r="D179" s="28"/>
      <c r="E179" s="28"/>
      <c r="O179" s="5"/>
      <c r="P179" s="5"/>
      <c r="Q179" s="5"/>
    </row>
    <row r="181" spans="1:33" x14ac:dyDescent="0.2">
      <c r="O181" s="5"/>
      <c r="P181" s="5"/>
      <c r="Q181" s="26"/>
    </row>
    <row r="182" spans="1:33" x14ac:dyDescent="0.2">
      <c r="S182" s="41"/>
    </row>
    <row r="183" spans="1:33" x14ac:dyDescent="0.2">
      <c r="S183" s="41"/>
    </row>
    <row r="184" spans="1:33" x14ac:dyDescent="0.2">
      <c r="AE184" s="39"/>
      <c r="AF184" s="39"/>
      <c r="AG184" s="39"/>
    </row>
    <row r="195" spans="31:33" x14ac:dyDescent="0.2">
      <c r="AE195" s="39"/>
      <c r="AF195" s="39"/>
      <c r="AG195" s="39"/>
    </row>
  </sheetData>
  <mergeCells count="3">
    <mergeCell ref="T144:T146"/>
    <mergeCell ref="U144:U146"/>
    <mergeCell ref="A1:C1"/>
  </mergeCells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18" max="1048575" man="1"/>
    <brk id="28" max="222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E617-27CB-47D3-B3F6-DD0DA2616962}">
  <sheetPr>
    <tabColor theme="3" tint="0.79998168889431442"/>
  </sheetPr>
  <dimension ref="A1:AW190"/>
  <sheetViews>
    <sheetView zoomScale="80" zoomScaleNormal="80" workbookViewId="0">
      <pane xSplit="1" ySplit="2" topLeftCell="M3" activePane="bottomRight" state="frozen"/>
      <selection activeCell="AB15" sqref="AB15"/>
      <selection pane="topRight" activeCell="AB15" sqref="AB15"/>
      <selection pane="bottomLeft" activeCell="AB15" sqref="AB15"/>
      <selection pane="bottomRight" activeCell="T4" sqref="T4"/>
    </sheetView>
  </sheetViews>
  <sheetFormatPr defaultRowHeight="12.75" x14ac:dyDescent="0.2"/>
  <cols>
    <col min="1" max="3" width="11.85546875" customWidth="1"/>
    <col min="4" max="4" width="14.140625" customWidth="1"/>
    <col min="5" max="5" width="13.28515625" customWidth="1"/>
    <col min="6" max="6" width="12.7109375" style="5" bestFit="1" customWidth="1"/>
    <col min="7" max="7" width="12.140625" style="1" customWidth="1"/>
    <col min="8" max="10" width="11.5703125" style="1" customWidth="1"/>
    <col min="11" max="11" width="9.42578125" style="1" bestFit="1" customWidth="1"/>
    <col min="12" max="12" width="10.85546875" style="1" bestFit="1" customWidth="1"/>
    <col min="13" max="13" width="10.85546875" style="1" customWidth="1"/>
    <col min="14" max="14" width="10.7109375" style="1" bestFit="1" customWidth="1"/>
    <col min="15" max="15" width="15.140625" style="1" bestFit="1" customWidth="1"/>
    <col min="16" max="16" width="15.140625" style="1" customWidth="1"/>
    <col min="17" max="17" width="13.28515625" style="1" customWidth="1"/>
    <col min="18" max="18" width="13.7109375" style="1" customWidth="1"/>
    <col min="19" max="19" width="22.42578125" bestFit="1" customWidth="1"/>
    <col min="20" max="20" width="14.85546875" bestFit="1" customWidth="1"/>
    <col min="21" max="21" width="13.7109375" bestFit="1" customWidth="1"/>
    <col min="22" max="22" width="12.5703125" bestFit="1" customWidth="1"/>
    <col min="23" max="23" width="12.42578125" bestFit="1" customWidth="1"/>
    <col min="24" max="24" width="13.5703125" bestFit="1" customWidth="1"/>
    <col min="25" max="27" width="12.5703125" bestFit="1" customWidth="1"/>
    <col min="28" max="28" width="14.140625" bestFit="1" customWidth="1"/>
    <col min="29" max="31" width="12.7109375" customWidth="1"/>
    <col min="32" max="40" width="12.7109375" style="5" customWidth="1"/>
    <col min="41" max="50" width="12.7109375" customWidth="1"/>
  </cols>
  <sheetData>
    <row r="1" spans="1:44" ht="15.75" x14ac:dyDescent="0.25">
      <c r="A1" s="321" t="s">
        <v>341</v>
      </c>
      <c r="B1" s="321"/>
      <c r="C1" s="321"/>
      <c r="D1" s="321"/>
      <c r="E1" s="321"/>
      <c r="F1" s="321"/>
      <c r="G1" s="321"/>
    </row>
    <row r="2" spans="1:44" ht="42" customHeight="1" x14ac:dyDescent="0.2">
      <c r="D2" s="56" t="str">
        <f>Data!J1</f>
        <v>GS50to999_kWh</v>
      </c>
      <c r="E2" s="56" t="str">
        <f>Data!K1</f>
        <v>GS50to999_CDM</v>
      </c>
      <c r="F2" s="56" t="str">
        <f>Data!L1</f>
        <v>GS50to999_NoCDM</v>
      </c>
      <c r="G2" s="252" t="str">
        <f>Data!AV1</f>
        <v>HDD10</v>
      </c>
      <c r="H2" s="252" t="str">
        <f>Data!AU1</f>
        <v>CDD12</v>
      </c>
      <c r="I2" s="8" t="str">
        <f>G2&amp;"Norm"</f>
        <v>HDD10Norm</v>
      </c>
      <c r="J2" s="8" t="str">
        <f>H2&amp;"Norm"</f>
        <v>CDD12Norm</v>
      </c>
      <c r="K2" s="8" t="s">
        <v>272</v>
      </c>
      <c r="L2" s="8" t="s">
        <v>274</v>
      </c>
      <c r="M2" s="8" t="s">
        <v>336</v>
      </c>
      <c r="N2" s="8" t="s">
        <v>52</v>
      </c>
      <c r="O2" s="8" t="s">
        <v>275</v>
      </c>
      <c r="P2" s="8" t="s">
        <v>276</v>
      </c>
      <c r="Q2" s="8" t="s">
        <v>277</v>
      </c>
      <c r="R2" s="8" t="s">
        <v>278</v>
      </c>
      <c r="AF2" s="7"/>
      <c r="AG2" s="7"/>
      <c r="AH2" s="7"/>
    </row>
    <row r="3" spans="1:44" x14ac:dyDescent="0.2">
      <c r="A3" s="2">
        <v>40544</v>
      </c>
      <c r="B3">
        <f>YEAR(A3)</f>
        <v>2011</v>
      </c>
      <c r="C3">
        <f>MONTH(A3)</f>
        <v>1</v>
      </c>
      <c r="D3" s="56">
        <f>Data!J2</f>
        <v>16624484.049999999</v>
      </c>
      <c r="E3" s="56">
        <f>Data!K2</f>
        <v>92782.771217919406</v>
      </c>
      <c r="F3" s="56">
        <f>Data!L2</f>
        <v>16717266.821217919</v>
      </c>
      <c r="G3" s="253">
        <f>Data!AV2</f>
        <v>527.30000000000007</v>
      </c>
      <c r="H3" s="253">
        <f>Data!AU2</f>
        <v>0</v>
      </c>
      <c r="I3" s="251">
        <f ca="1">Weather!DF61</f>
        <v>439.5</v>
      </c>
      <c r="J3" s="251">
        <f ca="1">Weather!CS61</f>
        <v>0</v>
      </c>
      <c r="K3" s="32">
        <f>Data!BG2</f>
        <v>31</v>
      </c>
      <c r="L3" s="32">
        <f>Data!AC2</f>
        <v>257</v>
      </c>
      <c r="M3" s="32">
        <f>Data!BC2</f>
        <v>2928.6</v>
      </c>
      <c r="N3" s="32">
        <f>Data!BZ2</f>
        <v>0</v>
      </c>
      <c r="O3" s="32">
        <f t="shared" ref="O3:O34" ca="1" si="0">F3+(I3-G3)*$T$11+(J3-H3)*$T$12</f>
        <v>16260641.926946038</v>
      </c>
      <c r="P3" s="32">
        <f ca="1">O3-E3</f>
        <v>16167859.155728118</v>
      </c>
      <c r="Q3" s="51">
        <f ca="1">+O3-F3</f>
        <v>-456624.89427188039</v>
      </c>
      <c r="R3" s="50">
        <f ca="1">ABS(Q3/F3)</f>
        <v>2.7314566379494653E-2</v>
      </c>
      <c r="AD3" s="39"/>
      <c r="AE3" s="39"/>
      <c r="AF3" s="66"/>
      <c r="AG3" s="51"/>
      <c r="AH3" s="74"/>
      <c r="AI3" s="74"/>
      <c r="AJ3" s="204"/>
      <c r="AK3" s="74"/>
      <c r="AL3" s="74"/>
      <c r="AM3" s="197"/>
      <c r="AN3" s="204"/>
      <c r="AO3" s="68"/>
    </row>
    <row r="4" spans="1:44" x14ac:dyDescent="0.2">
      <c r="A4" s="2">
        <v>40575</v>
      </c>
      <c r="B4">
        <f t="shared" ref="B4:B67" si="1">YEAR(A4)</f>
        <v>2011</v>
      </c>
      <c r="C4">
        <f t="shared" ref="C4:C67" si="2">MONTH(A4)</f>
        <v>2</v>
      </c>
      <c r="D4" s="56">
        <f>Data!J3</f>
        <v>15658887.129999997</v>
      </c>
      <c r="E4" s="56">
        <f>Data!K3</f>
        <v>92782.771217919406</v>
      </c>
      <c r="F4" s="56">
        <f>Data!L3</f>
        <v>15751669.901217917</v>
      </c>
      <c r="G4" s="253">
        <f>Data!AV3</f>
        <v>430.20000000000005</v>
      </c>
      <c r="H4" s="253">
        <f>Data!AU3</f>
        <v>0</v>
      </c>
      <c r="I4" s="251">
        <f ca="1">Weather!DF62</f>
        <v>403.5</v>
      </c>
      <c r="J4" s="251">
        <f ca="1">Weather!CS62</f>
        <v>0</v>
      </c>
      <c r="K4" s="32">
        <f>Data!BG3</f>
        <v>28</v>
      </c>
      <c r="L4" s="32">
        <f>Data!AC3</f>
        <v>255</v>
      </c>
      <c r="M4" s="32">
        <f>Data!BC3</f>
        <v>2938.9</v>
      </c>
      <c r="N4" s="32">
        <f>Data!BZ3</f>
        <v>0</v>
      </c>
      <c r="O4" s="32">
        <f t="shared" ca="1" si="0"/>
        <v>15612810.166855056</v>
      </c>
      <c r="P4" s="32">
        <f t="shared" ref="P4:P67" ca="1" si="3">O4-E4</f>
        <v>15520027.395637136</v>
      </c>
      <c r="Q4" s="51">
        <f t="shared" ref="Q4:Q34" ca="1" si="4">+O4-F4</f>
        <v>-138859.73436286114</v>
      </c>
      <c r="R4" s="50">
        <f t="shared" ref="R4:R67" ca="1" si="5">ABS(Q4/F4)</f>
        <v>8.8155563971109192E-3</v>
      </c>
      <c r="S4" s="149"/>
      <c r="T4" t="s">
        <v>356</v>
      </c>
      <c r="U4" s="149"/>
      <c r="V4" s="149"/>
      <c r="W4" s="149"/>
      <c r="X4" s="149"/>
      <c r="Y4" s="315" t="s">
        <v>349</v>
      </c>
      <c r="AD4" s="39"/>
      <c r="AE4" s="39"/>
      <c r="AF4" s="333"/>
      <c r="AG4" s="333"/>
      <c r="AH4" s="74"/>
      <c r="AI4" s="74"/>
      <c r="AJ4" s="197"/>
      <c r="AK4" s="208"/>
      <c r="AL4" s="74"/>
      <c r="AM4" s="197"/>
      <c r="AN4" s="197"/>
      <c r="AO4" s="68"/>
    </row>
    <row r="5" spans="1:44" x14ac:dyDescent="0.2">
      <c r="A5" s="2">
        <v>40603</v>
      </c>
      <c r="B5">
        <f t="shared" si="1"/>
        <v>2011</v>
      </c>
      <c r="C5">
        <f t="shared" si="2"/>
        <v>3</v>
      </c>
      <c r="D5" s="56">
        <f>Data!J4</f>
        <v>16577681.930000002</v>
      </c>
      <c r="E5" s="56">
        <f>Data!K4</f>
        <v>92782.771217919406</v>
      </c>
      <c r="F5" s="56">
        <f>Data!L4</f>
        <v>16670464.701217921</v>
      </c>
      <c r="G5" s="253">
        <f>Data!AV4</f>
        <v>324.79999999999995</v>
      </c>
      <c r="H5" s="253">
        <f>Data!AU4</f>
        <v>0</v>
      </c>
      <c r="I5" s="251">
        <f ca="1">Weather!DF63</f>
        <v>291.06</v>
      </c>
      <c r="J5" s="251">
        <f ca="1">Weather!CS63</f>
        <v>2.8099999999999996</v>
      </c>
      <c r="K5" s="32">
        <f>Data!BG4</f>
        <v>31</v>
      </c>
      <c r="L5" s="32">
        <f>Data!AC4</f>
        <v>256</v>
      </c>
      <c r="M5" s="32">
        <f>Data!BC4</f>
        <v>2930.7</v>
      </c>
      <c r="N5" s="32">
        <f>Data!BZ4</f>
        <v>0</v>
      </c>
      <c r="O5" s="32">
        <f t="shared" ca="1" si="0"/>
        <v>16513632.221315578</v>
      </c>
      <c r="P5" s="32">
        <f t="shared" ca="1" si="3"/>
        <v>16420849.450097658</v>
      </c>
      <c r="Q5" s="51">
        <f t="shared" ca="1" si="4"/>
        <v>-156832.47990234382</v>
      </c>
      <c r="R5" s="50">
        <f t="shared" ca="1" si="5"/>
        <v>9.4078049240514487E-3</v>
      </c>
      <c r="S5" t="s">
        <v>354</v>
      </c>
      <c r="Y5" s="315" t="s">
        <v>297</v>
      </c>
      <c r="Z5" s="315"/>
      <c r="AA5" s="315"/>
      <c r="AB5" s="315"/>
      <c r="AC5" s="315"/>
      <c r="AD5" s="51"/>
      <c r="AE5" s="51"/>
      <c r="AF5" s="51"/>
      <c r="AG5" s="51"/>
      <c r="AH5" s="74"/>
      <c r="AI5" s="74"/>
      <c r="AJ5" s="197"/>
      <c r="AK5" s="208"/>
      <c r="AL5" s="74"/>
      <c r="AM5" s="197"/>
      <c r="AN5" s="197"/>
      <c r="AO5" s="67"/>
    </row>
    <row r="6" spans="1:44" x14ac:dyDescent="0.2">
      <c r="A6" s="2">
        <v>40634</v>
      </c>
      <c r="B6">
        <f t="shared" si="1"/>
        <v>2011</v>
      </c>
      <c r="C6">
        <f t="shared" si="2"/>
        <v>4</v>
      </c>
      <c r="D6" s="56">
        <f>Data!J5</f>
        <v>14870365.83</v>
      </c>
      <c r="E6" s="56">
        <f>Data!K5</f>
        <v>92782.771217919406</v>
      </c>
      <c r="F6" s="56">
        <f>Data!L5</f>
        <v>14963148.60121792</v>
      </c>
      <c r="G6" s="253">
        <f>Data!AV5</f>
        <v>106.70000000000002</v>
      </c>
      <c r="H6" s="253">
        <f>Data!AU5</f>
        <v>6.4</v>
      </c>
      <c r="I6" s="251">
        <f ca="1">Weather!DF64</f>
        <v>120.71999999999998</v>
      </c>
      <c r="J6" s="251">
        <f ca="1">Weather!CS64</f>
        <v>6.58</v>
      </c>
      <c r="K6" s="32">
        <f>Data!BG5</f>
        <v>30</v>
      </c>
      <c r="L6" s="32">
        <f>Data!AC5</f>
        <v>257</v>
      </c>
      <c r="M6" s="32">
        <f>Data!BC5</f>
        <v>2922.2</v>
      </c>
      <c r="N6" s="32">
        <f>Data!BZ5</f>
        <v>0</v>
      </c>
      <c r="O6" s="32">
        <f t="shared" ca="1" si="0"/>
        <v>15037257.014285589</v>
      </c>
      <c r="P6" s="32">
        <f t="shared" ca="1" si="3"/>
        <v>14944474.243067669</v>
      </c>
      <c r="Q6" s="51">
        <f t="shared" ca="1" si="4"/>
        <v>74108.413067668676</v>
      </c>
      <c r="R6" s="50">
        <f t="shared" ca="1" si="5"/>
        <v>4.9527285361342099E-3</v>
      </c>
      <c r="S6" t="s">
        <v>298</v>
      </c>
      <c r="Y6" s="315" t="s">
        <v>298</v>
      </c>
      <c r="Z6" s="315"/>
      <c r="AA6" s="315"/>
      <c r="AB6" s="315"/>
      <c r="AC6" s="315"/>
      <c r="AF6" s="74"/>
      <c r="AG6" s="69"/>
      <c r="AH6" s="39"/>
      <c r="AK6" s="209"/>
      <c r="AL6" s="209"/>
      <c r="AO6" s="5"/>
      <c r="AP6" s="5"/>
      <c r="AR6" s="28"/>
    </row>
    <row r="7" spans="1:44" x14ac:dyDescent="0.2">
      <c r="A7" s="2">
        <v>40664</v>
      </c>
      <c r="B7">
        <f t="shared" si="1"/>
        <v>2011</v>
      </c>
      <c r="C7">
        <f t="shared" si="2"/>
        <v>5</v>
      </c>
      <c r="D7" s="56">
        <f>Data!J6</f>
        <v>15387555.400000006</v>
      </c>
      <c r="E7" s="56">
        <f>Data!K6</f>
        <v>92782.771217919406</v>
      </c>
      <c r="F7" s="56">
        <f>Data!L6</f>
        <v>15480338.171217926</v>
      </c>
      <c r="G7" s="253">
        <f>Data!AV6</f>
        <v>7.1</v>
      </c>
      <c r="H7" s="253">
        <f>Data!AU6</f>
        <v>86.7</v>
      </c>
      <c r="I7" s="251">
        <f ca="1">Weather!DF65</f>
        <v>16.330000000000002</v>
      </c>
      <c r="J7" s="251">
        <f ca="1">Weather!CS65</f>
        <v>107.25</v>
      </c>
      <c r="K7" s="32">
        <f>Data!BG6</f>
        <v>31</v>
      </c>
      <c r="L7" s="32">
        <f>Data!AC6</f>
        <v>263</v>
      </c>
      <c r="M7" s="32">
        <f>Data!BC6</f>
        <v>2920.1</v>
      </c>
      <c r="N7" s="32">
        <f>Data!BZ6</f>
        <v>0</v>
      </c>
      <c r="O7" s="32">
        <f t="shared" ca="1" si="0"/>
        <v>15664661.77914265</v>
      </c>
      <c r="P7" s="32">
        <f t="shared" ca="1" si="3"/>
        <v>15571879.00792473</v>
      </c>
      <c r="Q7" s="51">
        <f t="shared" ca="1" si="4"/>
        <v>184323.607924724</v>
      </c>
      <c r="R7" s="50">
        <f t="shared" ca="1" si="5"/>
        <v>1.190694969877536E-2</v>
      </c>
      <c r="S7" t="s">
        <v>355</v>
      </c>
      <c r="Y7" s="315" t="s">
        <v>299</v>
      </c>
      <c r="Z7" s="315"/>
      <c r="AA7" s="315"/>
      <c r="AB7" s="315"/>
      <c r="AC7" s="315"/>
      <c r="AF7" s="74"/>
      <c r="AG7" s="69"/>
      <c r="AH7" s="39"/>
      <c r="AK7" s="209"/>
      <c r="AL7" s="209"/>
      <c r="AO7" s="5"/>
      <c r="AP7" s="5"/>
      <c r="AR7" s="28"/>
    </row>
    <row r="8" spans="1:44" x14ac:dyDescent="0.2">
      <c r="A8" s="2">
        <v>40695</v>
      </c>
      <c r="B8">
        <f t="shared" si="1"/>
        <v>2011</v>
      </c>
      <c r="C8">
        <f t="shared" si="2"/>
        <v>6</v>
      </c>
      <c r="D8" s="56">
        <f>Data!J7</f>
        <v>16284746.789999999</v>
      </c>
      <c r="E8" s="56">
        <f>Data!K7</f>
        <v>92782.771217919406</v>
      </c>
      <c r="F8" s="56">
        <f>Data!L7</f>
        <v>16377529.561217919</v>
      </c>
      <c r="G8" s="253">
        <f>Data!AV7</f>
        <v>0</v>
      </c>
      <c r="H8" s="253">
        <f>Data!AU7</f>
        <v>213.20000000000002</v>
      </c>
      <c r="I8" s="251">
        <f ca="1">Weather!DF66</f>
        <v>0</v>
      </c>
      <c r="J8" s="251">
        <f ca="1">Weather!CS66</f>
        <v>230.10000000000005</v>
      </c>
      <c r="K8" s="32">
        <f>Data!BG7</f>
        <v>30</v>
      </c>
      <c r="L8" s="32">
        <f>Data!AC7</f>
        <v>263</v>
      </c>
      <c r="M8" s="32">
        <f>Data!BC7</f>
        <v>2927.5</v>
      </c>
      <c r="N8" s="32">
        <f>Data!BZ7</f>
        <v>0</v>
      </c>
      <c r="O8" s="32">
        <f t="shared" ca="1" si="0"/>
        <v>16489637.652781956</v>
      </c>
      <c r="P8" s="32">
        <f t="shared" ca="1" si="3"/>
        <v>16396854.881564036</v>
      </c>
      <c r="Q8" s="51">
        <f t="shared" ca="1" si="4"/>
        <v>112108.09156403691</v>
      </c>
      <c r="R8" s="50">
        <f t="shared" ca="1" si="5"/>
        <v>6.8452382360224516E-3</v>
      </c>
      <c r="Y8" s="315"/>
      <c r="Z8" s="315"/>
      <c r="AA8" s="315"/>
      <c r="AB8" s="315"/>
      <c r="AC8" s="315"/>
      <c r="AF8" s="74"/>
      <c r="AG8" s="69"/>
      <c r="AH8" s="39"/>
      <c r="AK8" s="209"/>
      <c r="AL8" s="209"/>
      <c r="AO8" s="5"/>
      <c r="AP8" s="5"/>
      <c r="AR8" s="28"/>
    </row>
    <row r="9" spans="1:44" x14ac:dyDescent="0.2">
      <c r="A9" s="2">
        <v>40725</v>
      </c>
      <c r="B9">
        <f t="shared" si="1"/>
        <v>2011</v>
      </c>
      <c r="C9">
        <f t="shared" si="2"/>
        <v>7</v>
      </c>
      <c r="D9" s="56">
        <f>Data!J8</f>
        <v>16946151.27</v>
      </c>
      <c r="E9" s="56">
        <f>Data!K8</f>
        <v>92782.771217919406</v>
      </c>
      <c r="F9" s="56">
        <f>Data!L8</f>
        <v>17038934.041217919</v>
      </c>
      <c r="G9" s="253">
        <f>Data!AV8</f>
        <v>0</v>
      </c>
      <c r="H9" s="253">
        <f>Data!AU8</f>
        <v>384.2999999999999</v>
      </c>
      <c r="I9" s="251">
        <f ca="1">Weather!DF67</f>
        <v>0</v>
      </c>
      <c r="J9" s="251">
        <f ca="1">Weather!CS67</f>
        <v>331.41</v>
      </c>
      <c r="K9" s="32">
        <f>Data!BG8</f>
        <v>31</v>
      </c>
      <c r="L9" s="32">
        <f>Data!AC8</f>
        <v>265</v>
      </c>
      <c r="M9" s="32">
        <f>Data!BC8</f>
        <v>2923.6</v>
      </c>
      <c r="N9" s="32">
        <f>Data!BZ8</f>
        <v>0</v>
      </c>
      <c r="O9" s="32">
        <f t="shared" ca="1" si="0"/>
        <v>16688082.149926681</v>
      </c>
      <c r="P9" s="32">
        <f t="shared" ca="1" si="3"/>
        <v>16595299.378708761</v>
      </c>
      <c r="Q9" s="51">
        <f t="shared" ca="1" si="4"/>
        <v>-350851.89129123837</v>
      </c>
      <c r="R9" s="50">
        <f t="shared" ca="1" si="5"/>
        <v>2.0591187831498874E-2</v>
      </c>
      <c r="S9" s="149"/>
      <c r="T9" s="149" t="s">
        <v>135</v>
      </c>
      <c r="U9" s="149" t="s">
        <v>136</v>
      </c>
      <c r="V9" t="s">
        <v>137</v>
      </c>
      <c r="W9" t="s">
        <v>138</v>
      </c>
      <c r="X9" s="149"/>
      <c r="Y9" s="149"/>
      <c r="Z9" s="149" t="s">
        <v>135</v>
      </c>
      <c r="AA9" s="149" t="s">
        <v>136</v>
      </c>
      <c r="AB9" s="315" t="s">
        <v>137</v>
      </c>
      <c r="AC9" s="315" t="s">
        <v>138</v>
      </c>
      <c r="AF9" s="74"/>
      <c r="AG9" s="69"/>
      <c r="AH9" s="39"/>
      <c r="AK9" s="209"/>
      <c r="AL9" s="209"/>
      <c r="AO9" s="5"/>
      <c r="AP9" s="5"/>
      <c r="AR9" s="28"/>
    </row>
    <row r="10" spans="1:44" x14ac:dyDescent="0.2">
      <c r="A10" s="2">
        <v>40756</v>
      </c>
      <c r="B10">
        <f t="shared" si="1"/>
        <v>2011</v>
      </c>
      <c r="C10">
        <f t="shared" si="2"/>
        <v>8</v>
      </c>
      <c r="D10" s="56">
        <f>Data!J9</f>
        <v>16700144.319999998</v>
      </c>
      <c r="E10" s="56">
        <f>Data!K9</f>
        <v>92782.771217919406</v>
      </c>
      <c r="F10" s="56">
        <f>Data!L9</f>
        <v>16792927.091217916</v>
      </c>
      <c r="G10" s="253">
        <f>Data!AV9</f>
        <v>0</v>
      </c>
      <c r="H10" s="253">
        <f>Data!AU9</f>
        <v>308.2</v>
      </c>
      <c r="I10" s="251">
        <f ca="1">Weather!DF68</f>
        <v>0</v>
      </c>
      <c r="J10" s="251">
        <f ca="1">Weather!CS68</f>
        <v>304.46000000000004</v>
      </c>
      <c r="K10" s="32">
        <f>Data!BG9</f>
        <v>31</v>
      </c>
      <c r="L10" s="32">
        <f>Data!AC9</f>
        <v>267</v>
      </c>
      <c r="M10" s="32">
        <f>Data!BC9</f>
        <v>2920.2</v>
      </c>
      <c r="N10" s="32">
        <f>Data!BZ9</f>
        <v>0</v>
      </c>
      <c r="O10" s="32">
        <f t="shared" ca="1" si="0"/>
        <v>16768117.371546349</v>
      </c>
      <c r="P10" s="32">
        <f t="shared" ca="1" si="3"/>
        <v>16675334.600328429</v>
      </c>
      <c r="Q10" s="51">
        <f t="shared" ca="1" si="4"/>
        <v>-24809.719671567902</v>
      </c>
      <c r="R10" s="50">
        <f t="shared" ca="1" si="5"/>
        <v>1.4773910192549143E-3</v>
      </c>
      <c r="S10" t="s">
        <v>139</v>
      </c>
      <c r="T10">
        <v>-14474194.8682798</v>
      </c>
      <c r="U10">
        <v>2078604.8918774701</v>
      </c>
      <c r="V10">
        <v>-6.9634180718232397</v>
      </c>
      <c r="W10" s="130">
        <v>1.67249840643603E-10</v>
      </c>
      <c r="Y10" s="315" t="s">
        <v>139</v>
      </c>
      <c r="Z10" s="315">
        <v>-14427970.062420901</v>
      </c>
      <c r="AA10" s="315">
        <v>2078230.73323364</v>
      </c>
      <c r="AB10" s="315">
        <v>-6.9424293615230601</v>
      </c>
      <c r="AC10" s="316">
        <v>1.8619369107404799E-10</v>
      </c>
      <c r="AF10" s="74"/>
      <c r="AG10" s="69"/>
      <c r="AH10" s="39"/>
      <c r="AK10" s="209"/>
      <c r="AL10" s="209"/>
      <c r="AO10" s="5"/>
      <c r="AP10" s="5"/>
      <c r="AR10" s="28"/>
    </row>
    <row r="11" spans="1:44" x14ac:dyDescent="0.2">
      <c r="A11" s="2">
        <v>40787</v>
      </c>
      <c r="B11">
        <f t="shared" si="1"/>
        <v>2011</v>
      </c>
      <c r="C11">
        <f t="shared" si="2"/>
        <v>9</v>
      </c>
      <c r="D11" s="56">
        <f>Data!J10</f>
        <v>15666778.779999997</v>
      </c>
      <c r="E11" s="56">
        <f>Data!K10</f>
        <v>92782.771217919406</v>
      </c>
      <c r="F11" s="56">
        <f>Data!L10</f>
        <v>15759561.551217917</v>
      </c>
      <c r="G11" s="253">
        <f>Data!AV10</f>
        <v>0</v>
      </c>
      <c r="H11" s="253">
        <f>Data!AU10</f>
        <v>172.60000000000002</v>
      </c>
      <c r="I11" s="251">
        <f ca="1">Weather!DF69</f>
        <v>0.24999999999999983</v>
      </c>
      <c r="J11" s="251">
        <f ca="1">Weather!CS69</f>
        <v>176.51</v>
      </c>
      <c r="K11" s="32">
        <f>Data!BG10</f>
        <v>30</v>
      </c>
      <c r="L11" s="32">
        <f>Data!AC10</f>
        <v>268</v>
      </c>
      <c r="M11" s="32">
        <f>Data!BC10</f>
        <v>2915.3</v>
      </c>
      <c r="N11" s="32">
        <f>Data!BZ10</f>
        <v>0</v>
      </c>
      <c r="O11" s="32">
        <f t="shared" ca="1" si="0"/>
        <v>15786799.17019869</v>
      </c>
      <c r="P11" s="32">
        <f t="shared" ca="1" si="3"/>
        <v>15694016.39898077</v>
      </c>
      <c r="Q11" s="51">
        <f t="shared" ca="1" si="4"/>
        <v>27237.618980772793</v>
      </c>
      <c r="R11" s="50">
        <f t="shared" ca="1" si="5"/>
        <v>1.7283233986079922E-3</v>
      </c>
      <c r="S11" t="s">
        <v>119</v>
      </c>
      <c r="T11">
        <v>5200.7391147138896</v>
      </c>
      <c r="U11">
        <v>434.193311517474</v>
      </c>
      <c r="V11">
        <v>11.977934658960301</v>
      </c>
      <c r="W11" s="130">
        <v>1.72405100138434E-22</v>
      </c>
      <c r="Y11" s="315" t="s">
        <v>119</v>
      </c>
      <c r="Z11" s="315">
        <v>5198.3710475190701</v>
      </c>
      <c r="AA11" s="315">
        <v>434.14298705333601</v>
      </c>
      <c r="AB11" s="315">
        <v>11.9738685238291</v>
      </c>
      <c r="AC11" s="316">
        <v>1.76386451048639E-22</v>
      </c>
      <c r="AF11" s="74"/>
      <c r="AG11" s="69"/>
      <c r="AH11" s="39"/>
      <c r="AK11" s="209"/>
      <c r="AL11" s="209"/>
      <c r="AO11" s="5"/>
      <c r="AP11" s="5"/>
      <c r="AR11" s="28"/>
    </row>
    <row r="12" spans="1:44" x14ac:dyDescent="0.2">
      <c r="A12" s="2">
        <v>40817</v>
      </c>
      <c r="B12">
        <f t="shared" si="1"/>
        <v>2011</v>
      </c>
      <c r="C12">
        <f t="shared" si="2"/>
        <v>10</v>
      </c>
      <c r="D12" s="56">
        <f>Data!J11</f>
        <v>15493508.160000006</v>
      </c>
      <c r="E12" s="56">
        <f>Data!K11</f>
        <v>92782.771217919406</v>
      </c>
      <c r="F12" s="56">
        <f>Data!L11</f>
        <v>15586290.931217926</v>
      </c>
      <c r="G12" s="253">
        <f>Data!AV11</f>
        <v>49.800000000000004</v>
      </c>
      <c r="H12" s="253">
        <f>Data!AU11</f>
        <v>41.5</v>
      </c>
      <c r="I12" s="251">
        <f ca="1">Weather!DF70</f>
        <v>44.309999999999995</v>
      </c>
      <c r="J12" s="251">
        <f ca="1">Weather!CS70</f>
        <v>43.36</v>
      </c>
      <c r="K12" s="32">
        <f>Data!BG11</f>
        <v>31</v>
      </c>
      <c r="L12" s="32">
        <f>Data!AC11</f>
        <v>270</v>
      </c>
      <c r="M12" s="32">
        <f>Data!BC11</f>
        <v>2906.1</v>
      </c>
      <c r="N12" s="32">
        <f>Data!BZ11</f>
        <v>0</v>
      </c>
      <c r="O12" s="32">
        <f t="shared" ca="1" si="0"/>
        <v>15570077.397165075</v>
      </c>
      <c r="P12" s="32">
        <f t="shared" ca="1" si="3"/>
        <v>15477294.625947155</v>
      </c>
      <c r="Q12" s="51">
        <f t="shared" ca="1" si="4"/>
        <v>-16213.534052850679</v>
      </c>
      <c r="R12" s="50">
        <f t="shared" ca="1" si="5"/>
        <v>1.0402432576422939E-3</v>
      </c>
      <c r="S12" t="s">
        <v>118</v>
      </c>
      <c r="T12">
        <v>6633.6148854459898</v>
      </c>
      <c r="U12">
        <v>599.36713273100497</v>
      </c>
      <c r="V12">
        <v>11.0676987829147</v>
      </c>
      <c r="W12" s="130">
        <v>2.8907235527025002E-20</v>
      </c>
      <c r="Y12" s="315" t="s">
        <v>118</v>
      </c>
      <c r="Z12" s="315">
        <v>6628.1046954197</v>
      </c>
      <c r="AA12" s="315">
        <v>599.29134898888196</v>
      </c>
      <c r="AB12" s="315">
        <v>11.059903845771499</v>
      </c>
      <c r="AC12" s="316">
        <v>3.0205064667750797E-20</v>
      </c>
      <c r="AF12" s="74"/>
      <c r="AG12" s="69"/>
      <c r="AH12" s="39"/>
      <c r="AK12" s="209"/>
      <c r="AL12" s="209"/>
      <c r="AO12" s="5"/>
      <c r="AP12" s="5"/>
      <c r="AR12" s="28"/>
    </row>
    <row r="13" spans="1:44" x14ac:dyDescent="0.2">
      <c r="A13" s="2">
        <v>40848</v>
      </c>
      <c r="B13">
        <f t="shared" si="1"/>
        <v>2011</v>
      </c>
      <c r="C13">
        <f t="shared" si="2"/>
        <v>11</v>
      </c>
      <c r="D13" s="56">
        <f>Data!J12</f>
        <v>15848617.690000003</v>
      </c>
      <c r="E13" s="56">
        <f>Data!K12</f>
        <v>92782.771217919406</v>
      </c>
      <c r="F13" s="56">
        <f>Data!L12</f>
        <v>15941400.461217923</v>
      </c>
      <c r="G13" s="253">
        <f>Data!AV12</f>
        <v>115.8</v>
      </c>
      <c r="H13" s="253">
        <f>Data!AU12</f>
        <v>3.4000000000000004</v>
      </c>
      <c r="I13" s="251">
        <f ca="1">Weather!DF71</f>
        <v>193.95999999999998</v>
      </c>
      <c r="J13" s="251">
        <f ca="1">Weather!CS71</f>
        <v>2.7399999999999998</v>
      </c>
      <c r="K13" s="32">
        <f>Data!BG12</f>
        <v>30</v>
      </c>
      <c r="L13" s="32">
        <f>Data!AC12</f>
        <v>271</v>
      </c>
      <c r="M13" s="32">
        <f>Data!BC12</f>
        <v>2901.5</v>
      </c>
      <c r="N13" s="32">
        <f>Data!BZ12</f>
        <v>0</v>
      </c>
      <c r="O13" s="32">
        <f t="shared" ca="1" si="0"/>
        <v>16343512.044599567</v>
      </c>
      <c r="P13" s="32">
        <f t="shared" ca="1" si="3"/>
        <v>16250729.273381647</v>
      </c>
      <c r="Q13" s="51">
        <f t="shared" ca="1" si="4"/>
        <v>402111.58338164352</v>
      </c>
      <c r="R13" s="50">
        <f t="shared" ca="1" si="5"/>
        <v>2.5224357443368699E-2</v>
      </c>
      <c r="S13" t="s">
        <v>34</v>
      </c>
      <c r="T13">
        <v>353567.63158546499</v>
      </c>
      <c r="U13">
        <v>50277.7506793129</v>
      </c>
      <c r="V13">
        <v>7.03228817535273</v>
      </c>
      <c r="W13" s="130">
        <v>1.17506897382249E-10</v>
      </c>
      <c r="Y13" s="315" t="s">
        <v>34</v>
      </c>
      <c r="Z13" s="315">
        <v>353725.04918807402</v>
      </c>
      <c r="AA13" s="315">
        <v>50247.526029926601</v>
      </c>
      <c r="AB13" s="315">
        <v>7.0396510462505297</v>
      </c>
      <c r="AC13" s="316">
        <v>1.13145767634352E-10</v>
      </c>
      <c r="AF13" s="74"/>
      <c r="AG13" s="69"/>
      <c r="AH13" s="39"/>
      <c r="AK13" s="209"/>
      <c r="AL13" s="209"/>
      <c r="AO13" s="5"/>
      <c r="AP13" s="5"/>
      <c r="AR13" s="28"/>
    </row>
    <row r="14" spans="1:44" x14ac:dyDescent="0.2">
      <c r="A14" s="2">
        <v>40878</v>
      </c>
      <c r="B14">
        <f t="shared" si="1"/>
        <v>2011</v>
      </c>
      <c r="C14">
        <f t="shared" si="2"/>
        <v>12</v>
      </c>
      <c r="D14" s="56">
        <f>Data!J13</f>
        <v>16723848.409999998</v>
      </c>
      <c r="E14" s="56">
        <f>Data!K13</f>
        <v>92782.771217919406</v>
      </c>
      <c r="F14" s="56">
        <f>Data!L13</f>
        <v>16816631.181217916</v>
      </c>
      <c r="G14" s="253">
        <f>Data!AV13</f>
        <v>286</v>
      </c>
      <c r="H14" s="253">
        <f>Data!AU13</f>
        <v>0</v>
      </c>
      <c r="I14" s="251">
        <f ca="1">Weather!DF72</f>
        <v>327.48000000000008</v>
      </c>
      <c r="J14" s="251">
        <f ca="1">Weather!CS72</f>
        <v>0</v>
      </c>
      <c r="K14" s="32">
        <f>Data!BG13</f>
        <v>31</v>
      </c>
      <c r="L14" s="32">
        <f>Data!AC13</f>
        <v>271</v>
      </c>
      <c r="M14" s="32">
        <f>Data!BC13</f>
        <v>2893.8</v>
      </c>
      <c r="N14" s="32">
        <f>Data!BZ13</f>
        <v>0</v>
      </c>
      <c r="O14" s="32">
        <f t="shared" ca="1" si="0"/>
        <v>17032357.839696247</v>
      </c>
      <c r="P14" s="32">
        <f t="shared" ca="1" si="3"/>
        <v>16939575.068478327</v>
      </c>
      <c r="Q14" s="51">
        <f t="shared" ca="1" si="4"/>
        <v>215726.65847833082</v>
      </c>
      <c r="R14" s="50">
        <f t="shared" ca="1" si="5"/>
        <v>1.2828173262149594E-2</v>
      </c>
      <c r="S14" t="s">
        <v>28</v>
      </c>
      <c r="T14">
        <v>23523.931440851</v>
      </c>
      <c r="U14">
        <v>4033.72692466015</v>
      </c>
      <c r="V14">
        <v>5.8318106010195399</v>
      </c>
      <c r="W14" s="130">
        <v>4.4014074002702601E-8</v>
      </c>
      <c r="Y14" s="315" t="s">
        <v>28</v>
      </c>
      <c r="Z14" s="315">
        <v>23627.618854366599</v>
      </c>
      <c r="AA14" s="315">
        <v>4034.7275532337499</v>
      </c>
      <c r="AB14" s="315">
        <v>5.8560630284514597</v>
      </c>
      <c r="AC14" s="316">
        <v>3.9257575445651397E-8</v>
      </c>
      <c r="AF14" s="74"/>
      <c r="AG14" s="69"/>
      <c r="AH14" s="39"/>
      <c r="AK14" s="209"/>
      <c r="AL14" s="209"/>
      <c r="AO14" s="5"/>
      <c r="AP14" s="5"/>
      <c r="AR14" s="28"/>
    </row>
    <row r="15" spans="1:44" x14ac:dyDescent="0.2">
      <c r="A15" s="2">
        <v>40909</v>
      </c>
      <c r="B15">
        <f t="shared" si="1"/>
        <v>2012</v>
      </c>
      <c r="C15">
        <f t="shared" si="2"/>
        <v>1</v>
      </c>
      <c r="D15" s="56">
        <f>Data!J14</f>
        <v>16556508.93</v>
      </c>
      <c r="E15" s="56">
        <f>Data!K14</f>
        <v>228757.53349089678</v>
      </c>
      <c r="F15" s="56">
        <f>Data!L14</f>
        <v>16785266.463490896</v>
      </c>
      <c r="G15" s="253">
        <f>Data!AV14</f>
        <v>363.10000000000008</v>
      </c>
      <c r="H15" s="253">
        <f>Data!AU14</f>
        <v>0</v>
      </c>
      <c r="I15" s="251">
        <f ca="1">I3</f>
        <v>439.5</v>
      </c>
      <c r="J15" s="251">
        <f ca="1">J3</f>
        <v>0</v>
      </c>
      <c r="K15" s="32">
        <f>Data!BG14</f>
        <v>31</v>
      </c>
      <c r="L15" s="32">
        <f>Data!AC14</f>
        <v>271</v>
      </c>
      <c r="M15" s="32">
        <f>Data!BC14</f>
        <v>2892.7</v>
      </c>
      <c r="N15" s="32">
        <f>Data!BZ14</f>
        <v>0</v>
      </c>
      <c r="O15" s="32">
        <f t="shared" ca="1" si="0"/>
        <v>17182602.931855038</v>
      </c>
      <c r="P15" s="32">
        <f t="shared" ca="1" si="3"/>
        <v>16953845.398364142</v>
      </c>
      <c r="Q15" s="51">
        <f t="shared" ca="1" si="4"/>
        <v>397336.46836414188</v>
      </c>
      <c r="R15" s="50">
        <f t="shared" ca="1" si="5"/>
        <v>2.3671740286540933E-2</v>
      </c>
      <c r="S15" t="s">
        <v>93</v>
      </c>
      <c r="T15">
        <v>4244.2151099036</v>
      </c>
      <c r="U15">
        <v>693.35302502889999</v>
      </c>
      <c r="V15">
        <v>6.1212902470955397</v>
      </c>
      <c r="W15" s="130">
        <v>1.10644213288418E-8</v>
      </c>
      <c r="Y15" s="315" t="s">
        <v>93</v>
      </c>
      <c r="Z15" s="315">
        <v>4218.14905411371</v>
      </c>
      <c r="AA15" s="315">
        <v>693.51412660321</v>
      </c>
      <c r="AB15" s="315">
        <v>6.0822828148778303</v>
      </c>
      <c r="AC15" s="316">
        <v>1.33531235942946E-8</v>
      </c>
      <c r="AF15" s="74"/>
      <c r="AG15" s="69"/>
      <c r="AH15" s="39"/>
      <c r="AK15" s="209"/>
      <c r="AL15" s="209"/>
      <c r="AO15" s="5"/>
      <c r="AP15" s="5"/>
      <c r="AQ15" s="210"/>
      <c r="AR15" s="28"/>
    </row>
    <row r="16" spans="1:44" ht="12.75" customHeight="1" x14ac:dyDescent="0.2">
      <c r="A16" s="2">
        <v>40940</v>
      </c>
      <c r="B16">
        <f t="shared" si="1"/>
        <v>2012</v>
      </c>
      <c r="C16">
        <f t="shared" si="2"/>
        <v>2</v>
      </c>
      <c r="D16" s="56">
        <f>Data!J15</f>
        <v>15850543.67</v>
      </c>
      <c r="E16" s="56">
        <f>Data!K15</f>
        <v>228757.53349089678</v>
      </c>
      <c r="F16" s="56">
        <f>Data!L15</f>
        <v>16079301.203490896</v>
      </c>
      <c r="G16" s="253">
        <f>Data!AV15</f>
        <v>299.70000000000005</v>
      </c>
      <c r="H16" s="253">
        <f>Data!AU15</f>
        <v>0</v>
      </c>
      <c r="I16" s="251">
        <f t="shared" ref="I16:J16" ca="1" si="6">I4</f>
        <v>403.5</v>
      </c>
      <c r="J16" s="251">
        <f t="shared" ca="1" si="6"/>
        <v>0</v>
      </c>
      <c r="K16" s="32">
        <f>Data!BG15</f>
        <v>29</v>
      </c>
      <c r="L16" s="32">
        <f>Data!AC15</f>
        <v>272</v>
      </c>
      <c r="M16" s="32">
        <f>Data!BC15</f>
        <v>2889.3</v>
      </c>
      <c r="N16" s="32">
        <f>Data!BZ15</f>
        <v>0</v>
      </c>
      <c r="O16" s="32">
        <f t="shared" ca="1" si="0"/>
        <v>16619137.923598198</v>
      </c>
      <c r="P16" s="32">
        <f t="shared" ca="1" si="3"/>
        <v>16390380.390107302</v>
      </c>
      <c r="Q16" s="51">
        <f t="shared" ca="1" si="4"/>
        <v>539836.72010730207</v>
      </c>
      <c r="R16" s="50">
        <f t="shared" ca="1" si="5"/>
        <v>3.3573394345651091E-2</v>
      </c>
      <c r="S16" t="s">
        <v>53</v>
      </c>
      <c r="T16">
        <v>-1328322.3805786399</v>
      </c>
      <c r="U16">
        <v>376648.00676745799</v>
      </c>
      <c r="V16">
        <v>-3.5266943053245599</v>
      </c>
      <c r="W16">
        <v>5.8911863998046404E-4</v>
      </c>
      <c r="Y16" s="315" t="s">
        <v>53</v>
      </c>
      <c r="Z16" s="315">
        <v>-1350053.7855573399</v>
      </c>
      <c r="AA16" s="315">
        <v>376733.55192871002</v>
      </c>
      <c r="AB16" s="315">
        <v>-3.5835772488159301</v>
      </c>
      <c r="AC16" s="315">
        <v>4.8410458991495701E-4</v>
      </c>
      <c r="AF16" s="74"/>
      <c r="AG16" s="69"/>
      <c r="AH16" s="39"/>
      <c r="AK16" s="211"/>
      <c r="AL16" s="209"/>
      <c r="AO16" s="5"/>
      <c r="AP16" s="5"/>
      <c r="AR16" s="28"/>
    </row>
    <row r="17" spans="1:45" ht="12.75" customHeight="1" x14ac:dyDescent="0.2">
      <c r="A17" s="2">
        <v>40969</v>
      </c>
      <c r="B17">
        <f t="shared" si="1"/>
        <v>2012</v>
      </c>
      <c r="C17">
        <f t="shared" si="2"/>
        <v>3</v>
      </c>
      <c r="D17" s="56">
        <f>Data!J16</f>
        <v>16308714.269999996</v>
      </c>
      <c r="E17" s="56">
        <f>Data!K16</f>
        <v>228757.53349089678</v>
      </c>
      <c r="F17" s="56">
        <f>Data!L16</f>
        <v>16537471.803490892</v>
      </c>
      <c r="G17" s="253">
        <f>Data!AV16</f>
        <v>145</v>
      </c>
      <c r="H17" s="253">
        <f>Data!AU16</f>
        <v>23.799999999999997</v>
      </c>
      <c r="I17" s="251">
        <f t="shared" ref="I17:J17" ca="1" si="7">I5</f>
        <v>291.06</v>
      </c>
      <c r="J17" s="251">
        <f t="shared" ca="1" si="7"/>
        <v>2.8099999999999996</v>
      </c>
      <c r="K17" s="32">
        <f>Data!BG16</f>
        <v>31</v>
      </c>
      <c r="L17" s="32">
        <f>Data!AC16</f>
        <v>272</v>
      </c>
      <c r="M17" s="32">
        <f>Data!BC16</f>
        <v>2893.8</v>
      </c>
      <c r="N17" s="32">
        <f>Data!BZ16</f>
        <v>0</v>
      </c>
      <c r="O17" s="32">
        <f t="shared" ca="1" si="0"/>
        <v>17157852.182140492</v>
      </c>
      <c r="P17" s="32">
        <f t="shared" ca="1" si="3"/>
        <v>16929094.648649596</v>
      </c>
      <c r="Q17" s="51">
        <f t="shared" ca="1" si="4"/>
        <v>620380.37864959985</v>
      </c>
      <c r="R17" s="50">
        <f t="shared" ca="1" si="5"/>
        <v>3.7513616713689205E-2</v>
      </c>
      <c r="W17" s="2"/>
      <c r="Y17" s="315"/>
      <c r="Z17" s="315"/>
      <c r="AA17" s="315"/>
      <c r="AB17" s="315"/>
      <c r="AC17" s="318"/>
      <c r="AF17" s="74"/>
      <c r="AG17" s="69"/>
      <c r="AH17" s="39"/>
      <c r="AK17" s="209"/>
      <c r="AL17" s="209"/>
      <c r="AN17" s="28"/>
      <c r="AO17" s="5"/>
      <c r="AP17" s="5"/>
      <c r="AR17" s="28"/>
    </row>
    <row r="18" spans="1:45" ht="12.75" customHeight="1" x14ac:dyDescent="0.2">
      <c r="A18" s="2">
        <v>41000</v>
      </c>
      <c r="B18">
        <f t="shared" si="1"/>
        <v>2012</v>
      </c>
      <c r="C18">
        <f t="shared" si="2"/>
        <v>4</v>
      </c>
      <c r="D18" s="56">
        <f>Data!J17</f>
        <v>14651507.389999997</v>
      </c>
      <c r="E18" s="56">
        <f>Data!K17</f>
        <v>228757.53349089678</v>
      </c>
      <c r="F18" s="56">
        <f>Data!L17</f>
        <v>14880264.923490893</v>
      </c>
      <c r="G18" s="253">
        <f>Data!AV17</f>
        <v>100.89999999999999</v>
      </c>
      <c r="H18" s="253">
        <f>Data!AU17</f>
        <v>11.199999999999998</v>
      </c>
      <c r="I18" s="251">
        <f t="shared" ref="I18:J18" ca="1" si="8">I6</f>
        <v>120.71999999999998</v>
      </c>
      <c r="J18" s="251">
        <f t="shared" ca="1" si="8"/>
        <v>6.58</v>
      </c>
      <c r="K18" s="32">
        <f>Data!BG17</f>
        <v>30</v>
      </c>
      <c r="L18" s="32">
        <f>Data!AC17</f>
        <v>272</v>
      </c>
      <c r="M18" s="32">
        <f>Data!BC17</f>
        <v>2898.4</v>
      </c>
      <c r="N18" s="32">
        <f>Data!BZ17</f>
        <v>0</v>
      </c>
      <c r="O18" s="32">
        <f t="shared" ca="1" si="0"/>
        <v>14952696.271973763</v>
      </c>
      <c r="P18" s="32">
        <f t="shared" ca="1" si="3"/>
        <v>14723938.738482866</v>
      </c>
      <c r="Q18" s="51">
        <f t="shared" ca="1" si="4"/>
        <v>72431.348482869565</v>
      </c>
      <c r="R18" s="50">
        <f t="shared" ca="1" si="5"/>
        <v>4.8676114877850745E-3</v>
      </c>
      <c r="S18" t="s">
        <v>140</v>
      </c>
      <c r="W18" s="2"/>
      <c r="Y18" s="315" t="s">
        <v>140</v>
      </c>
      <c r="Z18" s="315"/>
      <c r="AA18" s="315"/>
      <c r="AB18" s="315"/>
      <c r="AC18" s="318"/>
      <c r="AD18" s="51"/>
      <c r="AE18" s="51"/>
      <c r="AF18" s="69"/>
      <c r="AG18" s="51"/>
      <c r="AH18" s="77"/>
      <c r="AI18" s="77"/>
      <c r="AK18" s="60"/>
      <c r="AL18" s="71"/>
      <c r="AM18" s="71"/>
      <c r="AN18"/>
      <c r="AO18" s="5"/>
      <c r="AP18" s="5"/>
      <c r="AR18" s="28"/>
    </row>
    <row r="19" spans="1:45" ht="12.75" customHeight="1" x14ac:dyDescent="0.2">
      <c r="A19" s="2">
        <v>41030</v>
      </c>
      <c r="B19">
        <f t="shared" si="1"/>
        <v>2012</v>
      </c>
      <c r="C19">
        <f t="shared" si="2"/>
        <v>5</v>
      </c>
      <c r="D19" s="56">
        <f>Data!J18</f>
        <v>16853445.379999999</v>
      </c>
      <c r="E19" s="56">
        <f>Data!K18</f>
        <v>228757.53349089678</v>
      </c>
      <c r="F19" s="56">
        <f>Data!L18</f>
        <v>17082202.913490895</v>
      </c>
      <c r="G19" s="253">
        <f>Data!AV18</f>
        <v>0</v>
      </c>
      <c r="H19" s="253">
        <f>Data!AU18</f>
        <v>149.10000000000002</v>
      </c>
      <c r="I19" s="251">
        <f t="shared" ref="I19:J19" ca="1" si="9">I7</f>
        <v>16.330000000000002</v>
      </c>
      <c r="J19" s="251">
        <f t="shared" ca="1" si="9"/>
        <v>107.25</v>
      </c>
      <c r="K19" s="32">
        <f>Data!BG18</f>
        <v>31</v>
      </c>
      <c r="L19" s="32">
        <f>Data!AC18</f>
        <v>273</v>
      </c>
      <c r="M19" s="32">
        <f>Data!BC18</f>
        <v>2901.7</v>
      </c>
      <c r="N19" s="32">
        <f>Data!BZ18</f>
        <v>0</v>
      </c>
      <c r="O19" s="32">
        <f t="shared" ca="1" si="0"/>
        <v>16889514.20027826</v>
      </c>
      <c r="P19" s="32">
        <f t="shared" ca="1" si="3"/>
        <v>16660756.666787364</v>
      </c>
      <c r="Q19" s="51">
        <f t="shared" ca="1" si="4"/>
        <v>-192688.71321263537</v>
      </c>
      <c r="R19" s="50">
        <f t="shared" ca="1" si="5"/>
        <v>1.1280085723630932E-2</v>
      </c>
      <c r="S19" t="s">
        <v>141</v>
      </c>
      <c r="T19">
        <v>18188635.5690208</v>
      </c>
      <c r="U19" t="s">
        <v>142</v>
      </c>
      <c r="V19">
        <v>1567522.4440833901</v>
      </c>
      <c r="W19" s="2"/>
      <c r="Y19" s="315" t="s">
        <v>141</v>
      </c>
      <c r="Z19" s="315">
        <v>18186427.466997601</v>
      </c>
      <c r="AA19" s="315" t="s">
        <v>142</v>
      </c>
      <c r="AB19" s="315">
        <v>1565701.4226951101</v>
      </c>
      <c r="AC19" s="318"/>
      <c r="AF19" s="7"/>
      <c r="AG19" s="7"/>
      <c r="AH19" s="334"/>
      <c r="AI19" s="334"/>
    </row>
    <row r="20" spans="1:45" ht="12.75" customHeight="1" x14ac:dyDescent="0.2">
      <c r="A20" s="2">
        <v>41061</v>
      </c>
      <c r="B20">
        <f t="shared" si="1"/>
        <v>2012</v>
      </c>
      <c r="C20">
        <f t="shared" si="2"/>
        <v>6</v>
      </c>
      <c r="D20" s="56">
        <f>Data!J19</f>
        <v>16649642.679999992</v>
      </c>
      <c r="E20" s="56">
        <f>Data!K19</f>
        <v>228757.53349089678</v>
      </c>
      <c r="F20" s="56">
        <f>Data!L19</f>
        <v>16878400.213490888</v>
      </c>
      <c r="G20" s="253">
        <f>Data!AV19</f>
        <v>0</v>
      </c>
      <c r="H20" s="253">
        <f>Data!AU19</f>
        <v>258.40000000000003</v>
      </c>
      <c r="I20" s="251">
        <f t="shared" ref="I20:J20" ca="1" si="10">I8</f>
        <v>0</v>
      </c>
      <c r="J20" s="251">
        <f t="shared" ca="1" si="10"/>
        <v>230.10000000000005</v>
      </c>
      <c r="K20" s="32">
        <f>Data!BG19</f>
        <v>30</v>
      </c>
      <c r="L20" s="32">
        <f>Data!AC19</f>
        <v>271</v>
      </c>
      <c r="M20" s="32">
        <f>Data!BC19</f>
        <v>2910.2</v>
      </c>
      <c r="N20" s="32">
        <f>Data!BZ19</f>
        <v>0</v>
      </c>
      <c r="O20" s="32">
        <f t="shared" ca="1" si="0"/>
        <v>16690668.912232768</v>
      </c>
      <c r="P20" s="32">
        <f t="shared" ca="1" si="3"/>
        <v>16461911.378741872</v>
      </c>
      <c r="Q20" s="51">
        <f t="shared" ca="1" si="4"/>
        <v>-187731.30125812069</v>
      </c>
      <c r="R20" s="50">
        <f t="shared" ca="1" si="5"/>
        <v>1.1122576718382779E-2</v>
      </c>
      <c r="S20" t="s">
        <v>143</v>
      </c>
      <c r="T20">
        <v>36507745826032</v>
      </c>
      <c r="U20" t="s">
        <v>144</v>
      </c>
      <c r="V20">
        <v>540427.57757932402</v>
      </c>
      <c r="W20" s="2"/>
      <c r="Y20" s="315" t="s">
        <v>143</v>
      </c>
      <c r="Z20" s="315">
        <v>36486058102412</v>
      </c>
      <c r="AA20" s="315" t="s">
        <v>144</v>
      </c>
      <c r="AB20" s="315">
        <v>540267.03103122604</v>
      </c>
      <c r="AC20" s="318"/>
      <c r="AF20" s="7"/>
      <c r="AG20" s="7"/>
      <c r="AH20" s="7"/>
    </row>
    <row r="21" spans="1:45" ht="12.75" customHeight="1" x14ac:dyDescent="0.2">
      <c r="A21" s="2">
        <v>41091</v>
      </c>
      <c r="B21">
        <f t="shared" si="1"/>
        <v>2012</v>
      </c>
      <c r="C21">
        <f t="shared" si="2"/>
        <v>7</v>
      </c>
      <c r="D21" s="56">
        <f>Data!J20</f>
        <v>16931323.719999995</v>
      </c>
      <c r="E21" s="56">
        <f>Data!K20</f>
        <v>228757.53349089678</v>
      </c>
      <c r="F21" s="56">
        <f>Data!L20</f>
        <v>17160081.253490891</v>
      </c>
      <c r="G21" s="253">
        <f>Data!AV20</f>
        <v>0</v>
      </c>
      <c r="H21" s="253">
        <f>Data!AU20</f>
        <v>381.40000000000003</v>
      </c>
      <c r="I21" s="251">
        <f t="shared" ref="I21:J21" ca="1" si="11">I9</f>
        <v>0</v>
      </c>
      <c r="J21" s="251">
        <f t="shared" ca="1" si="11"/>
        <v>331.41</v>
      </c>
      <c r="K21" s="32">
        <f>Data!BG20</f>
        <v>31</v>
      </c>
      <c r="L21" s="32">
        <f>Data!AC20</f>
        <v>271</v>
      </c>
      <c r="M21" s="32">
        <f>Data!BC20</f>
        <v>2925.1</v>
      </c>
      <c r="N21" s="32">
        <f>Data!BZ20</f>
        <v>0</v>
      </c>
      <c r="O21" s="32">
        <f t="shared" ca="1" si="0"/>
        <v>16828466.845367447</v>
      </c>
      <c r="P21" s="32">
        <f t="shared" ca="1" si="3"/>
        <v>16599709.31187655</v>
      </c>
      <c r="Q21" s="51">
        <f t="shared" ca="1" si="4"/>
        <v>-331614.40812344477</v>
      </c>
      <c r="R21" s="50">
        <f t="shared" ca="1" si="5"/>
        <v>1.9324757454512877E-2</v>
      </c>
      <c r="S21" t="s">
        <v>145</v>
      </c>
      <c r="T21">
        <v>0.88661466501236597</v>
      </c>
      <c r="U21" t="s">
        <v>146</v>
      </c>
      <c r="V21">
        <v>0.88117216893296002</v>
      </c>
      <c r="W21" s="2"/>
      <c r="Y21" s="315" t="s">
        <v>145</v>
      </c>
      <c r="Z21" s="315">
        <v>0.88641900885854397</v>
      </c>
      <c r="AA21" s="315" t="s">
        <v>146</v>
      </c>
      <c r="AB21" s="315">
        <v>0.88096712128375398</v>
      </c>
      <c r="AC21" s="318"/>
      <c r="AF21" s="7"/>
      <c r="AG21" s="7"/>
      <c r="AH21" s="7"/>
    </row>
    <row r="22" spans="1:45" ht="12.75" customHeight="1" x14ac:dyDescent="0.2">
      <c r="A22" s="2">
        <v>41122</v>
      </c>
      <c r="B22">
        <f t="shared" si="1"/>
        <v>2012</v>
      </c>
      <c r="C22">
        <f t="shared" si="2"/>
        <v>8</v>
      </c>
      <c r="D22" s="56">
        <f>Data!J21</f>
        <v>16567283.779999997</v>
      </c>
      <c r="E22" s="56">
        <f>Data!K21</f>
        <v>228757.53349089678</v>
      </c>
      <c r="F22" s="56">
        <f>Data!L21</f>
        <v>16796041.313490894</v>
      </c>
      <c r="G22" s="253">
        <f>Data!AV21</f>
        <v>0</v>
      </c>
      <c r="H22" s="253">
        <f>Data!AU21</f>
        <v>296.10000000000002</v>
      </c>
      <c r="I22" s="251">
        <f t="shared" ref="I22:J22" ca="1" si="12">I10</f>
        <v>0</v>
      </c>
      <c r="J22" s="251">
        <f t="shared" ca="1" si="12"/>
        <v>304.46000000000004</v>
      </c>
      <c r="K22" s="32">
        <f>Data!BG21</f>
        <v>31</v>
      </c>
      <c r="L22" s="32">
        <f>Data!AC21</f>
        <v>270</v>
      </c>
      <c r="M22" s="32">
        <f>Data!BC21</f>
        <v>2942.6</v>
      </c>
      <c r="N22" s="32">
        <f>Data!BZ21</f>
        <v>0</v>
      </c>
      <c r="O22" s="32">
        <f t="shared" ca="1" si="0"/>
        <v>16851498.333933223</v>
      </c>
      <c r="P22" s="32">
        <f t="shared" ca="1" si="3"/>
        <v>16622740.800442327</v>
      </c>
      <c r="Q22" s="51">
        <f t="shared" ca="1" si="4"/>
        <v>55457.020442329347</v>
      </c>
      <c r="R22" s="50">
        <f t="shared" ca="1" si="5"/>
        <v>3.301791142760838E-3</v>
      </c>
      <c r="S22" t="s">
        <v>295</v>
      </c>
      <c r="T22">
        <v>102.16878334668201</v>
      </c>
      <c r="U22" t="s">
        <v>148</v>
      </c>
      <c r="V22" s="130">
        <v>9.0321235182805594E-46</v>
      </c>
      <c r="W22" s="2"/>
      <c r="Y22" s="315" t="s">
        <v>295</v>
      </c>
      <c r="Z22" s="315">
        <v>101.957869584908</v>
      </c>
      <c r="AA22" s="315" t="s">
        <v>148</v>
      </c>
      <c r="AB22" s="316">
        <v>1.00478826861715E-45</v>
      </c>
      <c r="AC22" s="318"/>
      <c r="AF22" s="7"/>
      <c r="AG22" s="7"/>
      <c r="AH22" s="7"/>
    </row>
    <row r="23" spans="1:45" ht="12.75" customHeight="1" x14ac:dyDescent="0.2">
      <c r="A23" s="2">
        <v>41153</v>
      </c>
      <c r="B23">
        <f t="shared" si="1"/>
        <v>2012</v>
      </c>
      <c r="C23">
        <f t="shared" si="2"/>
        <v>9</v>
      </c>
      <c r="D23" s="56">
        <f>Data!J22</f>
        <v>15411421.599999998</v>
      </c>
      <c r="E23" s="56">
        <f>Data!K22</f>
        <v>228757.53349089678</v>
      </c>
      <c r="F23" s="56">
        <f>Data!L22</f>
        <v>15640179.133490894</v>
      </c>
      <c r="G23" s="253">
        <f>Data!AV22</f>
        <v>0.5</v>
      </c>
      <c r="H23" s="253">
        <f>Data!AU22</f>
        <v>136.99999999999997</v>
      </c>
      <c r="I23" s="251">
        <f t="shared" ref="I23:J23" ca="1" si="13">I11</f>
        <v>0.24999999999999983</v>
      </c>
      <c r="J23" s="251">
        <f t="shared" ca="1" si="13"/>
        <v>176.51</v>
      </c>
      <c r="K23" s="32">
        <f>Data!BG22</f>
        <v>30</v>
      </c>
      <c r="L23" s="32">
        <f>Data!AC22</f>
        <v>271</v>
      </c>
      <c r="M23" s="32">
        <f>Data!BC22</f>
        <v>2963.5</v>
      </c>
      <c r="N23" s="32">
        <f>Data!BZ22</f>
        <v>0</v>
      </c>
      <c r="O23" s="32">
        <f t="shared" ca="1" si="0"/>
        <v>15900973.072836187</v>
      </c>
      <c r="P23" s="32">
        <f t="shared" ca="1" si="3"/>
        <v>15672215.539345291</v>
      </c>
      <c r="Q23" s="51">
        <f t="shared" ca="1" si="4"/>
        <v>260793.93934529275</v>
      </c>
      <c r="R23" s="50">
        <f t="shared" ca="1" si="5"/>
        <v>1.6674613322480752E-2</v>
      </c>
      <c r="S23" t="s">
        <v>149</v>
      </c>
      <c r="T23">
        <v>-4.2309236454738497E-2</v>
      </c>
      <c r="U23" t="s">
        <v>150</v>
      </c>
      <c r="V23">
        <v>2.05963127469736</v>
      </c>
      <c r="W23" s="2"/>
      <c r="Y23" s="315" t="s">
        <v>149</v>
      </c>
      <c r="Z23" s="315">
        <v>-4.2801898643213598E-2</v>
      </c>
      <c r="AA23" s="315" t="s">
        <v>150</v>
      </c>
      <c r="AB23" s="315">
        <v>2.0605650495104402</v>
      </c>
      <c r="AC23" s="318"/>
      <c r="AF23" s="7"/>
      <c r="AG23" s="7"/>
      <c r="AH23" s="7"/>
    </row>
    <row r="24" spans="1:45" ht="12.75" customHeight="1" x14ac:dyDescent="0.2">
      <c r="A24" s="2">
        <v>41183</v>
      </c>
      <c r="B24">
        <f t="shared" si="1"/>
        <v>2012</v>
      </c>
      <c r="C24">
        <f t="shared" si="2"/>
        <v>10</v>
      </c>
      <c r="D24" s="56">
        <f>Data!J23</f>
        <v>15760124.100000001</v>
      </c>
      <c r="E24" s="56">
        <f>Data!K23</f>
        <v>228757.53349089678</v>
      </c>
      <c r="F24" s="56">
        <f>Data!L23</f>
        <v>15988881.633490898</v>
      </c>
      <c r="G24" s="253">
        <f>Data!AV23</f>
        <v>48.9</v>
      </c>
      <c r="H24" s="253">
        <f>Data!AU23</f>
        <v>28.9</v>
      </c>
      <c r="I24" s="251">
        <f t="shared" ref="I24:J24" ca="1" si="14">I12</f>
        <v>44.309999999999995</v>
      </c>
      <c r="J24" s="251">
        <f t="shared" ca="1" si="14"/>
        <v>43.36</v>
      </c>
      <c r="K24" s="32">
        <f>Data!BG23</f>
        <v>31</v>
      </c>
      <c r="L24" s="32">
        <f>Data!AC23</f>
        <v>271</v>
      </c>
      <c r="M24" s="32">
        <f>Data!BC23</f>
        <v>2982.9</v>
      </c>
      <c r="N24" s="32">
        <f>Data!BZ23</f>
        <v>0</v>
      </c>
      <c r="O24" s="32">
        <f t="shared" ca="1" si="0"/>
        <v>16060932.312197911</v>
      </c>
      <c r="P24" s="32">
        <f t="shared" ca="1" si="3"/>
        <v>15832174.778707014</v>
      </c>
      <c r="Q24" s="51">
        <f t="shared" ca="1" si="4"/>
        <v>72050.678707012907</v>
      </c>
      <c r="R24" s="50">
        <f t="shared" ca="1" si="5"/>
        <v>4.5062988368175117E-3</v>
      </c>
      <c r="W24" s="2"/>
      <c r="AF24" s="7"/>
      <c r="AG24" s="7"/>
      <c r="AH24" s="7"/>
    </row>
    <row r="25" spans="1:45" ht="12.75" customHeight="1" x14ac:dyDescent="0.2">
      <c r="A25" s="2">
        <v>41214</v>
      </c>
      <c r="B25">
        <f t="shared" si="1"/>
        <v>2012</v>
      </c>
      <c r="C25">
        <f t="shared" si="2"/>
        <v>11</v>
      </c>
      <c r="D25" s="56">
        <f>Data!J24</f>
        <v>16203457.51</v>
      </c>
      <c r="E25" s="56">
        <f>Data!K24</f>
        <v>228757.53349089678</v>
      </c>
      <c r="F25" s="56">
        <f>Data!L24</f>
        <v>16432215.043490896</v>
      </c>
      <c r="G25" s="253">
        <f>Data!AV24</f>
        <v>197.7</v>
      </c>
      <c r="H25" s="253">
        <f>Data!AU24</f>
        <v>0.5</v>
      </c>
      <c r="I25" s="251">
        <f t="shared" ref="I25:J25" ca="1" si="15">I13</f>
        <v>193.95999999999998</v>
      </c>
      <c r="J25" s="251">
        <f t="shared" ca="1" si="15"/>
        <v>2.7399999999999998</v>
      </c>
      <c r="K25" s="32">
        <f>Data!BG24</f>
        <v>30</v>
      </c>
      <c r="L25" s="32">
        <f>Data!AC24</f>
        <v>271</v>
      </c>
      <c r="M25" s="32">
        <f>Data!BC24</f>
        <v>3000.2</v>
      </c>
      <c r="N25" s="32">
        <f>Data!BZ24</f>
        <v>0</v>
      </c>
      <c r="O25" s="32">
        <f t="shared" ca="1" si="0"/>
        <v>16427623.576545265</v>
      </c>
      <c r="P25" s="32">
        <f t="shared" ca="1" si="3"/>
        <v>16198866.043054368</v>
      </c>
      <c r="Q25" s="51">
        <f t="shared" ca="1" si="4"/>
        <v>-4591.4669456314296</v>
      </c>
      <c r="R25" s="50">
        <f t="shared" ca="1" si="5"/>
        <v>2.7941862575917264E-4</v>
      </c>
      <c r="AC25" s="2"/>
      <c r="AD25" s="51"/>
      <c r="AE25" s="51"/>
      <c r="AF25" s="69"/>
      <c r="AG25" s="73"/>
      <c r="AH25" s="2"/>
      <c r="AI25" s="39"/>
      <c r="AL25" s="2"/>
      <c r="AM25" s="74"/>
      <c r="AN25" s="74"/>
      <c r="AO25" s="74"/>
      <c r="AP25" s="2"/>
      <c r="AQ25" s="74"/>
      <c r="AR25" s="74"/>
      <c r="AS25" s="5"/>
    </row>
    <row r="26" spans="1:45" ht="12.75" customHeight="1" x14ac:dyDescent="0.2">
      <c r="A26" s="2">
        <v>41244</v>
      </c>
      <c r="B26">
        <f t="shared" si="1"/>
        <v>2012</v>
      </c>
      <c r="C26">
        <f t="shared" si="2"/>
        <v>12</v>
      </c>
      <c r="D26" s="56">
        <f>Data!J25</f>
        <v>16462599.949999996</v>
      </c>
      <c r="E26" s="56">
        <f>Data!K25</f>
        <v>228757.53349089678</v>
      </c>
      <c r="F26" s="56">
        <f>Data!L25</f>
        <v>16691357.483490892</v>
      </c>
      <c r="G26" s="253">
        <f>Data!AV25</f>
        <v>286.00000000000006</v>
      </c>
      <c r="H26" s="253">
        <f>Data!AU25</f>
        <v>0</v>
      </c>
      <c r="I26" s="251">
        <f t="shared" ref="I26:J26" ca="1" si="16">I14</f>
        <v>327.48000000000008</v>
      </c>
      <c r="J26" s="251">
        <f t="shared" ca="1" si="16"/>
        <v>0</v>
      </c>
      <c r="K26" s="32">
        <f>Data!BG25</f>
        <v>31</v>
      </c>
      <c r="L26" s="32">
        <f>Data!AC25</f>
        <v>271</v>
      </c>
      <c r="M26" s="32">
        <f>Data!BC25</f>
        <v>3005.9</v>
      </c>
      <c r="N26" s="32">
        <f>Data!BZ25</f>
        <v>0</v>
      </c>
      <c r="O26" s="32">
        <f t="shared" ca="1" si="0"/>
        <v>16907084.141969223</v>
      </c>
      <c r="P26" s="32">
        <f t="shared" ca="1" si="3"/>
        <v>16678326.608478326</v>
      </c>
      <c r="Q26" s="51">
        <f t="shared" ca="1" si="4"/>
        <v>215726.65847833082</v>
      </c>
      <c r="R26" s="50">
        <f t="shared" ca="1" si="5"/>
        <v>1.2924452591210871E-2</v>
      </c>
      <c r="AC26" s="2"/>
      <c r="AD26" s="51"/>
      <c r="AE26" s="51"/>
      <c r="AF26" s="69"/>
      <c r="AG26" s="73"/>
      <c r="AH26" s="2"/>
      <c r="AI26" s="39"/>
      <c r="AL26" s="2"/>
      <c r="AM26" s="74"/>
      <c r="AN26" s="74"/>
      <c r="AO26" s="74"/>
      <c r="AP26" s="2"/>
      <c r="AQ26" s="74"/>
      <c r="AR26" s="74"/>
      <c r="AS26" s="5"/>
    </row>
    <row r="27" spans="1:45" ht="12.75" customHeight="1" x14ac:dyDescent="0.2">
      <c r="A27" s="2">
        <v>41275</v>
      </c>
      <c r="B27">
        <f t="shared" si="1"/>
        <v>2013</v>
      </c>
      <c r="C27">
        <f t="shared" si="2"/>
        <v>1</v>
      </c>
      <c r="D27" s="56">
        <f>Data!J26</f>
        <v>16989455.739999998</v>
      </c>
      <c r="E27" s="56">
        <f>Data!K26</f>
        <v>344677.17204248341</v>
      </c>
      <c r="F27" s="56">
        <f>Data!L26</f>
        <v>17334132.91204248</v>
      </c>
      <c r="G27" s="253">
        <f>Data!AV26</f>
        <v>376.50000000000006</v>
      </c>
      <c r="H27" s="253">
        <f>Data!AU26</f>
        <v>0</v>
      </c>
      <c r="I27" s="251">
        <f t="shared" ref="I27:J27" ca="1" si="17">I15</f>
        <v>439.5</v>
      </c>
      <c r="J27" s="251">
        <f t="shared" ca="1" si="17"/>
        <v>0</v>
      </c>
      <c r="K27" s="32">
        <f>Data!BG26</f>
        <v>31</v>
      </c>
      <c r="L27" s="32">
        <f>Data!AC26</f>
        <v>271</v>
      </c>
      <c r="M27" s="32">
        <f>Data!BC26</f>
        <v>3014.1</v>
      </c>
      <c r="N27" s="32">
        <f>Data!BZ26</f>
        <v>0</v>
      </c>
      <c r="O27" s="32">
        <f t="shared" ca="1" si="0"/>
        <v>17661779.476269454</v>
      </c>
      <c r="P27" s="32">
        <f t="shared" ca="1" si="3"/>
        <v>17317102.304226972</v>
      </c>
      <c r="Q27" s="51">
        <f t="shared" ca="1" si="4"/>
        <v>327646.5642269738</v>
      </c>
      <c r="R27" s="50">
        <f t="shared" ca="1" si="5"/>
        <v>1.8901814465686315E-2</v>
      </c>
      <c r="AC27" s="2"/>
      <c r="AD27" s="51"/>
      <c r="AE27" s="51"/>
      <c r="AF27" s="75"/>
      <c r="AG27" s="73"/>
      <c r="AH27" s="2"/>
      <c r="AI27" s="39"/>
      <c r="AL27" s="2"/>
      <c r="AM27" s="74"/>
      <c r="AO27" s="5"/>
      <c r="AP27" s="2"/>
      <c r="AQ27" s="74"/>
      <c r="AR27" s="5"/>
      <c r="AS27" s="5"/>
    </row>
    <row r="28" spans="1:45" x14ac:dyDescent="0.2">
      <c r="A28" s="2">
        <v>41306</v>
      </c>
      <c r="B28">
        <f t="shared" si="1"/>
        <v>2013</v>
      </c>
      <c r="C28">
        <f t="shared" si="2"/>
        <v>2</v>
      </c>
      <c r="D28" s="56">
        <f>Data!J27</f>
        <v>16279005.990000002</v>
      </c>
      <c r="E28" s="56">
        <f>Data!K27</f>
        <v>344677.17204248341</v>
      </c>
      <c r="F28" s="56">
        <f>Data!L27</f>
        <v>16623683.162042486</v>
      </c>
      <c r="G28" s="253">
        <f>Data!AV27</f>
        <v>407.49999999999989</v>
      </c>
      <c r="H28" s="253">
        <f>Data!AU27</f>
        <v>0</v>
      </c>
      <c r="I28" s="251">
        <f t="shared" ref="I28:J28" ca="1" si="18">I16</f>
        <v>403.5</v>
      </c>
      <c r="J28" s="251">
        <f t="shared" ca="1" si="18"/>
        <v>0</v>
      </c>
      <c r="K28" s="32">
        <f>Data!BG27</f>
        <v>28</v>
      </c>
      <c r="L28" s="32">
        <f>Data!AC27</f>
        <v>271</v>
      </c>
      <c r="M28" s="32">
        <f>Data!BC27</f>
        <v>3018.3</v>
      </c>
      <c r="N28" s="32">
        <f>Data!BZ27</f>
        <v>0</v>
      </c>
      <c r="O28" s="32">
        <f t="shared" ca="1" si="0"/>
        <v>16602880.20558363</v>
      </c>
      <c r="P28" s="32">
        <f t="shared" ca="1" si="3"/>
        <v>16258203.033541147</v>
      </c>
      <c r="Q28" s="51">
        <f t="shared" ca="1" si="4"/>
        <v>-20802.95645885542</v>
      </c>
      <c r="R28" s="50">
        <f t="shared" ca="1" si="5"/>
        <v>1.2514047733029245E-3</v>
      </c>
      <c r="AC28" s="2"/>
      <c r="AD28" s="51"/>
      <c r="AE28" s="51"/>
      <c r="AF28" s="69"/>
      <c r="AG28" s="73"/>
      <c r="AH28" s="2"/>
      <c r="AI28" s="39"/>
      <c r="AL28" s="2"/>
      <c r="AM28" s="74"/>
      <c r="AO28" s="5"/>
      <c r="AP28" s="2"/>
      <c r="AQ28" s="74"/>
      <c r="AR28" s="5"/>
      <c r="AS28" s="5"/>
    </row>
    <row r="29" spans="1:45" x14ac:dyDescent="0.2">
      <c r="A29" s="2">
        <v>41334</v>
      </c>
      <c r="B29">
        <f t="shared" si="1"/>
        <v>2013</v>
      </c>
      <c r="C29">
        <f t="shared" si="2"/>
        <v>3</v>
      </c>
      <c r="D29" s="56">
        <f>Data!J28</f>
        <v>17118643.850000001</v>
      </c>
      <c r="E29" s="56">
        <f>Data!K28</f>
        <v>344677.17204248341</v>
      </c>
      <c r="F29" s="56">
        <f>Data!L28</f>
        <v>17463321.022042483</v>
      </c>
      <c r="G29" s="253">
        <f>Data!AV28</f>
        <v>306.8</v>
      </c>
      <c r="H29" s="253">
        <f>Data!AU28</f>
        <v>0</v>
      </c>
      <c r="I29" s="251">
        <f t="shared" ref="I29:J29" ca="1" si="19">I17</f>
        <v>291.06</v>
      </c>
      <c r="J29" s="251">
        <f t="shared" ca="1" si="19"/>
        <v>2.8099999999999996</v>
      </c>
      <c r="K29" s="32">
        <f>Data!BG28</f>
        <v>31</v>
      </c>
      <c r="L29" s="32">
        <f>Data!AC28</f>
        <v>272</v>
      </c>
      <c r="M29" s="32">
        <f>Data!BC28</f>
        <v>3023.1</v>
      </c>
      <c r="N29" s="32">
        <f>Data!BZ28</f>
        <v>0</v>
      </c>
      <c r="O29" s="32">
        <f t="shared" ca="1" si="0"/>
        <v>17400101.846204992</v>
      </c>
      <c r="P29" s="32">
        <f t="shared" ca="1" si="3"/>
        <v>17055424.674162511</v>
      </c>
      <c r="Q29" s="51">
        <f t="shared" ca="1" si="4"/>
        <v>-63219.175837490708</v>
      </c>
      <c r="R29" s="50">
        <f t="shared" ca="1" si="5"/>
        <v>3.6201118766410155E-3</v>
      </c>
      <c r="AC29" s="2"/>
      <c r="AD29" s="51"/>
      <c r="AE29" s="51"/>
      <c r="AF29" s="69"/>
      <c r="AG29" s="73"/>
      <c r="AH29" s="2"/>
      <c r="AI29" s="39"/>
      <c r="AL29" s="2"/>
      <c r="AM29" s="74"/>
      <c r="AO29" s="5"/>
      <c r="AP29" s="2"/>
      <c r="AQ29" s="74"/>
      <c r="AR29" s="5"/>
      <c r="AS29" s="5"/>
    </row>
    <row r="30" spans="1:45" x14ac:dyDescent="0.2">
      <c r="A30" s="2">
        <v>41365</v>
      </c>
      <c r="B30">
        <f t="shared" si="1"/>
        <v>2013</v>
      </c>
      <c r="C30">
        <f t="shared" si="2"/>
        <v>4</v>
      </c>
      <c r="D30" s="56">
        <f>Data!J29</f>
        <v>16317712.539999994</v>
      </c>
      <c r="E30" s="56">
        <f>Data!K29</f>
        <v>344677.17204248341</v>
      </c>
      <c r="F30" s="56">
        <f>Data!L29</f>
        <v>16662389.712042477</v>
      </c>
      <c r="G30" s="253">
        <f>Data!AV29</f>
        <v>135.19999999999999</v>
      </c>
      <c r="H30" s="253">
        <f>Data!AU29</f>
        <v>5.6000000000000014</v>
      </c>
      <c r="I30" s="251">
        <f t="shared" ref="I30:J30" ca="1" si="20">I18</f>
        <v>120.71999999999998</v>
      </c>
      <c r="J30" s="251">
        <f t="shared" ca="1" si="20"/>
        <v>6.58</v>
      </c>
      <c r="K30" s="32">
        <f>Data!BG29</f>
        <v>30</v>
      </c>
      <c r="L30" s="32">
        <f>Data!AC29</f>
        <v>273</v>
      </c>
      <c r="M30" s="32">
        <f>Data!BC29</f>
        <v>3031.4</v>
      </c>
      <c r="N30" s="32">
        <f>Data!BZ29</f>
        <v>0</v>
      </c>
      <c r="O30" s="32">
        <f t="shared" ca="1" si="0"/>
        <v>16593583.952249156</v>
      </c>
      <c r="P30" s="32">
        <f t="shared" ca="1" si="3"/>
        <v>16248906.780206673</v>
      </c>
      <c r="Q30" s="51">
        <f t="shared" ca="1" si="4"/>
        <v>-68805.759793320671</v>
      </c>
      <c r="R30" s="50">
        <f t="shared" ca="1" si="5"/>
        <v>4.1294052643356671E-3</v>
      </c>
      <c r="AC30" s="2"/>
      <c r="AD30" s="51"/>
      <c r="AE30" s="51"/>
      <c r="AF30" s="75"/>
      <c r="AG30" s="73"/>
      <c r="AH30" s="2"/>
      <c r="AI30" s="39"/>
      <c r="AL30" s="2"/>
      <c r="AM30" s="74"/>
      <c r="AO30" s="5"/>
      <c r="AP30" s="2"/>
      <c r="AQ30" s="74"/>
      <c r="AR30" s="5"/>
      <c r="AS30" s="5"/>
    </row>
    <row r="31" spans="1:45" x14ac:dyDescent="0.2">
      <c r="A31" s="2">
        <v>41395</v>
      </c>
      <c r="B31">
        <f t="shared" si="1"/>
        <v>2013</v>
      </c>
      <c r="C31">
        <f t="shared" si="2"/>
        <v>5</v>
      </c>
      <c r="D31" s="56">
        <f>Data!J30</f>
        <v>16555856.940000001</v>
      </c>
      <c r="E31" s="56">
        <f>Data!K30</f>
        <v>344677.17204248341</v>
      </c>
      <c r="F31" s="56">
        <f>Data!L30</f>
        <v>16900534.112042483</v>
      </c>
      <c r="G31" s="253">
        <f>Data!AV30</f>
        <v>14.4</v>
      </c>
      <c r="H31" s="253">
        <f>Data!AU30</f>
        <v>126.3</v>
      </c>
      <c r="I31" s="251">
        <f t="shared" ref="I31:J31" ca="1" si="21">I19</f>
        <v>16.330000000000002</v>
      </c>
      <c r="J31" s="251">
        <f t="shared" ca="1" si="21"/>
        <v>107.25</v>
      </c>
      <c r="K31" s="32">
        <f>Data!BG30</f>
        <v>31</v>
      </c>
      <c r="L31" s="32">
        <f>Data!AC30</f>
        <v>272</v>
      </c>
      <c r="M31" s="32">
        <f>Data!BC30</f>
        <v>3045.2</v>
      </c>
      <c r="N31" s="32">
        <f>Data!BZ30</f>
        <v>0</v>
      </c>
      <c r="O31" s="32">
        <f t="shared" ca="1" si="0"/>
        <v>16784201.174966134</v>
      </c>
      <c r="P31" s="32">
        <f t="shared" ca="1" si="3"/>
        <v>16439524.002923651</v>
      </c>
      <c r="Q31" s="51">
        <f t="shared" ca="1" si="4"/>
        <v>-116332.93707634881</v>
      </c>
      <c r="R31" s="50">
        <f t="shared" ca="1" si="5"/>
        <v>6.8833881997525581E-3</v>
      </c>
      <c r="AC31" s="2"/>
      <c r="AD31" s="51"/>
      <c r="AE31" s="51"/>
      <c r="AF31" s="69"/>
      <c r="AG31" s="73"/>
      <c r="AH31" s="2"/>
      <c r="AI31" s="39"/>
      <c r="AL31" s="2"/>
      <c r="AM31" s="74"/>
      <c r="AO31" s="5"/>
      <c r="AP31" s="2"/>
      <c r="AQ31" s="74"/>
      <c r="AR31" s="5"/>
      <c r="AS31" s="5"/>
    </row>
    <row r="32" spans="1:45" x14ac:dyDescent="0.2">
      <c r="A32" s="2">
        <v>41426</v>
      </c>
      <c r="B32">
        <f t="shared" si="1"/>
        <v>2013</v>
      </c>
      <c r="C32">
        <f t="shared" si="2"/>
        <v>6</v>
      </c>
      <c r="D32" s="56">
        <f>Data!J31</f>
        <v>16748419.359999999</v>
      </c>
      <c r="E32" s="56">
        <f>Data!K31</f>
        <v>344677.17204248341</v>
      </c>
      <c r="F32" s="56">
        <f>Data!L31</f>
        <v>17093096.532042481</v>
      </c>
      <c r="G32" s="253">
        <f>Data!AV31</f>
        <v>0</v>
      </c>
      <c r="H32" s="253">
        <f>Data!AU31</f>
        <v>207.00000000000006</v>
      </c>
      <c r="I32" s="251">
        <f t="shared" ref="I32:J32" ca="1" si="22">I20</f>
        <v>0</v>
      </c>
      <c r="J32" s="251">
        <f t="shared" ca="1" si="22"/>
        <v>230.10000000000005</v>
      </c>
      <c r="K32" s="32">
        <f>Data!BG31</f>
        <v>30</v>
      </c>
      <c r="L32" s="32">
        <f>Data!AC31</f>
        <v>273</v>
      </c>
      <c r="M32" s="32">
        <f>Data!BC31</f>
        <v>3060.2</v>
      </c>
      <c r="N32" s="32">
        <f>Data!BZ31</f>
        <v>0</v>
      </c>
      <c r="O32" s="32">
        <f t="shared" ca="1" si="0"/>
        <v>17246333.035896283</v>
      </c>
      <c r="P32" s="32">
        <f t="shared" ca="1" si="3"/>
        <v>16901655.863853801</v>
      </c>
      <c r="Q32" s="51">
        <f t="shared" ca="1" si="4"/>
        <v>153236.50385380164</v>
      </c>
      <c r="R32" s="50">
        <f t="shared" ca="1" si="5"/>
        <v>8.9648182566889872E-3</v>
      </c>
      <c r="AC32" s="2"/>
      <c r="AD32" s="51"/>
      <c r="AE32" s="51"/>
      <c r="AF32" s="69"/>
      <c r="AG32" s="73"/>
      <c r="AH32" s="2"/>
      <c r="AI32" s="39"/>
      <c r="AL32" s="2"/>
      <c r="AM32" s="74"/>
      <c r="AO32" s="5"/>
      <c r="AP32" s="2"/>
      <c r="AQ32" s="74"/>
      <c r="AR32" s="5"/>
      <c r="AS32" s="5"/>
    </row>
    <row r="33" spans="1:49" x14ac:dyDescent="0.2">
      <c r="A33" s="2">
        <v>41456</v>
      </c>
      <c r="B33">
        <f t="shared" si="1"/>
        <v>2013</v>
      </c>
      <c r="C33">
        <f t="shared" si="2"/>
        <v>7</v>
      </c>
      <c r="D33" s="56">
        <f>Data!J32</f>
        <v>17797829.260000005</v>
      </c>
      <c r="E33" s="56">
        <f>Data!K32</f>
        <v>344677.17204248341</v>
      </c>
      <c r="F33" s="56">
        <f>Data!L32</f>
        <v>18142506.432042487</v>
      </c>
      <c r="G33" s="253">
        <f>Data!AV32</f>
        <v>0</v>
      </c>
      <c r="H33" s="253">
        <f>Data!AU32</f>
        <v>319.3</v>
      </c>
      <c r="I33" s="251">
        <f t="shared" ref="I33:J33" ca="1" si="23">I21</f>
        <v>0</v>
      </c>
      <c r="J33" s="251">
        <f t="shared" ca="1" si="23"/>
        <v>331.41</v>
      </c>
      <c r="K33" s="32">
        <f>Data!BG32</f>
        <v>31</v>
      </c>
      <c r="L33" s="32">
        <f>Data!AC32</f>
        <v>271</v>
      </c>
      <c r="M33" s="32">
        <f>Data!BC32</f>
        <v>3066.1</v>
      </c>
      <c r="N33" s="32">
        <f>Data!BZ32</f>
        <v>0</v>
      </c>
      <c r="O33" s="32">
        <f t="shared" ca="1" si="0"/>
        <v>18222839.508305237</v>
      </c>
      <c r="P33" s="32">
        <f t="shared" ca="1" si="3"/>
        <v>17878162.336262755</v>
      </c>
      <c r="Q33" s="51">
        <f t="shared" ca="1" si="4"/>
        <v>80333.076262749732</v>
      </c>
      <c r="R33" s="50">
        <f t="shared" ca="1" si="5"/>
        <v>4.4278929465263427E-3</v>
      </c>
      <c r="AC33" s="2"/>
      <c r="AD33" s="51"/>
      <c r="AE33" s="51"/>
      <c r="AF33" s="75"/>
      <c r="AG33" s="73"/>
      <c r="AH33" s="2"/>
      <c r="AI33" s="39"/>
      <c r="AL33" s="2"/>
      <c r="AM33" s="74"/>
      <c r="AO33" s="5"/>
      <c r="AP33" s="2"/>
      <c r="AQ33" s="74"/>
      <c r="AR33" s="5"/>
      <c r="AS33" s="5"/>
    </row>
    <row r="34" spans="1:49" x14ac:dyDescent="0.2">
      <c r="A34" s="2">
        <v>41487</v>
      </c>
      <c r="B34">
        <f t="shared" si="1"/>
        <v>2013</v>
      </c>
      <c r="C34">
        <f t="shared" si="2"/>
        <v>8</v>
      </c>
      <c r="D34" s="56">
        <f>Data!J33</f>
        <v>17433510.789999999</v>
      </c>
      <c r="E34" s="56">
        <f>Data!K33</f>
        <v>344677.17204248341</v>
      </c>
      <c r="F34" s="56">
        <f>Data!L33</f>
        <v>17778187.962042481</v>
      </c>
      <c r="G34" s="253">
        <f>Data!AV33</f>
        <v>0</v>
      </c>
      <c r="H34" s="253">
        <f>Data!AU33</f>
        <v>275.40000000000009</v>
      </c>
      <c r="I34" s="251">
        <f t="shared" ref="I34:J34" ca="1" si="24">I22</f>
        <v>0</v>
      </c>
      <c r="J34" s="251">
        <f t="shared" ca="1" si="24"/>
        <v>304.46000000000004</v>
      </c>
      <c r="K34" s="32">
        <f>Data!BG33</f>
        <v>31</v>
      </c>
      <c r="L34" s="32">
        <f>Data!AC33</f>
        <v>271</v>
      </c>
      <c r="M34" s="32">
        <f>Data!BC33</f>
        <v>3075.2</v>
      </c>
      <c r="N34" s="32">
        <f>Data!BZ33</f>
        <v>0</v>
      </c>
      <c r="O34" s="32">
        <f t="shared" ca="1" si="0"/>
        <v>17970960.810613539</v>
      </c>
      <c r="P34" s="32">
        <f t="shared" ca="1" si="3"/>
        <v>17626283.638571057</v>
      </c>
      <c r="Q34" s="51">
        <f t="shared" ca="1" si="4"/>
        <v>192772.84857105836</v>
      </c>
      <c r="R34" s="50">
        <f t="shared" ca="1" si="5"/>
        <v>1.0843222547913218E-2</v>
      </c>
      <c r="AC34" s="130"/>
      <c r="AD34" s="51"/>
      <c r="AE34" s="51"/>
      <c r="AF34" s="69"/>
      <c r="AG34" s="73"/>
      <c r="AH34" s="2"/>
      <c r="AI34" s="39"/>
      <c r="AL34" s="2"/>
      <c r="AM34" s="74"/>
      <c r="AO34" s="5"/>
      <c r="AP34" s="2"/>
      <c r="AQ34" s="74"/>
      <c r="AR34" s="5"/>
      <c r="AS34" s="5"/>
    </row>
    <row r="35" spans="1:49" x14ac:dyDescent="0.2">
      <c r="A35" s="2">
        <v>41518</v>
      </c>
      <c r="B35">
        <f t="shared" si="1"/>
        <v>2013</v>
      </c>
      <c r="C35">
        <f t="shared" si="2"/>
        <v>9</v>
      </c>
      <c r="D35" s="56">
        <f>Data!J34</f>
        <v>16323800.050000003</v>
      </c>
      <c r="E35" s="56">
        <f>Data!K34</f>
        <v>344677.17204248341</v>
      </c>
      <c r="F35" s="56">
        <f>Data!L34</f>
        <v>16668477.222042486</v>
      </c>
      <c r="G35" s="253">
        <f>Data!AV34</f>
        <v>0</v>
      </c>
      <c r="H35" s="253">
        <f>Data!AU34</f>
        <v>125.1</v>
      </c>
      <c r="I35" s="251">
        <f t="shared" ref="I35:J35" ca="1" si="25">I23</f>
        <v>0.24999999999999983</v>
      </c>
      <c r="J35" s="251">
        <f t="shared" ca="1" si="25"/>
        <v>176.51</v>
      </c>
      <c r="K35" s="32">
        <f>Data!BG34</f>
        <v>30</v>
      </c>
      <c r="L35" s="32">
        <f>Data!AC34</f>
        <v>272</v>
      </c>
      <c r="M35" s="32">
        <f>Data!BC34</f>
        <v>3080.1</v>
      </c>
      <c r="N35" s="32">
        <f>Data!BZ34</f>
        <v>0</v>
      </c>
      <c r="O35" s="32">
        <f t="shared" ref="O35:O66" ca="1" si="26">F35+(I35-G35)*$T$11+(J35-H35)*$T$12</f>
        <v>17010811.548081942</v>
      </c>
      <c r="P35" s="32">
        <f t="shared" ca="1" si="3"/>
        <v>16666134.376039458</v>
      </c>
      <c r="Q35" s="51">
        <f t="shared" ref="Q35:Q66" ca="1" si="27">+O35-F35</f>
        <v>342334.32603945583</v>
      </c>
      <c r="R35" s="50">
        <f t="shared" ca="1" si="5"/>
        <v>2.0537828469822727E-2</v>
      </c>
      <c r="AC35" s="130"/>
      <c r="AD35" s="51"/>
      <c r="AE35" s="51"/>
      <c r="AF35" s="69"/>
      <c r="AG35" s="73"/>
      <c r="AH35" s="2"/>
      <c r="AI35" s="39"/>
      <c r="AL35" s="2"/>
      <c r="AM35" s="74"/>
      <c r="AO35" s="5"/>
      <c r="AP35" s="2"/>
      <c r="AQ35" s="74"/>
      <c r="AR35" s="5"/>
      <c r="AS35" s="5"/>
    </row>
    <row r="36" spans="1:49" x14ac:dyDescent="0.2">
      <c r="A36" s="2">
        <v>41548</v>
      </c>
      <c r="B36">
        <f t="shared" si="1"/>
        <v>2013</v>
      </c>
      <c r="C36">
        <f t="shared" si="2"/>
        <v>10</v>
      </c>
      <c r="D36" s="56">
        <f>Data!J35</f>
        <v>16888949.909999996</v>
      </c>
      <c r="E36" s="56">
        <f>Data!K35</f>
        <v>344677.17204248341</v>
      </c>
      <c r="F36" s="56">
        <f>Data!L35</f>
        <v>17233627.082042478</v>
      </c>
      <c r="G36" s="253">
        <f>Data!AV35</f>
        <v>50.6</v>
      </c>
      <c r="H36" s="253">
        <f>Data!AU35</f>
        <v>37.9</v>
      </c>
      <c r="I36" s="251">
        <f t="shared" ref="I36:J36" ca="1" si="28">I24</f>
        <v>44.309999999999995</v>
      </c>
      <c r="J36" s="251">
        <f t="shared" ca="1" si="28"/>
        <v>43.36</v>
      </c>
      <c r="K36" s="32">
        <f>Data!BG35</f>
        <v>31</v>
      </c>
      <c r="L36" s="32">
        <f>Data!AC35</f>
        <v>274</v>
      </c>
      <c r="M36" s="32">
        <f>Data!BC35</f>
        <v>3079.6</v>
      </c>
      <c r="N36" s="32">
        <f>Data!BZ35</f>
        <v>0</v>
      </c>
      <c r="O36" s="32">
        <f t="shared" ca="1" si="26"/>
        <v>17237133.970285464</v>
      </c>
      <c r="P36" s="32">
        <f t="shared" ca="1" si="3"/>
        <v>16892456.798242982</v>
      </c>
      <c r="Q36" s="51">
        <f t="shared" ca="1" si="27"/>
        <v>3506.8882429860532</v>
      </c>
      <c r="R36" s="50">
        <f t="shared" ca="1" si="5"/>
        <v>2.0349101360329699E-4</v>
      </c>
      <c r="W36" s="2"/>
      <c r="AC36" s="130"/>
      <c r="AD36" s="51"/>
      <c r="AE36" s="51"/>
      <c r="AG36" s="73"/>
      <c r="AH36" s="2"/>
      <c r="AI36" s="39"/>
      <c r="AL36" s="2"/>
      <c r="AM36" s="74"/>
      <c r="AO36" s="5"/>
      <c r="AP36" s="2"/>
      <c r="AQ36" s="74"/>
      <c r="AR36" s="5"/>
      <c r="AS36" s="5"/>
    </row>
    <row r="37" spans="1:49" x14ac:dyDescent="0.2">
      <c r="A37" s="2">
        <v>41579</v>
      </c>
      <c r="B37">
        <f t="shared" si="1"/>
        <v>2013</v>
      </c>
      <c r="C37">
        <f t="shared" si="2"/>
        <v>11</v>
      </c>
      <c r="D37" s="56">
        <f>Data!J36</f>
        <v>16378559.519999998</v>
      </c>
      <c r="E37" s="56">
        <f>Data!K36</f>
        <v>344677.17204248341</v>
      </c>
      <c r="F37" s="56">
        <f>Data!L36</f>
        <v>16723236.692042481</v>
      </c>
      <c r="G37" s="253">
        <f>Data!AV36</f>
        <v>243.5</v>
      </c>
      <c r="H37" s="253">
        <f>Data!AU36</f>
        <v>0</v>
      </c>
      <c r="I37" s="251">
        <f t="shared" ref="I37:J37" ca="1" si="29">I25</f>
        <v>193.95999999999998</v>
      </c>
      <c r="J37" s="251">
        <f t="shared" ca="1" si="29"/>
        <v>2.7399999999999998</v>
      </c>
      <c r="K37" s="32">
        <f>Data!BG36</f>
        <v>30</v>
      </c>
      <c r="L37" s="32">
        <f>Data!AC36</f>
        <v>273</v>
      </c>
      <c r="M37" s="32">
        <f>Data!BC36</f>
        <v>3076.6</v>
      </c>
      <c r="N37" s="32">
        <f>Data!BZ36</f>
        <v>0</v>
      </c>
      <c r="O37" s="32">
        <f t="shared" ca="1" si="26"/>
        <v>16483768.181085678</v>
      </c>
      <c r="P37" s="32">
        <f t="shared" ca="1" si="3"/>
        <v>16139091.009043194</v>
      </c>
      <c r="Q37" s="51">
        <f t="shared" ca="1" si="27"/>
        <v>-239468.51095680334</v>
      </c>
      <c r="R37" s="50">
        <f t="shared" ca="1" si="5"/>
        <v>1.4319507363712139E-2</v>
      </c>
      <c r="W37" s="2"/>
      <c r="AC37" s="130"/>
      <c r="AD37" s="5"/>
      <c r="AE37" s="5"/>
      <c r="AH37" s="2"/>
      <c r="AL37" s="2"/>
      <c r="AM37" s="76"/>
      <c r="AO37" s="5"/>
      <c r="AP37" s="2"/>
      <c r="AQ37" s="76"/>
      <c r="AR37" s="5"/>
      <c r="AS37" s="5"/>
      <c r="AT37" s="29"/>
      <c r="AU37" s="29"/>
      <c r="AV37" s="29"/>
    </row>
    <row r="38" spans="1:49" x14ac:dyDescent="0.2">
      <c r="A38" s="2">
        <v>41609</v>
      </c>
      <c r="B38">
        <f t="shared" si="1"/>
        <v>2013</v>
      </c>
      <c r="C38">
        <f t="shared" si="2"/>
        <v>12</v>
      </c>
      <c r="D38" s="56">
        <f>Data!J37</f>
        <v>18347866.910000004</v>
      </c>
      <c r="E38" s="56">
        <f>Data!K37</f>
        <v>344677.17204248341</v>
      </c>
      <c r="F38" s="56">
        <f>Data!L37</f>
        <v>18692544.082042485</v>
      </c>
      <c r="G38" s="253">
        <f>Data!AV37</f>
        <v>439.89999999999992</v>
      </c>
      <c r="H38" s="253">
        <f>Data!AU37</f>
        <v>0</v>
      </c>
      <c r="I38" s="251">
        <f t="shared" ref="I38:J38" ca="1" si="30">I26</f>
        <v>327.48000000000008</v>
      </c>
      <c r="J38" s="251">
        <f t="shared" ca="1" si="30"/>
        <v>0</v>
      </c>
      <c r="K38" s="32">
        <f>Data!BG37</f>
        <v>31</v>
      </c>
      <c r="L38" s="32">
        <f>Data!AC37</f>
        <v>273</v>
      </c>
      <c r="M38" s="32">
        <f>Data!BC37</f>
        <v>3073.7</v>
      </c>
      <c r="N38" s="32">
        <f>Data!BZ37</f>
        <v>0</v>
      </c>
      <c r="O38" s="32">
        <f t="shared" ca="1" si="26"/>
        <v>18107876.99076635</v>
      </c>
      <c r="P38" s="32">
        <f t="shared" ca="1" si="3"/>
        <v>17763199.818723869</v>
      </c>
      <c r="Q38" s="51">
        <f t="shared" ca="1" si="27"/>
        <v>-584667.0912761353</v>
      </c>
      <c r="R38" s="50">
        <f t="shared" ca="1" si="5"/>
        <v>3.1278090810432382E-2</v>
      </c>
      <c r="W38" s="130"/>
      <c r="AC38" s="130"/>
      <c r="AD38" s="5"/>
      <c r="AE38" s="5"/>
      <c r="AH38" s="2"/>
      <c r="AL38" s="2"/>
      <c r="AM38" s="76"/>
      <c r="AO38" s="5"/>
      <c r="AP38" s="2"/>
      <c r="AQ38" s="76"/>
      <c r="AR38" s="5"/>
      <c r="AS38" s="5"/>
      <c r="AT38" s="29"/>
      <c r="AU38" s="29"/>
      <c r="AV38" s="29"/>
    </row>
    <row r="39" spans="1:49" x14ac:dyDescent="0.2">
      <c r="A39" s="2">
        <v>41640</v>
      </c>
      <c r="B39">
        <f t="shared" si="1"/>
        <v>2014</v>
      </c>
      <c r="C39">
        <f t="shared" si="2"/>
        <v>1</v>
      </c>
      <c r="D39" s="56">
        <f>Data!J38</f>
        <v>18474770.990000002</v>
      </c>
      <c r="E39" s="56">
        <f>Data!K38</f>
        <v>480728.51896375552</v>
      </c>
      <c r="F39" s="56">
        <f>Data!L38</f>
        <v>18955499.508963756</v>
      </c>
      <c r="G39" s="253">
        <f>Data!AV38</f>
        <v>577.90000000000009</v>
      </c>
      <c r="H39" s="253">
        <f>Data!AU38</f>
        <v>0</v>
      </c>
      <c r="I39" s="251">
        <f t="shared" ref="I39:J39" ca="1" si="31">I27</f>
        <v>439.5</v>
      </c>
      <c r="J39" s="251">
        <f t="shared" ca="1" si="31"/>
        <v>0</v>
      </c>
      <c r="K39" s="32">
        <f>Data!BG38</f>
        <v>31</v>
      </c>
      <c r="L39" s="32">
        <f>Data!AC38</f>
        <v>274</v>
      </c>
      <c r="M39" s="32">
        <f>Data!BC38</f>
        <v>3070.8</v>
      </c>
      <c r="N39" s="32">
        <f>Data!BZ38</f>
        <v>0</v>
      </c>
      <c r="O39" s="32">
        <f t="shared" ca="1" si="26"/>
        <v>18235717.215487354</v>
      </c>
      <c r="P39" s="32">
        <f t="shared" ca="1" si="3"/>
        <v>17754988.696523599</v>
      </c>
      <c r="Q39" s="51">
        <f t="shared" ca="1" si="27"/>
        <v>-719782.29347640276</v>
      </c>
      <c r="R39" s="50">
        <f t="shared" ca="1" si="5"/>
        <v>3.7972214508830489E-2</v>
      </c>
      <c r="W39" s="130"/>
      <c r="AC39" s="2"/>
      <c r="AD39" s="5"/>
      <c r="AE39" s="5"/>
      <c r="AH39" s="2"/>
      <c r="AL39" s="2"/>
      <c r="AM39" s="76"/>
      <c r="AO39" s="5"/>
      <c r="AP39" s="2"/>
      <c r="AQ39" s="76"/>
      <c r="AR39" s="5"/>
      <c r="AS39" s="5"/>
      <c r="AT39" s="29"/>
      <c r="AU39" s="29"/>
      <c r="AV39" s="29"/>
    </row>
    <row r="40" spans="1:49" x14ac:dyDescent="0.2">
      <c r="A40" s="2">
        <v>41671</v>
      </c>
      <c r="B40">
        <f t="shared" si="1"/>
        <v>2014</v>
      </c>
      <c r="C40">
        <f t="shared" si="2"/>
        <v>2</v>
      </c>
      <c r="D40" s="56">
        <f>Data!J39</f>
        <v>17309349.019999996</v>
      </c>
      <c r="E40" s="56">
        <f>Data!K39</f>
        <v>480728.51896375552</v>
      </c>
      <c r="F40" s="56">
        <f>Data!L39</f>
        <v>17790077.53896375</v>
      </c>
      <c r="G40" s="253">
        <f>Data!AV39</f>
        <v>513.09999999999991</v>
      </c>
      <c r="H40" s="253">
        <f>Data!AU39</f>
        <v>0</v>
      </c>
      <c r="I40" s="251">
        <f t="shared" ref="I40:J40" ca="1" si="32">I28</f>
        <v>403.5</v>
      </c>
      <c r="J40" s="251">
        <f t="shared" ca="1" si="32"/>
        <v>0</v>
      </c>
      <c r="K40" s="32">
        <f>Data!BG39</f>
        <v>28</v>
      </c>
      <c r="L40" s="32">
        <f>Data!AC39</f>
        <v>274</v>
      </c>
      <c r="M40" s="32">
        <f>Data!BC39</f>
        <v>3071.7</v>
      </c>
      <c r="N40" s="32">
        <f>Data!BZ39</f>
        <v>0</v>
      </c>
      <c r="O40" s="32">
        <f t="shared" ca="1" si="26"/>
        <v>17220076.531991109</v>
      </c>
      <c r="P40" s="32">
        <f t="shared" ca="1" si="3"/>
        <v>16739348.013027353</v>
      </c>
      <c r="Q40" s="51">
        <f t="shared" ca="1" si="27"/>
        <v>-570001.00697264075</v>
      </c>
      <c r="R40" s="50">
        <f t="shared" ca="1" si="5"/>
        <v>3.2040389128390648E-2</v>
      </c>
      <c r="W40" s="130"/>
      <c r="AC40" s="2"/>
      <c r="AD40" s="5"/>
      <c r="AE40" s="5"/>
      <c r="AH40" s="2"/>
      <c r="AL40" s="2"/>
      <c r="AM40" s="76"/>
      <c r="AO40" s="5"/>
      <c r="AP40" s="2"/>
      <c r="AQ40" s="76"/>
      <c r="AR40" s="5"/>
      <c r="AS40" s="5"/>
      <c r="AT40" s="29"/>
      <c r="AU40" s="29"/>
      <c r="AV40" s="29"/>
    </row>
    <row r="41" spans="1:49" x14ac:dyDescent="0.2">
      <c r="A41" s="2">
        <v>41699</v>
      </c>
      <c r="B41">
        <f t="shared" si="1"/>
        <v>2014</v>
      </c>
      <c r="C41">
        <f t="shared" si="2"/>
        <v>3</v>
      </c>
      <c r="D41" s="56">
        <f>Data!J40</f>
        <v>18435424.780000001</v>
      </c>
      <c r="E41" s="56">
        <f>Data!K40</f>
        <v>480728.51896375552</v>
      </c>
      <c r="F41" s="56">
        <f>Data!L40</f>
        <v>18916153.298963755</v>
      </c>
      <c r="G41" s="253">
        <f>Data!AV40</f>
        <v>442.59999999999991</v>
      </c>
      <c r="H41" s="253">
        <f>Data!AU40</f>
        <v>0</v>
      </c>
      <c r="I41" s="251">
        <f t="shared" ref="I41:J41" ca="1" si="33">I29</f>
        <v>291.06</v>
      </c>
      <c r="J41" s="251">
        <f t="shared" ca="1" si="33"/>
        <v>2.8099999999999996</v>
      </c>
      <c r="K41" s="32">
        <f>Data!BG40</f>
        <v>31</v>
      </c>
      <c r="L41" s="32">
        <f>Data!AC40</f>
        <v>275</v>
      </c>
      <c r="M41" s="32">
        <f>Data!BC40</f>
        <v>3074.2</v>
      </c>
      <c r="N41" s="32">
        <f>Data!BZ40</f>
        <v>0</v>
      </c>
      <c r="O41" s="32">
        <f t="shared" ca="1" si="26"/>
        <v>18146673.751348119</v>
      </c>
      <c r="P41" s="32">
        <f t="shared" ca="1" si="3"/>
        <v>17665945.232384365</v>
      </c>
      <c r="Q41" s="51">
        <f t="shared" ca="1" si="27"/>
        <v>-769479.54761563614</v>
      </c>
      <c r="R41" s="50">
        <f t="shared" ca="1" si="5"/>
        <v>4.0678436860510585E-2</v>
      </c>
      <c r="AC41" s="2"/>
      <c r="AD41" s="5"/>
      <c r="AE41" s="5"/>
      <c r="AH41" s="2"/>
      <c r="AL41" s="2"/>
      <c r="AM41" s="76"/>
      <c r="AO41" s="5"/>
      <c r="AP41" s="2"/>
      <c r="AQ41" s="76"/>
      <c r="AR41" s="5"/>
      <c r="AS41" s="5"/>
      <c r="AT41" s="29"/>
      <c r="AU41" s="29"/>
      <c r="AV41" s="29"/>
    </row>
    <row r="42" spans="1:49" x14ac:dyDescent="0.2">
      <c r="A42" s="2">
        <v>41730</v>
      </c>
      <c r="B42">
        <f t="shared" si="1"/>
        <v>2014</v>
      </c>
      <c r="C42">
        <f t="shared" si="2"/>
        <v>4</v>
      </c>
      <c r="D42" s="56">
        <f>Data!J41</f>
        <v>16625533.470000004</v>
      </c>
      <c r="E42" s="56">
        <f>Data!K41</f>
        <v>480728.51896375552</v>
      </c>
      <c r="F42" s="56">
        <f>Data!L41</f>
        <v>17106261.98896376</v>
      </c>
      <c r="G42" s="253">
        <f>Data!AV41</f>
        <v>126.49999999999997</v>
      </c>
      <c r="H42" s="253">
        <f>Data!AU41</f>
        <v>2.5999999999999996</v>
      </c>
      <c r="I42" s="251">
        <f t="shared" ref="I42:J42" ca="1" si="34">I30</f>
        <v>120.71999999999998</v>
      </c>
      <c r="J42" s="251">
        <f t="shared" ca="1" si="34"/>
        <v>6.58</v>
      </c>
      <c r="K42" s="32">
        <f>Data!BG41</f>
        <v>30</v>
      </c>
      <c r="L42" s="32">
        <f>Data!AC41</f>
        <v>276</v>
      </c>
      <c r="M42" s="32">
        <f>Data!BC41</f>
        <v>3082.6</v>
      </c>
      <c r="N42" s="32">
        <f>Data!BZ41</f>
        <v>0</v>
      </c>
      <c r="O42" s="32">
        <f t="shared" ca="1" si="26"/>
        <v>17102603.504124787</v>
      </c>
      <c r="P42" s="32">
        <f t="shared" ca="1" si="3"/>
        <v>16621874.985161031</v>
      </c>
      <c r="Q42" s="51">
        <f t="shared" ca="1" si="27"/>
        <v>-3658.4848389737308</v>
      </c>
      <c r="R42" s="50">
        <f t="shared" ca="1" si="5"/>
        <v>2.1386816367795789E-4</v>
      </c>
      <c r="AC42" s="2"/>
      <c r="AD42" s="5"/>
      <c r="AE42" s="5"/>
      <c r="AH42" s="2"/>
      <c r="AL42" s="2"/>
      <c r="AM42" s="76"/>
      <c r="AO42" s="5"/>
      <c r="AP42" s="2"/>
      <c r="AQ42" s="76"/>
      <c r="AR42" s="5"/>
      <c r="AS42" s="5"/>
      <c r="AT42" s="29"/>
      <c r="AU42" s="29"/>
      <c r="AV42" s="29"/>
    </row>
    <row r="43" spans="1:49" x14ac:dyDescent="0.2">
      <c r="A43" s="2">
        <v>41760</v>
      </c>
      <c r="B43">
        <f t="shared" si="1"/>
        <v>2014</v>
      </c>
      <c r="C43">
        <f t="shared" si="2"/>
        <v>5</v>
      </c>
      <c r="D43" s="56">
        <f>Data!J42</f>
        <v>16304922.880000003</v>
      </c>
      <c r="E43" s="56">
        <f>Data!K42</f>
        <v>480728.51896375552</v>
      </c>
      <c r="F43" s="56">
        <f>Data!L42</f>
        <v>16785651.398963757</v>
      </c>
      <c r="G43" s="253">
        <f>Data!AV42</f>
        <v>7.2000000000000011</v>
      </c>
      <c r="H43" s="253">
        <f>Data!AU42</f>
        <v>92</v>
      </c>
      <c r="I43" s="251">
        <f t="shared" ref="I43:J43" ca="1" si="35">I31</f>
        <v>16.330000000000002</v>
      </c>
      <c r="J43" s="251">
        <f t="shared" ca="1" si="35"/>
        <v>107.25</v>
      </c>
      <c r="K43" s="32">
        <f>Data!BG42</f>
        <v>31</v>
      </c>
      <c r="L43" s="32">
        <f>Data!AC42</f>
        <v>278</v>
      </c>
      <c r="M43" s="32">
        <f>Data!BC42</f>
        <v>3070.2</v>
      </c>
      <c r="N43" s="32">
        <f>Data!BZ42</f>
        <v>0</v>
      </c>
      <c r="O43" s="32">
        <f t="shared" ca="1" si="26"/>
        <v>16934296.774084147</v>
      </c>
      <c r="P43" s="32">
        <f t="shared" ca="1" si="3"/>
        <v>16453568.255120391</v>
      </c>
      <c r="Q43" s="51">
        <f t="shared" ca="1" si="27"/>
        <v>148645.37512039021</v>
      </c>
      <c r="R43" s="50">
        <f t="shared" ca="1" si="5"/>
        <v>8.8555023327582423E-3</v>
      </c>
      <c r="AC43" s="2"/>
      <c r="AD43" s="5"/>
      <c r="AE43" s="5"/>
      <c r="AH43" s="2"/>
      <c r="AL43" s="2"/>
      <c r="AM43" s="76"/>
      <c r="AO43" s="5"/>
      <c r="AP43" s="2"/>
      <c r="AQ43" s="76"/>
      <c r="AR43" s="5"/>
      <c r="AS43" s="5"/>
      <c r="AT43" s="29"/>
      <c r="AU43" s="29"/>
      <c r="AV43" s="29"/>
    </row>
    <row r="44" spans="1:49" x14ac:dyDescent="0.2">
      <c r="A44" s="2">
        <v>41791</v>
      </c>
      <c r="B44">
        <f t="shared" si="1"/>
        <v>2014</v>
      </c>
      <c r="C44">
        <f t="shared" si="2"/>
        <v>6</v>
      </c>
      <c r="D44" s="56">
        <f>Data!J43</f>
        <v>16672277.809999999</v>
      </c>
      <c r="E44" s="56">
        <f>Data!K43</f>
        <v>480728.51896375552</v>
      </c>
      <c r="F44" s="56">
        <f>Data!L43</f>
        <v>17153006.328963753</v>
      </c>
      <c r="G44" s="253">
        <f>Data!AV43</f>
        <v>0</v>
      </c>
      <c r="H44" s="253">
        <f>Data!AU43</f>
        <v>234</v>
      </c>
      <c r="I44" s="251">
        <f t="shared" ref="I44:J44" ca="1" si="36">I32</f>
        <v>0</v>
      </c>
      <c r="J44" s="251">
        <f t="shared" ca="1" si="36"/>
        <v>230.10000000000005</v>
      </c>
      <c r="K44" s="32">
        <f>Data!BG43</f>
        <v>30</v>
      </c>
      <c r="L44" s="32">
        <f>Data!AC43</f>
        <v>279</v>
      </c>
      <c r="M44" s="32">
        <f>Data!BC43</f>
        <v>3046.3</v>
      </c>
      <c r="N44" s="32">
        <f>Data!BZ43</f>
        <v>0</v>
      </c>
      <c r="O44" s="32">
        <f t="shared" ca="1" si="26"/>
        <v>17127135.230910514</v>
      </c>
      <c r="P44" s="32">
        <f t="shared" ca="1" si="3"/>
        <v>16646406.711946758</v>
      </c>
      <c r="Q44" s="51">
        <f t="shared" ca="1" si="27"/>
        <v>-25871.098053239286</v>
      </c>
      <c r="R44" s="50">
        <f t="shared" ca="1" si="5"/>
        <v>1.5082544457267865E-3</v>
      </c>
      <c r="AB44" s="130"/>
      <c r="AC44" s="2"/>
      <c r="AD44" s="5"/>
      <c r="AE44" s="5"/>
      <c r="AH44" s="2"/>
      <c r="AL44" s="2"/>
      <c r="AM44" s="76"/>
      <c r="AO44" s="5"/>
      <c r="AP44" s="2"/>
      <c r="AQ44" s="76"/>
      <c r="AR44" s="5"/>
      <c r="AS44" s="5"/>
      <c r="AT44" s="29"/>
      <c r="AU44" s="29"/>
      <c r="AV44" s="29"/>
    </row>
    <row r="45" spans="1:49" x14ac:dyDescent="0.2">
      <c r="A45" s="2">
        <v>41821</v>
      </c>
      <c r="B45">
        <f t="shared" si="1"/>
        <v>2014</v>
      </c>
      <c r="C45">
        <f t="shared" si="2"/>
        <v>7</v>
      </c>
      <c r="D45" s="56">
        <f>Data!J44</f>
        <v>16686928.109999999</v>
      </c>
      <c r="E45" s="56">
        <f>Data!K44</f>
        <v>480728.51896375552</v>
      </c>
      <c r="F45" s="56">
        <f>Data!L44</f>
        <v>17167656.628963754</v>
      </c>
      <c r="G45" s="253">
        <f>Data!AV44</f>
        <v>0</v>
      </c>
      <c r="H45" s="253">
        <f>Data!AU44</f>
        <v>253</v>
      </c>
      <c r="I45" s="251">
        <f t="shared" ref="I45:J45" ca="1" si="37">I33</f>
        <v>0</v>
      </c>
      <c r="J45" s="251">
        <f t="shared" ca="1" si="37"/>
        <v>331.41</v>
      </c>
      <c r="K45" s="32">
        <f>Data!BG44</f>
        <v>31</v>
      </c>
      <c r="L45" s="32">
        <f>Data!AC44</f>
        <v>282</v>
      </c>
      <c r="M45" s="32">
        <f>Data!BC44</f>
        <v>3021.9</v>
      </c>
      <c r="N45" s="32">
        <f>Data!BZ44</f>
        <v>0</v>
      </c>
      <c r="O45" s="32">
        <f t="shared" ca="1" si="26"/>
        <v>17687798.372131575</v>
      </c>
      <c r="P45" s="32">
        <f t="shared" ca="1" si="3"/>
        <v>17207069.853167821</v>
      </c>
      <c r="Q45" s="51">
        <f t="shared" ca="1" si="27"/>
        <v>520141.74316782132</v>
      </c>
      <c r="R45" s="50">
        <f t="shared" ca="1" si="5"/>
        <v>3.0297771816468189E-2</v>
      </c>
      <c r="V45" s="130"/>
      <c r="AC45" s="2"/>
      <c r="AD45" s="5"/>
      <c r="AE45" s="5"/>
      <c r="AH45" s="2"/>
      <c r="AL45" s="2"/>
      <c r="AM45" s="76"/>
      <c r="AO45" s="5"/>
      <c r="AP45" s="2"/>
      <c r="AQ45" s="76"/>
      <c r="AR45" s="5"/>
      <c r="AS45" s="5"/>
      <c r="AT45" s="29"/>
      <c r="AU45" s="29"/>
      <c r="AV45" s="29"/>
    </row>
    <row r="46" spans="1:49" x14ac:dyDescent="0.2">
      <c r="A46" s="2">
        <v>41852</v>
      </c>
      <c r="B46">
        <f t="shared" si="1"/>
        <v>2014</v>
      </c>
      <c r="C46">
        <f t="shared" si="2"/>
        <v>8</v>
      </c>
      <c r="D46" s="56">
        <f>Data!J45</f>
        <v>16611492.549999997</v>
      </c>
      <c r="E46" s="56">
        <f>Data!K45</f>
        <v>480728.51896375552</v>
      </c>
      <c r="F46" s="56">
        <f>Data!L45</f>
        <v>17092221.068963751</v>
      </c>
      <c r="G46" s="253">
        <f>Data!AV45</f>
        <v>0</v>
      </c>
      <c r="H46" s="253">
        <f>Data!AU45</f>
        <v>259</v>
      </c>
      <c r="I46" s="251">
        <f t="shared" ref="I46:J46" ca="1" si="38">I34</f>
        <v>0</v>
      </c>
      <c r="J46" s="251">
        <f t="shared" ca="1" si="38"/>
        <v>304.46000000000004</v>
      </c>
      <c r="K46" s="32">
        <f>Data!BG45</f>
        <v>31</v>
      </c>
      <c r="L46" s="32">
        <f>Data!AC45</f>
        <v>283</v>
      </c>
      <c r="M46" s="32">
        <f>Data!BC45</f>
        <v>3010.9</v>
      </c>
      <c r="N46" s="32">
        <f>Data!BZ45</f>
        <v>0</v>
      </c>
      <c r="O46" s="32">
        <f t="shared" ca="1" si="26"/>
        <v>17393785.201656125</v>
      </c>
      <c r="P46" s="32">
        <f t="shared" ca="1" si="3"/>
        <v>16913056.682692371</v>
      </c>
      <c r="Q46" s="51">
        <f t="shared" ca="1" si="27"/>
        <v>301564.13269237429</v>
      </c>
      <c r="R46" s="50">
        <f t="shared" ca="1" si="5"/>
        <v>1.7643355505151864E-2</v>
      </c>
      <c r="V46" s="130"/>
      <c r="AC46" s="2"/>
      <c r="AD46" s="5"/>
      <c r="AE46" s="5"/>
      <c r="AH46" s="2"/>
      <c r="AL46" s="2"/>
      <c r="AM46" s="76"/>
      <c r="AO46" s="5"/>
      <c r="AP46" s="2"/>
      <c r="AQ46" s="76"/>
      <c r="AR46" s="5"/>
      <c r="AS46" s="5"/>
      <c r="AT46" s="29"/>
      <c r="AU46" s="29"/>
      <c r="AV46" s="29"/>
      <c r="AW46" s="29"/>
    </row>
    <row r="47" spans="1:49" x14ac:dyDescent="0.2">
      <c r="A47" s="2">
        <v>41883</v>
      </c>
      <c r="B47">
        <f t="shared" si="1"/>
        <v>2014</v>
      </c>
      <c r="C47">
        <f t="shared" si="2"/>
        <v>9</v>
      </c>
      <c r="D47" s="56">
        <f>Data!J46</f>
        <v>16361292.15</v>
      </c>
      <c r="E47" s="56">
        <f>Data!K46</f>
        <v>480728.51896375552</v>
      </c>
      <c r="F47" s="56">
        <f>Data!L46</f>
        <v>16842020.668963756</v>
      </c>
      <c r="G47" s="253">
        <f>Data!AV46</f>
        <v>0.79999999999999893</v>
      </c>
      <c r="H47" s="253">
        <f>Data!AU46</f>
        <v>148.69999999999999</v>
      </c>
      <c r="I47" s="251">
        <f t="shared" ref="I47:J47" ca="1" si="39">I35</f>
        <v>0.24999999999999983</v>
      </c>
      <c r="J47" s="251">
        <f t="shared" ca="1" si="39"/>
        <v>176.51</v>
      </c>
      <c r="K47" s="32">
        <f>Data!BG46</f>
        <v>30</v>
      </c>
      <c r="L47" s="32">
        <f>Data!AC46</f>
        <v>283</v>
      </c>
      <c r="M47" s="32">
        <f>Data!BC46</f>
        <v>3013.7</v>
      </c>
      <c r="N47" s="32">
        <f>Data!BZ46</f>
        <v>0</v>
      </c>
      <c r="O47" s="32">
        <f t="shared" ca="1" si="26"/>
        <v>17023641.092414919</v>
      </c>
      <c r="P47" s="32">
        <f t="shared" ca="1" si="3"/>
        <v>16542912.573451163</v>
      </c>
      <c r="Q47" s="51">
        <f t="shared" ca="1" si="27"/>
        <v>181620.42345116287</v>
      </c>
      <c r="R47" s="50">
        <f t="shared" ca="1" si="5"/>
        <v>1.0783766806904025E-2</v>
      </c>
      <c r="AC47" s="2"/>
      <c r="AD47" s="5"/>
      <c r="AE47" s="5"/>
      <c r="AH47" s="2"/>
      <c r="AL47" s="2"/>
      <c r="AM47" s="76"/>
      <c r="AO47" s="5"/>
      <c r="AP47" s="2"/>
      <c r="AQ47" s="60"/>
      <c r="AR47" s="5"/>
      <c r="AS47" s="5"/>
      <c r="AT47" s="29"/>
      <c r="AU47" s="29"/>
      <c r="AV47" s="29"/>
    </row>
    <row r="48" spans="1:49" x14ac:dyDescent="0.2">
      <c r="A48" s="2">
        <v>41913</v>
      </c>
      <c r="B48">
        <f t="shared" si="1"/>
        <v>2014</v>
      </c>
      <c r="C48">
        <f t="shared" si="2"/>
        <v>10</v>
      </c>
      <c r="D48" s="56">
        <f>Data!J47</f>
        <v>16487938.609999999</v>
      </c>
      <c r="E48" s="56">
        <f>Data!K47</f>
        <v>480728.51896375552</v>
      </c>
      <c r="F48" s="56">
        <f>Data!L47</f>
        <v>16968667.128963754</v>
      </c>
      <c r="G48" s="253">
        <f>Data!AV47</f>
        <v>36.099999999999994</v>
      </c>
      <c r="H48" s="253">
        <f>Data!AU47</f>
        <v>38.1</v>
      </c>
      <c r="I48" s="251">
        <f t="shared" ref="I48:J48" ca="1" si="40">I36</f>
        <v>44.309999999999995</v>
      </c>
      <c r="J48" s="251">
        <f t="shared" ca="1" si="40"/>
        <v>43.36</v>
      </c>
      <c r="K48" s="32">
        <f>Data!BG47</f>
        <v>31</v>
      </c>
      <c r="L48" s="32">
        <f>Data!AC47</f>
        <v>282</v>
      </c>
      <c r="M48" s="32">
        <f>Data!BC47</f>
        <v>3027.3</v>
      </c>
      <c r="N48" s="32">
        <f>Data!BZ47</f>
        <v>0</v>
      </c>
      <c r="O48" s="32">
        <f t="shared" ca="1" si="26"/>
        <v>17046258.011392999</v>
      </c>
      <c r="P48" s="32">
        <f t="shared" ca="1" si="3"/>
        <v>16565529.492429243</v>
      </c>
      <c r="Q48" s="51">
        <f t="shared" ca="1" si="27"/>
        <v>77590.882429245859</v>
      </c>
      <c r="R48" s="50">
        <f t="shared" ca="1" si="5"/>
        <v>4.5725973548509458E-3</v>
      </c>
      <c r="AC48" s="2"/>
      <c r="AD48" s="5"/>
      <c r="AE48" s="5"/>
      <c r="AH48" s="2"/>
      <c r="AL48" s="2"/>
      <c r="AM48" s="76"/>
      <c r="AO48" s="5"/>
      <c r="AP48" s="2"/>
      <c r="AQ48" s="76"/>
      <c r="AR48" s="5"/>
      <c r="AS48" s="5"/>
      <c r="AT48" s="29"/>
      <c r="AU48" s="29"/>
      <c r="AV48" s="29"/>
    </row>
    <row r="49" spans="1:48" x14ac:dyDescent="0.2">
      <c r="A49" s="2">
        <v>41944</v>
      </c>
      <c r="B49">
        <f t="shared" si="1"/>
        <v>2014</v>
      </c>
      <c r="C49">
        <f t="shared" si="2"/>
        <v>11</v>
      </c>
      <c r="D49" s="56">
        <f>Data!J48</f>
        <v>17004284.760000002</v>
      </c>
      <c r="E49" s="56">
        <f>Data!K48</f>
        <v>480728.51896375552</v>
      </c>
      <c r="F49" s="56">
        <f>Data!L48</f>
        <v>17485013.278963756</v>
      </c>
      <c r="G49" s="253">
        <f>Data!AV48</f>
        <v>244.20000000000002</v>
      </c>
      <c r="H49" s="253">
        <f>Data!AU48</f>
        <v>0</v>
      </c>
      <c r="I49" s="251">
        <f t="shared" ref="I49:J49" ca="1" si="41">I37</f>
        <v>193.95999999999998</v>
      </c>
      <c r="J49" s="251">
        <f t="shared" ca="1" si="41"/>
        <v>2.7399999999999998</v>
      </c>
      <c r="K49" s="32">
        <f>Data!BG48</f>
        <v>30</v>
      </c>
      <c r="L49" s="32">
        <f>Data!AC48</f>
        <v>284</v>
      </c>
      <c r="M49" s="32">
        <f>Data!BC48</f>
        <v>3036.7</v>
      </c>
      <c r="N49" s="32">
        <f>Data!BZ48</f>
        <v>0</v>
      </c>
      <c r="O49" s="32">
        <f t="shared" ca="1" si="26"/>
        <v>17241904.25062665</v>
      </c>
      <c r="P49" s="32">
        <f t="shared" ca="1" si="3"/>
        <v>16761175.731662894</v>
      </c>
      <c r="Q49" s="51">
        <f t="shared" ca="1" si="27"/>
        <v>-243109.02833710611</v>
      </c>
      <c r="R49" s="50">
        <f t="shared" ca="1" si="5"/>
        <v>1.3903851513203648E-2</v>
      </c>
      <c r="AC49" s="2"/>
      <c r="AD49" s="5"/>
      <c r="AE49" s="5"/>
      <c r="AH49" s="2"/>
      <c r="AL49" s="2"/>
      <c r="AM49" s="76"/>
      <c r="AO49" s="5"/>
      <c r="AP49" s="2"/>
      <c r="AQ49" s="76"/>
      <c r="AR49" s="5"/>
      <c r="AS49" s="5"/>
      <c r="AT49" s="29"/>
      <c r="AU49" s="29"/>
      <c r="AV49" s="29"/>
    </row>
    <row r="50" spans="1:48" x14ac:dyDescent="0.2">
      <c r="A50" s="2">
        <v>41974</v>
      </c>
      <c r="B50">
        <f t="shared" si="1"/>
        <v>2014</v>
      </c>
      <c r="C50">
        <f t="shared" si="2"/>
        <v>12</v>
      </c>
      <c r="D50" s="56">
        <f>Data!J49</f>
        <v>17950454.600000001</v>
      </c>
      <c r="E50" s="56">
        <f>Data!K49</f>
        <v>480728.51896375552</v>
      </c>
      <c r="F50" s="56">
        <f>Data!L49</f>
        <v>18431183.118963756</v>
      </c>
      <c r="G50" s="253">
        <f>Data!AV49</f>
        <v>309.30000000000007</v>
      </c>
      <c r="H50" s="253">
        <f>Data!AU49</f>
        <v>0</v>
      </c>
      <c r="I50" s="251">
        <f t="shared" ref="I50:J50" ca="1" si="42">I38</f>
        <v>327.48000000000008</v>
      </c>
      <c r="J50" s="251">
        <f t="shared" ca="1" si="42"/>
        <v>0</v>
      </c>
      <c r="K50" s="32">
        <f>Data!BG49</f>
        <v>31</v>
      </c>
      <c r="L50" s="32">
        <f>Data!AC49</f>
        <v>284</v>
      </c>
      <c r="M50" s="32">
        <f>Data!BC49</f>
        <v>3034.6</v>
      </c>
      <c r="N50" s="32">
        <f>Data!BZ49</f>
        <v>0</v>
      </c>
      <c r="O50" s="32">
        <f t="shared" ca="1" si="26"/>
        <v>18525732.556069255</v>
      </c>
      <c r="P50" s="32">
        <f t="shared" ca="1" si="3"/>
        <v>18045004.037105501</v>
      </c>
      <c r="Q50" s="51">
        <f t="shared" ca="1" si="27"/>
        <v>94549.437105499208</v>
      </c>
      <c r="R50" s="50">
        <f t="shared" ca="1" si="5"/>
        <v>5.1298626081262115E-3</v>
      </c>
      <c r="AC50" s="2"/>
      <c r="AD50" s="5"/>
      <c r="AE50" s="5"/>
      <c r="AH50" s="2"/>
      <c r="AL50" s="2"/>
      <c r="AM50" s="76"/>
      <c r="AO50" s="5"/>
      <c r="AP50" s="2"/>
      <c r="AQ50" s="76"/>
      <c r="AR50" s="5"/>
      <c r="AS50" s="5"/>
      <c r="AT50" s="29"/>
      <c r="AU50" s="29"/>
      <c r="AV50" s="29"/>
    </row>
    <row r="51" spans="1:48" x14ac:dyDescent="0.2">
      <c r="A51" s="2">
        <v>42005</v>
      </c>
      <c r="B51">
        <f t="shared" si="1"/>
        <v>2015</v>
      </c>
      <c r="C51">
        <f t="shared" si="2"/>
        <v>1</v>
      </c>
      <c r="D51" s="56">
        <f>Data!J50</f>
        <v>18875685.754216857</v>
      </c>
      <c r="E51" s="56">
        <f>Data!K50</f>
        <v>555044.66445330705</v>
      </c>
      <c r="F51" s="56">
        <f>Data!L50</f>
        <v>19430730.418670163</v>
      </c>
      <c r="G51" s="253">
        <f>Data!AV50</f>
        <v>544.4</v>
      </c>
      <c r="H51" s="253">
        <f>Data!AU50</f>
        <v>0</v>
      </c>
      <c r="I51" s="251">
        <f t="shared" ref="I51:J51" ca="1" si="43">I39</f>
        <v>439.5</v>
      </c>
      <c r="J51" s="251">
        <f t="shared" ca="1" si="43"/>
        <v>0</v>
      </c>
      <c r="K51" s="32">
        <f>Data!BG50</f>
        <v>31</v>
      </c>
      <c r="L51" s="32">
        <f>Data!AC50</f>
        <v>286</v>
      </c>
      <c r="M51" s="32">
        <f>Data!BC50</f>
        <v>3029.1</v>
      </c>
      <c r="N51" s="32">
        <f>Data!BZ50</f>
        <v>0</v>
      </c>
      <c r="O51" s="32">
        <f t="shared" ca="1" si="26"/>
        <v>18885172.885536674</v>
      </c>
      <c r="P51" s="32">
        <f t="shared" ca="1" si="3"/>
        <v>18330128.221083369</v>
      </c>
      <c r="Q51" s="51">
        <f t="shared" ca="1" si="27"/>
        <v>-545557.53313348815</v>
      </c>
      <c r="R51" s="50">
        <f t="shared" ca="1" si="5"/>
        <v>2.8077047099026455E-2</v>
      </c>
      <c r="AC51" s="2"/>
      <c r="AD51" s="5"/>
      <c r="AE51" s="5"/>
      <c r="AH51" s="2"/>
      <c r="AL51" s="2"/>
      <c r="AM51" s="76"/>
      <c r="AO51" s="5"/>
      <c r="AP51" s="2"/>
      <c r="AQ51" s="76"/>
      <c r="AR51" s="5"/>
      <c r="AS51" s="5"/>
      <c r="AT51" s="29"/>
      <c r="AU51" s="29"/>
      <c r="AV51" s="29"/>
    </row>
    <row r="52" spans="1:48" x14ac:dyDescent="0.2">
      <c r="A52" s="2">
        <v>42036</v>
      </c>
      <c r="B52">
        <f t="shared" si="1"/>
        <v>2015</v>
      </c>
      <c r="C52">
        <f t="shared" si="2"/>
        <v>2</v>
      </c>
      <c r="D52" s="56">
        <f>Data!J51</f>
        <v>17783706.236144584</v>
      </c>
      <c r="E52" s="56">
        <f>Data!K51</f>
        <v>555044.66445330705</v>
      </c>
      <c r="F52" s="56">
        <f>Data!L51</f>
        <v>18338750.900597889</v>
      </c>
      <c r="G52" s="253">
        <f>Data!AV51</f>
        <v>632.80000000000007</v>
      </c>
      <c r="H52" s="253">
        <f>Data!AU51</f>
        <v>0</v>
      </c>
      <c r="I52" s="251">
        <f t="shared" ref="I52:J52" ca="1" si="44">I40</f>
        <v>403.5</v>
      </c>
      <c r="J52" s="251">
        <f t="shared" ca="1" si="44"/>
        <v>0</v>
      </c>
      <c r="K52" s="32">
        <f>Data!BG51</f>
        <v>28</v>
      </c>
      <c r="L52" s="32">
        <f>Data!AC51</f>
        <v>287</v>
      </c>
      <c r="M52" s="32">
        <f>Data!BC51</f>
        <v>3035.1</v>
      </c>
      <c r="N52" s="32">
        <f>Data!BZ51</f>
        <v>0</v>
      </c>
      <c r="O52" s="32">
        <f t="shared" ca="1" si="26"/>
        <v>17146221.421593994</v>
      </c>
      <c r="P52" s="32">
        <f t="shared" ca="1" si="3"/>
        <v>16591176.757140687</v>
      </c>
      <c r="Q52" s="51">
        <f t="shared" ca="1" si="27"/>
        <v>-1192529.4790038951</v>
      </c>
      <c r="R52" s="50">
        <f t="shared" ca="1" si="5"/>
        <v>6.5027846523888141E-2</v>
      </c>
      <c r="AC52" s="2"/>
      <c r="AD52" s="5"/>
      <c r="AE52" s="5"/>
      <c r="AH52" s="2"/>
      <c r="AL52" s="2"/>
      <c r="AM52" s="76"/>
      <c r="AO52" s="5"/>
      <c r="AP52" s="2"/>
      <c r="AQ52" s="76"/>
      <c r="AR52" s="5"/>
      <c r="AS52" s="5"/>
      <c r="AT52" s="29"/>
      <c r="AU52" s="29"/>
      <c r="AV52" s="29"/>
    </row>
    <row r="53" spans="1:48" x14ac:dyDescent="0.2">
      <c r="A53" s="2">
        <v>42064</v>
      </c>
      <c r="B53">
        <f t="shared" si="1"/>
        <v>2015</v>
      </c>
      <c r="C53">
        <f t="shared" si="2"/>
        <v>3</v>
      </c>
      <c r="D53" s="56">
        <f>Data!J52</f>
        <v>18252320.722891562</v>
      </c>
      <c r="E53" s="56">
        <f>Data!K52</f>
        <v>555044.66445330705</v>
      </c>
      <c r="F53" s="56">
        <f>Data!L52</f>
        <v>18807365.387344867</v>
      </c>
      <c r="G53" s="253">
        <f>Data!AV52</f>
        <v>367.49999999999994</v>
      </c>
      <c r="H53" s="253">
        <f>Data!AU52</f>
        <v>0</v>
      </c>
      <c r="I53" s="251">
        <f t="shared" ref="I53:J53" ca="1" si="45">I41</f>
        <v>291.06</v>
      </c>
      <c r="J53" s="251">
        <f t="shared" ca="1" si="45"/>
        <v>2.8099999999999996</v>
      </c>
      <c r="K53" s="32">
        <f>Data!BG52</f>
        <v>31</v>
      </c>
      <c r="L53" s="32">
        <f>Data!AC52</f>
        <v>288</v>
      </c>
      <c r="M53" s="32">
        <f>Data!BC52</f>
        <v>3054.2</v>
      </c>
      <c r="N53" s="32">
        <f>Data!BZ52</f>
        <v>0</v>
      </c>
      <c r="O53" s="32">
        <f t="shared" ca="1" si="26"/>
        <v>18428461.34724424</v>
      </c>
      <c r="P53" s="32">
        <f t="shared" ca="1" si="3"/>
        <v>17873416.682790935</v>
      </c>
      <c r="Q53" s="51">
        <f t="shared" ca="1" si="27"/>
        <v>-378904.04010062665</v>
      </c>
      <c r="R53" s="50">
        <f t="shared" ca="1" si="5"/>
        <v>2.0146577274219615E-2</v>
      </c>
      <c r="AC53" s="2"/>
      <c r="AD53" s="5"/>
      <c r="AE53" s="5"/>
      <c r="AH53" s="2"/>
      <c r="AL53" s="2"/>
      <c r="AM53" s="76"/>
      <c r="AO53" s="5"/>
      <c r="AP53" s="2"/>
      <c r="AQ53" s="76"/>
      <c r="AR53" s="5"/>
      <c r="AS53" s="5"/>
      <c r="AT53" s="29"/>
      <c r="AU53" s="29"/>
      <c r="AV53" s="29"/>
    </row>
    <row r="54" spans="1:48" x14ac:dyDescent="0.2">
      <c r="A54" s="2">
        <v>42095</v>
      </c>
      <c r="B54">
        <f t="shared" si="1"/>
        <v>2015</v>
      </c>
      <c r="C54">
        <f t="shared" si="2"/>
        <v>4</v>
      </c>
      <c r="D54" s="56">
        <f>Data!J53</f>
        <v>16479411.932530126</v>
      </c>
      <c r="E54" s="56">
        <f>Data!K53</f>
        <v>555044.66445330705</v>
      </c>
      <c r="F54" s="56">
        <f>Data!L53</f>
        <v>17034456.596983433</v>
      </c>
      <c r="G54" s="253">
        <f>Data!AV53</f>
        <v>94.399999999999991</v>
      </c>
      <c r="H54" s="253">
        <f>Data!AU53</f>
        <v>7.1999999999999993</v>
      </c>
      <c r="I54" s="251">
        <f t="shared" ref="I54:J54" ca="1" si="46">I42</f>
        <v>120.71999999999998</v>
      </c>
      <c r="J54" s="251">
        <f t="shared" ca="1" si="46"/>
        <v>6.58</v>
      </c>
      <c r="K54" s="32">
        <f>Data!BG53</f>
        <v>30</v>
      </c>
      <c r="L54" s="32">
        <f>Data!AC53</f>
        <v>290</v>
      </c>
      <c r="M54" s="32">
        <f>Data!BC53</f>
        <v>3066.7</v>
      </c>
      <c r="N54" s="32">
        <f>Data!BZ53</f>
        <v>0</v>
      </c>
      <c r="O54" s="32">
        <f t="shared" ca="1" si="26"/>
        <v>17167227.209253725</v>
      </c>
      <c r="P54" s="32">
        <f t="shared" ca="1" si="3"/>
        <v>16612182.544800417</v>
      </c>
      <c r="Q54" s="51">
        <f t="shared" ca="1" si="27"/>
        <v>132770.61227029189</v>
      </c>
      <c r="R54" s="50">
        <f t="shared" ca="1" si="5"/>
        <v>7.7942381968206572E-3</v>
      </c>
      <c r="AC54" s="2"/>
      <c r="AD54" s="5"/>
      <c r="AE54" s="5"/>
      <c r="AH54" s="2"/>
      <c r="AL54" s="2"/>
      <c r="AM54" s="76"/>
      <c r="AO54" s="5"/>
      <c r="AP54" s="2"/>
      <c r="AQ54" s="76"/>
      <c r="AR54" s="5"/>
      <c r="AS54" s="5"/>
      <c r="AT54" s="29"/>
      <c r="AU54" s="29"/>
      <c r="AV54" s="29"/>
    </row>
    <row r="55" spans="1:48" x14ac:dyDescent="0.2">
      <c r="A55" s="2">
        <v>42125</v>
      </c>
      <c r="B55">
        <f t="shared" si="1"/>
        <v>2015</v>
      </c>
      <c r="C55">
        <f t="shared" si="2"/>
        <v>5</v>
      </c>
      <c r="D55" s="56">
        <f>Data!J54</f>
        <v>16982291.479518067</v>
      </c>
      <c r="E55" s="56">
        <f>Data!K54</f>
        <v>555044.66445330705</v>
      </c>
      <c r="F55" s="56">
        <f>Data!L54</f>
        <v>17537336.143971372</v>
      </c>
      <c r="G55" s="253">
        <f>Data!AV54</f>
        <v>1.5</v>
      </c>
      <c r="H55" s="253">
        <f>Data!AU54</f>
        <v>142.1</v>
      </c>
      <c r="I55" s="251">
        <f t="shared" ref="I55:J55" ca="1" si="47">I43</f>
        <v>16.330000000000002</v>
      </c>
      <c r="J55" s="251">
        <f t="shared" ca="1" si="47"/>
        <v>107.25</v>
      </c>
      <c r="K55" s="32">
        <f>Data!BG54</f>
        <v>31</v>
      </c>
      <c r="L55" s="32">
        <f>Data!AC54</f>
        <v>291</v>
      </c>
      <c r="M55" s="32">
        <f>Data!BC54</f>
        <v>3084</v>
      </c>
      <c r="N55" s="32">
        <f>Data!BZ54</f>
        <v>0</v>
      </c>
      <c r="O55" s="32">
        <f t="shared" ca="1" si="26"/>
        <v>17383281.626284789</v>
      </c>
      <c r="P55" s="32">
        <f t="shared" ca="1" si="3"/>
        <v>16828236.961831484</v>
      </c>
      <c r="Q55" s="51">
        <f t="shared" ca="1" si="27"/>
        <v>-154054.5176865831</v>
      </c>
      <c r="R55" s="50">
        <f t="shared" ca="1" si="5"/>
        <v>8.7843738879089008E-3</v>
      </c>
      <c r="AC55" s="2"/>
      <c r="AD55" s="5"/>
      <c r="AE55" s="5"/>
      <c r="AH55" s="2"/>
      <c r="AL55" s="2"/>
      <c r="AM55" s="76"/>
      <c r="AO55" s="5"/>
      <c r="AP55" s="2"/>
      <c r="AQ55" s="76"/>
      <c r="AR55" s="5"/>
      <c r="AS55" s="5"/>
      <c r="AT55" s="29"/>
      <c r="AU55" s="29"/>
      <c r="AV55" s="29"/>
    </row>
    <row r="56" spans="1:48" x14ac:dyDescent="0.2">
      <c r="A56" s="2">
        <v>42156</v>
      </c>
      <c r="B56">
        <f t="shared" si="1"/>
        <v>2015</v>
      </c>
      <c r="C56">
        <f t="shared" si="2"/>
        <v>6</v>
      </c>
      <c r="D56" s="56">
        <f>Data!J55</f>
        <v>16646153.06024096</v>
      </c>
      <c r="E56" s="56">
        <f>Data!K55</f>
        <v>555044.66445330705</v>
      </c>
      <c r="F56" s="56">
        <f>Data!L55</f>
        <v>17201197.724694267</v>
      </c>
      <c r="G56" s="253">
        <f>Data!AV55</f>
        <v>0</v>
      </c>
      <c r="H56" s="253">
        <f>Data!AU55</f>
        <v>178.69999999999996</v>
      </c>
      <c r="I56" s="251">
        <f t="shared" ref="I56:J56" ca="1" si="48">I44</f>
        <v>0</v>
      </c>
      <c r="J56" s="251">
        <f t="shared" ca="1" si="48"/>
        <v>230.10000000000005</v>
      </c>
      <c r="K56" s="32">
        <f>Data!BG55</f>
        <v>30</v>
      </c>
      <c r="L56" s="32">
        <f>Data!AC55</f>
        <v>291</v>
      </c>
      <c r="M56" s="32">
        <f>Data!BC55</f>
        <v>3102.9</v>
      </c>
      <c r="N56" s="32">
        <f>Data!BZ55</f>
        <v>0</v>
      </c>
      <c r="O56" s="32">
        <f t="shared" ca="1" si="26"/>
        <v>17542165.529806193</v>
      </c>
      <c r="P56" s="32">
        <f t="shared" ca="1" si="3"/>
        <v>16987120.865352888</v>
      </c>
      <c r="Q56" s="51">
        <f t="shared" ca="1" si="27"/>
        <v>340967.80511192605</v>
      </c>
      <c r="R56" s="50">
        <f t="shared" ca="1" si="5"/>
        <v>1.9822329268526933E-2</v>
      </c>
      <c r="AC56" s="2"/>
      <c r="AD56" s="5"/>
      <c r="AE56" s="5"/>
      <c r="AH56" s="2"/>
      <c r="AL56" s="2"/>
      <c r="AM56" s="76"/>
      <c r="AO56" s="5"/>
      <c r="AP56" s="2"/>
      <c r="AQ56" s="76"/>
      <c r="AR56" s="5"/>
      <c r="AS56" s="5"/>
      <c r="AT56" s="29"/>
      <c r="AU56" s="29"/>
      <c r="AV56" s="29"/>
    </row>
    <row r="57" spans="1:48" x14ac:dyDescent="0.2">
      <c r="A57" s="2">
        <v>42186</v>
      </c>
      <c r="B57">
        <f t="shared" si="1"/>
        <v>2015</v>
      </c>
      <c r="C57">
        <f t="shared" si="2"/>
        <v>7</v>
      </c>
      <c r="D57" s="56">
        <f>Data!J56</f>
        <v>17538166.997590359</v>
      </c>
      <c r="E57" s="56">
        <f>Data!K56</f>
        <v>555044.66445330705</v>
      </c>
      <c r="F57" s="56">
        <f>Data!L56</f>
        <v>18093211.662043665</v>
      </c>
      <c r="G57" s="253">
        <f>Data!AV56</f>
        <v>0</v>
      </c>
      <c r="H57" s="253">
        <f>Data!AU56</f>
        <v>296.3</v>
      </c>
      <c r="I57" s="251">
        <f t="shared" ref="I57:J57" ca="1" si="49">I45</f>
        <v>0</v>
      </c>
      <c r="J57" s="251">
        <f t="shared" ca="1" si="49"/>
        <v>331.41</v>
      </c>
      <c r="K57" s="32">
        <f>Data!BG56</f>
        <v>31</v>
      </c>
      <c r="L57" s="32">
        <f>Data!AC56</f>
        <v>292</v>
      </c>
      <c r="M57" s="32">
        <f>Data!BC56</f>
        <v>3132</v>
      </c>
      <c r="N57" s="32">
        <f>Data!BZ56</f>
        <v>0</v>
      </c>
      <c r="O57" s="32">
        <f t="shared" ca="1" si="26"/>
        <v>18326117.880671673</v>
      </c>
      <c r="P57" s="32">
        <f t="shared" ca="1" si="3"/>
        <v>17771073.216218367</v>
      </c>
      <c r="Q57" s="51">
        <f t="shared" ca="1" si="27"/>
        <v>232906.21862800792</v>
      </c>
      <c r="R57" s="50">
        <f t="shared" ca="1" si="5"/>
        <v>1.2872574696984487E-2</v>
      </c>
      <c r="AC57" s="2"/>
      <c r="AD57" s="5"/>
      <c r="AE57" s="5"/>
      <c r="AH57" s="2"/>
      <c r="AL57" s="2"/>
      <c r="AM57" s="76"/>
      <c r="AO57" s="5"/>
      <c r="AP57" s="2"/>
      <c r="AQ57" s="76"/>
      <c r="AR57" s="5"/>
      <c r="AS57" s="5"/>
      <c r="AT57" s="29"/>
      <c r="AU57" s="29"/>
      <c r="AV57" s="29"/>
    </row>
    <row r="58" spans="1:48" x14ac:dyDescent="0.2">
      <c r="A58" s="2">
        <v>42217</v>
      </c>
      <c r="B58">
        <f t="shared" si="1"/>
        <v>2015</v>
      </c>
      <c r="C58">
        <f t="shared" si="2"/>
        <v>8</v>
      </c>
      <c r="D58" s="56">
        <f>Data!J57</f>
        <v>17093829.031325299</v>
      </c>
      <c r="E58" s="56">
        <f>Data!K57</f>
        <v>555044.66445330705</v>
      </c>
      <c r="F58" s="56">
        <f>Data!L57</f>
        <v>17648873.695778605</v>
      </c>
      <c r="G58" s="253">
        <f>Data!AV57</f>
        <v>0</v>
      </c>
      <c r="H58" s="253">
        <f>Data!AU57</f>
        <v>270.19999999999993</v>
      </c>
      <c r="I58" s="251">
        <f t="shared" ref="I58:J58" ca="1" si="50">I46</f>
        <v>0</v>
      </c>
      <c r="J58" s="251">
        <f t="shared" ca="1" si="50"/>
        <v>304.46000000000004</v>
      </c>
      <c r="K58" s="32">
        <f>Data!BG57</f>
        <v>31</v>
      </c>
      <c r="L58" s="32">
        <f>Data!AC57</f>
        <v>292</v>
      </c>
      <c r="M58" s="32">
        <f>Data!BC57</f>
        <v>3151.5</v>
      </c>
      <c r="N58" s="32">
        <f>Data!BZ57</f>
        <v>0</v>
      </c>
      <c r="O58" s="32">
        <f t="shared" ca="1" si="26"/>
        <v>17876141.341753986</v>
      </c>
      <c r="P58" s="32">
        <f t="shared" ca="1" si="3"/>
        <v>17321096.67730068</v>
      </c>
      <c r="Q58" s="51">
        <f t="shared" ca="1" si="27"/>
        <v>227267.64597538114</v>
      </c>
      <c r="R58" s="50">
        <f t="shared" ca="1" si="5"/>
        <v>1.2877175614313608E-2</v>
      </c>
      <c r="AC58" s="2"/>
      <c r="AD58" s="5"/>
      <c r="AE58" s="5"/>
      <c r="AH58" s="2"/>
      <c r="AL58" s="2"/>
      <c r="AM58" s="76"/>
      <c r="AO58" s="5"/>
      <c r="AP58" s="2"/>
      <c r="AQ58" s="76"/>
      <c r="AR58" s="5"/>
      <c r="AS58" s="5"/>
      <c r="AT58" s="29"/>
      <c r="AU58" s="29"/>
      <c r="AV58" s="29"/>
    </row>
    <row r="59" spans="1:48" x14ac:dyDescent="0.2">
      <c r="A59" s="2">
        <v>42248</v>
      </c>
      <c r="B59">
        <f t="shared" si="1"/>
        <v>2015</v>
      </c>
      <c r="C59">
        <f t="shared" si="2"/>
        <v>9</v>
      </c>
      <c r="D59" s="56">
        <f>Data!J58</f>
        <v>17292395.55662651</v>
      </c>
      <c r="E59" s="56">
        <f>Data!K58</f>
        <v>555044.66445330705</v>
      </c>
      <c r="F59" s="56">
        <f>Data!L58</f>
        <v>17847440.221079815</v>
      </c>
      <c r="G59" s="253">
        <f>Data!AV58</f>
        <v>0</v>
      </c>
      <c r="H59" s="253">
        <f>Data!AU58</f>
        <v>230.8</v>
      </c>
      <c r="I59" s="251">
        <f t="shared" ref="I59:J59" ca="1" si="51">I47</f>
        <v>0.24999999999999983</v>
      </c>
      <c r="J59" s="251">
        <f t="shared" ca="1" si="51"/>
        <v>176.51</v>
      </c>
      <c r="K59" s="32">
        <f>Data!BG58</f>
        <v>30</v>
      </c>
      <c r="L59" s="32">
        <f>Data!AC58</f>
        <v>292</v>
      </c>
      <c r="M59" s="32">
        <f>Data!BC58</f>
        <v>3155.1</v>
      </c>
      <c r="N59" s="32">
        <f>Data!BZ58</f>
        <v>0</v>
      </c>
      <c r="O59" s="32">
        <f t="shared" ca="1" si="26"/>
        <v>17488601.453727633</v>
      </c>
      <c r="P59" s="32">
        <f t="shared" ca="1" si="3"/>
        <v>16933556.789274327</v>
      </c>
      <c r="Q59" s="51">
        <f t="shared" ca="1" si="27"/>
        <v>-358838.76735218242</v>
      </c>
      <c r="R59" s="50">
        <f t="shared" ca="1" si="5"/>
        <v>2.0105895462160107E-2</v>
      </c>
      <c r="AC59" s="2"/>
      <c r="AD59" s="5"/>
      <c r="AE59" s="5"/>
      <c r="AH59" s="2"/>
      <c r="AL59" s="2"/>
      <c r="AM59" s="76"/>
      <c r="AO59" s="5"/>
      <c r="AP59" s="2"/>
      <c r="AQ59" s="76"/>
      <c r="AR59" s="5"/>
      <c r="AS59" s="5"/>
      <c r="AT59" s="29"/>
      <c r="AU59" s="29"/>
      <c r="AV59" s="29"/>
    </row>
    <row r="60" spans="1:48" x14ac:dyDescent="0.2">
      <c r="A60" s="2">
        <v>42278</v>
      </c>
      <c r="B60">
        <f t="shared" si="1"/>
        <v>2015</v>
      </c>
      <c r="C60">
        <f t="shared" si="2"/>
        <v>10</v>
      </c>
      <c r="D60" s="56">
        <f>Data!J59</f>
        <v>16272895.431325302</v>
      </c>
      <c r="E60" s="56">
        <f>Data!K59</f>
        <v>555044.66445330705</v>
      </c>
      <c r="F60" s="56">
        <f>Data!L59</f>
        <v>16827940.095778607</v>
      </c>
      <c r="G60" s="253">
        <f>Data!AV59</f>
        <v>48.199999999999989</v>
      </c>
      <c r="H60" s="253">
        <f>Data!AU59</f>
        <v>21.3</v>
      </c>
      <c r="I60" s="251">
        <f t="shared" ref="I60:J60" ca="1" si="52">I48</f>
        <v>44.309999999999995</v>
      </c>
      <c r="J60" s="251">
        <f t="shared" ca="1" si="52"/>
        <v>43.36</v>
      </c>
      <c r="K60" s="32">
        <f>Data!BG59</f>
        <v>31</v>
      </c>
      <c r="L60" s="32">
        <f>Data!AC59</f>
        <v>292</v>
      </c>
      <c r="M60" s="32">
        <f>Data!BC59</f>
        <v>3149.2</v>
      </c>
      <c r="N60" s="32">
        <f>Data!BZ59</f>
        <v>0</v>
      </c>
      <c r="O60" s="32">
        <f t="shared" ca="1" si="26"/>
        <v>16954046.764995307</v>
      </c>
      <c r="P60" s="32">
        <f t="shared" ca="1" si="3"/>
        <v>16399002.100542</v>
      </c>
      <c r="Q60" s="51">
        <f t="shared" ca="1" si="27"/>
        <v>126106.6692166999</v>
      </c>
      <c r="R60" s="50">
        <f t="shared" ca="1" si="5"/>
        <v>7.4938862688449038E-3</v>
      </c>
      <c r="AC60" s="2"/>
      <c r="AD60" s="5"/>
      <c r="AE60" s="5"/>
      <c r="AH60" s="2"/>
      <c r="AL60" s="2"/>
      <c r="AM60" s="76"/>
      <c r="AO60" s="5"/>
      <c r="AP60" s="2"/>
      <c r="AQ60" s="76"/>
      <c r="AR60" s="5"/>
      <c r="AS60" s="5"/>
      <c r="AT60" s="29"/>
      <c r="AU60" s="29"/>
      <c r="AV60" s="29"/>
    </row>
    <row r="61" spans="1:48" x14ac:dyDescent="0.2">
      <c r="A61" s="2">
        <v>42309</v>
      </c>
      <c r="B61">
        <f t="shared" si="1"/>
        <v>2015</v>
      </c>
      <c r="C61">
        <f t="shared" si="2"/>
        <v>11</v>
      </c>
      <c r="D61" s="56">
        <f>Data!J60</f>
        <v>16129527.980722889</v>
      </c>
      <c r="E61" s="56">
        <f>Data!K60</f>
        <v>555044.66445330705</v>
      </c>
      <c r="F61" s="56">
        <f>Data!L60</f>
        <v>16684572.645176196</v>
      </c>
      <c r="G61" s="253">
        <f>Data!AV60</f>
        <v>121.9</v>
      </c>
      <c r="H61" s="253">
        <f>Data!AU60</f>
        <v>7.3999999999999986</v>
      </c>
      <c r="I61" s="251">
        <f t="shared" ref="I61:J61" ca="1" si="53">I49</f>
        <v>193.95999999999998</v>
      </c>
      <c r="J61" s="251">
        <f t="shared" ca="1" si="53"/>
        <v>2.7399999999999998</v>
      </c>
      <c r="K61" s="32">
        <f>Data!BG60</f>
        <v>30</v>
      </c>
      <c r="L61" s="32">
        <f>Data!AC60</f>
        <v>293</v>
      </c>
      <c r="M61" s="32">
        <f>Data!BC60</f>
        <v>3140.6</v>
      </c>
      <c r="N61" s="32">
        <f>Data!BZ60</f>
        <v>0</v>
      </c>
      <c r="O61" s="32">
        <f t="shared" ca="1" si="26"/>
        <v>17028425.260416303</v>
      </c>
      <c r="P61" s="32">
        <f t="shared" ca="1" si="3"/>
        <v>16473380.595962996</v>
      </c>
      <c r="Q61" s="51">
        <f t="shared" ca="1" si="27"/>
        <v>343852.61524010636</v>
      </c>
      <c r="R61" s="50">
        <f t="shared" ca="1" si="5"/>
        <v>2.0609015439153017E-2</v>
      </c>
      <c r="AC61" s="2"/>
      <c r="AD61" s="5"/>
      <c r="AE61" s="5"/>
      <c r="AO61" s="5"/>
      <c r="AP61" s="5"/>
      <c r="AQ61" s="5"/>
      <c r="AR61" s="5"/>
      <c r="AT61" s="29"/>
      <c r="AU61" s="29"/>
      <c r="AV61" s="29"/>
    </row>
    <row r="62" spans="1:48" x14ac:dyDescent="0.2">
      <c r="A62" s="2">
        <v>42339</v>
      </c>
      <c r="B62">
        <f t="shared" si="1"/>
        <v>2015</v>
      </c>
      <c r="C62">
        <f t="shared" si="2"/>
        <v>12</v>
      </c>
      <c r="D62" s="56">
        <f>Data!J61</f>
        <v>16103160.144578312</v>
      </c>
      <c r="E62" s="56">
        <f>Data!K61</f>
        <v>555044.66445330705</v>
      </c>
      <c r="F62" s="56">
        <f>Data!L61</f>
        <v>16658204.809031619</v>
      </c>
      <c r="G62" s="253">
        <f>Data!AV61</f>
        <v>182</v>
      </c>
      <c r="H62" s="253">
        <f>Data!AU61</f>
        <v>0</v>
      </c>
      <c r="I62" s="251">
        <f t="shared" ref="I62:J62" ca="1" si="54">I50</f>
        <v>327.48000000000008</v>
      </c>
      <c r="J62" s="251">
        <f t="shared" ca="1" si="54"/>
        <v>0</v>
      </c>
      <c r="K62" s="32">
        <f>Data!BG61</f>
        <v>31</v>
      </c>
      <c r="L62" s="32">
        <f>Data!AC61</f>
        <v>293</v>
      </c>
      <c r="M62" s="32">
        <f>Data!BC61</f>
        <v>3147.5</v>
      </c>
      <c r="N62" s="32">
        <f>Data!BZ61</f>
        <v>0</v>
      </c>
      <c r="O62" s="32">
        <f t="shared" ca="1" si="26"/>
        <v>17414808.335440196</v>
      </c>
      <c r="P62" s="32">
        <f t="shared" ca="1" si="3"/>
        <v>16859763.670986891</v>
      </c>
      <c r="Q62" s="51">
        <f t="shared" ca="1" si="27"/>
        <v>756603.52640857734</v>
      </c>
      <c r="R62" s="50">
        <f t="shared" ca="1" si="5"/>
        <v>4.5419271469058164E-2</v>
      </c>
    </row>
    <row r="63" spans="1:48" x14ac:dyDescent="0.2">
      <c r="A63" s="2">
        <v>42370</v>
      </c>
      <c r="B63">
        <f t="shared" si="1"/>
        <v>2016</v>
      </c>
      <c r="C63">
        <f t="shared" si="2"/>
        <v>1</v>
      </c>
      <c r="D63" s="56">
        <f>Data!J62</f>
        <v>17735240.327710841</v>
      </c>
      <c r="E63" s="56">
        <f>Data!K62</f>
        <v>657746.90431909065</v>
      </c>
      <c r="F63" s="56">
        <f>Data!L62</f>
        <v>18392987.23202993</v>
      </c>
      <c r="G63" s="253">
        <f>Data!AV62</f>
        <v>422.40000000000009</v>
      </c>
      <c r="H63" s="253">
        <f>Data!AU62</f>
        <v>0</v>
      </c>
      <c r="I63" s="251">
        <f t="shared" ref="I63:J63" ca="1" si="55">I51</f>
        <v>439.5</v>
      </c>
      <c r="J63" s="251">
        <f t="shared" ca="1" si="55"/>
        <v>0</v>
      </c>
      <c r="K63" s="32">
        <f>Data!BG62</f>
        <v>31</v>
      </c>
      <c r="L63" s="32">
        <f>Data!AC62</f>
        <v>292</v>
      </c>
      <c r="M63" s="32">
        <f>Data!BC62</f>
        <v>3154.2</v>
      </c>
      <c r="N63" s="32">
        <f>Data!BZ62</f>
        <v>0</v>
      </c>
      <c r="O63" s="32">
        <f t="shared" ca="1" si="26"/>
        <v>18481919.870891538</v>
      </c>
      <c r="P63" s="32">
        <f t="shared" ca="1" si="3"/>
        <v>17824172.966572449</v>
      </c>
      <c r="Q63" s="51">
        <f t="shared" ca="1" si="27"/>
        <v>88932.63886160776</v>
      </c>
      <c r="R63" s="50">
        <f t="shared" ca="1" si="5"/>
        <v>4.8351384002887042E-3</v>
      </c>
    </row>
    <row r="64" spans="1:48" x14ac:dyDescent="0.2">
      <c r="A64" s="2">
        <v>42401</v>
      </c>
      <c r="B64">
        <f t="shared" si="1"/>
        <v>2016</v>
      </c>
      <c r="C64">
        <f t="shared" si="2"/>
        <v>2</v>
      </c>
      <c r="D64" s="56">
        <f>Data!J63</f>
        <v>16845185.012048196</v>
      </c>
      <c r="E64" s="56">
        <f>Data!K63</f>
        <v>657746.90431909065</v>
      </c>
      <c r="F64" s="56">
        <f>Data!L63</f>
        <v>17502931.916367285</v>
      </c>
      <c r="G64" s="253">
        <f>Data!AV63</f>
        <v>356.40000000000003</v>
      </c>
      <c r="H64" s="253">
        <f>Data!AU63</f>
        <v>0</v>
      </c>
      <c r="I64" s="251">
        <f t="shared" ref="I64:J64" ca="1" si="56">I52</f>
        <v>403.5</v>
      </c>
      <c r="J64" s="251">
        <f t="shared" ca="1" si="56"/>
        <v>0</v>
      </c>
      <c r="K64" s="32">
        <f>Data!BG63</f>
        <v>29</v>
      </c>
      <c r="L64" s="32">
        <f>Data!AC63</f>
        <v>290</v>
      </c>
      <c r="M64" s="32">
        <f>Data!BC63</f>
        <v>3149.3</v>
      </c>
      <c r="N64" s="32">
        <f>Data!BZ63</f>
        <v>0</v>
      </c>
      <c r="O64" s="32">
        <f t="shared" ca="1" si="26"/>
        <v>17747886.72867031</v>
      </c>
      <c r="P64" s="32">
        <f t="shared" ca="1" si="3"/>
        <v>17090139.824351221</v>
      </c>
      <c r="Q64" s="51">
        <f t="shared" ca="1" si="27"/>
        <v>244954.81230302528</v>
      </c>
      <c r="R64" s="50">
        <f t="shared" ca="1" si="5"/>
        <v>1.3995073138230283E-2</v>
      </c>
    </row>
    <row r="65" spans="1:18" x14ac:dyDescent="0.2">
      <c r="A65" s="2">
        <v>42430</v>
      </c>
      <c r="B65">
        <f t="shared" si="1"/>
        <v>2016</v>
      </c>
      <c r="C65">
        <f t="shared" si="2"/>
        <v>3</v>
      </c>
      <c r="D65" s="56">
        <f>Data!J64</f>
        <v>16957889.127710842</v>
      </c>
      <c r="E65" s="56">
        <f>Data!K64</f>
        <v>657746.90431909065</v>
      </c>
      <c r="F65" s="56">
        <f>Data!L64</f>
        <v>17615636.032029931</v>
      </c>
      <c r="G65" s="253">
        <f>Data!AV64</f>
        <v>232.90000000000003</v>
      </c>
      <c r="H65" s="253">
        <f>Data!AU64</f>
        <v>0.80000000000000071</v>
      </c>
      <c r="I65" s="251">
        <f t="shared" ref="I65:J65" ca="1" si="57">I53</f>
        <v>291.06</v>
      </c>
      <c r="J65" s="251">
        <f t="shared" ca="1" si="57"/>
        <v>2.8099999999999996</v>
      </c>
      <c r="K65" s="32">
        <f>Data!BG64</f>
        <v>31</v>
      </c>
      <c r="L65" s="32">
        <f>Data!AC64</f>
        <v>293</v>
      </c>
      <c r="M65" s="32">
        <f>Data!BC64</f>
        <v>3140</v>
      </c>
      <c r="N65" s="32">
        <f>Data!BZ64</f>
        <v>0</v>
      </c>
      <c r="O65" s="32">
        <f t="shared" ca="1" si="26"/>
        <v>17931444.584861435</v>
      </c>
      <c r="P65" s="32">
        <f t="shared" ca="1" si="3"/>
        <v>17273697.680542346</v>
      </c>
      <c r="Q65" s="51">
        <f t="shared" ca="1" si="27"/>
        <v>315808.55283150449</v>
      </c>
      <c r="R65" s="50">
        <f t="shared" ca="1" si="5"/>
        <v>1.7927740574185357E-2</v>
      </c>
    </row>
    <row r="66" spans="1:18" x14ac:dyDescent="0.2">
      <c r="A66" s="2">
        <v>42461</v>
      </c>
      <c r="B66">
        <f t="shared" si="1"/>
        <v>2016</v>
      </c>
      <c r="C66">
        <f t="shared" si="2"/>
        <v>4</v>
      </c>
      <c r="D66" s="56">
        <f>Data!J65</f>
        <v>16234178.226506023</v>
      </c>
      <c r="E66" s="56">
        <f>Data!K65</f>
        <v>657746.90431909065</v>
      </c>
      <c r="F66" s="56">
        <f>Data!L65</f>
        <v>16891925.130825114</v>
      </c>
      <c r="G66" s="253">
        <f>Data!AV65</f>
        <v>167.70000000000005</v>
      </c>
      <c r="H66" s="253">
        <f>Data!AU65</f>
        <v>4.9000000000000004</v>
      </c>
      <c r="I66" s="251">
        <f t="shared" ref="I66:J66" ca="1" si="58">I54</f>
        <v>120.71999999999998</v>
      </c>
      <c r="J66" s="251">
        <f t="shared" ca="1" si="58"/>
        <v>6.58</v>
      </c>
      <c r="K66" s="32">
        <f>Data!BG65</f>
        <v>30</v>
      </c>
      <c r="L66" s="32">
        <f>Data!AC65</f>
        <v>293</v>
      </c>
      <c r="M66" s="32">
        <f>Data!BC65</f>
        <v>3137.9</v>
      </c>
      <c r="N66" s="32">
        <f>Data!BZ65</f>
        <v>0</v>
      </c>
      <c r="O66" s="32">
        <f t="shared" ca="1" si="26"/>
        <v>16658738.880223403</v>
      </c>
      <c r="P66" s="32">
        <f t="shared" ca="1" si="3"/>
        <v>16000991.975904312</v>
      </c>
      <c r="Q66" s="51">
        <f t="shared" ca="1" si="27"/>
        <v>-233186.25060171075</v>
      </c>
      <c r="R66" s="50">
        <f t="shared" ca="1" si="5"/>
        <v>1.3804598871692986E-2</v>
      </c>
    </row>
    <row r="67" spans="1:18" x14ac:dyDescent="0.2">
      <c r="A67" s="2">
        <v>42491</v>
      </c>
      <c r="B67">
        <f t="shared" si="1"/>
        <v>2016</v>
      </c>
      <c r="C67">
        <f t="shared" si="2"/>
        <v>5</v>
      </c>
      <c r="D67" s="56">
        <f>Data!J66</f>
        <v>15945008.597590361</v>
      </c>
      <c r="E67" s="56">
        <f>Data!K66</f>
        <v>657746.90431909065</v>
      </c>
      <c r="F67" s="56">
        <f>Data!L66</f>
        <v>16602755.501909452</v>
      </c>
      <c r="G67" s="253">
        <f>Data!AV66</f>
        <v>12.600000000000001</v>
      </c>
      <c r="H67" s="253">
        <f>Data!AU66</f>
        <v>116.69999999999999</v>
      </c>
      <c r="I67" s="251">
        <f t="shared" ref="I67:J67" ca="1" si="59">I55</f>
        <v>16.330000000000002</v>
      </c>
      <c r="J67" s="251">
        <f t="shared" ca="1" si="59"/>
        <v>107.25</v>
      </c>
      <c r="K67" s="32">
        <f>Data!BG66</f>
        <v>31</v>
      </c>
      <c r="L67" s="32">
        <f>Data!AC66</f>
        <v>295</v>
      </c>
      <c r="M67" s="32">
        <f>Data!BC66</f>
        <v>3144.8</v>
      </c>
      <c r="N67" s="32">
        <f>Data!BZ66</f>
        <v>0</v>
      </c>
      <c r="O67" s="32">
        <f t="shared" ref="O67:O98" ca="1" si="60">F67+(I67-G67)*$T$11+(J67-H67)*$T$12</f>
        <v>16559466.598139871</v>
      </c>
      <c r="P67" s="32">
        <f t="shared" ca="1" si="3"/>
        <v>15901719.69382078</v>
      </c>
      <c r="Q67" s="51">
        <f t="shared" ref="Q67:Q98" ca="1" si="61">+O67-F67</f>
        <v>-43288.903769580647</v>
      </c>
      <c r="R67" s="50">
        <f t="shared" ca="1" si="5"/>
        <v>2.6073324855384441E-3</v>
      </c>
    </row>
    <row r="68" spans="1:18" x14ac:dyDescent="0.2">
      <c r="A68" s="2">
        <v>42522</v>
      </c>
      <c r="B68">
        <f t="shared" ref="B68:B127" si="62">YEAR(A68)</f>
        <v>2016</v>
      </c>
      <c r="C68">
        <f t="shared" ref="C68:C127" si="63">MONTH(A68)</f>
        <v>6</v>
      </c>
      <c r="D68" s="56">
        <f>Data!J67</f>
        <v>16837420.39518071</v>
      </c>
      <c r="E68" s="56">
        <f>Data!K67</f>
        <v>657746.90431909065</v>
      </c>
      <c r="F68" s="56">
        <f>Data!L67</f>
        <v>17495167.299499799</v>
      </c>
      <c r="G68" s="253">
        <f>Data!AV67</f>
        <v>0</v>
      </c>
      <c r="H68" s="253">
        <f>Data!AU67</f>
        <v>240.59999999999997</v>
      </c>
      <c r="I68" s="251">
        <f t="shared" ref="I68:J68" ca="1" si="64">I56</f>
        <v>0</v>
      </c>
      <c r="J68" s="251">
        <f t="shared" ca="1" si="64"/>
        <v>230.10000000000005</v>
      </c>
      <c r="K68" s="32">
        <f>Data!BG67</f>
        <v>30</v>
      </c>
      <c r="L68" s="32">
        <f>Data!AC67</f>
        <v>299</v>
      </c>
      <c r="M68" s="32">
        <f>Data!BC67</f>
        <v>3155.8</v>
      </c>
      <c r="N68" s="32">
        <f>Data!BZ67</f>
        <v>0</v>
      </c>
      <c r="O68" s="32">
        <f t="shared" ca="1" si="60"/>
        <v>17425514.343202617</v>
      </c>
      <c r="P68" s="32">
        <f t="shared" ref="P68:P99" ca="1" si="65">O68-E68</f>
        <v>16767767.438883526</v>
      </c>
      <c r="Q68" s="51">
        <f t="shared" ca="1" si="61"/>
        <v>-69652.956297181547</v>
      </c>
      <c r="R68" s="50">
        <f t="shared" ref="R68:R127" ca="1" si="66">ABS(Q68/F68)</f>
        <v>3.9812683757058437E-3</v>
      </c>
    </row>
    <row r="69" spans="1:18" x14ac:dyDescent="0.2">
      <c r="A69" s="2">
        <v>42552</v>
      </c>
      <c r="B69">
        <f t="shared" si="62"/>
        <v>2016</v>
      </c>
      <c r="C69">
        <f t="shared" si="63"/>
        <v>7</v>
      </c>
      <c r="D69" s="56">
        <f>Data!J68</f>
        <v>17715629.291566268</v>
      </c>
      <c r="E69" s="56">
        <f>Data!K68</f>
        <v>657746.90431909065</v>
      </c>
      <c r="F69" s="56">
        <f>Data!L68</f>
        <v>18373376.195885357</v>
      </c>
      <c r="G69" s="253">
        <f>Data!AV68</f>
        <v>0</v>
      </c>
      <c r="H69" s="253">
        <f>Data!AU68</f>
        <v>362.9</v>
      </c>
      <c r="I69" s="251">
        <f t="shared" ref="I69:J69" ca="1" si="67">I57</f>
        <v>0</v>
      </c>
      <c r="J69" s="251">
        <f t="shared" ca="1" si="67"/>
        <v>331.41</v>
      </c>
      <c r="K69" s="32">
        <f>Data!BG68</f>
        <v>31</v>
      </c>
      <c r="L69" s="32">
        <f>Data!AC68</f>
        <v>300</v>
      </c>
      <c r="M69" s="32">
        <f>Data!BC68</f>
        <v>3152.3</v>
      </c>
      <c r="N69" s="32">
        <f>Data!BZ68</f>
        <v>0</v>
      </c>
      <c r="O69" s="32">
        <f t="shared" ca="1" si="60"/>
        <v>18164483.663142662</v>
      </c>
      <c r="P69" s="32">
        <f t="shared" ca="1" si="65"/>
        <v>17506736.758823574</v>
      </c>
      <c r="Q69" s="51">
        <f t="shared" ca="1" si="61"/>
        <v>-208892.53274269402</v>
      </c>
      <c r="R69" s="50">
        <f t="shared" ca="1" si="66"/>
        <v>1.1369305810516995E-2</v>
      </c>
    </row>
    <row r="70" spans="1:18" x14ac:dyDescent="0.2">
      <c r="A70" s="2">
        <v>42583</v>
      </c>
      <c r="B70">
        <f t="shared" si="62"/>
        <v>2016</v>
      </c>
      <c r="C70">
        <f t="shared" si="63"/>
        <v>8</v>
      </c>
      <c r="D70" s="56">
        <f>Data!J69</f>
        <v>18536229.59036145</v>
      </c>
      <c r="E70" s="56">
        <f>Data!K69</f>
        <v>657746.90431909065</v>
      </c>
      <c r="F70" s="56">
        <f>Data!L69</f>
        <v>19193976.494680539</v>
      </c>
      <c r="G70" s="253">
        <f>Data!AV69</f>
        <v>0</v>
      </c>
      <c r="H70" s="253">
        <f>Data!AU69</f>
        <v>381.40000000000009</v>
      </c>
      <c r="I70" s="251">
        <f t="shared" ref="I70:J70" ca="1" si="68">I58</f>
        <v>0</v>
      </c>
      <c r="J70" s="251">
        <f t="shared" ca="1" si="68"/>
        <v>304.46000000000004</v>
      </c>
      <c r="K70" s="32">
        <f>Data!BG69</f>
        <v>31</v>
      </c>
      <c r="L70" s="32">
        <f>Data!AC69</f>
        <v>301</v>
      </c>
      <c r="M70" s="32">
        <f>Data!BC69</f>
        <v>3149.1</v>
      </c>
      <c r="N70" s="32">
        <f>Data!BZ69</f>
        <v>0</v>
      </c>
      <c r="O70" s="32">
        <f t="shared" ca="1" si="60"/>
        <v>18683586.165394325</v>
      </c>
      <c r="P70" s="32">
        <f t="shared" ca="1" si="65"/>
        <v>18025839.261075236</v>
      </c>
      <c r="Q70" s="51">
        <f t="shared" ca="1" si="61"/>
        <v>-510390.32928621396</v>
      </c>
      <c r="R70" s="50">
        <f t="shared" ca="1" si="66"/>
        <v>2.6591171945410306E-2</v>
      </c>
    </row>
    <row r="71" spans="1:18" x14ac:dyDescent="0.2">
      <c r="A71" s="2">
        <v>42614</v>
      </c>
      <c r="B71">
        <f t="shared" si="62"/>
        <v>2016</v>
      </c>
      <c r="C71">
        <f t="shared" si="63"/>
        <v>9</v>
      </c>
      <c r="D71" s="56">
        <f>Data!J70</f>
        <v>17232312.954216857</v>
      </c>
      <c r="E71" s="56">
        <f>Data!K70</f>
        <v>657746.90431909065</v>
      </c>
      <c r="F71" s="56">
        <f>Data!L70</f>
        <v>17890059.858535945</v>
      </c>
      <c r="G71" s="253">
        <f>Data!AV70</f>
        <v>0</v>
      </c>
      <c r="H71" s="253">
        <f>Data!AU70</f>
        <v>223.5</v>
      </c>
      <c r="I71" s="251">
        <f t="shared" ref="I71:J71" ca="1" si="69">I59</f>
        <v>0.24999999999999983</v>
      </c>
      <c r="J71" s="251">
        <f t="shared" ca="1" si="69"/>
        <v>176.51</v>
      </c>
      <c r="K71" s="32">
        <f>Data!BG70</f>
        <v>30</v>
      </c>
      <c r="L71" s="32">
        <f>Data!AC70</f>
        <v>300</v>
      </c>
      <c r="M71" s="32">
        <f>Data!BC70</f>
        <v>3140.2</v>
      </c>
      <c r="N71" s="32">
        <f>Data!BZ70</f>
        <v>0</v>
      </c>
      <c r="O71" s="32">
        <f t="shared" ca="1" si="60"/>
        <v>17579646.479847517</v>
      </c>
      <c r="P71" s="32">
        <f t="shared" ca="1" si="65"/>
        <v>16921899.575528428</v>
      </c>
      <c r="Q71" s="51">
        <f t="shared" ca="1" si="61"/>
        <v>-310413.37868842855</v>
      </c>
      <c r="R71" s="50">
        <f t="shared" ca="1" si="66"/>
        <v>1.7351164900676393E-2</v>
      </c>
    </row>
    <row r="72" spans="1:18" x14ac:dyDescent="0.2">
      <c r="A72" s="2">
        <v>42644</v>
      </c>
      <c r="B72">
        <f t="shared" si="62"/>
        <v>2016</v>
      </c>
      <c r="C72">
        <f t="shared" si="63"/>
        <v>10</v>
      </c>
      <c r="D72" s="56">
        <f>Data!J71</f>
        <v>16281343.142168675</v>
      </c>
      <c r="E72" s="56">
        <f>Data!K71</f>
        <v>657746.90431909065</v>
      </c>
      <c r="F72" s="56">
        <f>Data!L71</f>
        <v>16939090.046487764</v>
      </c>
      <c r="G72" s="253">
        <f>Data!AV71</f>
        <v>45.400000000000006</v>
      </c>
      <c r="H72" s="253">
        <f>Data!AU71</f>
        <v>69.3</v>
      </c>
      <c r="I72" s="251">
        <f t="shared" ref="I72:J72" ca="1" si="70">I60</f>
        <v>44.309999999999995</v>
      </c>
      <c r="J72" s="251">
        <f t="shared" ca="1" si="70"/>
        <v>43.36</v>
      </c>
      <c r="K72" s="32">
        <f>Data!BG71</f>
        <v>31</v>
      </c>
      <c r="L72" s="32">
        <f>Data!AC71</f>
        <v>302</v>
      </c>
      <c r="M72" s="32">
        <f>Data!BC71</f>
        <v>3134.2</v>
      </c>
      <c r="N72" s="32">
        <f>Data!BZ71</f>
        <v>0</v>
      </c>
      <c r="O72" s="32">
        <f t="shared" ca="1" si="60"/>
        <v>16761345.270724256</v>
      </c>
      <c r="P72" s="32">
        <f t="shared" ca="1" si="65"/>
        <v>16103598.366405165</v>
      </c>
      <c r="Q72" s="51">
        <f t="shared" ca="1" si="61"/>
        <v>-177744.77576350793</v>
      </c>
      <c r="R72" s="50">
        <f t="shared" ca="1" si="66"/>
        <v>1.0493171432214119E-2</v>
      </c>
    </row>
    <row r="73" spans="1:18" x14ac:dyDescent="0.2">
      <c r="A73" s="2">
        <v>42675</v>
      </c>
      <c r="B73">
        <f t="shared" si="62"/>
        <v>2016</v>
      </c>
      <c r="C73">
        <f t="shared" si="63"/>
        <v>11</v>
      </c>
      <c r="D73" s="56">
        <f>Data!J72</f>
        <v>16390339.113253012</v>
      </c>
      <c r="E73" s="56">
        <f>Data!K72</f>
        <v>657746.90431909065</v>
      </c>
      <c r="F73" s="56">
        <f>Data!L72</f>
        <v>17048086.017572101</v>
      </c>
      <c r="G73" s="253">
        <f>Data!AV72</f>
        <v>108.59999999999997</v>
      </c>
      <c r="H73" s="253">
        <f>Data!AU72</f>
        <v>3.0999999999999996</v>
      </c>
      <c r="I73" s="251">
        <f t="shared" ref="I73:J73" ca="1" si="71">I61</f>
        <v>193.95999999999998</v>
      </c>
      <c r="J73" s="251">
        <f t="shared" ca="1" si="71"/>
        <v>2.7399999999999998</v>
      </c>
      <c r="K73" s="32">
        <f>Data!BG72</f>
        <v>30</v>
      </c>
      <c r="L73" s="32">
        <f>Data!AC72</f>
        <v>303</v>
      </c>
      <c r="M73" s="32">
        <f>Data!BC72</f>
        <v>3130.5</v>
      </c>
      <c r="N73" s="32">
        <f>Data!BZ72</f>
        <v>0</v>
      </c>
      <c r="O73" s="32">
        <f t="shared" ca="1" si="60"/>
        <v>17489633.007045317</v>
      </c>
      <c r="P73" s="32">
        <f t="shared" ca="1" si="65"/>
        <v>16831886.102726229</v>
      </c>
      <c r="Q73" s="51">
        <f t="shared" ca="1" si="61"/>
        <v>441546.98947321624</v>
      </c>
      <c r="R73" s="50">
        <f t="shared" ca="1" si="66"/>
        <v>2.5900091600787163E-2</v>
      </c>
    </row>
    <row r="74" spans="1:18" x14ac:dyDescent="0.2">
      <c r="A74" s="2">
        <v>42705</v>
      </c>
      <c r="B74">
        <f t="shared" si="62"/>
        <v>2016</v>
      </c>
      <c r="C74">
        <f t="shared" si="63"/>
        <v>12</v>
      </c>
      <c r="D74" s="56">
        <f>Data!J73</f>
        <v>18004813.812048193</v>
      </c>
      <c r="E74" s="56">
        <f>Data!K73</f>
        <v>657746.90431909065</v>
      </c>
      <c r="F74" s="56">
        <f>Data!L73</f>
        <v>18662560.716367282</v>
      </c>
      <c r="G74" s="253">
        <f>Data!AV73</f>
        <v>359.99999999999994</v>
      </c>
      <c r="H74" s="253">
        <f>Data!AU73</f>
        <v>0</v>
      </c>
      <c r="I74" s="251">
        <f t="shared" ref="I74:J74" ca="1" si="72">I62</f>
        <v>327.48000000000008</v>
      </c>
      <c r="J74" s="251">
        <f t="shared" ca="1" si="72"/>
        <v>0</v>
      </c>
      <c r="K74" s="32">
        <f>Data!BG73</f>
        <v>31</v>
      </c>
      <c r="L74" s="32">
        <f>Data!AC73</f>
        <v>304</v>
      </c>
      <c r="M74" s="32">
        <f>Data!BC73</f>
        <v>3127.9</v>
      </c>
      <c r="N74" s="32">
        <f>Data!BZ73</f>
        <v>0</v>
      </c>
      <c r="O74" s="32">
        <f t="shared" ca="1" si="60"/>
        <v>18493432.680356786</v>
      </c>
      <c r="P74" s="32">
        <f t="shared" ca="1" si="65"/>
        <v>17835685.776037697</v>
      </c>
      <c r="Q74" s="51">
        <f t="shared" ca="1" si="61"/>
        <v>-169128.03601049632</v>
      </c>
      <c r="R74" s="50">
        <f t="shared" ca="1" si="66"/>
        <v>9.0624238860302318E-3</v>
      </c>
    </row>
    <row r="75" spans="1:18" x14ac:dyDescent="0.2">
      <c r="A75" s="2">
        <v>42736</v>
      </c>
      <c r="B75">
        <f t="shared" si="62"/>
        <v>2017</v>
      </c>
      <c r="C75">
        <f t="shared" si="63"/>
        <v>1</v>
      </c>
      <c r="D75" s="56">
        <f>Data!J74</f>
        <v>18633488.665060241</v>
      </c>
      <c r="E75" s="56">
        <f>Data!K74</f>
        <v>1025745.4165349469</v>
      </c>
      <c r="F75" s="56">
        <f>Data!L74</f>
        <v>19659234.081595186</v>
      </c>
      <c r="G75" s="253">
        <f>Data!AV74</f>
        <v>360.90000000000003</v>
      </c>
      <c r="H75" s="253">
        <f>Data!AU74</f>
        <v>0</v>
      </c>
      <c r="I75" s="251">
        <f t="shared" ref="I75:J75" ca="1" si="73">I63</f>
        <v>439.5</v>
      </c>
      <c r="J75" s="251">
        <f t="shared" ca="1" si="73"/>
        <v>0</v>
      </c>
      <c r="K75" s="32">
        <f>Data!BG74</f>
        <v>31</v>
      </c>
      <c r="L75" s="32">
        <f>Data!AC74</f>
        <v>304</v>
      </c>
      <c r="M75" s="32">
        <f>Data!BC74</f>
        <v>3136.5</v>
      </c>
      <c r="N75" s="32">
        <f>Data!BZ74</f>
        <v>0</v>
      </c>
      <c r="O75" s="32">
        <f t="shared" ca="1" si="60"/>
        <v>20068012.176011696</v>
      </c>
      <c r="P75" s="32">
        <f t="shared" ca="1" si="65"/>
        <v>19042266.759476751</v>
      </c>
      <c r="Q75" s="51">
        <f t="shared" ca="1" si="61"/>
        <v>408778.09441651031</v>
      </c>
      <c r="R75" s="50">
        <f t="shared" ca="1" si="66"/>
        <v>2.0793185162752859E-2</v>
      </c>
    </row>
    <row r="76" spans="1:18" x14ac:dyDescent="0.2">
      <c r="A76" s="2">
        <v>42767</v>
      </c>
      <c r="B76">
        <f t="shared" si="62"/>
        <v>2017</v>
      </c>
      <c r="C76">
        <f t="shared" si="63"/>
        <v>2</v>
      </c>
      <c r="D76" s="56">
        <f>Data!J75</f>
        <v>16411229.214457829</v>
      </c>
      <c r="E76" s="56">
        <f>Data!K75</f>
        <v>1025745.4165349469</v>
      </c>
      <c r="F76" s="56">
        <f>Data!L75</f>
        <v>17436974.630992774</v>
      </c>
      <c r="G76" s="253">
        <f>Data!AV75</f>
        <v>287.3</v>
      </c>
      <c r="H76" s="253">
        <f>Data!AU75</f>
        <v>0</v>
      </c>
      <c r="I76" s="251">
        <f t="shared" ref="I76:J76" ca="1" si="74">I64</f>
        <v>403.5</v>
      </c>
      <c r="J76" s="251">
        <f t="shared" ca="1" si="74"/>
        <v>0</v>
      </c>
      <c r="K76" s="32">
        <f>Data!BG75</f>
        <v>28</v>
      </c>
      <c r="L76" s="32">
        <f>Data!AC75</f>
        <v>306</v>
      </c>
      <c r="M76" s="32">
        <f>Data!BC75</f>
        <v>3152.5</v>
      </c>
      <c r="N76" s="32">
        <f>Data!BZ75</f>
        <v>0</v>
      </c>
      <c r="O76" s="32">
        <f t="shared" ca="1" si="60"/>
        <v>18041300.516122527</v>
      </c>
      <c r="P76" s="32">
        <f t="shared" ca="1" si="65"/>
        <v>17015555.099587582</v>
      </c>
      <c r="Q76" s="51">
        <f t="shared" ca="1" si="61"/>
        <v>604325.8851297535</v>
      </c>
      <c r="R76" s="50">
        <f t="shared" ca="1" si="66"/>
        <v>3.4657725776329022E-2</v>
      </c>
    </row>
    <row r="77" spans="1:18" x14ac:dyDescent="0.2">
      <c r="A77" s="2">
        <v>42795</v>
      </c>
      <c r="B77">
        <f t="shared" si="62"/>
        <v>2017</v>
      </c>
      <c r="C77">
        <f t="shared" si="63"/>
        <v>3</v>
      </c>
      <c r="D77" s="56">
        <f>Data!J76</f>
        <v>18608676.597590368</v>
      </c>
      <c r="E77" s="56">
        <f>Data!K76</f>
        <v>1025745.4165349469</v>
      </c>
      <c r="F77" s="56">
        <f>Data!L76</f>
        <v>19634422.014125314</v>
      </c>
      <c r="G77" s="253">
        <f>Data!AV76</f>
        <v>327.10000000000002</v>
      </c>
      <c r="H77" s="253">
        <f>Data!AU76</f>
        <v>0</v>
      </c>
      <c r="I77" s="251">
        <f t="shared" ref="I77:J77" ca="1" si="75">I65</f>
        <v>291.06</v>
      </c>
      <c r="J77" s="251">
        <f t="shared" ca="1" si="75"/>
        <v>2.8099999999999996</v>
      </c>
      <c r="K77" s="32">
        <f>Data!BG76</f>
        <v>31</v>
      </c>
      <c r="L77" s="32">
        <f>Data!AC76</f>
        <v>307</v>
      </c>
      <c r="M77" s="32">
        <f>Data!BC76</f>
        <v>3168.5</v>
      </c>
      <c r="N77" s="32">
        <f>Data!BZ76</f>
        <v>0</v>
      </c>
      <c r="O77" s="32">
        <f t="shared" ca="1" si="60"/>
        <v>19465627.83425913</v>
      </c>
      <c r="P77" s="32">
        <f t="shared" ca="1" si="65"/>
        <v>18439882.417724185</v>
      </c>
      <c r="Q77" s="51">
        <f t="shared" ca="1" si="61"/>
        <v>-168794.17986618355</v>
      </c>
      <c r="R77" s="50">
        <f t="shared" ca="1" si="66"/>
        <v>8.5968499477473981E-3</v>
      </c>
    </row>
    <row r="78" spans="1:18" x14ac:dyDescent="0.2">
      <c r="A78" s="2">
        <v>42826</v>
      </c>
      <c r="B78">
        <f t="shared" si="62"/>
        <v>2017</v>
      </c>
      <c r="C78">
        <f t="shared" si="63"/>
        <v>4</v>
      </c>
      <c r="D78" s="56">
        <f>Data!J77</f>
        <v>15988040.308433732</v>
      </c>
      <c r="E78" s="56">
        <f>Data!K77</f>
        <v>1025745.4165349469</v>
      </c>
      <c r="F78" s="56">
        <f>Data!L77</f>
        <v>17013785.724968679</v>
      </c>
      <c r="G78" s="253">
        <f>Data!AV77</f>
        <v>57.499999999999986</v>
      </c>
      <c r="H78" s="253">
        <f>Data!AU77</f>
        <v>20.5</v>
      </c>
      <c r="I78" s="251">
        <f t="shared" ref="I78:J78" ca="1" si="76">I66</f>
        <v>120.71999999999998</v>
      </c>
      <c r="J78" s="251">
        <f t="shared" ca="1" si="76"/>
        <v>6.58</v>
      </c>
      <c r="K78" s="32">
        <f>Data!BG77</f>
        <v>30</v>
      </c>
      <c r="L78" s="32">
        <f>Data!AC77</f>
        <v>307</v>
      </c>
      <c r="M78" s="32">
        <f>Data!BC77</f>
        <v>3177</v>
      </c>
      <c r="N78" s="32">
        <f>Data!BZ77</f>
        <v>0</v>
      </c>
      <c r="O78" s="32">
        <f t="shared" ca="1" si="60"/>
        <v>17250236.532595482</v>
      </c>
      <c r="P78" s="32">
        <f t="shared" ca="1" si="65"/>
        <v>16224491.116060534</v>
      </c>
      <c r="Q78" s="51">
        <f t="shared" ca="1" si="61"/>
        <v>236450.80762680247</v>
      </c>
      <c r="R78" s="50">
        <f t="shared" ca="1" si="66"/>
        <v>1.3897601124704288E-2</v>
      </c>
    </row>
    <row r="79" spans="1:18" x14ac:dyDescent="0.2">
      <c r="A79" s="2">
        <v>42856</v>
      </c>
      <c r="B79">
        <f t="shared" si="62"/>
        <v>2017</v>
      </c>
      <c r="C79">
        <f t="shared" si="63"/>
        <v>5</v>
      </c>
      <c r="D79" s="56">
        <f>Data!J78</f>
        <v>17068131.836144567</v>
      </c>
      <c r="E79" s="56">
        <f>Data!K78</f>
        <v>1025745.4165349469</v>
      </c>
      <c r="F79" s="56">
        <f>Data!L78</f>
        <v>18093877.252679512</v>
      </c>
      <c r="G79" s="253">
        <f>Data!AV78</f>
        <v>22.200000000000003</v>
      </c>
      <c r="H79" s="253">
        <f>Data!AU78</f>
        <v>63.900000000000013</v>
      </c>
      <c r="I79" s="251">
        <f t="shared" ref="I79:J79" ca="1" si="77">I67</f>
        <v>16.330000000000002</v>
      </c>
      <c r="J79" s="251">
        <f t="shared" ca="1" si="77"/>
        <v>107.25</v>
      </c>
      <c r="K79" s="32">
        <f>Data!BG78</f>
        <v>31</v>
      </c>
      <c r="L79" s="32">
        <f>Data!AC78</f>
        <v>324</v>
      </c>
      <c r="M79" s="32">
        <f>Data!BC78</f>
        <v>3185.7</v>
      </c>
      <c r="N79" s="32">
        <f>Data!BZ78</f>
        <v>0</v>
      </c>
      <c r="O79" s="32">
        <f t="shared" ca="1" si="60"/>
        <v>18350916.119360227</v>
      </c>
      <c r="P79" s="32">
        <f t="shared" ca="1" si="65"/>
        <v>17325170.702825282</v>
      </c>
      <c r="Q79" s="51">
        <f t="shared" ca="1" si="61"/>
        <v>257038.86668071523</v>
      </c>
      <c r="R79" s="50">
        <f t="shared" ca="1" si="66"/>
        <v>1.4205847817534548E-2</v>
      </c>
    </row>
    <row r="80" spans="1:18" x14ac:dyDescent="0.2">
      <c r="A80" s="2">
        <v>42887</v>
      </c>
      <c r="B80">
        <f t="shared" si="62"/>
        <v>2017</v>
      </c>
      <c r="C80">
        <f t="shared" si="63"/>
        <v>6</v>
      </c>
      <c r="D80" s="56">
        <f>Data!J79</f>
        <v>18289433.233734939</v>
      </c>
      <c r="E80" s="56">
        <f>Data!K79</f>
        <v>1025745.4165349469</v>
      </c>
      <c r="F80" s="56">
        <f>Data!L79</f>
        <v>19315178.650269885</v>
      </c>
      <c r="G80" s="253">
        <f>Data!AV79</f>
        <v>0</v>
      </c>
      <c r="H80" s="253">
        <f>Data!AU79</f>
        <v>221.49999999999997</v>
      </c>
      <c r="I80" s="251">
        <f t="shared" ref="I80:J80" ca="1" si="78">I68</f>
        <v>0</v>
      </c>
      <c r="J80" s="251">
        <f t="shared" ca="1" si="78"/>
        <v>230.10000000000005</v>
      </c>
      <c r="K80" s="32">
        <f>Data!BG79</f>
        <v>30</v>
      </c>
      <c r="L80" s="32">
        <f>Data!AC79</f>
        <v>325</v>
      </c>
      <c r="M80" s="32">
        <f>Data!BC79</f>
        <v>3186.9</v>
      </c>
      <c r="N80" s="32">
        <f>Data!BZ79</f>
        <v>0</v>
      </c>
      <c r="O80" s="32">
        <f t="shared" ca="1" si="60"/>
        <v>19372227.738284722</v>
      </c>
      <c r="P80" s="32">
        <f t="shared" ca="1" si="65"/>
        <v>18346482.321749777</v>
      </c>
      <c r="Q80" s="51">
        <f t="shared" ca="1" si="61"/>
        <v>57049.088014837354</v>
      </c>
      <c r="R80" s="50">
        <f t="shared" ca="1" si="66"/>
        <v>2.9535884211995228E-3</v>
      </c>
    </row>
    <row r="81" spans="1:32" x14ac:dyDescent="0.2">
      <c r="A81" s="2">
        <v>42917</v>
      </c>
      <c r="B81">
        <f t="shared" si="62"/>
        <v>2017</v>
      </c>
      <c r="C81">
        <f t="shared" si="63"/>
        <v>7</v>
      </c>
      <c r="D81" s="56">
        <f>Data!J80</f>
        <v>18523386.361445796</v>
      </c>
      <c r="E81" s="56">
        <f>Data!K80</f>
        <v>1025745.4165349469</v>
      </c>
      <c r="F81" s="56">
        <f>Data!L80</f>
        <v>19549131.777980741</v>
      </c>
      <c r="G81" s="253">
        <f>Data!AV80</f>
        <v>0</v>
      </c>
      <c r="H81" s="253">
        <f>Data!AU80</f>
        <v>302.50000000000006</v>
      </c>
      <c r="I81" s="251">
        <f t="shared" ref="I81:J81" ca="1" si="79">I69</f>
        <v>0</v>
      </c>
      <c r="J81" s="251">
        <f t="shared" ca="1" si="79"/>
        <v>331.41</v>
      </c>
      <c r="K81" s="32">
        <f>Data!BG80</f>
        <v>31</v>
      </c>
      <c r="L81" s="32">
        <f>Data!AC80</f>
        <v>325</v>
      </c>
      <c r="M81" s="32">
        <f>Data!BC80</f>
        <v>3187.6</v>
      </c>
      <c r="N81" s="32">
        <f>Data!BZ80</f>
        <v>0</v>
      </c>
      <c r="O81" s="32">
        <f t="shared" ca="1" si="60"/>
        <v>19740909.584318984</v>
      </c>
      <c r="P81" s="32">
        <f t="shared" ca="1" si="65"/>
        <v>18715164.167784039</v>
      </c>
      <c r="Q81" s="51">
        <f t="shared" ca="1" si="61"/>
        <v>191777.80633824319</v>
      </c>
      <c r="R81" s="50">
        <f t="shared" ca="1" si="66"/>
        <v>9.810042129556518E-3</v>
      </c>
    </row>
    <row r="82" spans="1:32" x14ac:dyDescent="0.2">
      <c r="A82" s="2">
        <v>42948</v>
      </c>
      <c r="B82">
        <f t="shared" si="62"/>
        <v>2017</v>
      </c>
      <c r="C82">
        <f t="shared" si="63"/>
        <v>8</v>
      </c>
      <c r="D82" s="56">
        <f>Data!J81</f>
        <v>18386586.149397578</v>
      </c>
      <c r="E82" s="56">
        <f>Data!K81</f>
        <v>1025745.4165349469</v>
      </c>
      <c r="F82" s="56">
        <f>Data!L81</f>
        <v>19412331.565932523</v>
      </c>
      <c r="G82" s="253">
        <f>Data!AV81</f>
        <v>0</v>
      </c>
      <c r="H82" s="253">
        <f>Data!AU81</f>
        <v>249.60000000000005</v>
      </c>
      <c r="I82" s="251">
        <f t="shared" ref="I82:J82" ca="1" si="80">I70</f>
        <v>0</v>
      </c>
      <c r="J82" s="251">
        <f t="shared" ca="1" si="80"/>
        <v>304.46000000000004</v>
      </c>
      <c r="K82" s="32">
        <f>Data!BG81</f>
        <v>31</v>
      </c>
      <c r="L82" s="32">
        <f>Data!AC81</f>
        <v>326</v>
      </c>
      <c r="M82" s="32">
        <f>Data!BC81</f>
        <v>3194.3</v>
      </c>
      <c r="N82" s="32">
        <f>Data!BZ81</f>
        <v>0</v>
      </c>
      <c r="O82" s="32">
        <f t="shared" ca="1" si="60"/>
        <v>19776251.67854809</v>
      </c>
      <c r="P82" s="32">
        <f t="shared" ca="1" si="65"/>
        <v>18750506.262013145</v>
      </c>
      <c r="Q82" s="51">
        <f t="shared" ca="1" si="61"/>
        <v>363920.1126155667</v>
      </c>
      <c r="R82" s="50">
        <f t="shared" ca="1" si="66"/>
        <v>1.8746852297445025E-2</v>
      </c>
    </row>
    <row r="83" spans="1:32" x14ac:dyDescent="0.2">
      <c r="A83" s="2">
        <v>42979</v>
      </c>
      <c r="B83">
        <f t="shared" si="62"/>
        <v>2017</v>
      </c>
      <c r="C83">
        <f t="shared" si="63"/>
        <v>9</v>
      </c>
      <c r="D83" s="56">
        <f>Data!J82</f>
        <v>18228570.718072273</v>
      </c>
      <c r="E83" s="56">
        <f>Data!K82</f>
        <v>1025745.4165349469</v>
      </c>
      <c r="F83" s="56">
        <f>Data!L82</f>
        <v>19254316.134607218</v>
      </c>
      <c r="G83" s="253">
        <f>Data!AV82</f>
        <v>0</v>
      </c>
      <c r="H83" s="253">
        <f>Data!AU82</f>
        <v>203.9</v>
      </c>
      <c r="I83" s="251">
        <f t="shared" ref="I83:J83" ca="1" si="81">I71</f>
        <v>0.24999999999999983</v>
      </c>
      <c r="J83" s="251">
        <f t="shared" ca="1" si="81"/>
        <v>176.51</v>
      </c>
      <c r="K83" s="32">
        <f>Data!BG82</f>
        <v>30</v>
      </c>
      <c r="L83" s="32">
        <f>Data!AC82</f>
        <v>325</v>
      </c>
      <c r="M83" s="32">
        <f>Data!BC82</f>
        <v>3212.3</v>
      </c>
      <c r="N83" s="32">
        <f>Data!BZ82</f>
        <v>0</v>
      </c>
      <c r="O83" s="32">
        <f t="shared" ca="1" si="60"/>
        <v>19073921.607673533</v>
      </c>
      <c r="P83" s="32">
        <f t="shared" ca="1" si="65"/>
        <v>18048176.191138588</v>
      </c>
      <c r="Q83" s="51">
        <f t="shared" ca="1" si="61"/>
        <v>-180394.52693368495</v>
      </c>
      <c r="R83" s="50">
        <f t="shared" ca="1" si="66"/>
        <v>9.3690435782057407E-3</v>
      </c>
      <c r="AF83"/>
    </row>
    <row r="84" spans="1:32" x14ac:dyDescent="0.2">
      <c r="A84" s="2">
        <v>43009</v>
      </c>
      <c r="B84">
        <f t="shared" si="62"/>
        <v>2017</v>
      </c>
      <c r="C84">
        <f t="shared" si="63"/>
        <v>10</v>
      </c>
      <c r="D84" s="56">
        <f>Data!J83</f>
        <v>17434652.356626499</v>
      </c>
      <c r="E84" s="56">
        <f>Data!K83</f>
        <v>1025745.4165349469</v>
      </c>
      <c r="F84" s="56">
        <f>Data!L83</f>
        <v>18460397.773161445</v>
      </c>
      <c r="G84" s="253">
        <f>Data!AV83</f>
        <v>24.199999999999996</v>
      </c>
      <c r="H84" s="253">
        <f>Data!AU83</f>
        <v>84.3</v>
      </c>
      <c r="I84" s="251">
        <f t="shared" ref="I84:J84" ca="1" si="82">I72</f>
        <v>44.309999999999995</v>
      </c>
      <c r="J84" s="251">
        <f t="shared" ca="1" si="82"/>
        <v>43.36</v>
      </c>
      <c r="K84" s="32">
        <f>Data!BG83</f>
        <v>31</v>
      </c>
      <c r="L84" s="32">
        <f>Data!AC83</f>
        <v>325</v>
      </c>
      <c r="M84" s="32">
        <f>Data!BC83</f>
        <v>3234.8</v>
      </c>
      <c r="N84" s="32">
        <f>Data!BZ83</f>
        <v>0</v>
      </c>
      <c r="O84" s="32">
        <f t="shared" ca="1" si="60"/>
        <v>18293404.443348184</v>
      </c>
      <c r="P84" s="32">
        <f t="shared" ca="1" si="65"/>
        <v>17267659.026813239</v>
      </c>
      <c r="Q84" s="51">
        <f t="shared" ca="1" si="61"/>
        <v>-166993.32981326059</v>
      </c>
      <c r="R84" s="50">
        <f t="shared" ca="1" si="66"/>
        <v>9.0460309612636295E-3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</row>
    <row r="85" spans="1:32" x14ac:dyDescent="0.2">
      <c r="A85" s="2">
        <v>43040</v>
      </c>
      <c r="B85">
        <f t="shared" si="62"/>
        <v>2017</v>
      </c>
      <c r="C85">
        <f t="shared" si="63"/>
        <v>11</v>
      </c>
      <c r="D85" s="56">
        <f>Data!J84</f>
        <v>17640730.698795177</v>
      </c>
      <c r="E85" s="56">
        <f>Data!K84</f>
        <v>1025745.4165349469</v>
      </c>
      <c r="F85" s="56">
        <f>Data!L84</f>
        <v>18666476.115330122</v>
      </c>
      <c r="G85" s="253">
        <f>Data!AV84</f>
        <v>191.20000000000005</v>
      </c>
      <c r="H85" s="253">
        <f>Data!AU84</f>
        <v>0</v>
      </c>
      <c r="I85" s="251">
        <f t="shared" ref="I85:J85" ca="1" si="83">I73</f>
        <v>193.95999999999998</v>
      </c>
      <c r="J85" s="251">
        <f t="shared" ca="1" si="83"/>
        <v>2.7399999999999998</v>
      </c>
      <c r="K85" s="32">
        <f>Data!BG84</f>
        <v>30</v>
      </c>
      <c r="L85" s="32">
        <f>Data!AC84</f>
        <v>328</v>
      </c>
      <c r="M85" s="32">
        <f>Data!BC84</f>
        <v>3248.6</v>
      </c>
      <c r="N85" s="32">
        <f>Data!BZ84</f>
        <v>0</v>
      </c>
      <c r="O85" s="32">
        <f t="shared" ca="1" si="60"/>
        <v>18699006.260072853</v>
      </c>
      <c r="P85" s="32">
        <f t="shared" ca="1" si="65"/>
        <v>17673260.843537908</v>
      </c>
      <c r="Q85" s="51">
        <f t="shared" ca="1" si="61"/>
        <v>32530.144742731005</v>
      </c>
      <c r="R85" s="50">
        <f t="shared" ca="1" si="66"/>
        <v>1.742704115214073E-3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</row>
    <row r="86" spans="1:32" x14ac:dyDescent="0.2">
      <c r="A86" s="2">
        <v>43070</v>
      </c>
      <c r="B86">
        <f t="shared" si="62"/>
        <v>2017</v>
      </c>
      <c r="C86">
        <f t="shared" si="63"/>
        <v>12</v>
      </c>
      <c r="D86" s="56">
        <f>Data!J85</f>
        <v>18421065.821686748</v>
      </c>
      <c r="E86" s="56">
        <f>Data!K85</f>
        <v>1025745.4165349469</v>
      </c>
      <c r="F86" s="56">
        <f>Data!L85</f>
        <v>19446811.238221694</v>
      </c>
      <c r="G86" s="253">
        <f>Data!AV85</f>
        <v>470.5</v>
      </c>
      <c r="H86" s="253">
        <f>Data!AU85</f>
        <v>0</v>
      </c>
      <c r="I86" s="251">
        <f t="shared" ref="I86:J86" ca="1" si="84">I74</f>
        <v>327.48000000000008</v>
      </c>
      <c r="J86" s="251">
        <f t="shared" ca="1" si="84"/>
        <v>0</v>
      </c>
      <c r="K86" s="32">
        <f>Data!BG85</f>
        <v>31</v>
      </c>
      <c r="L86" s="32">
        <f>Data!AC85</f>
        <v>329</v>
      </c>
      <c r="M86" s="32">
        <f>Data!BC85</f>
        <v>3264.9</v>
      </c>
      <c r="N86" s="32">
        <f>Data!BZ85</f>
        <v>0</v>
      </c>
      <c r="O86" s="32">
        <f t="shared" ca="1" si="60"/>
        <v>18703001.530035313</v>
      </c>
      <c r="P86" s="32">
        <f t="shared" ca="1" si="65"/>
        <v>17677256.113500368</v>
      </c>
      <c r="Q86" s="51">
        <f t="shared" ca="1" si="61"/>
        <v>-743809.70818638057</v>
      </c>
      <c r="R86" s="50">
        <f t="shared" ca="1" si="66"/>
        <v>3.8248415078172886E-2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</row>
    <row r="87" spans="1:32" x14ac:dyDescent="0.2">
      <c r="A87" s="2">
        <v>43101</v>
      </c>
      <c r="B87">
        <f t="shared" si="62"/>
        <v>2018</v>
      </c>
      <c r="C87">
        <f t="shared" si="63"/>
        <v>1</v>
      </c>
      <c r="D87" s="56">
        <f>Data!J86</f>
        <v>19760806.669879515</v>
      </c>
      <c r="E87" s="56">
        <f>Data!K86</f>
        <v>1423583.7771266622</v>
      </c>
      <c r="F87" s="56">
        <f>Data!L86</f>
        <v>21184390.447006177</v>
      </c>
      <c r="G87" s="253">
        <f>Data!AV86</f>
        <v>484.2999999999999</v>
      </c>
      <c r="H87" s="253">
        <f>Data!AU86</f>
        <v>0</v>
      </c>
      <c r="I87" s="251">
        <f t="shared" ref="I87:J87" ca="1" si="85">I75</f>
        <v>439.5</v>
      </c>
      <c r="J87" s="251">
        <f t="shared" ca="1" si="85"/>
        <v>0</v>
      </c>
      <c r="K87" s="32">
        <f>Data!BG86</f>
        <v>31</v>
      </c>
      <c r="L87" s="32">
        <f>Data!AC86</f>
        <v>327</v>
      </c>
      <c r="M87" s="32">
        <f>Data!BC86</f>
        <v>3268.4</v>
      </c>
      <c r="N87" s="32">
        <f>Data!BZ86</f>
        <v>0</v>
      </c>
      <c r="O87" s="32">
        <f t="shared" ca="1" si="60"/>
        <v>20951397.334666997</v>
      </c>
      <c r="P87" s="32">
        <f t="shared" ca="1" si="65"/>
        <v>19527813.557540335</v>
      </c>
      <c r="Q87" s="51">
        <f t="shared" ca="1" si="61"/>
        <v>-232993.11233917996</v>
      </c>
      <c r="R87" s="50">
        <f t="shared" ca="1" si="66"/>
        <v>1.0998339221608665E-2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</row>
    <row r="88" spans="1:32" x14ac:dyDescent="0.2">
      <c r="A88" s="2">
        <v>43132</v>
      </c>
      <c r="B88">
        <f t="shared" si="62"/>
        <v>2018</v>
      </c>
      <c r="C88">
        <f t="shared" si="63"/>
        <v>2</v>
      </c>
      <c r="D88" s="56">
        <f>Data!J87</f>
        <v>17343083.026506029</v>
      </c>
      <c r="E88" s="56">
        <f>Data!K87</f>
        <v>1423583.7771266622</v>
      </c>
      <c r="F88" s="56">
        <f>Data!L87</f>
        <v>18766666.803632692</v>
      </c>
      <c r="G88" s="253">
        <f>Data!AV87</f>
        <v>331.00000000000011</v>
      </c>
      <c r="H88" s="253">
        <f>Data!AU87</f>
        <v>0</v>
      </c>
      <c r="I88" s="251">
        <f t="shared" ref="I88:J88" ca="1" si="86">I76</f>
        <v>403.5</v>
      </c>
      <c r="J88" s="251">
        <f t="shared" ca="1" si="86"/>
        <v>0</v>
      </c>
      <c r="K88" s="32">
        <f>Data!BG87</f>
        <v>28</v>
      </c>
      <c r="L88" s="32">
        <f>Data!AC87</f>
        <v>328</v>
      </c>
      <c r="M88" s="32">
        <f>Data!BC87</f>
        <v>3267.8</v>
      </c>
      <c r="N88" s="32">
        <f>Data!BZ87</f>
        <v>0</v>
      </c>
      <c r="O88" s="32">
        <f t="shared" ca="1" si="60"/>
        <v>19143720.389449447</v>
      </c>
      <c r="P88" s="32">
        <f t="shared" ca="1" si="65"/>
        <v>17720136.612322785</v>
      </c>
      <c r="Q88" s="51">
        <f t="shared" ca="1" si="61"/>
        <v>377053.58581675589</v>
      </c>
      <c r="R88" s="50">
        <f t="shared" ca="1" si="66"/>
        <v>2.0091665172196113E-2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</row>
    <row r="89" spans="1:32" x14ac:dyDescent="0.2">
      <c r="A89" s="2">
        <v>43160</v>
      </c>
      <c r="B89">
        <f t="shared" si="62"/>
        <v>2018</v>
      </c>
      <c r="C89">
        <f t="shared" si="63"/>
        <v>3</v>
      </c>
      <c r="D89" s="56">
        <f>Data!J88</f>
        <v>16274077.571084337</v>
      </c>
      <c r="E89" s="56">
        <f>Data!K88</f>
        <v>1423583.7771266622</v>
      </c>
      <c r="F89" s="56">
        <f>Data!L88</f>
        <v>17697661.348210998</v>
      </c>
      <c r="G89" s="253">
        <f>Data!AV88</f>
        <v>306.00000000000006</v>
      </c>
      <c r="H89" s="253">
        <f>Data!AU88</f>
        <v>0</v>
      </c>
      <c r="I89" s="251">
        <f t="shared" ref="I89:J89" ca="1" si="87">I77</f>
        <v>291.06</v>
      </c>
      <c r="J89" s="251">
        <f t="shared" ca="1" si="87"/>
        <v>2.8099999999999996</v>
      </c>
      <c r="K89" s="32">
        <f>Data!BG88</f>
        <v>31</v>
      </c>
      <c r="L89" s="32">
        <f>Data!AC88</f>
        <v>331</v>
      </c>
      <c r="M89" s="32">
        <f>Data!BC88</f>
        <v>3257.5</v>
      </c>
      <c r="N89" s="32">
        <f>Data!BZ88</f>
        <v>0</v>
      </c>
      <c r="O89" s="32">
        <f t="shared" ca="1" si="60"/>
        <v>17638602.763665278</v>
      </c>
      <c r="P89" s="32">
        <f t="shared" ca="1" si="65"/>
        <v>16215018.986538615</v>
      </c>
      <c r="Q89" s="51">
        <f t="shared" ca="1" si="61"/>
        <v>-59058.584545720369</v>
      </c>
      <c r="R89" s="50">
        <f t="shared" ca="1" si="66"/>
        <v>3.337084114319456E-3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</row>
    <row r="90" spans="1:32" x14ac:dyDescent="0.2">
      <c r="A90" s="2">
        <v>43191</v>
      </c>
      <c r="B90">
        <f t="shared" si="62"/>
        <v>2018</v>
      </c>
      <c r="C90">
        <f t="shared" si="63"/>
        <v>4</v>
      </c>
      <c r="D90" s="56">
        <f>Data!J89</f>
        <v>17860673.320481922</v>
      </c>
      <c r="E90" s="56">
        <f>Data!K89</f>
        <v>1423583.7771266622</v>
      </c>
      <c r="F90" s="56">
        <f>Data!L89</f>
        <v>19284257.097608585</v>
      </c>
      <c r="G90" s="253">
        <f>Data!AV89</f>
        <v>200</v>
      </c>
      <c r="H90" s="253">
        <f>Data!AU89</f>
        <v>0</v>
      </c>
      <c r="I90" s="251">
        <f t="shared" ref="I90:J90" ca="1" si="88">I78</f>
        <v>120.71999999999998</v>
      </c>
      <c r="J90" s="251">
        <f t="shared" ca="1" si="88"/>
        <v>6.58</v>
      </c>
      <c r="K90" s="32">
        <f>Data!BG89</f>
        <v>30</v>
      </c>
      <c r="L90" s="32">
        <f>Data!AC89</f>
        <v>332</v>
      </c>
      <c r="M90" s="32">
        <f>Data!BC89</f>
        <v>3252.9</v>
      </c>
      <c r="N90" s="32">
        <f>Data!BZ89</f>
        <v>0</v>
      </c>
      <c r="O90" s="32">
        <f t="shared" ca="1" si="60"/>
        <v>18915591.686540302</v>
      </c>
      <c r="P90" s="32">
        <f t="shared" ca="1" si="65"/>
        <v>17492007.909413639</v>
      </c>
      <c r="Q90" s="51">
        <f t="shared" ca="1" si="61"/>
        <v>-368665.41106828302</v>
      </c>
      <c r="R90" s="50">
        <f t="shared" ca="1" si="66"/>
        <v>1.9117428750418431E-2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</row>
    <row r="91" spans="1:32" x14ac:dyDescent="0.2">
      <c r="A91" s="2">
        <v>43221</v>
      </c>
      <c r="B91">
        <f t="shared" si="62"/>
        <v>2018</v>
      </c>
      <c r="C91">
        <f t="shared" si="63"/>
        <v>5</v>
      </c>
      <c r="D91" s="56">
        <f>Data!J90</f>
        <v>18372275.971084341</v>
      </c>
      <c r="E91" s="56">
        <f>Data!K90</f>
        <v>1423583.7771266622</v>
      </c>
      <c r="F91" s="56">
        <f>Data!L90</f>
        <v>19795859.748211004</v>
      </c>
      <c r="G91" s="253">
        <f>Data!AV90</f>
        <v>1.9000000000000004</v>
      </c>
      <c r="H91" s="253">
        <f>Data!AU90</f>
        <v>158.9</v>
      </c>
      <c r="I91" s="251">
        <f t="shared" ref="I91:J91" ca="1" si="89">I79</f>
        <v>16.330000000000002</v>
      </c>
      <c r="J91" s="251">
        <f t="shared" ca="1" si="89"/>
        <v>107.25</v>
      </c>
      <c r="K91" s="32">
        <f>Data!BG90</f>
        <v>31</v>
      </c>
      <c r="L91" s="32">
        <f>Data!AC90</f>
        <v>333</v>
      </c>
      <c r="M91" s="32">
        <f>Data!BC90</f>
        <v>3249.3</v>
      </c>
      <c r="N91" s="32">
        <f>Data!BZ90</f>
        <v>0</v>
      </c>
      <c r="O91" s="32">
        <f t="shared" ca="1" si="60"/>
        <v>19528280.204803042</v>
      </c>
      <c r="P91" s="32">
        <f t="shared" ca="1" si="65"/>
        <v>18104696.42767638</v>
      </c>
      <c r="Q91" s="51">
        <f t="shared" ca="1" si="61"/>
        <v>-267579.54340796173</v>
      </c>
      <c r="R91" s="50">
        <f t="shared" ca="1" si="66"/>
        <v>1.3516944796102806E-2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</row>
    <row r="92" spans="1:32" x14ac:dyDescent="0.2">
      <c r="A92" s="2">
        <v>43252</v>
      </c>
      <c r="B92">
        <f t="shared" si="62"/>
        <v>2018</v>
      </c>
      <c r="C92">
        <f t="shared" si="63"/>
        <v>6</v>
      </c>
      <c r="D92" s="56">
        <f>Data!J91</f>
        <v>19648875.142168682</v>
      </c>
      <c r="E92" s="56">
        <f>Data!K91</f>
        <v>1423583.7771266622</v>
      </c>
      <c r="F92" s="56">
        <f>Data!L91</f>
        <v>21072458.919295345</v>
      </c>
      <c r="G92" s="253">
        <f>Data!AV91</f>
        <v>0</v>
      </c>
      <c r="H92" s="253">
        <f>Data!AU91</f>
        <v>225.70000000000002</v>
      </c>
      <c r="I92" s="251">
        <f t="shared" ref="I92:J92" ca="1" si="90">I80</f>
        <v>0</v>
      </c>
      <c r="J92" s="251">
        <f t="shared" ca="1" si="90"/>
        <v>230.10000000000005</v>
      </c>
      <c r="K92" s="32">
        <f>Data!BG91</f>
        <v>30</v>
      </c>
      <c r="L92" s="32">
        <f>Data!AC91</f>
        <v>333</v>
      </c>
      <c r="M92" s="32">
        <f>Data!BC91</f>
        <v>3254.6</v>
      </c>
      <c r="N92" s="32">
        <f>Data!BZ91</f>
        <v>0</v>
      </c>
      <c r="O92" s="32">
        <f t="shared" ca="1" si="60"/>
        <v>21101646.824791308</v>
      </c>
      <c r="P92" s="32">
        <f t="shared" ca="1" si="65"/>
        <v>19678063.047664646</v>
      </c>
      <c r="Q92" s="51">
        <f t="shared" ca="1" si="61"/>
        <v>29187.905495963991</v>
      </c>
      <c r="R92" s="50">
        <f t="shared" ca="1" si="66"/>
        <v>1.3851210059419123E-3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spans="1:32" x14ac:dyDescent="0.2">
      <c r="A93" s="2">
        <v>43282</v>
      </c>
      <c r="B93">
        <f t="shared" si="62"/>
        <v>2018</v>
      </c>
      <c r="C93">
        <f t="shared" si="63"/>
        <v>7</v>
      </c>
      <c r="D93" s="56">
        <f>Data!J92</f>
        <v>19458868.327710845</v>
      </c>
      <c r="E93" s="56">
        <f>Data!K92</f>
        <v>1423583.7771266622</v>
      </c>
      <c r="F93" s="56">
        <f>Data!L92</f>
        <v>20882452.104837507</v>
      </c>
      <c r="G93" s="253">
        <f>Data!AV92</f>
        <v>0</v>
      </c>
      <c r="H93" s="253">
        <f>Data!AU92</f>
        <v>353.79999999999995</v>
      </c>
      <c r="I93" s="251">
        <f t="shared" ref="I93:J93" ca="1" si="91">I81</f>
        <v>0</v>
      </c>
      <c r="J93" s="251">
        <f t="shared" ca="1" si="91"/>
        <v>331.41</v>
      </c>
      <c r="K93" s="32">
        <f>Data!BG92</f>
        <v>31</v>
      </c>
      <c r="L93" s="32">
        <f>Data!AC92</f>
        <v>335</v>
      </c>
      <c r="M93" s="32">
        <f>Data!BC92</f>
        <v>3268.2</v>
      </c>
      <c r="N93" s="32">
        <f>Data!BZ92</f>
        <v>0</v>
      </c>
      <c r="O93" s="32">
        <f t="shared" ca="1" si="60"/>
        <v>20733925.467552371</v>
      </c>
      <c r="P93" s="32">
        <f t="shared" ca="1" si="65"/>
        <v>19310341.690425709</v>
      </c>
      <c r="Q93" s="51">
        <f t="shared" ca="1" si="61"/>
        <v>-148526.63728513569</v>
      </c>
      <c r="R93" s="50">
        <f t="shared" ca="1" si="66"/>
        <v>7.1125094188880661E-3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 x14ac:dyDescent="0.2">
      <c r="A94" s="2">
        <v>43313</v>
      </c>
      <c r="B94">
        <f t="shared" si="62"/>
        <v>2018</v>
      </c>
      <c r="C94">
        <f t="shared" si="63"/>
        <v>8</v>
      </c>
      <c r="D94" s="56">
        <f>Data!J93</f>
        <v>20075782.737349391</v>
      </c>
      <c r="E94" s="56">
        <f>Data!K93</f>
        <v>1423583.7771266622</v>
      </c>
      <c r="F94" s="56">
        <f>Data!L93</f>
        <v>21499366.514476053</v>
      </c>
      <c r="G94" s="253">
        <f>Data!AV93</f>
        <v>0</v>
      </c>
      <c r="H94" s="253">
        <f>Data!AU93</f>
        <v>347.2</v>
      </c>
      <c r="I94" s="251">
        <f t="shared" ref="I94:J94" ca="1" si="92">I82</f>
        <v>0</v>
      </c>
      <c r="J94" s="251">
        <f t="shared" ca="1" si="92"/>
        <v>304.46000000000004</v>
      </c>
      <c r="K94" s="32">
        <f>Data!BG93</f>
        <v>31</v>
      </c>
      <c r="L94" s="32">
        <f>Data!AC93</f>
        <v>329</v>
      </c>
      <c r="M94" s="32">
        <f>Data!BC93</f>
        <v>3263.2</v>
      </c>
      <c r="N94" s="32">
        <f>Data!BZ93</f>
        <v>0</v>
      </c>
      <c r="O94" s="32">
        <f t="shared" ca="1" si="60"/>
        <v>21215845.814272091</v>
      </c>
      <c r="P94" s="32">
        <f t="shared" ca="1" si="65"/>
        <v>19792262.037145428</v>
      </c>
      <c r="Q94" s="51">
        <f t="shared" ca="1" si="61"/>
        <v>-283520.70020396262</v>
      </c>
      <c r="R94" s="50">
        <f t="shared" ca="1" si="66"/>
        <v>1.3187397871144767E-2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</row>
    <row r="95" spans="1:32" x14ac:dyDescent="0.2">
      <c r="A95" s="2">
        <v>43344</v>
      </c>
      <c r="B95">
        <f t="shared" si="62"/>
        <v>2018</v>
      </c>
      <c r="C95">
        <f t="shared" si="63"/>
        <v>9</v>
      </c>
      <c r="D95" s="56">
        <f>Data!J94</f>
        <v>18418754.37108434</v>
      </c>
      <c r="E95" s="56">
        <f>Data!K94</f>
        <v>1423583.7771266622</v>
      </c>
      <c r="F95" s="56">
        <f>Data!L94</f>
        <v>19842338.148211002</v>
      </c>
      <c r="G95" s="253">
        <f>Data!AV94</f>
        <v>0</v>
      </c>
      <c r="H95" s="253">
        <f>Data!AU94</f>
        <v>210.59999999999997</v>
      </c>
      <c r="I95" s="251">
        <f t="shared" ref="I95:J95" ca="1" si="93">I83</f>
        <v>0.24999999999999983</v>
      </c>
      <c r="J95" s="251">
        <f t="shared" ca="1" si="93"/>
        <v>176.51</v>
      </c>
      <c r="K95" s="32">
        <f>Data!BG94</f>
        <v>30</v>
      </c>
      <c r="L95" s="32">
        <f>Data!AC94</f>
        <v>326</v>
      </c>
      <c r="M95" s="32">
        <f>Data!BC94</f>
        <v>3255.6</v>
      </c>
      <c r="N95" s="32">
        <f>Data!BZ94</f>
        <v>0</v>
      </c>
      <c r="O95" s="32">
        <f t="shared" ca="1" si="60"/>
        <v>19617498.401544828</v>
      </c>
      <c r="P95" s="32">
        <f t="shared" ca="1" si="65"/>
        <v>18193914.624418166</v>
      </c>
      <c r="Q95" s="51">
        <f t="shared" ca="1" si="61"/>
        <v>-224839.74666617438</v>
      </c>
      <c r="R95" s="50">
        <f t="shared" ca="1" si="66"/>
        <v>1.133131312382387E-2</v>
      </c>
      <c r="AE95" s="5"/>
    </row>
    <row r="96" spans="1:32" x14ac:dyDescent="0.2">
      <c r="A96" s="2">
        <v>43374</v>
      </c>
      <c r="B96">
        <f t="shared" si="62"/>
        <v>2018</v>
      </c>
      <c r="C96">
        <f t="shared" si="63"/>
        <v>10</v>
      </c>
      <c r="D96" s="56">
        <f>Data!J95</f>
        <v>17903378.053012051</v>
      </c>
      <c r="E96" s="56">
        <f>Data!K95</f>
        <v>1423583.7771266622</v>
      </c>
      <c r="F96" s="56">
        <f>Data!L95</f>
        <v>19326961.830138713</v>
      </c>
      <c r="G96" s="253">
        <f>Data!AV95</f>
        <v>81.899999999999977</v>
      </c>
      <c r="H96" s="253">
        <f>Data!AU95</f>
        <v>30.9</v>
      </c>
      <c r="I96" s="251">
        <f t="shared" ref="I96:J96" ca="1" si="94">I84</f>
        <v>44.309999999999995</v>
      </c>
      <c r="J96" s="251">
        <f t="shared" ca="1" si="94"/>
        <v>43.36</v>
      </c>
      <c r="K96" s="32">
        <f>Data!BG95</f>
        <v>31</v>
      </c>
      <c r="L96" s="32">
        <f>Data!AC95</f>
        <v>326</v>
      </c>
      <c r="M96" s="32">
        <f>Data!BC95</f>
        <v>3254.2</v>
      </c>
      <c r="N96" s="32">
        <f>Data!BZ95</f>
        <v>0</v>
      </c>
      <c r="O96" s="32">
        <f t="shared" ca="1" si="60"/>
        <v>19214120.888289273</v>
      </c>
      <c r="P96" s="32">
        <f t="shared" ca="1" si="65"/>
        <v>17790537.11116261</v>
      </c>
      <c r="Q96" s="51">
        <f t="shared" ca="1" si="61"/>
        <v>-112840.94184944034</v>
      </c>
      <c r="R96" s="50">
        <f t="shared" ca="1" si="66"/>
        <v>5.8385245876294289E-3</v>
      </c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</row>
    <row r="97" spans="1:40" x14ac:dyDescent="0.2">
      <c r="A97" s="2">
        <v>43405</v>
      </c>
      <c r="B97">
        <f t="shared" si="62"/>
        <v>2018</v>
      </c>
      <c r="C97">
        <f t="shared" si="63"/>
        <v>11</v>
      </c>
      <c r="D97" s="56">
        <f>Data!J96</f>
        <v>18069580.289156623</v>
      </c>
      <c r="E97" s="56">
        <f>Data!K96</f>
        <v>1423583.7771266622</v>
      </c>
      <c r="F97" s="56">
        <f>Data!L96</f>
        <v>19493164.066283286</v>
      </c>
      <c r="G97" s="253">
        <f>Data!AV96</f>
        <v>256.49999999999994</v>
      </c>
      <c r="H97" s="253">
        <f>Data!AU96</f>
        <v>0.40000000000000036</v>
      </c>
      <c r="I97" s="251">
        <f t="shared" ref="I97:J97" ca="1" si="95">I85</f>
        <v>193.95999999999998</v>
      </c>
      <c r="J97" s="251">
        <f t="shared" ca="1" si="95"/>
        <v>2.7399999999999998</v>
      </c>
      <c r="K97" s="32">
        <f>Data!BG96</f>
        <v>30</v>
      </c>
      <c r="L97" s="32">
        <f>Data!AC96</f>
        <v>328</v>
      </c>
      <c r="M97" s="32">
        <f>Data!BC96</f>
        <v>3272.2</v>
      </c>
      <c r="N97" s="32">
        <f>Data!BZ96</f>
        <v>0</v>
      </c>
      <c r="O97" s="32">
        <f t="shared" ca="1" si="60"/>
        <v>19183432.500881024</v>
      </c>
      <c r="P97" s="32">
        <f t="shared" ca="1" si="65"/>
        <v>17759848.723754361</v>
      </c>
      <c r="Q97" s="51">
        <f t="shared" ca="1" si="61"/>
        <v>-309731.56540226191</v>
      </c>
      <c r="R97" s="50">
        <f t="shared" ca="1" si="66"/>
        <v>1.5889240163837481E-2</v>
      </c>
    </row>
    <row r="98" spans="1:40" x14ac:dyDescent="0.2">
      <c r="A98" s="2">
        <v>43435</v>
      </c>
      <c r="B98">
        <f t="shared" si="62"/>
        <v>2018</v>
      </c>
      <c r="C98">
        <f t="shared" si="63"/>
        <v>12</v>
      </c>
      <c r="D98" s="56">
        <f>Data!J97</f>
        <v>18620637.38795181</v>
      </c>
      <c r="E98" s="56">
        <f>Data!K97</f>
        <v>1423583.7771266622</v>
      </c>
      <c r="F98" s="56">
        <f>Data!L97</f>
        <v>20044221.165078472</v>
      </c>
      <c r="G98" s="253">
        <f>Data!AV97</f>
        <v>315.60000000000002</v>
      </c>
      <c r="H98" s="253">
        <f>Data!AU97</f>
        <v>0</v>
      </c>
      <c r="I98" s="251">
        <f t="shared" ref="I98:J98" ca="1" si="96">I86</f>
        <v>327.48000000000008</v>
      </c>
      <c r="J98" s="251">
        <f t="shared" ca="1" si="96"/>
        <v>0</v>
      </c>
      <c r="K98" s="32">
        <f>Data!BG97</f>
        <v>31</v>
      </c>
      <c r="L98" s="32">
        <f>Data!AC97</f>
        <v>328</v>
      </c>
      <c r="M98" s="32">
        <f>Data!BC97</f>
        <v>3285.5</v>
      </c>
      <c r="N98" s="32">
        <f>Data!BZ97</f>
        <v>0</v>
      </c>
      <c r="O98" s="32">
        <f t="shared" ca="1" si="60"/>
        <v>20106005.945761275</v>
      </c>
      <c r="P98" s="32">
        <f t="shared" ca="1" si="65"/>
        <v>18682422.168634612</v>
      </c>
      <c r="Q98" s="51">
        <f t="shared" ca="1" si="61"/>
        <v>61784.7806828022</v>
      </c>
      <c r="R98" s="50">
        <f t="shared" ca="1" si="66"/>
        <v>3.0824236159619485E-3</v>
      </c>
      <c r="S98" s="41"/>
    </row>
    <row r="99" spans="1:40" s="9" customFormat="1" x14ac:dyDescent="0.2">
      <c r="A99" s="2">
        <v>43466</v>
      </c>
      <c r="B99">
        <f t="shared" si="62"/>
        <v>2019</v>
      </c>
      <c r="C99">
        <f t="shared" si="63"/>
        <v>1</v>
      </c>
      <c r="D99" s="56">
        <f>Data!J98</f>
        <v>20021565.956626497</v>
      </c>
      <c r="E99" s="56">
        <f>Data!K98</f>
        <v>1598997.2617911876</v>
      </c>
      <c r="F99" s="56">
        <f>Data!L98</f>
        <v>21620563.218417685</v>
      </c>
      <c r="G99" s="253">
        <f>Data!AV98</f>
        <v>516.5</v>
      </c>
      <c r="H99" s="253">
        <f>Data!AU98</f>
        <v>0</v>
      </c>
      <c r="I99" s="251">
        <f t="shared" ref="I99:J99" ca="1" si="97">I87</f>
        <v>439.5</v>
      </c>
      <c r="J99" s="251">
        <f t="shared" ca="1" si="97"/>
        <v>0</v>
      </c>
      <c r="K99" s="32">
        <f>Data!BG98</f>
        <v>31</v>
      </c>
      <c r="L99" s="32">
        <f>Data!AC98</f>
        <v>326</v>
      </c>
      <c r="M99" s="32">
        <f>Data!BC98</f>
        <v>3291.7</v>
      </c>
      <c r="N99" s="32">
        <f>Data!BZ98</f>
        <v>0</v>
      </c>
      <c r="O99" s="32">
        <f t="shared" ref="O99:O134" ca="1" si="98">F99+(I99-G99)*$T$11+(J99-H99)*$T$12</f>
        <v>21220106.306584716</v>
      </c>
      <c r="P99" s="32">
        <f t="shared" ca="1" si="65"/>
        <v>19621109.044793528</v>
      </c>
      <c r="Q99" s="51">
        <f t="shared" ref="Q99:Q127" ca="1" si="99">+O99-F99</f>
        <v>-400456.91183296964</v>
      </c>
      <c r="R99" s="50">
        <f t="shared" ca="1" si="66"/>
        <v>1.8522038847343096E-2</v>
      </c>
      <c r="S99" s="41"/>
      <c r="T99" s="1"/>
      <c r="U99" s="1"/>
      <c r="V99" s="1"/>
      <c r="W99"/>
      <c r="X99"/>
      <c r="Y99"/>
      <c r="Z99"/>
      <c r="AA99"/>
      <c r="AB99"/>
      <c r="AC99"/>
      <c r="AD99"/>
      <c r="AE99"/>
      <c r="AF99" s="39"/>
      <c r="AG99" s="39"/>
      <c r="AH99" s="39"/>
      <c r="AI99" s="39"/>
      <c r="AJ99" s="39"/>
      <c r="AK99" s="39"/>
      <c r="AL99" s="39"/>
      <c r="AM99" s="39"/>
      <c r="AN99" s="39"/>
    </row>
    <row r="100" spans="1:40" x14ac:dyDescent="0.2">
      <c r="A100" s="2">
        <v>43497</v>
      </c>
      <c r="B100">
        <f t="shared" si="62"/>
        <v>2019</v>
      </c>
      <c r="C100">
        <f t="shared" si="63"/>
        <v>2</v>
      </c>
      <c r="D100" s="56">
        <f>Data!J99</f>
        <v>17820036.587951798</v>
      </c>
      <c r="E100" s="56">
        <f>Data!K99</f>
        <v>1598997.2617911876</v>
      </c>
      <c r="F100" s="56">
        <f>Data!L99</f>
        <v>19419033.849742986</v>
      </c>
      <c r="G100" s="253">
        <f>Data!AV99</f>
        <v>397.7000000000001</v>
      </c>
      <c r="H100" s="253">
        <f>Data!AU99</f>
        <v>0</v>
      </c>
      <c r="I100" s="251">
        <f t="shared" ref="I100:J100" ca="1" si="100">I88</f>
        <v>403.5</v>
      </c>
      <c r="J100" s="251">
        <f t="shared" ca="1" si="100"/>
        <v>0</v>
      </c>
      <c r="K100" s="32">
        <f>Data!BG99</f>
        <v>28</v>
      </c>
      <c r="L100" s="32">
        <f>Data!AC99</f>
        <v>328</v>
      </c>
      <c r="M100" s="32">
        <f>Data!BC99</f>
        <v>3307</v>
      </c>
      <c r="N100" s="32">
        <f>Data!BZ99</f>
        <v>0</v>
      </c>
      <c r="O100" s="32">
        <f t="shared" ca="1" si="98"/>
        <v>19449198.136608325</v>
      </c>
      <c r="P100" s="32">
        <f t="shared" ref="P100:P127" ca="1" si="101">O100-E100</f>
        <v>17850200.874817137</v>
      </c>
      <c r="Q100" s="51">
        <f t="shared" ca="1" si="99"/>
        <v>30164.286865338683</v>
      </c>
      <c r="R100" s="50">
        <f t="shared" ca="1" si="66"/>
        <v>1.5533361288073511E-3</v>
      </c>
      <c r="T100" s="1"/>
      <c r="U100" s="1"/>
      <c r="V100" s="1"/>
    </row>
    <row r="101" spans="1:40" x14ac:dyDescent="0.2">
      <c r="A101" s="2">
        <v>43525</v>
      </c>
      <c r="B101">
        <f t="shared" si="62"/>
        <v>2019</v>
      </c>
      <c r="C101">
        <f t="shared" si="63"/>
        <v>3</v>
      </c>
      <c r="D101" s="56">
        <f>Data!J100</f>
        <v>18868347.971084334</v>
      </c>
      <c r="E101" s="56">
        <f>Data!K100</f>
        <v>1598997.2617911876</v>
      </c>
      <c r="F101" s="56">
        <f>Data!L100</f>
        <v>20467345.232875522</v>
      </c>
      <c r="G101" s="253">
        <f>Data!AV100</f>
        <v>345.9</v>
      </c>
      <c r="H101" s="253">
        <f>Data!AU100</f>
        <v>0</v>
      </c>
      <c r="I101" s="251">
        <f t="shared" ref="I101:J101" ca="1" si="102">I89</f>
        <v>291.06</v>
      </c>
      <c r="J101" s="251">
        <f t="shared" ca="1" si="102"/>
        <v>2.8099999999999996</v>
      </c>
      <c r="K101" s="32">
        <f>Data!BG100</f>
        <v>31</v>
      </c>
      <c r="L101" s="32">
        <f>Data!AC100</f>
        <v>332</v>
      </c>
      <c r="M101" s="32">
        <f>Data!BC100</f>
        <v>3322.8</v>
      </c>
      <c r="N101" s="32">
        <f>Data!BZ100</f>
        <v>0</v>
      </c>
      <c r="O101" s="32">
        <f t="shared" ca="1" si="98"/>
        <v>20200777.157652717</v>
      </c>
      <c r="P101" s="32">
        <f t="shared" ca="1" si="101"/>
        <v>18601779.895861529</v>
      </c>
      <c r="Q101" s="51">
        <f t="shared" ca="1" si="99"/>
        <v>-266568.07522280514</v>
      </c>
      <c r="R101" s="50">
        <f t="shared" ca="1" si="66"/>
        <v>1.3024066980344482E-2</v>
      </c>
      <c r="S101" s="41"/>
      <c r="T101" s="1"/>
      <c r="U101" s="1"/>
      <c r="V101" s="1"/>
    </row>
    <row r="102" spans="1:40" x14ac:dyDescent="0.2">
      <c r="A102" s="2">
        <v>43556</v>
      </c>
      <c r="B102">
        <f t="shared" si="62"/>
        <v>2019</v>
      </c>
      <c r="C102">
        <f t="shared" si="63"/>
        <v>4</v>
      </c>
      <c r="D102" s="56">
        <f>Data!J101</f>
        <v>17363850.910843372</v>
      </c>
      <c r="E102" s="56">
        <f>Data!K101</f>
        <v>1598997.2617911876</v>
      </c>
      <c r="F102" s="56">
        <f>Data!L101</f>
        <v>18962848.172634561</v>
      </c>
      <c r="G102" s="253">
        <f>Data!AV101</f>
        <v>111.89999999999998</v>
      </c>
      <c r="H102" s="253">
        <f>Data!AU101</f>
        <v>1.9000000000000004</v>
      </c>
      <c r="I102" s="251">
        <f t="shared" ref="I102:J102" ca="1" si="103">I90</f>
        <v>120.71999999999998</v>
      </c>
      <c r="J102" s="251">
        <f t="shared" ca="1" si="103"/>
        <v>6.58</v>
      </c>
      <c r="K102" s="32">
        <f>Data!BG101</f>
        <v>30</v>
      </c>
      <c r="L102" s="32">
        <f>Data!AC101</f>
        <v>339</v>
      </c>
      <c r="M102" s="32">
        <f>Data!BC101</f>
        <v>3341.2</v>
      </c>
      <c r="N102" s="32">
        <f>Data!BZ101</f>
        <v>0</v>
      </c>
      <c r="O102" s="32">
        <f t="shared" ca="1" si="98"/>
        <v>19039764.009290222</v>
      </c>
      <c r="P102" s="32">
        <f t="shared" ca="1" si="101"/>
        <v>17440766.747499034</v>
      </c>
      <c r="Q102" s="51">
        <f t="shared" ca="1" si="99"/>
        <v>76915.836655661464</v>
      </c>
      <c r="R102" s="50">
        <f t="shared" ca="1" si="66"/>
        <v>4.0561331270193542E-3</v>
      </c>
      <c r="T102" s="1"/>
      <c r="U102" s="1"/>
      <c r="V102" s="1"/>
    </row>
    <row r="103" spans="1:40" x14ac:dyDescent="0.2">
      <c r="A103" s="2">
        <v>43586</v>
      </c>
      <c r="B103">
        <f t="shared" si="62"/>
        <v>2019</v>
      </c>
      <c r="C103">
        <f t="shared" si="63"/>
        <v>5</v>
      </c>
      <c r="D103" s="56">
        <f>Data!J102</f>
        <v>17505961.4939759</v>
      </c>
      <c r="E103" s="56">
        <f>Data!K102</f>
        <v>1598997.2617911876</v>
      </c>
      <c r="F103" s="56">
        <f>Data!L102</f>
        <v>19104958.755767088</v>
      </c>
      <c r="G103" s="253">
        <f>Data!AV102</f>
        <v>20.6</v>
      </c>
      <c r="H103" s="253">
        <f>Data!AU102</f>
        <v>39.799999999999997</v>
      </c>
      <c r="I103" s="251">
        <f t="shared" ref="I103:J103" ca="1" si="104">I91</f>
        <v>16.330000000000002</v>
      </c>
      <c r="J103" s="251">
        <f t="shared" ca="1" si="104"/>
        <v>107.25</v>
      </c>
      <c r="K103" s="32">
        <f>Data!BG102</f>
        <v>31</v>
      </c>
      <c r="L103" s="32">
        <f>Data!AC102</f>
        <v>342</v>
      </c>
      <c r="M103" s="32">
        <f>Data!BC102</f>
        <v>3355</v>
      </c>
      <c r="N103" s="32">
        <f>Data!BZ102</f>
        <v>0</v>
      </c>
      <c r="O103" s="32">
        <f t="shared" ca="1" si="98"/>
        <v>19530188.923770592</v>
      </c>
      <c r="P103" s="32">
        <f t="shared" ca="1" si="101"/>
        <v>17931191.661979403</v>
      </c>
      <c r="Q103" s="51">
        <f t="shared" ca="1" si="99"/>
        <v>425230.16800350323</v>
      </c>
      <c r="R103" s="50">
        <f t="shared" ca="1" si="66"/>
        <v>2.2257581052099462E-2</v>
      </c>
      <c r="S103" s="41"/>
      <c r="T103" s="1"/>
      <c r="U103" s="1"/>
      <c r="V103" s="1"/>
    </row>
    <row r="104" spans="1:40" x14ac:dyDescent="0.2">
      <c r="A104" s="2">
        <v>43617</v>
      </c>
      <c r="B104">
        <f t="shared" si="62"/>
        <v>2019</v>
      </c>
      <c r="C104">
        <f t="shared" si="63"/>
        <v>6</v>
      </c>
      <c r="D104" s="56">
        <f>Data!J103</f>
        <v>17272766.390361439</v>
      </c>
      <c r="E104" s="56">
        <f>Data!K103</f>
        <v>1598997.2617911876</v>
      </c>
      <c r="F104" s="56">
        <f>Data!L103</f>
        <v>18871763.652152628</v>
      </c>
      <c r="G104" s="253">
        <f>Data!AV103</f>
        <v>0</v>
      </c>
      <c r="H104" s="253">
        <f>Data!AU103</f>
        <v>186.2</v>
      </c>
      <c r="I104" s="251">
        <f t="shared" ref="I104:J104" ca="1" si="105">I92</f>
        <v>0</v>
      </c>
      <c r="J104" s="251">
        <f t="shared" ca="1" si="105"/>
        <v>230.10000000000005</v>
      </c>
      <c r="K104" s="32">
        <f>Data!BG103</f>
        <v>30</v>
      </c>
      <c r="L104" s="32">
        <f>Data!AC103</f>
        <v>343</v>
      </c>
      <c r="M104" s="32">
        <f>Data!BC103</f>
        <v>3367.5</v>
      </c>
      <c r="N104" s="32">
        <f>Data!BZ103</f>
        <v>0</v>
      </c>
      <c r="O104" s="32">
        <f t="shared" ca="1" si="98"/>
        <v>19162979.345623706</v>
      </c>
      <c r="P104" s="32">
        <f t="shared" ca="1" si="101"/>
        <v>17563982.083832517</v>
      </c>
      <c r="Q104" s="51">
        <f t="shared" ca="1" si="99"/>
        <v>291215.69347107783</v>
      </c>
      <c r="R104" s="50">
        <f t="shared" ca="1" si="66"/>
        <v>1.543129189400695E-2</v>
      </c>
      <c r="S104" s="41"/>
      <c r="T104" s="1"/>
      <c r="U104" s="1"/>
      <c r="V104" s="1"/>
    </row>
    <row r="105" spans="1:40" x14ac:dyDescent="0.2">
      <c r="A105" s="2">
        <v>43647</v>
      </c>
      <c r="B105">
        <f t="shared" si="62"/>
        <v>2019</v>
      </c>
      <c r="C105">
        <f t="shared" si="63"/>
        <v>7</v>
      </c>
      <c r="D105" s="56">
        <f>Data!J104</f>
        <v>20011928.221686758</v>
      </c>
      <c r="E105" s="56">
        <f>Data!K104</f>
        <v>1598997.2617911876</v>
      </c>
      <c r="F105" s="56">
        <f>Data!L104</f>
        <v>21610925.483477946</v>
      </c>
      <c r="G105" s="253">
        <f>Data!AV104</f>
        <v>0</v>
      </c>
      <c r="H105" s="253">
        <f>Data!AU104</f>
        <v>352.89999999999992</v>
      </c>
      <c r="I105" s="251">
        <f t="shared" ref="I105:J105" ca="1" si="106">I93</f>
        <v>0</v>
      </c>
      <c r="J105" s="251">
        <f t="shared" ca="1" si="106"/>
        <v>331.41</v>
      </c>
      <c r="K105" s="32">
        <f>Data!BG104</f>
        <v>31</v>
      </c>
      <c r="L105" s="32">
        <f>Data!AC104</f>
        <v>346</v>
      </c>
      <c r="M105" s="32">
        <f>Data!BC104</f>
        <v>3382.6</v>
      </c>
      <c r="N105" s="32">
        <f>Data!BZ104</f>
        <v>0</v>
      </c>
      <c r="O105" s="32">
        <f t="shared" ca="1" si="98"/>
        <v>21468369.099589713</v>
      </c>
      <c r="P105" s="32">
        <f t="shared" ca="1" si="101"/>
        <v>19869371.837798525</v>
      </c>
      <c r="Q105" s="51">
        <f t="shared" ca="1" si="99"/>
        <v>-142556.38388823345</v>
      </c>
      <c r="R105" s="50">
        <f t="shared" ca="1" si="66"/>
        <v>6.5964960175917088E-3</v>
      </c>
      <c r="S105" s="41"/>
      <c r="T105" s="1"/>
      <c r="U105" s="1"/>
      <c r="V105" s="1"/>
    </row>
    <row r="106" spans="1:40" x14ac:dyDescent="0.2">
      <c r="A106" s="2">
        <v>43678</v>
      </c>
      <c r="B106">
        <f t="shared" si="62"/>
        <v>2019</v>
      </c>
      <c r="C106">
        <f t="shared" si="63"/>
        <v>8</v>
      </c>
      <c r="D106" s="56">
        <f>Data!J105</f>
        <v>18900005.146987949</v>
      </c>
      <c r="E106" s="56">
        <f>Data!K105</f>
        <v>1598997.2617911876</v>
      </c>
      <c r="F106" s="56">
        <f>Data!L105</f>
        <v>20499002.408779137</v>
      </c>
      <c r="G106" s="253">
        <f>Data!AV105</f>
        <v>0</v>
      </c>
      <c r="H106" s="253">
        <f>Data!AU105</f>
        <v>288.39999999999998</v>
      </c>
      <c r="I106" s="251">
        <f t="shared" ref="I106:J106" ca="1" si="107">I94</f>
        <v>0</v>
      </c>
      <c r="J106" s="251">
        <f t="shared" ca="1" si="107"/>
        <v>304.46000000000004</v>
      </c>
      <c r="K106" s="32">
        <f>Data!BG105</f>
        <v>31</v>
      </c>
      <c r="L106" s="32">
        <f>Data!AC105</f>
        <v>347</v>
      </c>
      <c r="M106" s="32">
        <f>Data!BC105</f>
        <v>3394.4</v>
      </c>
      <c r="N106" s="32">
        <f>Data!BZ105</f>
        <v>0</v>
      </c>
      <c r="O106" s="32">
        <f t="shared" ca="1" si="98"/>
        <v>20605538.263839401</v>
      </c>
      <c r="P106" s="32">
        <f t="shared" ca="1" si="101"/>
        <v>19006541.002048213</v>
      </c>
      <c r="Q106" s="51">
        <f t="shared" ca="1" si="99"/>
        <v>106535.85506026447</v>
      </c>
      <c r="R106" s="50">
        <f t="shared" ca="1" si="66"/>
        <v>5.1971238861183901E-3</v>
      </c>
      <c r="S106" s="41"/>
      <c r="T106" s="1"/>
      <c r="U106" s="1"/>
      <c r="V106" s="1"/>
    </row>
    <row r="107" spans="1:40" x14ac:dyDescent="0.2">
      <c r="A107" s="2">
        <v>43709</v>
      </c>
      <c r="B107">
        <f t="shared" si="62"/>
        <v>2019</v>
      </c>
      <c r="C107">
        <f t="shared" si="63"/>
        <v>9</v>
      </c>
      <c r="D107" s="56">
        <f>Data!J106</f>
        <v>17525598.293975905</v>
      </c>
      <c r="E107" s="56">
        <f>Data!K106</f>
        <v>1598997.2617911876</v>
      </c>
      <c r="F107" s="56">
        <f>Data!L106</f>
        <v>19124595.555767093</v>
      </c>
      <c r="G107" s="253">
        <f>Data!AV106</f>
        <v>0</v>
      </c>
      <c r="H107" s="253">
        <f>Data!AU106</f>
        <v>167.2</v>
      </c>
      <c r="I107" s="251">
        <f t="shared" ref="I107:J107" ca="1" si="108">I95</f>
        <v>0.24999999999999983</v>
      </c>
      <c r="J107" s="251">
        <f t="shared" ca="1" si="108"/>
        <v>176.51</v>
      </c>
      <c r="K107" s="32">
        <f>Data!BG106</f>
        <v>30</v>
      </c>
      <c r="L107" s="32">
        <f>Data!AC106</f>
        <v>348</v>
      </c>
      <c r="M107" s="32">
        <f>Data!BC106</f>
        <v>3416.8</v>
      </c>
      <c r="N107" s="32">
        <f>Data!BZ106</f>
        <v>0</v>
      </c>
      <c r="O107" s="32">
        <f t="shared" ca="1" si="98"/>
        <v>19187654.695129275</v>
      </c>
      <c r="P107" s="32">
        <f t="shared" ca="1" si="101"/>
        <v>17588657.433338087</v>
      </c>
      <c r="Q107" s="51">
        <f t="shared" ca="1" si="99"/>
        <v>63059.139362182468</v>
      </c>
      <c r="R107" s="50">
        <f t="shared" ca="1" si="66"/>
        <v>3.2972796302176833E-3</v>
      </c>
      <c r="T107" s="1"/>
      <c r="U107" s="1"/>
      <c r="V107" s="1"/>
    </row>
    <row r="108" spans="1:40" x14ac:dyDescent="0.2">
      <c r="A108" s="2">
        <v>43739</v>
      </c>
      <c r="B108">
        <f t="shared" si="62"/>
        <v>2019</v>
      </c>
      <c r="C108">
        <f t="shared" si="63"/>
        <v>10</v>
      </c>
      <c r="D108" s="56">
        <f>Data!J107</f>
        <v>17638446.88192771</v>
      </c>
      <c r="E108" s="56">
        <f>Data!K107</f>
        <v>1598997.2617911876</v>
      </c>
      <c r="F108" s="56">
        <f>Data!L107</f>
        <v>19237444.143718898</v>
      </c>
      <c r="G108" s="253">
        <f>Data!AV107</f>
        <v>26.599999999999998</v>
      </c>
      <c r="H108" s="253">
        <f>Data!AU107</f>
        <v>21.800000000000004</v>
      </c>
      <c r="I108" s="251">
        <f t="shared" ref="I108:J108" ca="1" si="109">I96</f>
        <v>44.309999999999995</v>
      </c>
      <c r="J108" s="251">
        <f t="shared" ca="1" si="109"/>
        <v>43.36</v>
      </c>
      <c r="K108" s="32">
        <f>Data!BG107</f>
        <v>31</v>
      </c>
      <c r="L108" s="32">
        <f>Data!AC107</f>
        <v>351</v>
      </c>
      <c r="M108" s="32">
        <f>Data!BC107</f>
        <v>3419.9</v>
      </c>
      <c r="N108" s="32">
        <f>Data!BZ107</f>
        <v>0</v>
      </c>
      <c r="O108" s="32">
        <f t="shared" ca="1" si="98"/>
        <v>19472569.970370695</v>
      </c>
      <c r="P108" s="32">
        <f t="shared" ca="1" si="101"/>
        <v>17873572.708579507</v>
      </c>
      <c r="Q108" s="51">
        <f t="shared" ca="1" si="99"/>
        <v>235125.8266517967</v>
      </c>
      <c r="R108" s="50">
        <f t="shared" ca="1" si="66"/>
        <v>1.2222300680652852E-2</v>
      </c>
      <c r="S108" s="41"/>
      <c r="T108" s="1"/>
      <c r="U108" s="1"/>
      <c r="V108" s="1"/>
    </row>
    <row r="109" spans="1:40" x14ac:dyDescent="0.2">
      <c r="A109" s="2">
        <v>43770</v>
      </c>
      <c r="B109">
        <f t="shared" si="62"/>
        <v>2019</v>
      </c>
      <c r="C109">
        <f t="shared" si="63"/>
        <v>11</v>
      </c>
      <c r="D109" s="56">
        <f>Data!J108</f>
        <v>18056629.359036144</v>
      </c>
      <c r="E109" s="56">
        <f>Data!K108</f>
        <v>1598997.2617911876</v>
      </c>
      <c r="F109" s="56">
        <f>Data!L108</f>
        <v>19655626.620827332</v>
      </c>
      <c r="G109" s="253">
        <f>Data!AV108</f>
        <v>273.3</v>
      </c>
      <c r="H109" s="253">
        <f>Data!AU108</f>
        <v>0</v>
      </c>
      <c r="I109" s="251">
        <f t="shared" ref="I109:J109" ca="1" si="110">I97</f>
        <v>193.95999999999998</v>
      </c>
      <c r="J109" s="251">
        <f t="shared" ca="1" si="110"/>
        <v>2.7399999999999998</v>
      </c>
      <c r="K109" s="32">
        <f>Data!BG108</f>
        <v>30</v>
      </c>
      <c r="L109" s="32">
        <f>Data!AC108</f>
        <v>353</v>
      </c>
      <c r="M109" s="32">
        <f>Data!BC108</f>
        <v>3426.4</v>
      </c>
      <c r="N109" s="32">
        <f>Data!BZ108</f>
        <v>0</v>
      </c>
      <c r="O109" s="32">
        <f t="shared" ca="1" si="98"/>
        <v>19261176.084252052</v>
      </c>
      <c r="P109" s="32">
        <f t="shared" ca="1" si="101"/>
        <v>17662178.822460864</v>
      </c>
      <c r="Q109" s="51">
        <f t="shared" ca="1" si="99"/>
        <v>-394450.53657528013</v>
      </c>
      <c r="R109" s="50">
        <f t="shared" ca="1" si="66"/>
        <v>2.0068072322726956E-2</v>
      </c>
      <c r="T109" s="1"/>
      <c r="U109" s="1"/>
      <c r="V109" s="1"/>
    </row>
    <row r="110" spans="1:40" x14ac:dyDescent="0.2">
      <c r="A110" s="2">
        <v>43800</v>
      </c>
      <c r="B110">
        <f t="shared" si="62"/>
        <v>2019</v>
      </c>
      <c r="C110">
        <f t="shared" si="63"/>
        <v>12</v>
      </c>
      <c r="D110" s="56">
        <f>Data!J109</f>
        <v>19169682.92048192</v>
      </c>
      <c r="E110" s="56">
        <f>Data!K109</f>
        <v>1598997.2617911876</v>
      </c>
      <c r="F110" s="56">
        <f>Data!L109</f>
        <v>20768680.182273109</v>
      </c>
      <c r="G110" s="253">
        <f>Data!AV109</f>
        <v>334.4</v>
      </c>
      <c r="H110" s="253">
        <f>Data!AU109</f>
        <v>0</v>
      </c>
      <c r="I110" s="251">
        <f t="shared" ref="I110:J110" ca="1" si="111">I98</f>
        <v>327.48000000000008</v>
      </c>
      <c r="J110" s="251">
        <f t="shared" ca="1" si="111"/>
        <v>0</v>
      </c>
      <c r="K110" s="32">
        <f>Data!BG109</f>
        <v>31</v>
      </c>
      <c r="L110" s="32">
        <f>Data!AC109</f>
        <v>353</v>
      </c>
      <c r="M110" s="32">
        <f>Data!BC109</f>
        <v>3428.7</v>
      </c>
      <c r="N110" s="32">
        <f>Data!BZ109</f>
        <v>0</v>
      </c>
      <c r="O110" s="32">
        <f t="shared" ca="1" si="98"/>
        <v>20732691.067599289</v>
      </c>
      <c r="P110" s="32">
        <f t="shared" ca="1" si="101"/>
        <v>19133693.805808101</v>
      </c>
      <c r="Q110" s="51">
        <f t="shared" ca="1" si="99"/>
        <v>-35989.114673819393</v>
      </c>
      <c r="R110" s="50">
        <f t="shared" ca="1" si="66"/>
        <v>1.7328551625797352E-3</v>
      </c>
      <c r="S110" s="41"/>
      <c r="T110" s="1"/>
      <c r="U110" s="1"/>
      <c r="V110" s="1"/>
    </row>
    <row r="111" spans="1:40" x14ac:dyDescent="0.2">
      <c r="A111" s="2">
        <v>43831</v>
      </c>
      <c r="B111">
        <f t="shared" si="62"/>
        <v>2020</v>
      </c>
      <c r="C111">
        <f t="shared" si="63"/>
        <v>1</v>
      </c>
      <c r="D111" s="56">
        <f>Data!J110</f>
        <v>20604412.97349399</v>
      </c>
      <c r="E111" s="56">
        <f>Data!K110</f>
        <v>1636084.1636250485</v>
      </c>
      <c r="F111" s="56">
        <f>Data!L110</f>
        <v>22240497.13711904</v>
      </c>
      <c r="G111" s="253">
        <f>Data!AV110</f>
        <v>357</v>
      </c>
      <c r="H111" s="253">
        <f>Data!AU110</f>
        <v>0</v>
      </c>
      <c r="I111" s="251">
        <f t="shared" ref="I111:J111" ca="1" si="112">I99</f>
        <v>439.5</v>
      </c>
      <c r="J111" s="251">
        <f t="shared" ca="1" si="112"/>
        <v>0</v>
      </c>
      <c r="K111" s="32">
        <f>Data!BG110</f>
        <v>31</v>
      </c>
      <c r="L111" s="32">
        <f>Data!AC110</f>
        <v>351</v>
      </c>
      <c r="M111" s="32">
        <f>Data!BC110</f>
        <v>3450.5</v>
      </c>
      <c r="N111" s="32">
        <f>Data!BZ110</f>
        <v>0</v>
      </c>
      <c r="O111" s="32">
        <f t="shared" ca="1" si="98"/>
        <v>22669558.114082936</v>
      </c>
      <c r="P111" s="32">
        <f t="shared" ca="1" si="101"/>
        <v>21033473.950457886</v>
      </c>
      <c r="Q111" s="51">
        <f t="shared" ca="1" si="99"/>
        <v>429060.9769638963</v>
      </c>
      <c r="R111" s="50">
        <f t="shared" ca="1" si="66"/>
        <v>1.9291878878363752E-2</v>
      </c>
      <c r="S111" s="41"/>
      <c r="AF111" s="39"/>
      <c r="AG111" s="39"/>
      <c r="AH111" s="39"/>
    </row>
    <row r="112" spans="1:40" x14ac:dyDescent="0.2">
      <c r="A112" s="2">
        <v>43862</v>
      </c>
      <c r="B112">
        <f t="shared" si="62"/>
        <v>2020</v>
      </c>
      <c r="C112">
        <f t="shared" si="63"/>
        <v>2</v>
      </c>
      <c r="D112" s="56">
        <f>Data!J111</f>
        <v>18719034.313253012</v>
      </c>
      <c r="E112" s="56">
        <f>Data!K111</f>
        <v>1636084.1636250485</v>
      </c>
      <c r="F112" s="56">
        <f>Data!L111</f>
        <v>20355118.476878062</v>
      </c>
      <c r="G112" s="253">
        <f>Data!AV111</f>
        <v>379.79999999999995</v>
      </c>
      <c r="H112" s="253">
        <f>Data!AU111</f>
        <v>0</v>
      </c>
      <c r="I112" s="251">
        <f t="shared" ref="I112:J112" ca="1" si="113">I100</f>
        <v>403.5</v>
      </c>
      <c r="J112" s="251">
        <f t="shared" ca="1" si="113"/>
        <v>0</v>
      </c>
      <c r="K112" s="32">
        <f>Data!BG111</f>
        <v>29</v>
      </c>
      <c r="L112" s="32">
        <f>Data!AC111</f>
        <v>352</v>
      </c>
      <c r="M112" s="32">
        <f>Data!BC111</f>
        <v>3456.6</v>
      </c>
      <c r="N112" s="32">
        <f>Data!BZ111</f>
        <v>0</v>
      </c>
      <c r="O112" s="32">
        <f t="shared" ca="1" si="98"/>
        <v>20478375.993896782</v>
      </c>
      <c r="P112" s="32">
        <f t="shared" ca="1" si="101"/>
        <v>18842291.830271736</v>
      </c>
      <c r="Q112" s="51">
        <f t="shared" ca="1" si="99"/>
        <v>123257.51701872051</v>
      </c>
      <c r="R112" s="50">
        <f t="shared" ca="1" si="66"/>
        <v>6.0553573863366163E-3</v>
      </c>
      <c r="S112" s="41"/>
    </row>
    <row r="113" spans="1:19" x14ac:dyDescent="0.2">
      <c r="A113" s="2">
        <v>43891</v>
      </c>
      <c r="B113">
        <f t="shared" si="62"/>
        <v>2020</v>
      </c>
      <c r="C113">
        <f t="shared" si="63"/>
        <v>3</v>
      </c>
      <c r="D113" s="56">
        <f>Data!J112</f>
        <v>18127337.445783131</v>
      </c>
      <c r="E113" s="56">
        <f>Data!K112</f>
        <v>1636084.1636250485</v>
      </c>
      <c r="F113" s="56">
        <f>Data!L112</f>
        <v>19763421.609408177</v>
      </c>
      <c r="G113" s="253">
        <f>Data!AV112</f>
        <v>214.70000000000005</v>
      </c>
      <c r="H113" s="253">
        <f>Data!AU112</f>
        <v>0.5</v>
      </c>
      <c r="I113" s="251">
        <f t="shared" ref="I113:J113" ca="1" si="114">I101</f>
        <v>291.06</v>
      </c>
      <c r="J113" s="251">
        <f t="shared" ca="1" si="114"/>
        <v>2.8099999999999996</v>
      </c>
      <c r="K113" s="32">
        <f>Data!BG112</f>
        <v>31</v>
      </c>
      <c r="L113" s="32">
        <f>Data!AC112</f>
        <v>352</v>
      </c>
      <c r="M113" s="32">
        <f>Data!BC112</f>
        <v>3387</v>
      </c>
      <c r="N113" s="254">
        <f>Data!BZ112</f>
        <v>0.5</v>
      </c>
      <c r="O113" s="32">
        <f t="shared" ca="1" si="98"/>
        <v>20175873.69859311</v>
      </c>
      <c r="P113" s="32">
        <f t="shared" ca="1" si="101"/>
        <v>18539789.534968063</v>
      </c>
      <c r="Q113" s="51">
        <f t="shared" ca="1" si="99"/>
        <v>412452.08918493241</v>
      </c>
      <c r="R113" s="50">
        <f t="shared" ca="1" si="66"/>
        <v>2.0869467713454475E-2</v>
      </c>
      <c r="S113" s="41"/>
    </row>
    <row r="114" spans="1:19" x14ac:dyDescent="0.2">
      <c r="A114" s="2">
        <v>43922</v>
      </c>
      <c r="B114">
        <f t="shared" si="62"/>
        <v>2020</v>
      </c>
      <c r="C114">
        <f t="shared" si="63"/>
        <v>4</v>
      </c>
      <c r="D114" s="56">
        <f>Data!J113</f>
        <v>15453046.390361452</v>
      </c>
      <c r="E114" s="56">
        <f>Data!K113</f>
        <v>1636084.1636250485</v>
      </c>
      <c r="F114" s="56">
        <f>Data!L113</f>
        <v>17089130.553986501</v>
      </c>
      <c r="G114" s="253">
        <f>Data!AV113</f>
        <v>125.50000000000001</v>
      </c>
      <c r="H114" s="253">
        <f>Data!AU113</f>
        <v>0</v>
      </c>
      <c r="I114" s="251">
        <f t="shared" ref="I114:J114" ca="1" si="115">I102</f>
        <v>120.71999999999998</v>
      </c>
      <c r="J114" s="251">
        <f t="shared" ca="1" si="115"/>
        <v>6.58</v>
      </c>
      <c r="K114" s="32">
        <f>Data!BG113</f>
        <v>30</v>
      </c>
      <c r="L114" s="32">
        <f>Data!AC113</f>
        <v>351</v>
      </c>
      <c r="M114" s="32">
        <f>Data!BC113</f>
        <v>3205.9</v>
      </c>
      <c r="N114" s="254">
        <f>Data!BZ113</f>
        <v>1</v>
      </c>
      <c r="O114" s="32">
        <f t="shared" ca="1" si="98"/>
        <v>17107920.206964403</v>
      </c>
      <c r="P114" s="32">
        <f t="shared" ca="1" si="101"/>
        <v>15471836.043339355</v>
      </c>
      <c r="Q114" s="51">
        <f t="shared" ca="1" si="99"/>
        <v>18789.652977902442</v>
      </c>
      <c r="R114" s="50">
        <f t="shared" ca="1" si="66"/>
        <v>1.0995090077019307E-3</v>
      </c>
      <c r="S114" s="41"/>
    </row>
    <row r="115" spans="1:19" x14ac:dyDescent="0.2">
      <c r="A115" s="2">
        <v>43952</v>
      </c>
      <c r="B115">
        <f t="shared" si="62"/>
        <v>2020</v>
      </c>
      <c r="C115">
        <f t="shared" si="63"/>
        <v>5</v>
      </c>
      <c r="D115" s="56">
        <f>Data!J114</f>
        <v>15454141.214457823</v>
      </c>
      <c r="E115" s="56">
        <f>Data!K114</f>
        <v>1636084.1636250485</v>
      </c>
      <c r="F115" s="56">
        <f>Data!L114</f>
        <v>17090225.378082871</v>
      </c>
      <c r="G115" s="253">
        <f>Data!AV114</f>
        <v>57.5</v>
      </c>
      <c r="H115" s="253">
        <f>Data!AU114</f>
        <v>84.300000000000011</v>
      </c>
      <c r="I115" s="251">
        <f t="shared" ref="I115:J115" ca="1" si="116">I103</f>
        <v>16.330000000000002</v>
      </c>
      <c r="J115" s="251">
        <f t="shared" ca="1" si="116"/>
        <v>107.25</v>
      </c>
      <c r="K115" s="32">
        <f>Data!BG114</f>
        <v>31</v>
      </c>
      <c r="L115" s="32">
        <f>Data!AC114</f>
        <v>353</v>
      </c>
      <c r="M115" s="32">
        <f>Data!BC114</f>
        <v>3004.2</v>
      </c>
      <c r="N115" s="254">
        <f>Data!BZ114</f>
        <v>1</v>
      </c>
      <c r="O115" s="32">
        <f t="shared" ca="1" si="98"/>
        <v>17028352.410351086</v>
      </c>
      <c r="P115" s="32">
        <f t="shared" ca="1" si="101"/>
        <v>15392268.246726038</v>
      </c>
      <c r="Q115" s="51">
        <f t="shared" ca="1" si="99"/>
        <v>-61872.967731785029</v>
      </c>
      <c r="R115" s="50">
        <f t="shared" ca="1" si="66"/>
        <v>3.6203716664341468E-3</v>
      </c>
      <c r="S115" s="41"/>
    </row>
    <row r="116" spans="1:19" x14ac:dyDescent="0.2">
      <c r="A116" s="2">
        <v>43983</v>
      </c>
      <c r="B116">
        <f t="shared" si="62"/>
        <v>2020</v>
      </c>
      <c r="C116">
        <f t="shared" si="63"/>
        <v>6</v>
      </c>
      <c r="D116" s="56">
        <f>Data!J115</f>
        <v>16762170.409638558</v>
      </c>
      <c r="E116" s="56">
        <f>Data!K115</f>
        <v>1636084.1636250485</v>
      </c>
      <c r="F116" s="56">
        <f>Data!L115</f>
        <v>18398254.573263608</v>
      </c>
      <c r="G116" s="253">
        <f>Data!AV115</f>
        <v>0</v>
      </c>
      <c r="H116" s="253">
        <f>Data!AU115</f>
        <v>253.90000000000003</v>
      </c>
      <c r="I116" s="251">
        <f t="shared" ref="I116:J116" ca="1" si="117">I104</f>
        <v>0</v>
      </c>
      <c r="J116" s="251">
        <f t="shared" ca="1" si="117"/>
        <v>230.10000000000005</v>
      </c>
      <c r="K116" s="32">
        <f>Data!BG115</f>
        <v>30</v>
      </c>
      <c r="L116" s="32">
        <f>Data!AC115</f>
        <v>349</v>
      </c>
      <c r="M116" s="32">
        <f>Data!BC115</f>
        <v>2937.8</v>
      </c>
      <c r="N116" s="254">
        <f>Data!BZ115</f>
        <v>0.5</v>
      </c>
      <c r="O116" s="32">
        <f t="shared" ca="1" si="98"/>
        <v>18240374.538989995</v>
      </c>
      <c r="P116" s="32">
        <f t="shared" ca="1" si="101"/>
        <v>16604290.375364946</v>
      </c>
      <c r="Q116" s="51">
        <f t="shared" ca="1" si="99"/>
        <v>-157880.03427361324</v>
      </c>
      <c r="R116" s="50">
        <f t="shared" ca="1" si="66"/>
        <v>8.581250664019234E-3</v>
      </c>
      <c r="S116" s="41"/>
    </row>
    <row r="117" spans="1:19" x14ac:dyDescent="0.2">
      <c r="A117" s="2">
        <v>44013</v>
      </c>
      <c r="B117">
        <f t="shared" si="62"/>
        <v>2020</v>
      </c>
      <c r="C117">
        <f t="shared" si="63"/>
        <v>7</v>
      </c>
      <c r="D117" s="56">
        <f>Data!J116</f>
        <v>18797709.561445773</v>
      </c>
      <c r="E117" s="56">
        <f>Data!K116</f>
        <v>1636084.1636250485</v>
      </c>
      <c r="F117" s="56">
        <f>Data!L116</f>
        <v>20433793.725070819</v>
      </c>
      <c r="G117" s="253">
        <f>Data!AV116</f>
        <v>0</v>
      </c>
      <c r="H117" s="253">
        <f>Data!AU116</f>
        <v>401.70000000000005</v>
      </c>
      <c r="I117" s="251">
        <f t="shared" ref="I117:J117" ca="1" si="118">I105</f>
        <v>0</v>
      </c>
      <c r="J117" s="251">
        <f t="shared" ca="1" si="118"/>
        <v>331.41</v>
      </c>
      <c r="K117" s="32">
        <f>Data!BG116</f>
        <v>31</v>
      </c>
      <c r="L117" s="32">
        <f>Data!AC116</f>
        <v>351</v>
      </c>
      <c r="M117" s="32">
        <f>Data!BC116</f>
        <v>2995.2</v>
      </c>
      <c r="N117" s="254">
        <f>Data!BZ116</f>
        <v>0.5</v>
      </c>
      <c r="O117" s="32">
        <f t="shared" ca="1" si="98"/>
        <v>19967516.934772819</v>
      </c>
      <c r="P117" s="32">
        <f t="shared" ca="1" si="101"/>
        <v>18331432.771147773</v>
      </c>
      <c r="Q117" s="51">
        <f t="shared" ca="1" si="99"/>
        <v>-466276.79029799998</v>
      </c>
      <c r="R117" s="50">
        <f t="shared" ca="1" si="66"/>
        <v>2.2818904632765837E-2</v>
      </c>
      <c r="S117" s="41"/>
    </row>
    <row r="118" spans="1:19" x14ac:dyDescent="0.2">
      <c r="A118" s="2">
        <v>44044</v>
      </c>
      <c r="B118">
        <f t="shared" si="62"/>
        <v>2020</v>
      </c>
      <c r="C118">
        <f t="shared" si="63"/>
        <v>8</v>
      </c>
      <c r="D118" s="56">
        <f>Data!J117</f>
        <v>17872126.101204827</v>
      </c>
      <c r="E118" s="56">
        <f>Data!K117</f>
        <v>1636084.1636250485</v>
      </c>
      <c r="F118" s="56">
        <f>Data!L117</f>
        <v>19508210.264829874</v>
      </c>
      <c r="G118" s="253">
        <f>Data!AV117</f>
        <v>0</v>
      </c>
      <c r="H118" s="253">
        <f>Data!AU117</f>
        <v>311.89999999999998</v>
      </c>
      <c r="I118" s="251">
        <f t="shared" ref="I118:J118" ca="1" si="119">I106</f>
        <v>0</v>
      </c>
      <c r="J118" s="251">
        <f t="shared" ca="1" si="119"/>
        <v>304.46000000000004</v>
      </c>
      <c r="K118" s="32">
        <f>Data!BG117</f>
        <v>31</v>
      </c>
      <c r="L118" s="32">
        <f>Data!AC117</f>
        <v>353</v>
      </c>
      <c r="M118" s="32">
        <f>Data!BC117</f>
        <v>3117.5</v>
      </c>
      <c r="N118" s="254">
        <f>Data!BZ117</f>
        <v>0.5</v>
      </c>
      <c r="O118" s="32">
        <f t="shared" ca="1" si="98"/>
        <v>19458856.170082156</v>
      </c>
      <c r="P118" s="32">
        <f t="shared" ca="1" si="101"/>
        <v>17822772.006457105</v>
      </c>
      <c r="Q118" s="51">
        <f t="shared" ca="1" si="99"/>
        <v>-49354.094747718424</v>
      </c>
      <c r="R118" s="50">
        <f t="shared" ca="1" si="66"/>
        <v>2.5299140247988725E-3</v>
      </c>
      <c r="S118" s="41"/>
    </row>
    <row r="119" spans="1:19" x14ac:dyDescent="0.2">
      <c r="A119" s="2">
        <v>44075</v>
      </c>
      <c r="B119">
        <f t="shared" si="62"/>
        <v>2020</v>
      </c>
      <c r="C119">
        <f t="shared" si="63"/>
        <v>9</v>
      </c>
      <c r="D119" s="56">
        <f>Data!J118</f>
        <v>16777886.004819278</v>
      </c>
      <c r="E119" s="56">
        <f>Data!K118</f>
        <v>1636084.1636250485</v>
      </c>
      <c r="F119" s="56">
        <f>Data!L118</f>
        <v>18413970.168444328</v>
      </c>
      <c r="G119" s="253">
        <f>Data!AV118</f>
        <v>1.1999999999999993</v>
      </c>
      <c r="H119" s="253">
        <f>Data!AU118</f>
        <v>148.99999999999997</v>
      </c>
      <c r="I119" s="251">
        <f t="shared" ref="I119:J119" ca="1" si="120">I107</f>
        <v>0.24999999999999983</v>
      </c>
      <c r="J119" s="251">
        <f t="shared" ca="1" si="120"/>
        <v>176.51</v>
      </c>
      <c r="K119" s="32">
        <f>Data!BG118</f>
        <v>30</v>
      </c>
      <c r="L119" s="32">
        <f>Data!AC118</f>
        <v>353</v>
      </c>
      <c r="M119" s="32">
        <f>Data!BC118</f>
        <v>3214</v>
      </c>
      <c r="N119" s="254">
        <f>Data!BZ118</f>
        <v>0.5</v>
      </c>
      <c r="O119" s="32">
        <f t="shared" ca="1" si="98"/>
        <v>18591520.211783972</v>
      </c>
      <c r="P119" s="32">
        <f t="shared" ca="1" si="101"/>
        <v>16955436.048158921</v>
      </c>
      <c r="Q119" s="51">
        <f t="shared" ca="1" si="99"/>
        <v>177550.04333964363</v>
      </c>
      <c r="R119" s="50">
        <f t="shared" ca="1" si="66"/>
        <v>9.6421381003379582E-3</v>
      </c>
      <c r="S119" s="41"/>
    </row>
    <row r="120" spans="1:19" x14ac:dyDescent="0.2">
      <c r="A120" s="2">
        <v>44105</v>
      </c>
      <c r="B120">
        <f t="shared" si="62"/>
        <v>2020</v>
      </c>
      <c r="C120">
        <f t="shared" si="63"/>
        <v>10</v>
      </c>
      <c r="D120" s="56">
        <f>Data!J119</f>
        <v>16717313.840963854</v>
      </c>
      <c r="E120" s="56">
        <f>Data!K119</f>
        <v>1636084.1636250485</v>
      </c>
      <c r="F120" s="56">
        <f>Data!L119</f>
        <v>18353398.004588902</v>
      </c>
      <c r="G120" s="253">
        <f>Data!AV119</f>
        <v>60.7</v>
      </c>
      <c r="H120" s="253">
        <f>Data!AU119</f>
        <v>14.599999999999998</v>
      </c>
      <c r="I120" s="251">
        <f t="shared" ref="I120:J120" ca="1" si="121">I108</f>
        <v>44.309999999999995</v>
      </c>
      <c r="J120" s="251">
        <f t="shared" ca="1" si="121"/>
        <v>43.36</v>
      </c>
      <c r="K120" s="32">
        <f>Data!BG119</f>
        <v>31</v>
      </c>
      <c r="L120" s="32">
        <f>Data!AC119</f>
        <v>353</v>
      </c>
      <c r="M120" s="32">
        <f>Data!BC119</f>
        <v>3300.1</v>
      </c>
      <c r="N120" s="254">
        <f>Data!BZ119</f>
        <v>0.5</v>
      </c>
      <c r="O120" s="32">
        <f t="shared" ca="1" si="98"/>
        <v>18458940.65460417</v>
      </c>
      <c r="P120" s="32">
        <f t="shared" ca="1" si="101"/>
        <v>16822856.49097912</v>
      </c>
      <c r="Q120" s="51">
        <f t="shared" ca="1" si="99"/>
        <v>105542.65001526847</v>
      </c>
      <c r="R120" s="50">
        <f t="shared" ca="1" si="66"/>
        <v>5.7505781757078243E-3</v>
      </c>
      <c r="S120" s="41"/>
    </row>
    <row r="121" spans="1:19" x14ac:dyDescent="0.2">
      <c r="A121" s="2">
        <v>44136</v>
      </c>
      <c r="B121">
        <f t="shared" si="62"/>
        <v>2020</v>
      </c>
      <c r="C121">
        <f t="shared" si="63"/>
        <v>11</v>
      </c>
      <c r="D121" s="56">
        <f>Data!J120</f>
        <v>16714084.106024083</v>
      </c>
      <c r="E121" s="56">
        <f>Data!K120</f>
        <v>1636084.1636250485</v>
      </c>
      <c r="F121" s="56">
        <f>Data!L120</f>
        <v>18350168.269649133</v>
      </c>
      <c r="G121" s="253">
        <f>Data!AV120</f>
        <v>127.39999999999999</v>
      </c>
      <c r="H121" s="253">
        <f>Data!AU120</f>
        <v>16</v>
      </c>
      <c r="I121" s="251">
        <f t="shared" ref="I121:J121" ca="1" si="122">I109</f>
        <v>193.95999999999998</v>
      </c>
      <c r="J121" s="251">
        <f t="shared" ca="1" si="122"/>
        <v>2.7399999999999998</v>
      </c>
      <c r="K121" s="32">
        <f>Data!BG120</f>
        <v>30</v>
      </c>
      <c r="L121" s="32">
        <f>Data!AC120</f>
        <v>357</v>
      </c>
      <c r="M121" s="32">
        <f>Data!BC120</f>
        <v>3351.5</v>
      </c>
      <c r="N121" s="254">
        <f>Data!BZ120</f>
        <v>0.5</v>
      </c>
      <c r="O121" s="32">
        <f t="shared" ca="1" si="98"/>
        <v>18608367.731743474</v>
      </c>
      <c r="P121" s="32">
        <f t="shared" ca="1" si="101"/>
        <v>16972283.568118423</v>
      </c>
      <c r="Q121" s="51">
        <f t="shared" ca="1" si="99"/>
        <v>258199.46209434047</v>
      </c>
      <c r="R121" s="50">
        <f t="shared" ca="1" si="66"/>
        <v>1.4070686344680446E-2</v>
      </c>
      <c r="S121" s="41"/>
    </row>
    <row r="122" spans="1:19" x14ac:dyDescent="0.2">
      <c r="A122" s="2">
        <v>44166</v>
      </c>
      <c r="B122">
        <f t="shared" si="62"/>
        <v>2020</v>
      </c>
      <c r="C122">
        <f t="shared" si="63"/>
        <v>12</v>
      </c>
      <c r="D122" s="56">
        <f>Data!J121</f>
        <v>17734017.175903622</v>
      </c>
      <c r="E122" s="56">
        <f>Data!K121</f>
        <v>1636084.1636250485</v>
      </c>
      <c r="F122" s="56">
        <f>Data!L121</f>
        <v>19370101.339528672</v>
      </c>
      <c r="G122" s="253">
        <f>Data!AV121</f>
        <v>319.30000000000007</v>
      </c>
      <c r="H122" s="253">
        <f>Data!AU121</f>
        <v>0</v>
      </c>
      <c r="I122" s="251">
        <f t="shared" ref="I122:J122" ca="1" si="123">I110</f>
        <v>327.48000000000008</v>
      </c>
      <c r="J122" s="251">
        <f t="shared" ca="1" si="123"/>
        <v>0</v>
      </c>
      <c r="K122" s="32">
        <f>Data!BG121</f>
        <v>31</v>
      </c>
      <c r="L122" s="32">
        <f>Data!AC121</f>
        <v>358</v>
      </c>
      <c r="M122" s="32">
        <f>Data!BC121</f>
        <v>3348.3</v>
      </c>
      <c r="N122" s="254">
        <f>Data!BZ121</f>
        <v>0.5</v>
      </c>
      <c r="O122" s="32">
        <f t="shared" ca="1" si="98"/>
        <v>19412643.385487031</v>
      </c>
      <c r="P122" s="32">
        <f t="shared" ca="1" si="101"/>
        <v>17776559.221861981</v>
      </c>
      <c r="Q122" s="51">
        <f t="shared" ca="1" si="99"/>
        <v>42542.045958358794</v>
      </c>
      <c r="R122" s="50">
        <f t="shared" ca="1" si="66"/>
        <v>2.196273793960128E-3</v>
      </c>
      <c r="S122" s="41"/>
    </row>
    <row r="123" spans="1:19" x14ac:dyDescent="0.2">
      <c r="A123" s="2">
        <v>44197</v>
      </c>
      <c r="B123">
        <f t="shared" si="62"/>
        <v>2021</v>
      </c>
      <c r="C123">
        <f t="shared" si="63"/>
        <v>1</v>
      </c>
      <c r="D123" s="56">
        <f>Data!J122</f>
        <v>19055053.03132531</v>
      </c>
      <c r="E123" s="56">
        <f>Data!K122</f>
        <v>1631076.9652312491</v>
      </c>
      <c r="F123" s="56">
        <f>Data!L122</f>
        <v>20686129.996556558</v>
      </c>
      <c r="G123" s="253">
        <f>Data!AV122</f>
        <v>392</v>
      </c>
      <c r="H123" s="253">
        <f>Data!AU122</f>
        <v>0</v>
      </c>
      <c r="I123" s="251">
        <f t="shared" ref="I123:J123" ca="1" si="124">I111</f>
        <v>439.5</v>
      </c>
      <c r="J123" s="251">
        <f t="shared" ca="1" si="124"/>
        <v>0</v>
      </c>
      <c r="K123" s="32">
        <f>Data!BG122</f>
        <v>31</v>
      </c>
      <c r="L123" s="32">
        <f>Data!AC122</f>
        <v>359</v>
      </c>
      <c r="M123" s="32">
        <f>Data!BC122</f>
        <v>3310.5</v>
      </c>
      <c r="N123" s="254">
        <f>Data!BZ122</f>
        <v>0.5</v>
      </c>
      <c r="O123" s="32">
        <f t="shared" ca="1" si="98"/>
        <v>20933165.104505468</v>
      </c>
      <c r="P123" s="32">
        <f t="shared" ca="1" si="101"/>
        <v>19302088.139274217</v>
      </c>
      <c r="Q123" s="51">
        <f t="shared" ca="1" si="99"/>
        <v>247035.10794891044</v>
      </c>
      <c r="R123" s="50">
        <f t="shared" ca="1" si="66"/>
        <v>1.1942064948351009E-2</v>
      </c>
    </row>
    <row r="124" spans="1:19" x14ac:dyDescent="0.2">
      <c r="A124" s="2">
        <v>44228</v>
      </c>
      <c r="B124">
        <f t="shared" si="62"/>
        <v>2021</v>
      </c>
      <c r="C124">
        <f t="shared" si="63"/>
        <v>2</v>
      </c>
      <c r="D124" s="56">
        <f>Data!J123</f>
        <v>17768826.322891563</v>
      </c>
      <c r="E124" s="56">
        <f>Data!K123</f>
        <v>1631076.9652312491</v>
      </c>
      <c r="F124" s="56">
        <f>Data!L123</f>
        <v>19399903.28812281</v>
      </c>
      <c r="G124" s="253">
        <f>Data!AV123</f>
        <v>429.7</v>
      </c>
      <c r="H124" s="253">
        <f>Data!AU123</f>
        <v>0</v>
      </c>
      <c r="I124" s="251">
        <f t="shared" ref="I124:J124" ca="1" si="125">I112</f>
        <v>403.5</v>
      </c>
      <c r="J124" s="251">
        <f t="shared" ca="1" si="125"/>
        <v>0</v>
      </c>
      <c r="K124" s="32">
        <f>Data!BG123</f>
        <v>28</v>
      </c>
      <c r="L124" s="32">
        <f>Data!AC123</f>
        <v>359</v>
      </c>
      <c r="M124" s="32">
        <f>Data!BC123</f>
        <v>3272.2</v>
      </c>
      <c r="N124" s="254">
        <f>Data!BZ123</f>
        <v>0.5</v>
      </c>
      <c r="O124" s="32">
        <f t="shared" ca="1" si="98"/>
        <v>19263643.923317306</v>
      </c>
      <c r="P124" s="32">
        <f t="shared" ca="1" si="101"/>
        <v>17632566.958086058</v>
      </c>
      <c r="Q124" s="51">
        <f t="shared" ca="1" si="99"/>
        <v>-136259.36480550468</v>
      </c>
      <c r="R124" s="50">
        <f t="shared" ca="1" si="66"/>
        <v>7.0237136124759268E-3</v>
      </c>
    </row>
    <row r="125" spans="1:19" x14ac:dyDescent="0.2">
      <c r="A125" s="2">
        <v>44256</v>
      </c>
      <c r="B125">
        <f t="shared" si="62"/>
        <v>2021</v>
      </c>
      <c r="C125">
        <f t="shared" si="63"/>
        <v>3</v>
      </c>
      <c r="D125" s="56">
        <f>Data!J124</f>
        <v>17829411.836144578</v>
      </c>
      <c r="E125" s="56">
        <f>Data!K124</f>
        <v>1631076.9652312491</v>
      </c>
      <c r="F125" s="56">
        <f>Data!L124</f>
        <v>19460488.801375829</v>
      </c>
      <c r="G125" s="253">
        <f>Data!AV124</f>
        <v>222.10000000000002</v>
      </c>
      <c r="H125" s="253">
        <f>Data!AU124</f>
        <v>3</v>
      </c>
      <c r="I125" s="251">
        <f t="shared" ref="I125:J125" ca="1" si="126">I113</f>
        <v>291.06</v>
      </c>
      <c r="J125" s="251">
        <f t="shared" ca="1" si="126"/>
        <v>2.8099999999999996</v>
      </c>
      <c r="K125" s="32">
        <f>Data!BG124</f>
        <v>31</v>
      </c>
      <c r="L125" s="32">
        <f>Data!AC124</f>
        <v>359</v>
      </c>
      <c r="M125" s="32">
        <f>Data!BC124</f>
        <v>3271.6</v>
      </c>
      <c r="N125" s="254">
        <f>Data!BZ124</f>
        <v>0.5</v>
      </c>
      <c r="O125" s="32">
        <f t="shared" ca="1" si="98"/>
        <v>19817871.383898262</v>
      </c>
      <c r="P125" s="32">
        <f t="shared" ca="1" si="101"/>
        <v>18186794.418667011</v>
      </c>
      <c r="Q125" s="51">
        <f t="shared" ca="1" si="99"/>
        <v>357382.58252243325</v>
      </c>
      <c r="R125" s="50">
        <f t="shared" ca="1" si="66"/>
        <v>1.8364522400751149E-2</v>
      </c>
    </row>
    <row r="126" spans="1:19" x14ac:dyDescent="0.2">
      <c r="A126" s="2">
        <v>44287</v>
      </c>
      <c r="B126">
        <f t="shared" si="62"/>
        <v>2021</v>
      </c>
      <c r="C126">
        <f t="shared" si="63"/>
        <v>4</v>
      </c>
      <c r="D126" s="56">
        <f>Data!J125</f>
        <v>16123617.619277105</v>
      </c>
      <c r="E126" s="56">
        <f>Data!K125</f>
        <v>1631076.9652312491</v>
      </c>
      <c r="F126" s="56">
        <f>Data!L125</f>
        <v>17754694.584508352</v>
      </c>
      <c r="G126" s="253">
        <f>Data!AV125</f>
        <v>87.600000000000023</v>
      </c>
      <c r="H126" s="253">
        <f>Data!AU125</f>
        <v>11.9</v>
      </c>
      <c r="I126" s="251">
        <f t="shared" ref="I126:J126" ca="1" si="127">I114</f>
        <v>120.71999999999998</v>
      </c>
      <c r="J126" s="251">
        <f t="shared" ca="1" si="127"/>
        <v>6.58</v>
      </c>
      <c r="K126" s="32">
        <f>Data!BG125</f>
        <v>30</v>
      </c>
      <c r="L126" s="32">
        <f>Data!AC125</f>
        <v>359</v>
      </c>
      <c r="M126" s="32">
        <f>Data!BC125</f>
        <v>3276.5</v>
      </c>
      <c r="N126" s="254">
        <f>Data!BZ125</f>
        <v>0.5</v>
      </c>
      <c r="O126" s="32">
        <f t="shared" ca="1" si="98"/>
        <v>17891652.232797105</v>
      </c>
      <c r="P126" s="32">
        <f t="shared" ca="1" si="101"/>
        <v>16260575.267565856</v>
      </c>
      <c r="Q126" s="51">
        <f t="shared" ca="1" si="99"/>
        <v>136957.64828875288</v>
      </c>
      <c r="R126" s="50">
        <f t="shared" ca="1" si="66"/>
        <v>7.7138836512712335E-3</v>
      </c>
    </row>
    <row r="127" spans="1:19" x14ac:dyDescent="0.2">
      <c r="A127" s="2">
        <v>44317</v>
      </c>
      <c r="B127">
        <f t="shared" si="62"/>
        <v>2021</v>
      </c>
      <c r="C127">
        <f t="shared" si="63"/>
        <v>5</v>
      </c>
      <c r="D127" s="56">
        <f>Data!J126</f>
        <v>16293057.002409624</v>
      </c>
      <c r="E127" s="56">
        <f>Data!K126</f>
        <v>1631076.9652312491</v>
      </c>
      <c r="F127" s="56">
        <f>Data!L126</f>
        <v>17924133.967640873</v>
      </c>
      <c r="G127" s="253">
        <f>Data!AV126</f>
        <v>25.399999999999995</v>
      </c>
      <c r="H127" s="253">
        <f>Data!AU126</f>
        <v>99.40000000000002</v>
      </c>
      <c r="I127" s="251">
        <f t="shared" ref="I127:J127" ca="1" si="128">I115</f>
        <v>16.330000000000002</v>
      </c>
      <c r="J127" s="251">
        <f t="shared" ca="1" si="128"/>
        <v>107.25</v>
      </c>
      <c r="K127" s="32">
        <f>Data!BG126</f>
        <v>31</v>
      </c>
      <c r="L127" s="32">
        <f>Data!AC126</f>
        <v>359</v>
      </c>
      <c r="M127" s="32">
        <f>Data!BC126</f>
        <v>3278.1</v>
      </c>
      <c r="N127" s="254">
        <f>Data!BZ126</f>
        <v>0.5</v>
      </c>
      <c r="O127" s="32">
        <f t="shared" ca="1" si="98"/>
        <v>17929037.140721168</v>
      </c>
      <c r="P127" s="32">
        <f t="shared" ca="1" si="101"/>
        <v>16297960.175489919</v>
      </c>
      <c r="Q127" s="51">
        <f t="shared" ca="1" si="99"/>
        <v>4903.1730802953243</v>
      </c>
      <c r="R127" s="50">
        <f t="shared" ca="1" si="66"/>
        <v>2.7355146358240854E-4</v>
      </c>
    </row>
    <row r="128" spans="1:19" x14ac:dyDescent="0.2">
      <c r="A128" s="2">
        <v>44348</v>
      </c>
      <c r="B128">
        <f t="shared" ref="B128:B134" si="129">YEAR(A128)</f>
        <v>2021</v>
      </c>
      <c r="C128">
        <f t="shared" ref="C128:C134" si="130">MONTH(A128)</f>
        <v>6</v>
      </c>
      <c r="D128" s="56">
        <f>Data!J127</f>
        <v>17880539.209638555</v>
      </c>
      <c r="E128" s="56">
        <f>Data!K127</f>
        <v>1631076.9652312491</v>
      </c>
      <c r="F128" s="56">
        <f>Data!L127</f>
        <v>19511616.174869806</v>
      </c>
      <c r="G128" s="253">
        <f>Data!AV127</f>
        <v>0</v>
      </c>
      <c r="H128" s="253">
        <f>Data!AU127</f>
        <v>295.00000000000006</v>
      </c>
      <c r="I128" s="251">
        <f t="shared" ref="I128:J128" ca="1" si="131">I116</f>
        <v>0</v>
      </c>
      <c r="J128" s="251">
        <f t="shared" ca="1" si="131"/>
        <v>230.10000000000005</v>
      </c>
      <c r="K128" s="32">
        <f>Data!BG127</f>
        <v>30</v>
      </c>
      <c r="L128" s="32">
        <f>Data!AC127</f>
        <v>360</v>
      </c>
      <c r="M128" s="32">
        <f>Data!BC127</f>
        <v>3288.5</v>
      </c>
      <c r="N128" s="254">
        <f>Data!BZ127</f>
        <v>0.5</v>
      </c>
      <c r="O128" s="32">
        <f t="shared" ca="1" si="98"/>
        <v>19081094.568804361</v>
      </c>
      <c r="P128" s="32">
        <f t="shared" ref="P128:P134" ca="1" si="132">O128-E128</f>
        <v>17450017.603573114</v>
      </c>
      <c r="Q128" s="51">
        <f t="shared" ref="Q128:Q134" ca="1" si="133">+O128-F128</f>
        <v>-430521.60606544465</v>
      </c>
      <c r="R128" s="50">
        <f t="shared" ref="R128:R134" ca="1" si="134">ABS(Q128/F128)</f>
        <v>2.206488699895294E-2</v>
      </c>
    </row>
    <row r="129" spans="1:20" x14ac:dyDescent="0.2">
      <c r="A129" s="2">
        <v>44378</v>
      </c>
      <c r="B129">
        <f t="shared" si="129"/>
        <v>2021</v>
      </c>
      <c r="C129">
        <f t="shared" si="130"/>
        <v>7</v>
      </c>
      <c r="D129" s="56">
        <f>Data!J128</f>
        <v>18099821.706024084</v>
      </c>
      <c r="E129" s="56">
        <f>Data!K128</f>
        <v>1631076.9652312491</v>
      </c>
      <c r="F129" s="56">
        <f>Data!L128</f>
        <v>19730898.671255335</v>
      </c>
      <c r="G129" s="253">
        <f>Data!AV128</f>
        <v>0</v>
      </c>
      <c r="H129" s="253">
        <f>Data!AU128</f>
        <v>290.3</v>
      </c>
      <c r="I129" s="251">
        <f t="shared" ref="I129:J129" ca="1" si="135">I117</f>
        <v>0</v>
      </c>
      <c r="J129" s="251">
        <f t="shared" ca="1" si="135"/>
        <v>331.41</v>
      </c>
      <c r="K129" s="32">
        <f>Data!BG128</f>
        <v>31</v>
      </c>
      <c r="L129" s="32">
        <f>Data!AC128</f>
        <v>360</v>
      </c>
      <c r="M129" s="32">
        <f>Data!BC128</f>
        <v>3332.9</v>
      </c>
      <c r="N129" s="254">
        <f>Data!BZ128</f>
        <v>0.5</v>
      </c>
      <c r="O129" s="32">
        <f t="shared" ca="1" si="98"/>
        <v>20003606.579196021</v>
      </c>
      <c r="P129" s="32">
        <f t="shared" ca="1" si="132"/>
        <v>18372529.613964774</v>
      </c>
      <c r="Q129" s="51">
        <f t="shared" ca="1" si="133"/>
        <v>272707.90794068575</v>
      </c>
      <c r="R129" s="50">
        <f t="shared" ca="1" si="134"/>
        <v>1.3821362751103485E-2</v>
      </c>
    </row>
    <row r="130" spans="1:20" x14ac:dyDescent="0.2">
      <c r="A130" s="2">
        <v>44409</v>
      </c>
      <c r="B130">
        <f t="shared" si="129"/>
        <v>2021</v>
      </c>
      <c r="C130">
        <f t="shared" si="130"/>
        <v>8</v>
      </c>
      <c r="D130" s="56">
        <f>Data!J129</f>
        <v>19993946.689156614</v>
      </c>
      <c r="E130" s="56">
        <f>Data!K129</f>
        <v>1631076.9652312491</v>
      </c>
      <c r="F130" s="56">
        <f>Data!L129</f>
        <v>21625023.654387861</v>
      </c>
      <c r="G130" s="253">
        <f>Data!AV129</f>
        <v>0</v>
      </c>
      <c r="H130" s="253">
        <f>Data!AU129</f>
        <v>365.40000000000003</v>
      </c>
      <c r="I130" s="251">
        <f t="shared" ref="I130:J130" ca="1" si="136">I118</f>
        <v>0</v>
      </c>
      <c r="J130" s="251">
        <f t="shared" ca="1" si="136"/>
        <v>304.46000000000004</v>
      </c>
      <c r="K130" s="32">
        <f>Data!BG129</f>
        <v>31</v>
      </c>
      <c r="L130" s="32">
        <f>Data!AC129</f>
        <v>331</v>
      </c>
      <c r="M130" s="32">
        <f>Data!BC129</f>
        <v>3403.5</v>
      </c>
      <c r="N130" s="254">
        <f>Data!BZ129</f>
        <v>0.5</v>
      </c>
      <c r="O130" s="32">
        <f t="shared" ca="1" si="98"/>
        <v>21220771.163268782</v>
      </c>
      <c r="P130" s="32">
        <f t="shared" ca="1" si="132"/>
        <v>19589694.198037535</v>
      </c>
      <c r="Q130" s="51">
        <f t="shared" ca="1" si="133"/>
        <v>-404252.49111907929</v>
      </c>
      <c r="R130" s="50">
        <f t="shared" ca="1" si="134"/>
        <v>1.8693736366713929E-2</v>
      </c>
    </row>
    <row r="131" spans="1:20" x14ac:dyDescent="0.2">
      <c r="A131" s="2">
        <v>44440</v>
      </c>
      <c r="B131">
        <f t="shared" si="129"/>
        <v>2021</v>
      </c>
      <c r="C131">
        <f t="shared" si="130"/>
        <v>9</v>
      </c>
      <c r="D131" s="56">
        <f>Data!J130</f>
        <v>17725189.908433735</v>
      </c>
      <c r="E131" s="56">
        <f>Data!K130</f>
        <v>1631076.9652312491</v>
      </c>
      <c r="F131" s="56">
        <f>Data!L130</f>
        <v>19356266.873664983</v>
      </c>
      <c r="G131" s="253">
        <f>Data!AV130</f>
        <v>0</v>
      </c>
      <c r="H131" s="253">
        <f>Data!AU130</f>
        <v>169.29999999999998</v>
      </c>
      <c r="I131" s="251">
        <f t="shared" ref="I131:J131" ca="1" si="137">I119</f>
        <v>0.24999999999999983</v>
      </c>
      <c r="J131" s="251">
        <f t="shared" ca="1" si="137"/>
        <v>176.51</v>
      </c>
      <c r="K131" s="32">
        <f>Data!BG130</f>
        <v>30</v>
      </c>
      <c r="L131" s="32">
        <f>Data!AC130</f>
        <v>320</v>
      </c>
      <c r="M131" s="32">
        <f>Data!BC130</f>
        <v>3457.1</v>
      </c>
      <c r="N131" s="254">
        <f>Data!BZ130</f>
        <v>0.5</v>
      </c>
      <c r="O131" s="32">
        <f t="shared" ca="1" si="98"/>
        <v>19405395.421767727</v>
      </c>
      <c r="P131" s="32">
        <f t="shared" ca="1" si="132"/>
        <v>17774318.456536479</v>
      </c>
      <c r="Q131" s="51">
        <f t="shared" ca="1" si="133"/>
        <v>49128.548102743924</v>
      </c>
      <c r="R131" s="50">
        <f t="shared" ca="1" si="134"/>
        <v>2.5381210345671243E-3</v>
      </c>
    </row>
    <row r="132" spans="1:20" x14ac:dyDescent="0.2">
      <c r="A132" s="2">
        <v>44470</v>
      </c>
      <c r="B132">
        <f t="shared" si="129"/>
        <v>2021</v>
      </c>
      <c r="C132">
        <f t="shared" si="130"/>
        <v>10</v>
      </c>
      <c r="D132" s="56">
        <f>Data!J131</f>
        <v>17543608.713253014</v>
      </c>
      <c r="E132" s="56">
        <f>Data!K131</f>
        <v>1631076.9652312491</v>
      </c>
      <c r="F132" s="56">
        <f>Data!L131</f>
        <v>19174685.678484261</v>
      </c>
      <c r="G132" s="253">
        <f>Data!AV131</f>
        <v>20.499999999999996</v>
      </c>
      <c r="H132" s="253">
        <f>Data!AU131</f>
        <v>86.499999999999986</v>
      </c>
      <c r="I132" s="251">
        <f t="shared" ref="I132:J132" ca="1" si="138">I120</f>
        <v>44.309999999999995</v>
      </c>
      <c r="J132" s="251">
        <f t="shared" ca="1" si="138"/>
        <v>43.36</v>
      </c>
      <c r="K132" s="32">
        <f>Data!BG131</f>
        <v>31</v>
      </c>
      <c r="L132" s="32">
        <f>Data!AC131</f>
        <v>320</v>
      </c>
      <c r="M132" s="32">
        <f>Data!BC131</f>
        <v>3499.8</v>
      </c>
      <c r="N132" s="254">
        <f>Data!BZ131</f>
        <v>0.5</v>
      </c>
      <c r="O132" s="32">
        <f t="shared" ca="1" si="98"/>
        <v>19012341.130647458</v>
      </c>
      <c r="P132" s="32">
        <f t="shared" ca="1" si="132"/>
        <v>17381264.165416211</v>
      </c>
      <c r="Q132" s="51">
        <f t="shared" ca="1" si="133"/>
        <v>-162344.5478368029</v>
      </c>
      <c r="R132" s="50">
        <f t="shared" ca="1" si="134"/>
        <v>8.466608035143347E-3</v>
      </c>
    </row>
    <row r="133" spans="1:20" x14ac:dyDescent="0.2">
      <c r="A133" s="2">
        <v>44501</v>
      </c>
      <c r="B133">
        <f t="shared" si="129"/>
        <v>2021</v>
      </c>
      <c r="C133">
        <f t="shared" si="130"/>
        <v>11</v>
      </c>
      <c r="D133" s="56">
        <f>Data!J132</f>
        <v>17668488.221686747</v>
      </c>
      <c r="E133" s="56">
        <f>Data!K132</f>
        <v>1631076.9652312491</v>
      </c>
      <c r="F133" s="56">
        <f>Data!L132</f>
        <v>19299565.186917998</v>
      </c>
      <c r="G133" s="253">
        <f>Data!AV132</f>
        <v>175.30000000000004</v>
      </c>
      <c r="H133" s="253">
        <f>Data!AU132</f>
        <v>0</v>
      </c>
      <c r="I133" s="251">
        <f t="shared" ref="I133:J133" ca="1" si="139">I121</f>
        <v>193.95999999999998</v>
      </c>
      <c r="J133" s="251">
        <f t="shared" ca="1" si="139"/>
        <v>2.7399999999999998</v>
      </c>
      <c r="K133" s="32">
        <f>Data!BG132</f>
        <v>30</v>
      </c>
      <c r="L133" s="32">
        <f>Data!AC132</f>
        <v>322</v>
      </c>
      <c r="M133" s="32">
        <f>Data!BC132</f>
        <v>3513.1</v>
      </c>
      <c r="N133" s="254">
        <f>Data!BZ132</f>
        <v>0.5</v>
      </c>
      <c r="O133" s="32">
        <f t="shared" ca="1" si="98"/>
        <v>19414787.083584677</v>
      </c>
      <c r="P133" s="32">
        <f t="shared" ca="1" si="132"/>
        <v>17783710.118353426</v>
      </c>
      <c r="Q133" s="51">
        <f t="shared" ca="1" si="133"/>
        <v>115221.89666667953</v>
      </c>
      <c r="R133" s="50">
        <f t="shared" ca="1" si="134"/>
        <v>5.9701809626665292E-3</v>
      </c>
    </row>
    <row r="134" spans="1:20" x14ac:dyDescent="0.2">
      <c r="A134" s="2">
        <v>44531</v>
      </c>
      <c r="B134">
        <f t="shared" si="129"/>
        <v>2021</v>
      </c>
      <c r="C134">
        <f t="shared" si="130"/>
        <v>12</v>
      </c>
      <c r="D134" s="56">
        <f>Data!J133</f>
        <v>18227991.315662645</v>
      </c>
      <c r="E134" s="56">
        <f>Data!K133</f>
        <v>1631076.9652312491</v>
      </c>
      <c r="F134" s="56">
        <f>Data!L133</f>
        <v>19859068.280893892</v>
      </c>
      <c r="G134" s="253">
        <f>Data!AV133</f>
        <v>257.8</v>
      </c>
      <c r="H134" s="253">
        <f>Data!AU133</f>
        <v>0</v>
      </c>
      <c r="I134" s="251">
        <f t="shared" ref="I134:J134" ca="1" si="140">I122</f>
        <v>327.48000000000008</v>
      </c>
      <c r="J134" s="251">
        <f t="shared" ca="1" si="140"/>
        <v>0</v>
      </c>
      <c r="K134" s="32">
        <f>Data!BG133</f>
        <v>31</v>
      </c>
      <c r="L134" s="32">
        <f>Data!AC133</f>
        <v>327</v>
      </c>
      <c r="M134" s="32">
        <f>Data!BC133</f>
        <v>3539.2</v>
      </c>
      <c r="N134" s="254">
        <f>Data!BZ133</f>
        <v>0.5</v>
      </c>
      <c r="O134" s="32">
        <f t="shared" ca="1" si="98"/>
        <v>20221455.782407157</v>
      </c>
      <c r="P134" s="32">
        <f t="shared" ca="1" si="132"/>
        <v>18590378.81717591</v>
      </c>
      <c r="Q134" s="51">
        <f t="shared" ca="1" si="133"/>
        <v>362387.50151326507</v>
      </c>
      <c r="R134" s="50">
        <f t="shared" ca="1" si="134"/>
        <v>1.8247960900658798E-2</v>
      </c>
      <c r="T134" s="28" t="s">
        <v>52</v>
      </c>
    </row>
    <row r="135" spans="1:20" x14ac:dyDescent="0.2">
      <c r="A135" s="2">
        <v>44562</v>
      </c>
      <c r="B135">
        <f t="shared" ref="B135:B158" si="141">YEAR(A135)</f>
        <v>2022</v>
      </c>
      <c r="C135">
        <f t="shared" ref="C135:C158" si="142">MONTH(A135)</f>
        <v>1</v>
      </c>
      <c r="D135" s="56"/>
      <c r="E135" s="56">
        <f>'Historic CDM'!O16/12</f>
        <v>1574860.9824182142</v>
      </c>
      <c r="G135" s="55">
        <f ca="1">Weather!DF61</f>
        <v>439.5</v>
      </c>
      <c r="H135" s="55">
        <f ca="1">Weather!CS61</f>
        <v>0</v>
      </c>
      <c r="I135" s="251">
        <f ca="1">I123</f>
        <v>439.5</v>
      </c>
      <c r="J135" s="251">
        <f t="shared" ref="J135" ca="1" si="143">J123</f>
        <v>0</v>
      </c>
      <c r="K135" s="32">
        <f t="shared" ref="K135:K158" si="144">K87</f>
        <v>31</v>
      </c>
      <c r="L135" s="156">
        <f>'Rate Class Customer Model'!H60</f>
        <v>327.72813357770286</v>
      </c>
      <c r="M135" s="156">
        <f>Economic!F134</f>
        <v>3428.0227500000001</v>
      </c>
      <c r="N135" s="199">
        <f>T135*0.5</f>
        <v>0.375</v>
      </c>
      <c r="O135" s="32">
        <f t="shared" ref="O135:O158" ca="1" si="145">$T$10+G135*$T$11+H135*$T$12+K135*$T$13+L135*$T$14+M135*$T$15+N135*$T$16</f>
        <v>20532725.757232614</v>
      </c>
      <c r="P135" s="32">
        <f t="shared" ref="P135:P158" ca="1" si="146">O135-E135</f>
        <v>18957864.774814401</v>
      </c>
      <c r="Q135" s="51"/>
      <c r="R135" s="50"/>
      <c r="T135">
        <f>Residential!S135</f>
        <v>0.75</v>
      </c>
    </row>
    <row r="136" spans="1:20" x14ac:dyDescent="0.2">
      <c r="A136" s="2">
        <v>44593</v>
      </c>
      <c r="B136">
        <f t="shared" si="141"/>
        <v>2022</v>
      </c>
      <c r="C136">
        <f t="shared" si="142"/>
        <v>2</v>
      </c>
      <c r="D136" s="56"/>
      <c r="E136" s="56">
        <f>E135</f>
        <v>1574860.9824182142</v>
      </c>
      <c r="G136" s="55">
        <f ca="1">Weather!DF62</f>
        <v>403.5</v>
      </c>
      <c r="H136" s="55">
        <f ca="1">Weather!CS62</f>
        <v>0</v>
      </c>
      <c r="I136" s="251">
        <f t="shared" ref="I136:J136" ca="1" si="147">I124</f>
        <v>403.5</v>
      </c>
      <c r="J136" s="251">
        <f t="shared" ca="1" si="147"/>
        <v>0</v>
      </c>
      <c r="K136" s="32">
        <f t="shared" si="144"/>
        <v>28</v>
      </c>
      <c r="L136" s="156">
        <f>'Rate Class Customer Model'!H61</f>
        <v>328.62518858474152</v>
      </c>
      <c r="M136" s="156">
        <f>Economic!F135</f>
        <v>3388.3631</v>
      </c>
      <c r="N136" s="199">
        <f t="shared" ref="N136:N158" si="148">T136*0.5</f>
        <v>0.375</v>
      </c>
      <c r="O136" s="32">
        <f t="shared" ca="1" si="145"/>
        <v>19137574.429047279</v>
      </c>
      <c r="P136" s="32">
        <f t="shared" ca="1" si="146"/>
        <v>17562713.446629066</v>
      </c>
      <c r="Q136" s="51"/>
      <c r="R136" s="50"/>
      <c r="T136">
        <f>T135</f>
        <v>0.75</v>
      </c>
    </row>
    <row r="137" spans="1:20" x14ac:dyDescent="0.2">
      <c r="A137" s="2">
        <v>44621</v>
      </c>
      <c r="B137">
        <f t="shared" si="141"/>
        <v>2022</v>
      </c>
      <c r="C137">
        <f t="shared" si="142"/>
        <v>3</v>
      </c>
      <c r="D137" s="56"/>
      <c r="E137" s="56">
        <f t="shared" ref="E137:E146" si="149">E136</f>
        <v>1574860.9824182142</v>
      </c>
      <c r="G137" s="55">
        <f ca="1">Weather!DF63</f>
        <v>291.06</v>
      </c>
      <c r="H137" s="55">
        <f ca="1">Weather!CS63</f>
        <v>2.8099999999999996</v>
      </c>
      <c r="I137" s="251">
        <f t="shared" ref="I137:J137" ca="1" si="150">I125</f>
        <v>291.06</v>
      </c>
      <c r="J137" s="251">
        <f t="shared" ca="1" si="150"/>
        <v>2.8099999999999996</v>
      </c>
      <c r="K137" s="32">
        <f t="shared" si="144"/>
        <v>31</v>
      </c>
      <c r="L137" s="156">
        <f>'Rate Class Customer Model'!H62</f>
        <v>329.52469900406618</v>
      </c>
      <c r="M137" s="156">
        <f>Economic!F136</f>
        <v>3387.7418000000002</v>
      </c>
      <c r="N137" s="199">
        <f t="shared" si="148"/>
        <v>0.375</v>
      </c>
      <c r="O137" s="32">
        <f t="shared" ca="1" si="145"/>
        <v>19650669.766160086</v>
      </c>
      <c r="P137" s="32">
        <f t="shared" ca="1" si="146"/>
        <v>18075808.783741873</v>
      </c>
      <c r="Q137" s="51"/>
      <c r="R137" s="50"/>
      <c r="T137">
        <f t="shared" ref="T137:T158" si="151">T136</f>
        <v>0.75</v>
      </c>
    </row>
    <row r="138" spans="1:20" x14ac:dyDescent="0.2">
      <c r="A138" s="2">
        <v>44652</v>
      </c>
      <c r="B138">
        <f t="shared" si="141"/>
        <v>2022</v>
      </c>
      <c r="C138">
        <f t="shared" si="142"/>
        <v>4</v>
      </c>
      <c r="D138" s="56"/>
      <c r="E138" s="56">
        <f t="shared" si="149"/>
        <v>1574860.9824182142</v>
      </c>
      <c r="G138" s="55">
        <f ca="1">Weather!DF64</f>
        <v>120.71999999999998</v>
      </c>
      <c r="H138" s="55">
        <f ca="1">Weather!CS64</f>
        <v>6.58</v>
      </c>
      <c r="I138" s="251">
        <f t="shared" ref="I138:J138" ca="1" si="152">I126</f>
        <v>120.71999999999998</v>
      </c>
      <c r="J138" s="251">
        <f t="shared" ca="1" si="152"/>
        <v>6.58</v>
      </c>
      <c r="K138" s="32">
        <f t="shared" si="144"/>
        <v>30</v>
      </c>
      <c r="L138" s="156">
        <f>'Rate Class Customer Model'!H63</f>
        <v>330.42667155661303</v>
      </c>
      <c r="M138" s="156">
        <f>Economic!F137</f>
        <v>3392.8157500000002</v>
      </c>
      <c r="N138" s="199">
        <f t="shared" si="148"/>
        <v>0.375</v>
      </c>
      <c r="O138" s="32">
        <f t="shared" ca="1" si="145"/>
        <v>18478969.837636929</v>
      </c>
      <c r="P138" s="32">
        <f t="shared" ca="1" si="146"/>
        <v>16904108.855218716</v>
      </c>
      <c r="Q138" s="51"/>
      <c r="R138" s="50"/>
      <c r="T138">
        <f t="shared" si="151"/>
        <v>0.75</v>
      </c>
    </row>
    <row r="139" spans="1:20" x14ac:dyDescent="0.2">
      <c r="A139" s="2">
        <v>44682</v>
      </c>
      <c r="B139">
        <f t="shared" si="141"/>
        <v>2022</v>
      </c>
      <c r="C139">
        <f t="shared" si="142"/>
        <v>5</v>
      </c>
      <c r="D139" s="56"/>
      <c r="E139" s="56">
        <f t="shared" si="149"/>
        <v>1574860.9824182142</v>
      </c>
      <c r="G139" s="55">
        <f ca="1">Weather!DF65</f>
        <v>16.330000000000002</v>
      </c>
      <c r="H139" s="55">
        <f ca="1">Weather!CS65</f>
        <v>107.25</v>
      </c>
      <c r="I139" s="251">
        <f t="shared" ref="I139:J139" ca="1" si="153">I127</f>
        <v>16.330000000000002</v>
      </c>
      <c r="J139" s="251">
        <f t="shared" ca="1" si="153"/>
        <v>107.25</v>
      </c>
      <c r="K139" s="32">
        <f t="shared" si="144"/>
        <v>31</v>
      </c>
      <c r="L139" s="156">
        <f>'Rate Class Customer Model'!H64</f>
        <v>331.33111298171485</v>
      </c>
      <c r="M139" s="156">
        <f>Economic!F138</f>
        <v>3394.4725500000004</v>
      </c>
      <c r="N139" s="199">
        <f t="shared" si="148"/>
        <v>0.375</v>
      </c>
      <c r="O139" s="32">
        <f t="shared" ca="1" si="145"/>
        <v>18985746.157225706</v>
      </c>
      <c r="P139" s="32">
        <f t="shared" ca="1" si="146"/>
        <v>17410885.174807493</v>
      </c>
      <c r="Q139" s="51"/>
      <c r="R139" s="50"/>
      <c r="T139">
        <f t="shared" si="151"/>
        <v>0.75</v>
      </c>
    </row>
    <row r="140" spans="1:20" x14ac:dyDescent="0.2">
      <c r="A140" s="2">
        <v>44713</v>
      </c>
      <c r="B140">
        <f t="shared" si="141"/>
        <v>2022</v>
      </c>
      <c r="C140">
        <f t="shared" si="142"/>
        <v>6</v>
      </c>
      <c r="D140" s="56"/>
      <c r="E140" s="56">
        <f t="shared" si="149"/>
        <v>1574860.9824182142</v>
      </c>
      <c r="G140" s="55">
        <f ca="1">Weather!DF66</f>
        <v>0</v>
      </c>
      <c r="H140" s="55">
        <f ca="1">Weather!CS66</f>
        <v>230.10000000000005</v>
      </c>
      <c r="I140" s="251">
        <f t="shared" ref="I140:J140" ca="1" si="154">I128</f>
        <v>0</v>
      </c>
      <c r="J140" s="251">
        <f t="shared" ca="1" si="154"/>
        <v>230.10000000000005</v>
      </c>
      <c r="K140" s="32">
        <f t="shared" si="144"/>
        <v>30</v>
      </c>
      <c r="L140" s="156">
        <f>'Rate Class Customer Model'!H65</f>
        <v>332.23803003715119</v>
      </c>
      <c r="M140" s="156">
        <f>Economic!F139</f>
        <v>3405.2417500000001</v>
      </c>
      <c r="N140" s="199">
        <f t="shared" si="148"/>
        <v>0.375</v>
      </c>
      <c r="O140" s="32">
        <f t="shared" ca="1" si="145"/>
        <v>19429231.100570202</v>
      </c>
      <c r="P140" s="32">
        <f t="shared" ca="1" si="146"/>
        <v>17854370.118151989</v>
      </c>
      <c r="Q140" s="51"/>
      <c r="R140" s="50"/>
      <c r="T140">
        <f t="shared" si="151"/>
        <v>0.75</v>
      </c>
    </row>
    <row r="141" spans="1:20" x14ac:dyDescent="0.2">
      <c r="A141" s="2">
        <v>44743</v>
      </c>
      <c r="B141">
        <f t="shared" si="141"/>
        <v>2022</v>
      </c>
      <c r="C141">
        <f t="shared" si="142"/>
        <v>7</v>
      </c>
      <c r="D141" s="56"/>
      <c r="E141" s="56">
        <f t="shared" si="149"/>
        <v>1574860.9824182142</v>
      </c>
      <c r="G141" s="55">
        <f ca="1">Weather!DF67</f>
        <v>0</v>
      </c>
      <c r="H141" s="55">
        <f ca="1">Weather!CS67</f>
        <v>331.41</v>
      </c>
      <c r="I141" s="251">
        <f t="shared" ref="I141:J141" ca="1" si="155">I129</f>
        <v>0</v>
      </c>
      <c r="J141" s="251">
        <f t="shared" ca="1" si="155"/>
        <v>331.41</v>
      </c>
      <c r="K141" s="32">
        <f t="shared" si="144"/>
        <v>31</v>
      </c>
      <c r="L141" s="156">
        <f>'Rate Class Customer Model'!H66</f>
        <v>333.14742949919895</v>
      </c>
      <c r="M141" s="156">
        <f>Economic!F140</f>
        <v>3451.2179500000002</v>
      </c>
      <c r="N141" s="199">
        <f t="shared" si="148"/>
        <v>0.375</v>
      </c>
      <c r="O141" s="32">
        <f t="shared" ca="1" si="145"/>
        <v>20671375.789533708</v>
      </c>
      <c r="P141" s="32">
        <f t="shared" ca="1" si="146"/>
        <v>19096514.807115495</v>
      </c>
      <c r="Q141" s="51"/>
      <c r="R141" s="50"/>
      <c r="T141">
        <f t="shared" si="151"/>
        <v>0.75</v>
      </c>
    </row>
    <row r="142" spans="1:20" x14ac:dyDescent="0.2">
      <c r="A142" s="2">
        <v>44774</v>
      </c>
      <c r="B142">
        <f t="shared" si="141"/>
        <v>2022</v>
      </c>
      <c r="C142">
        <f t="shared" si="142"/>
        <v>8</v>
      </c>
      <c r="D142" s="56"/>
      <c r="E142" s="56">
        <f t="shared" si="149"/>
        <v>1574860.9824182142</v>
      </c>
      <c r="G142" s="55">
        <f ca="1">Weather!DF68</f>
        <v>0</v>
      </c>
      <c r="H142" s="55">
        <f ca="1">Weather!CS68</f>
        <v>304.46000000000004</v>
      </c>
      <c r="I142" s="251">
        <f t="shared" ref="I142:J142" ca="1" si="156">I130</f>
        <v>0</v>
      </c>
      <c r="J142" s="251">
        <f t="shared" ca="1" si="156"/>
        <v>304.46000000000004</v>
      </c>
      <c r="K142" s="32">
        <f t="shared" si="144"/>
        <v>31</v>
      </c>
      <c r="L142" s="156">
        <f>'Rate Class Customer Model'!H67</f>
        <v>334.05931816268304</v>
      </c>
      <c r="M142" s="156">
        <f>Economic!F141</f>
        <v>3524.3242500000001</v>
      </c>
      <c r="N142" s="199">
        <f t="shared" si="148"/>
        <v>0.375</v>
      </c>
      <c r="O142" s="32">
        <f t="shared" ca="1" si="145"/>
        <v>20824329.937861573</v>
      </c>
      <c r="P142" s="32">
        <f t="shared" ca="1" si="146"/>
        <v>19249468.95544336</v>
      </c>
      <c r="Q142" s="51"/>
      <c r="R142" s="50"/>
      <c r="T142">
        <f t="shared" si="151"/>
        <v>0.75</v>
      </c>
    </row>
    <row r="143" spans="1:20" x14ac:dyDescent="0.2">
      <c r="A143" s="2">
        <v>44805</v>
      </c>
      <c r="B143">
        <f t="shared" si="141"/>
        <v>2022</v>
      </c>
      <c r="C143">
        <f t="shared" si="142"/>
        <v>9</v>
      </c>
      <c r="D143" s="56"/>
      <c r="E143" s="56">
        <f t="shared" si="149"/>
        <v>1574860.9824182142</v>
      </c>
      <c r="G143" s="55">
        <f ca="1">Weather!DF69</f>
        <v>0.24999999999999983</v>
      </c>
      <c r="H143" s="55">
        <f ca="1">Weather!CS69</f>
        <v>176.51</v>
      </c>
      <c r="I143" s="251">
        <f t="shared" ref="I143:J143" ca="1" si="157">I131</f>
        <v>0.24999999999999983</v>
      </c>
      <c r="J143" s="251">
        <f t="shared" ca="1" si="157"/>
        <v>176.51</v>
      </c>
      <c r="K143" s="32">
        <f t="shared" si="144"/>
        <v>30</v>
      </c>
      <c r="L143" s="156">
        <f>'Rate Class Customer Model'!H68</f>
        <v>334.97370284102715</v>
      </c>
      <c r="M143" s="156">
        <f>Economic!F142</f>
        <v>3579.8270500000003</v>
      </c>
      <c r="N143" s="199">
        <f t="shared" si="148"/>
        <v>0.375</v>
      </c>
      <c r="O143" s="32">
        <f t="shared" ca="1" si="145"/>
        <v>19880367.211347863</v>
      </c>
      <c r="P143" s="32">
        <f t="shared" ca="1" si="146"/>
        <v>18305506.22892965</v>
      </c>
      <c r="Q143" s="51"/>
      <c r="R143" s="50"/>
      <c r="T143">
        <f t="shared" si="151"/>
        <v>0.75</v>
      </c>
    </row>
    <row r="144" spans="1:20" x14ac:dyDescent="0.2">
      <c r="A144" s="2">
        <v>44835</v>
      </c>
      <c r="B144">
        <f t="shared" si="141"/>
        <v>2022</v>
      </c>
      <c r="C144">
        <f t="shared" si="142"/>
        <v>10</v>
      </c>
      <c r="D144" s="56"/>
      <c r="E144" s="56">
        <f t="shared" si="149"/>
        <v>1574860.9824182142</v>
      </c>
      <c r="G144" s="55">
        <f ca="1">Weather!DF70</f>
        <v>44.309999999999995</v>
      </c>
      <c r="H144" s="55">
        <f ca="1">Weather!CS70</f>
        <v>43.36</v>
      </c>
      <c r="I144" s="251">
        <f t="shared" ref="I144:J144" ca="1" si="158">I132</f>
        <v>44.309999999999995</v>
      </c>
      <c r="J144" s="251">
        <f t="shared" ca="1" si="158"/>
        <v>43.36</v>
      </c>
      <c r="K144" s="32">
        <f t="shared" si="144"/>
        <v>31</v>
      </c>
      <c r="L144" s="156">
        <f>'Rate Class Customer Model'!H69</f>
        <v>335.89059036630448</v>
      </c>
      <c r="M144" s="156">
        <f>Economic!F143</f>
        <v>3624.0429000000004</v>
      </c>
      <c r="N144" s="199">
        <f t="shared" si="148"/>
        <v>0.375</v>
      </c>
      <c r="O144" s="32">
        <f t="shared" ca="1" si="145"/>
        <v>19789043.964281313</v>
      </c>
      <c r="P144" s="32">
        <f t="shared" ca="1" si="146"/>
        <v>18214182.9818631</v>
      </c>
      <c r="Q144" s="51"/>
      <c r="R144" s="50"/>
      <c r="T144">
        <f t="shared" si="151"/>
        <v>0.75</v>
      </c>
    </row>
    <row r="145" spans="1:20" x14ac:dyDescent="0.2">
      <c r="A145" s="2">
        <v>44866</v>
      </c>
      <c r="B145">
        <f t="shared" si="141"/>
        <v>2022</v>
      </c>
      <c r="C145">
        <f t="shared" si="142"/>
        <v>11</v>
      </c>
      <c r="D145" s="56"/>
      <c r="E145" s="56">
        <f t="shared" si="149"/>
        <v>1574860.9824182142</v>
      </c>
      <c r="G145" s="55">
        <f ca="1">Weather!DF71</f>
        <v>193.95999999999998</v>
      </c>
      <c r="H145" s="55">
        <f ca="1">Weather!CS71</f>
        <v>2.7399999999999998</v>
      </c>
      <c r="I145" s="251">
        <f t="shared" ref="I145:J145" ca="1" si="159">I133</f>
        <v>193.95999999999998</v>
      </c>
      <c r="J145" s="251">
        <f t="shared" ca="1" si="159"/>
        <v>2.7399999999999998</v>
      </c>
      <c r="K145" s="32">
        <f t="shared" si="144"/>
        <v>30</v>
      </c>
      <c r="L145" s="156">
        <f>'Rate Class Customer Model'!H70</f>
        <v>336.80998758928905</v>
      </c>
      <c r="M145" s="156">
        <f>Economic!F144</f>
        <v>3637.8150500000002</v>
      </c>
      <c r="N145" s="199">
        <f t="shared" si="148"/>
        <v>0.375</v>
      </c>
      <c r="O145" s="32">
        <f t="shared" ca="1" si="145"/>
        <v>20024389.308932222</v>
      </c>
      <c r="P145" s="32">
        <f t="shared" ca="1" si="146"/>
        <v>18449528.326514009</v>
      </c>
      <c r="Q145" s="51"/>
      <c r="R145" s="50"/>
      <c r="T145">
        <f t="shared" si="151"/>
        <v>0.75</v>
      </c>
    </row>
    <row r="146" spans="1:20" x14ac:dyDescent="0.2">
      <c r="A146" s="2">
        <v>44896</v>
      </c>
      <c r="B146">
        <f t="shared" si="141"/>
        <v>2022</v>
      </c>
      <c r="C146">
        <f t="shared" si="142"/>
        <v>12</v>
      </c>
      <c r="D146" s="56"/>
      <c r="E146" s="56">
        <f t="shared" si="149"/>
        <v>1574860.9824182142</v>
      </c>
      <c r="G146" s="55">
        <f ca="1">Weather!DF72</f>
        <v>327.48000000000008</v>
      </c>
      <c r="H146" s="55">
        <f ca="1">Weather!CS72</f>
        <v>0</v>
      </c>
      <c r="I146" s="251">
        <f t="shared" ref="I146:J146" ca="1" si="160">I134</f>
        <v>327.48000000000008</v>
      </c>
      <c r="J146" s="251">
        <f t="shared" ca="1" si="160"/>
        <v>0</v>
      </c>
      <c r="K146" s="32">
        <f t="shared" si="144"/>
        <v>31</v>
      </c>
      <c r="L146" s="156">
        <f>'Rate Class Customer Model'!H71</f>
        <v>337.73190137950678</v>
      </c>
      <c r="M146" s="156">
        <f>Economic!F145</f>
        <v>3664.8416000000002</v>
      </c>
      <c r="N146" s="199">
        <f t="shared" si="148"/>
        <v>0.375</v>
      </c>
      <c r="O146" s="32">
        <f t="shared" ca="1" si="145"/>
        <v>21190577.051002186</v>
      </c>
      <c r="P146" s="32">
        <f t="shared" ca="1" si="146"/>
        <v>19615716.068583973</v>
      </c>
      <c r="Q146" s="51"/>
      <c r="R146" s="50"/>
      <c r="T146">
        <f t="shared" si="151"/>
        <v>0.75</v>
      </c>
    </row>
    <row r="147" spans="1:20" x14ac:dyDescent="0.2">
      <c r="A147" s="2">
        <v>44927</v>
      </c>
      <c r="B147">
        <f t="shared" si="141"/>
        <v>2023</v>
      </c>
      <c r="C147">
        <f t="shared" si="142"/>
        <v>1</v>
      </c>
      <c r="D147" s="56"/>
      <c r="E147" s="56">
        <f>'Historic CDM'!O17/12</f>
        <v>1485110.1636557465</v>
      </c>
      <c r="G147" s="55">
        <f t="shared" ref="G147:H158" ca="1" si="161">G135</f>
        <v>439.5</v>
      </c>
      <c r="H147" s="55">
        <f t="shared" ca="1" si="161"/>
        <v>0</v>
      </c>
      <c r="I147" s="251">
        <f t="shared" ref="I147:J158" ca="1" si="162">I135</f>
        <v>439.5</v>
      </c>
      <c r="J147" s="251">
        <f t="shared" ca="1" si="162"/>
        <v>0</v>
      </c>
      <c r="K147" s="32">
        <f t="shared" si="144"/>
        <v>31</v>
      </c>
      <c r="L147" s="156">
        <f>'Rate Class Customer Model'!H72</f>
        <v>338.65633862528671</v>
      </c>
      <c r="M147" s="156">
        <f>Economic!F146</f>
        <v>3489.7271595000002</v>
      </c>
      <c r="N147" s="199">
        <f t="shared" si="148"/>
        <v>0.25</v>
      </c>
      <c r="O147" s="32">
        <f t="shared" ca="1" si="145"/>
        <v>21217727.188263446</v>
      </c>
      <c r="P147" s="32">
        <f t="shared" ca="1" si="146"/>
        <v>19732617.024607699</v>
      </c>
      <c r="Q147" s="51"/>
      <c r="R147" s="50"/>
      <c r="T147">
        <f>Residential!S147</f>
        <v>0.5</v>
      </c>
    </row>
    <row r="148" spans="1:20" x14ac:dyDescent="0.2">
      <c r="A148" s="2">
        <v>44958</v>
      </c>
      <c r="B148">
        <f t="shared" si="141"/>
        <v>2023</v>
      </c>
      <c r="C148">
        <f t="shared" si="142"/>
        <v>2</v>
      </c>
      <c r="D148" s="56"/>
      <c r="E148" s="56">
        <f>E147</f>
        <v>1485110.1636557465</v>
      </c>
      <c r="G148" s="55">
        <f t="shared" ca="1" si="161"/>
        <v>403.5</v>
      </c>
      <c r="H148" s="55">
        <f t="shared" ca="1" si="161"/>
        <v>0</v>
      </c>
      <c r="I148" s="251">
        <f t="shared" ca="1" si="162"/>
        <v>403.5</v>
      </c>
      <c r="J148" s="251">
        <f t="shared" ca="1" si="162"/>
        <v>0</v>
      </c>
      <c r="K148" s="32">
        <f t="shared" si="144"/>
        <v>28</v>
      </c>
      <c r="L148" s="156">
        <f>'Rate Class Customer Model'!H73</f>
        <v>339.58330623381266</v>
      </c>
      <c r="M148" s="156">
        <f>Economic!F147</f>
        <v>3449.3536358000001</v>
      </c>
      <c r="N148" s="199">
        <f t="shared" si="148"/>
        <v>0.25</v>
      </c>
      <c r="O148" s="32">
        <f t="shared" ca="1" si="145"/>
        <v>19820249.688520614</v>
      </c>
      <c r="P148" s="32">
        <f t="shared" ca="1" si="146"/>
        <v>18335139.524864867</v>
      </c>
      <c r="Q148" s="51"/>
      <c r="R148" s="50"/>
      <c r="T148">
        <f t="shared" si="151"/>
        <v>0.5</v>
      </c>
    </row>
    <row r="149" spans="1:20" x14ac:dyDescent="0.2">
      <c r="A149" s="2">
        <v>44986</v>
      </c>
      <c r="B149">
        <f t="shared" si="141"/>
        <v>2023</v>
      </c>
      <c r="C149">
        <f t="shared" si="142"/>
        <v>3</v>
      </c>
      <c r="D149" s="56"/>
      <c r="E149" s="56">
        <f t="shared" ref="E149:E158" si="163">E148</f>
        <v>1485110.1636557465</v>
      </c>
      <c r="G149" s="55">
        <f t="shared" ca="1" si="161"/>
        <v>291.06</v>
      </c>
      <c r="H149" s="55">
        <f t="shared" ca="1" si="161"/>
        <v>2.8099999999999996</v>
      </c>
      <c r="I149" s="251">
        <f t="shared" ca="1" si="162"/>
        <v>291.06</v>
      </c>
      <c r="J149" s="251">
        <f t="shared" ca="1" si="162"/>
        <v>2.8099999999999996</v>
      </c>
      <c r="K149" s="32">
        <f t="shared" si="144"/>
        <v>31</v>
      </c>
      <c r="L149" s="156">
        <f>'Rate Class Customer Model'!H74</f>
        <v>340.51281113117466</v>
      </c>
      <c r="M149" s="156">
        <f>Economic!F148</f>
        <v>3448.7211524000004</v>
      </c>
      <c r="N149" s="199">
        <f t="shared" si="148"/>
        <v>0.25</v>
      </c>
      <c r="O149" s="32">
        <f t="shared" ca="1" si="145"/>
        <v>20334003.148923118</v>
      </c>
      <c r="P149" s="32">
        <f t="shared" ca="1" si="146"/>
        <v>18848892.985267371</v>
      </c>
      <c r="Q149" s="51"/>
      <c r="R149" s="50"/>
      <c r="T149">
        <f t="shared" si="151"/>
        <v>0.5</v>
      </c>
    </row>
    <row r="150" spans="1:20" x14ac:dyDescent="0.2">
      <c r="A150" s="2">
        <v>45017</v>
      </c>
      <c r="B150">
        <f t="shared" si="141"/>
        <v>2023</v>
      </c>
      <c r="C150">
        <f t="shared" si="142"/>
        <v>4</v>
      </c>
      <c r="D150" s="56"/>
      <c r="E150" s="56">
        <f t="shared" si="163"/>
        <v>1485110.1636557465</v>
      </c>
      <c r="G150" s="55">
        <f t="shared" ca="1" si="161"/>
        <v>120.71999999999998</v>
      </c>
      <c r="H150" s="55">
        <f t="shared" ca="1" si="161"/>
        <v>6.58</v>
      </c>
      <c r="I150" s="251">
        <f t="shared" ca="1" si="162"/>
        <v>120.71999999999998</v>
      </c>
      <c r="J150" s="251">
        <f t="shared" ca="1" si="162"/>
        <v>6.58</v>
      </c>
      <c r="K150" s="32">
        <f t="shared" si="144"/>
        <v>30</v>
      </c>
      <c r="L150" s="156">
        <f>'Rate Class Customer Model'!H75</f>
        <v>341.44486026242083</v>
      </c>
      <c r="M150" s="156">
        <f>Economic!F149</f>
        <v>3453.8864335000003</v>
      </c>
      <c r="N150" s="199">
        <f t="shared" si="148"/>
        <v>0.25</v>
      </c>
      <c r="O150" s="32">
        <f t="shared" ca="1" si="145"/>
        <v>19163398.368609883</v>
      </c>
      <c r="P150" s="32">
        <f t="shared" ca="1" si="146"/>
        <v>17678288.204954136</v>
      </c>
      <c r="Q150" s="51"/>
      <c r="R150" s="50"/>
      <c r="T150">
        <f t="shared" si="151"/>
        <v>0.5</v>
      </c>
    </row>
    <row r="151" spans="1:20" x14ac:dyDescent="0.2">
      <c r="A151" s="2">
        <v>45047</v>
      </c>
      <c r="B151">
        <f t="shared" si="141"/>
        <v>2023</v>
      </c>
      <c r="C151">
        <f t="shared" si="142"/>
        <v>5</v>
      </c>
      <c r="D151" s="56"/>
      <c r="E151" s="56">
        <f t="shared" si="163"/>
        <v>1485110.1636557465</v>
      </c>
      <c r="G151" s="55">
        <f t="shared" ca="1" si="161"/>
        <v>16.330000000000002</v>
      </c>
      <c r="H151" s="55">
        <f t="shared" ca="1" si="161"/>
        <v>107.25</v>
      </c>
      <c r="I151" s="251">
        <f t="shared" ca="1" si="162"/>
        <v>16.330000000000002</v>
      </c>
      <c r="J151" s="251">
        <f t="shared" ca="1" si="162"/>
        <v>107.25</v>
      </c>
      <c r="K151" s="32">
        <f t="shared" si="144"/>
        <v>31</v>
      </c>
      <c r="L151" s="156">
        <f>'Rate Class Customer Model'!H76</f>
        <v>342.37946059160925</v>
      </c>
      <c r="M151" s="156">
        <f>Economic!F150</f>
        <v>3455.5730559000003</v>
      </c>
      <c r="N151" s="199">
        <f t="shared" si="148"/>
        <v>0.25</v>
      </c>
      <c r="O151" s="32">
        <f t="shared" ca="1" si="145"/>
        <v>19671010.716871418</v>
      </c>
      <c r="P151" s="32">
        <f t="shared" ca="1" si="146"/>
        <v>18185900.553215671</v>
      </c>
      <c r="Q151" s="51"/>
      <c r="R151" s="50"/>
      <c r="T151">
        <f t="shared" si="151"/>
        <v>0.5</v>
      </c>
    </row>
    <row r="152" spans="1:20" x14ac:dyDescent="0.2">
      <c r="A152" s="2">
        <v>45078</v>
      </c>
      <c r="B152">
        <f t="shared" si="141"/>
        <v>2023</v>
      </c>
      <c r="C152">
        <f t="shared" si="142"/>
        <v>6</v>
      </c>
      <c r="D152" s="56"/>
      <c r="E152" s="56">
        <f t="shared" si="163"/>
        <v>1485110.1636557465</v>
      </c>
      <c r="G152" s="55">
        <f t="shared" ca="1" si="161"/>
        <v>0</v>
      </c>
      <c r="H152" s="55">
        <f t="shared" ca="1" si="161"/>
        <v>230.10000000000005</v>
      </c>
      <c r="I152" s="251">
        <f t="shared" ca="1" si="162"/>
        <v>0</v>
      </c>
      <c r="J152" s="251">
        <f t="shared" ca="1" si="162"/>
        <v>230.10000000000005</v>
      </c>
      <c r="K152" s="32">
        <f t="shared" si="144"/>
        <v>30</v>
      </c>
      <c r="L152" s="156">
        <f>'Rate Class Customer Model'!H77</f>
        <v>343.31661910185989</v>
      </c>
      <c r="M152" s="156">
        <f>Economic!F151</f>
        <v>3466.5361015000003</v>
      </c>
      <c r="N152" s="199">
        <f t="shared" si="148"/>
        <v>0.25</v>
      </c>
      <c r="O152" s="32">
        <f t="shared" ca="1" si="145"/>
        <v>20116029.780550145</v>
      </c>
      <c r="P152" s="32">
        <f t="shared" ca="1" si="146"/>
        <v>18630919.616894398</v>
      </c>
      <c r="Q152" s="51"/>
      <c r="R152" s="50"/>
      <c r="T152">
        <f t="shared" si="151"/>
        <v>0.5</v>
      </c>
    </row>
    <row r="153" spans="1:20" x14ac:dyDescent="0.2">
      <c r="A153" s="2">
        <v>45108</v>
      </c>
      <c r="B153">
        <f t="shared" si="141"/>
        <v>2023</v>
      </c>
      <c r="C153">
        <f t="shared" si="142"/>
        <v>7</v>
      </c>
      <c r="D153" s="56"/>
      <c r="E153" s="56">
        <f t="shared" si="163"/>
        <v>1485110.1636557465</v>
      </c>
      <c r="G153" s="55">
        <f t="shared" ca="1" si="161"/>
        <v>0</v>
      </c>
      <c r="H153" s="55">
        <f t="shared" ca="1" si="161"/>
        <v>331.41</v>
      </c>
      <c r="I153" s="251">
        <f t="shared" ca="1" si="162"/>
        <v>0</v>
      </c>
      <c r="J153" s="251">
        <f t="shared" ca="1" si="162"/>
        <v>331.41</v>
      </c>
      <c r="K153" s="32">
        <f t="shared" si="144"/>
        <v>31</v>
      </c>
      <c r="L153" s="156">
        <f>'Rate Class Customer Model'!H78</f>
        <v>344.25634279540691</v>
      </c>
      <c r="M153" s="156">
        <f>Economic!F152</f>
        <v>3513.3398731000002</v>
      </c>
      <c r="N153" s="199">
        <f t="shared" si="148"/>
        <v>0.25</v>
      </c>
      <c r="O153" s="32">
        <f t="shared" ca="1" si="145"/>
        <v>21362400.206545681</v>
      </c>
      <c r="P153" s="32">
        <f t="shared" ca="1" si="146"/>
        <v>19877290.042889934</v>
      </c>
      <c r="Q153" s="51"/>
      <c r="R153" s="50"/>
      <c r="T153">
        <f t="shared" si="151"/>
        <v>0.5</v>
      </c>
    </row>
    <row r="154" spans="1:20" x14ac:dyDescent="0.2">
      <c r="A154" s="2">
        <v>45139</v>
      </c>
      <c r="B154">
        <f t="shared" si="141"/>
        <v>2023</v>
      </c>
      <c r="C154">
        <f t="shared" si="142"/>
        <v>8</v>
      </c>
      <c r="D154" s="56"/>
      <c r="E154" s="56">
        <f t="shared" si="163"/>
        <v>1485110.1636557465</v>
      </c>
      <c r="G154" s="55">
        <f t="shared" ca="1" si="161"/>
        <v>0</v>
      </c>
      <c r="H154" s="55">
        <f t="shared" ca="1" si="161"/>
        <v>304.46000000000004</v>
      </c>
      <c r="I154" s="251">
        <f t="shared" ca="1" si="162"/>
        <v>0</v>
      </c>
      <c r="J154" s="251">
        <f t="shared" ca="1" si="162"/>
        <v>304.46000000000004</v>
      </c>
      <c r="K154" s="32">
        <f t="shared" si="144"/>
        <v>31</v>
      </c>
      <c r="L154" s="156">
        <f>'Rate Class Customer Model'!H79</f>
        <v>345.19863869365093</v>
      </c>
      <c r="M154" s="156">
        <f>Economic!F153</f>
        <v>3587.7620865000004</v>
      </c>
      <c r="N154" s="199">
        <f t="shared" si="148"/>
        <v>0.25</v>
      </c>
      <c r="O154" s="32">
        <f t="shared" ca="1" si="145"/>
        <v>21521654.67211495</v>
      </c>
      <c r="P154" s="32">
        <f t="shared" ca="1" si="146"/>
        <v>20036544.508459203</v>
      </c>
      <c r="Q154" s="51"/>
      <c r="R154" s="50"/>
      <c r="T154">
        <f t="shared" si="151"/>
        <v>0.5</v>
      </c>
    </row>
    <row r="155" spans="1:20" x14ac:dyDescent="0.2">
      <c r="A155" s="2">
        <v>45170</v>
      </c>
      <c r="B155">
        <f t="shared" si="141"/>
        <v>2023</v>
      </c>
      <c r="C155">
        <f t="shared" si="142"/>
        <v>9</v>
      </c>
      <c r="D155" s="56"/>
      <c r="E155" s="56">
        <f t="shared" si="163"/>
        <v>1485110.1636557465</v>
      </c>
      <c r="G155" s="55">
        <f t="shared" ca="1" si="161"/>
        <v>0.24999999999999983</v>
      </c>
      <c r="H155" s="55">
        <f t="shared" ca="1" si="161"/>
        <v>176.51</v>
      </c>
      <c r="I155" s="251">
        <f t="shared" ca="1" si="162"/>
        <v>0.24999999999999983</v>
      </c>
      <c r="J155" s="251">
        <f t="shared" ca="1" si="162"/>
        <v>176.51</v>
      </c>
      <c r="K155" s="32">
        <f t="shared" si="144"/>
        <v>30</v>
      </c>
      <c r="L155" s="156">
        <f>'Rate Class Customer Model'!H80</f>
        <v>346.14351383721151</v>
      </c>
      <c r="M155" s="156">
        <f>Economic!F154</f>
        <v>3644.2639369000003</v>
      </c>
      <c r="N155" s="199">
        <f t="shared" si="148"/>
        <v>0.25</v>
      </c>
      <c r="O155" s="32">
        <f t="shared" ca="1" si="145"/>
        <v>20582649.386017825</v>
      </c>
      <c r="P155" s="32">
        <f t="shared" ca="1" si="146"/>
        <v>19097539.222362079</v>
      </c>
      <c r="Q155" s="51"/>
      <c r="R155" s="50"/>
      <c r="T155">
        <f t="shared" si="151"/>
        <v>0.5</v>
      </c>
    </row>
    <row r="156" spans="1:20" x14ac:dyDescent="0.2">
      <c r="A156" s="2">
        <v>45200</v>
      </c>
      <c r="B156">
        <f t="shared" si="141"/>
        <v>2023</v>
      </c>
      <c r="C156">
        <f t="shared" si="142"/>
        <v>10</v>
      </c>
      <c r="D156" s="56"/>
      <c r="E156" s="56">
        <f t="shared" si="163"/>
        <v>1485110.1636557465</v>
      </c>
      <c r="G156" s="55">
        <f t="shared" ca="1" si="161"/>
        <v>44.309999999999995</v>
      </c>
      <c r="H156" s="55">
        <f t="shared" ca="1" si="161"/>
        <v>43.36</v>
      </c>
      <c r="I156" s="251">
        <f t="shared" ca="1" si="162"/>
        <v>44.309999999999995</v>
      </c>
      <c r="J156" s="251">
        <f t="shared" ca="1" si="162"/>
        <v>43.36</v>
      </c>
      <c r="K156" s="32">
        <f t="shared" si="144"/>
        <v>31</v>
      </c>
      <c r="L156" s="156">
        <f>'Rate Class Customer Model'!H81</f>
        <v>347.09097528597971</v>
      </c>
      <c r="M156" s="156">
        <f>Economic!F155</f>
        <v>3689.2756722000004</v>
      </c>
      <c r="N156" s="199">
        <f t="shared" si="148"/>
        <v>0.25</v>
      </c>
      <c r="O156" s="32">
        <f t="shared" ca="1" si="145"/>
        <v>20495423.266247362</v>
      </c>
      <c r="P156" s="32">
        <f t="shared" ca="1" si="146"/>
        <v>19010313.102591615</v>
      </c>
      <c r="Q156" s="51"/>
      <c r="R156" s="50"/>
      <c r="T156">
        <f t="shared" si="151"/>
        <v>0.5</v>
      </c>
    </row>
    <row r="157" spans="1:20" x14ac:dyDescent="0.2">
      <c r="A157" s="2">
        <v>45231</v>
      </c>
      <c r="B157">
        <f t="shared" si="141"/>
        <v>2023</v>
      </c>
      <c r="C157">
        <f t="shared" si="142"/>
        <v>11</v>
      </c>
      <c r="D157" s="56"/>
      <c r="E157" s="56">
        <f t="shared" si="163"/>
        <v>1485110.1636557465</v>
      </c>
      <c r="G157" s="55">
        <f t="shared" ca="1" si="161"/>
        <v>193.95999999999998</v>
      </c>
      <c r="H157" s="55">
        <f t="shared" ca="1" si="161"/>
        <v>2.7399999999999998</v>
      </c>
      <c r="I157" s="251">
        <f t="shared" ca="1" si="162"/>
        <v>193.95999999999998</v>
      </c>
      <c r="J157" s="251">
        <f t="shared" ca="1" si="162"/>
        <v>2.7399999999999998</v>
      </c>
      <c r="K157" s="32">
        <f t="shared" si="144"/>
        <v>30</v>
      </c>
      <c r="L157" s="156">
        <f>'Rate Class Customer Model'!H82</f>
        <v>348.0410301191709</v>
      </c>
      <c r="M157" s="156">
        <f>Economic!F156</f>
        <v>3703.2957209000001</v>
      </c>
      <c r="N157" s="199">
        <f t="shared" si="148"/>
        <v>0.25</v>
      </c>
      <c r="O157" s="32">
        <f t="shared" ca="1" si="145"/>
        <v>20732541.93382718</v>
      </c>
      <c r="P157" s="32">
        <f t="shared" ca="1" si="146"/>
        <v>19247431.770171434</v>
      </c>
      <c r="Q157" s="51"/>
      <c r="R157" s="50"/>
      <c r="T157">
        <f t="shared" si="151"/>
        <v>0.5</v>
      </c>
    </row>
    <row r="158" spans="1:20" x14ac:dyDescent="0.2">
      <c r="A158" s="2">
        <v>45261</v>
      </c>
      <c r="B158">
        <f t="shared" si="141"/>
        <v>2023</v>
      </c>
      <c r="C158">
        <f t="shared" si="142"/>
        <v>12</v>
      </c>
      <c r="D158" s="56"/>
      <c r="E158" s="56">
        <f t="shared" si="163"/>
        <v>1485110.1636557465</v>
      </c>
      <c r="G158" s="55">
        <f t="shared" ca="1" si="161"/>
        <v>327.48000000000008</v>
      </c>
      <c r="H158" s="55">
        <f t="shared" ca="1" si="161"/>
        <v>0</v>
      </c>
      <c r="I158" s="251">
        <f t="shared" ca="1" si="162"/>
        <v>327.48000000000008</v>
      </c>
      <c r="J158" s="251">
        <f t="shared" ca="1" si="162"/>
        <v>0</v>
      </c>
      <c r="K158" s="32">
        <f t="shared" si="144"/>
        <v>31</v>
      </c>
      <c r="L158" s="156">
        <f>'Rate Class Customer Model'!H83</f>
        <v>348.99368543537759</v>
      </c>
      <c r="M158" s="156">
        <f>Economic!F157</f>
        <v>3730.8087488000001</v>
      </c>
      <c r="N158" s="199">
        <f t="shared" si="148"/>
        <v>0.25</v>
      </c>
      <c r="O158" s="32">
        <f t="shared" ca="1" si="145"/>
        <v>21901517.554300707</v>
      </c>
      <c r="P158" s="32">
        <f t="shared" ca="1" si="146"/>
        <v>20416407.39064496</v>
      </c>
      <c r="Q158" s="51"/>
      <c r="R158" s="50"/>
      <c r="T158">
        <f t="shared" si="151"/>
        <v>0.5</v>
      </c>
    </row>
    <row r="159" spans="1:20" x14ac:dyDescent="0.2">
      <c r="A159" s="2"/>
      <c r="B159" s="2"/>
      <c r="C159" s="2"/>
      <c r="D159" s="56"/>
      <c r="E159" s="56"/>
      <c r="G159" s="52"/>
      <c r="H159" s="52"/>
      <c r="I159" s="52"/>
      <c r="J159" s="52"/>
      <c r="K159" s="32"/>
      <c r="L159" s="32"/>
      <c r="M159" s="32"/>
      <c r="O159" s="32"/>
      <c r="P159" s="32"/>
      <c r="Q159" s="51"/>
      <c r="R159" s="116">
        <f ca="1">AVERAGE(R3:R134)</f>
        <v>1.3254877384733616E-2</v>
      </c>
    </row>
    <row r="160" spans="1:20" x14ac:dyDescent="0.2">
      <c r="A160" s="2"/>
      <c r="B160" s="2"/>
      <c r="C160" s="2"/>
      <c r="D160" s="2"/>
      <c r="E160" s="2"/>
      <c r="G160" s="52">
        <f ca="1">SUM(G3:G159)</f>
        <v>23893.020000000011</v>
      </c>
      <c r="H160" s="52">
        <f ca="1">SUM(H3:H159)</f>
        <v>15678.939999999999</v>
      </c>
      <c r="I160" s="52"/>
      <c r="J160" s="52"/>
      <c r="K160" s="32"/>
      <c r="L160" s="32"/>
      <c r="M160" s="32"/>
      <c r="O160" s="32"/>
      <c r="P160" s="32"/>
      <c r="Q160" s="51"/>
      <c r="R160" s="50"/>
    </row>
    <row r="161" spans="1:40" x14ac:dyDescent="0.2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32"/>
      <c r="M161" s="32"/>
      <c r="O161" s="32"/>
      <c r="P161" s="32"/>
      <c r="Q161" s="51"/>
      <c r="R161" s="50"/>
    </row>
    <row r="162" spans="1:40" x14ac:dyDescent="0.2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32"/>
      <c r="M162" s="32"/>
      <c r="O162" s="32"/>
      <c r="P162" s="32"/>
      <c r="Q162" s="51"/>
      <c r="R162" s="50"/>
    </row>
    <row r="163" spans="1:40" x14ac:dyDescent="0.2">
      <c r="A163" s="2"/>
      <c r="B163" s="2"/>
      <c r="C163" s="2"/>
      <c r="D163" s="2"/>
      <c r="E163" s="2"/>
      <c r="K163" s="26"/>
      <c r="N163" s="26"/>
      <c r="AF163" s="39"/>
      <c r="AG163" s="39"/>
      <c r="AH163" s="39"/>
    </row>
    <row r="164" spans="1:40" x14ac:dyDescent="0.2">
      <c r="A164" s="2"/>
      <c r="B164" s="2"/>
      <c r="C164" s="2"/>
      <c r="D164" s="2"/>
      <c r="E164" s="2"/>
      <c r="G164" s="36" t="s">
        <v>286</v>
      </c>
      <c r="H164" s="320" t="s">
        <v>287</v>
      </c>
      <c r="I164" s="320"/>
      <c r="J164" s="320"/>
      <c r="K164" s="320"/>
      <c r="O164" s="26">
        <f ca="1">SUM(O3:O158)</f>
        <v>2886284925.0522065</v>
      </c>
      <c r="P164" s="26"/>
      <c r="AF164"/>
      <c r="AG164"/>
      <c r="AH164"/>
      <c r="AI164"/>
      <c r="AJ164"/>
      <c r="AK164"/>
      <c r="AL164"/>
      <c r="AM164"/>
      <c r="AN164"/>
    </row>
    <row r="165" spans="1:40" x14ac:dyDescent="0.2">
      <c r="A165" s="2"/>
      <c r="B165" s="2"/>
      <c r="C165" s="2"/>
      <c r="D165" s="2"/>
      <c r="E165" s="2"/>
      <c r="AF165"/>
      <c r="AG165"/>
      <c r="AH165"/>
      <c r="AI165"/>
      <c r="AJ165"/>
      <c r="AK165"/>
      <c r="AL165"/>
      <c r="AM165"/>
      <c r="AN165"/>
    </row>
    <row r="166" spans="1:40" x14ac:dyDescent="0.2">
      <c r="A166" s="2"/>
      <c r="B166" s="2"/>
      <c r="C166" s="2"/>
      <c r="D166" s="148" t="s">
        <v>288</v>
      </c>
      <c r="E166" s="148" t="s">
        <v>270</v>
      </c>
      <c r="F166" s="39" t="s">
        <v>271</v>
      </c>
      <c r="O166" s="57"/>
      <c r="Q166" s="80" t="s">
        <v>289</v>
      </c>
      <c r="R166" s="80" t="s">
        <v>270</v>
      </c>
      <c r="S166" s="80" t="s">
        <v>290</v>
      </c>
      <c r="AF166"/>
      <c r="AG166"/>
      <c r="AH166"/>
      <c r="AI166"/>
      <c r="AJ166"/>
      <c r="AK166"/>
      <c r="AL166"/>
      <c r="AM166"/>
      <c r="AN166"/>
    </row>
    <row r="167" spans="1:40" x14ac:dyDescent="0.2">
      <c r="A167" s="11">
        <v>2011</v>
      </c>
      <c r="B167" s="11"/>
      <c r="C167" s="11"/>
      <c r="D167" s="41">
        <f>SUMIF(B:B,A167,D:D)</f>
        <v>192782769.75999996</v>
      </c>
      <c r="E167" s="41">
        <f>SUMIF(B:B,A167,E:E)</f>
        <v>1113393.2546150328</v>
      </c>
      <c r="F167" s="5">
        <f>SUMIF(B:B,A167,F:F)</f>
        <v>193896163.01461503</v>
      </c>
      <c r="O167" s="57"/>
      <c r="Q167" s="5">
        <f ca="1">SUMIF(B:B,A167,O:O)</f>
        <v>193767586.73445946</v>
      </c>
      <c r="R167" s="57">
        <f>'Historic CDM'!O5</f>
        <v>1113393.2546150328</v>
      </c>
      <c r="S167" s="57">
        <f ca="1">SUMIF(B:B,A167,P:P)</f>
        <v>192654193.47984442</v>
      </c>
      <c r="AF167"/>
      <c r="AG167"/>
      <c r="AH167"/>
      <c r="AI167"/>
      <c r="AJ167"/>
      <c r="AK167"/>
      <c r="AL167"/>
      <c r="AM167"/>
      <c r="AN167"/>
    </row>
    <row r="168" spans="1:40" x14ac:dyDescent="0.2">
      <c r="A168" s="11">
        <f>A167+1</f>
        <v>2012</v>
      </c>
      <c r="B168" s="11"/>
      <c r="C168" s="11"/>
      <c r="D168" s="41">
        <f t="shared" ref="D168:D176" si="164">SUMIF(B:B,A168,D:D)</f>
        <v>194206572.97999996</v>
      </c>
      <c r="E168" s="41">
        <f t="shared" ref="E168:E177" si="165">SUMIF(B:B,A168,E:E)</f>
        <v>2745090.4018907608</v>
      </c>
      <c r="F168" s="5">
        <f t="shared" ref="F168:F177" si="166">SUMIF(B:B,A168,F:F)</f>
        <v>196951663.38189071</v>
      </c>
      <c r="O168" s="57"/>
      <c r="Q168" s="5">
        <f t="shared" ref="Q168:Q179" ca="1" si="167">SUMIF(B:B,A168,O:O)</f>
        <v>198469050.7049278</v>
      </c>
      <c r="R168" s="57">
        <f>'Historic CDM'!O6</f>
        <v>2745090.4018907612</v>
      </c>
      <c r="S168" s="57">
        <f t="shared" ref="S168:S179" ca="1" si="168">SUMIF(B:B,A168,P:P)</f>
        <v>195723960.30303705</v>
      </c>
      <c r="AF168"/>
      <c r="AG168"/>
      <c r="AH168"/>
      <c r="AI168"/>
      <c r="AJ168"/>
      <c r="AK168"/>
      <c r="AL168"/>
      <c r="AM168"/>
      <c r="AN168"/>
    </row>
    <row r="169" spans="1:40" x14ac:dyDescent="0.2">
      <c r="A169" s="11">
        <f t="shared" ref="A169:A179" si="169">A168+1</f>
        <v>2013</v>
      </c>
      <c r="B169" s="11"/>
      <c r="C169" s="11"/>
      <c r="D169" s="41">
        <f t="shared" si="164"/>
        <v>203179610.86000001</v>
      </c>
      <c r="E169" s="41">
        <f t="shared" si="165"/>
        <v>4136126.0645098011</v>
      </c>
      <c r="F169" s="5">
        <f t="shared" si="166"/>
        <v>207315736.92450976</v>
      </c>
      <c r="O169" s="57"/>
      <c r="Q169" s="5">
        <f t="shared" ca="1" si="167"/>
        <v>207322270.70030788</v>
      </c>
      <c r="R169" s="57">
        <f>'Historic CDM'!O7</f>
        <v>4136126.0645098006</v>
      </c>
      <c r="S169" s="57">
        <f t="shared" ca="1" si="168"/>
        <v>203186144.63579804</v>
      </c>
      <c r="AF169"/>
      <c r="AG169"/>
      <c r="AH169"/>
      <c r="AI169"/>
      <c r="AJ169"/>
      <c r="AK169"/>
      <c r="AL169"/>
      <c r="AM169"/>
      <c r="AN169"/>
    </row>
    <row r="170" spans="1:40" x14ac:dyDescent="0.2">
      <c r="A170" s="11">
        <f t="shared" si="169"/>
        <v>2014</v>
      </c>
      <c r="D170" s="41">
        <f t="shared" si="164"/>
        <v>204924669.72999999</v>
      </c>
      <c r="E170" s="41">
        <f t="shared" si="165"/>
        <v>5768742.227565065</v>
      </c>
      <c r="F170" s="5">
        <f t="shared" si="166"/>
        <v>210693411.95756504</v>
      </c>
      <c r="O170" s="57"/>
      <c r="Q170" s="5">
        <f t="shared" ca="1" si="167"/>
        <v>209685622.49223757</v>
      </c>
      <c r="R170" s="57">
        <f>'Historic CDM'!O8</f>
        <v>5768742.227565066</v>
      </c>
      <c r="S170" s="57">
        <f t="shared" ca="1" si="168"/>
        <v>203916880.26467252</v>
      </c>
      <c r="AF170"/>
      <c r="AG170"/>
      <c r="AH170"/>
      <c r="AI170"/>
      <c r="AJ170"/>
      <c r="AK170"/>
      <c r="AL170"/>
      <c r="AM170"/>
      <c r="AN170"/>
    </row>
    <row r="171" spans="1:40" x14ac:dyDescent="0.2">
      <c r="A171" s="11">
        <f t="shared" si="169"/>
        <v>2015</v>
      </c>
      <c r="B171" s="11"/>
      <c r="C171" s="11"/>
      <c r="D171" s="41">
        <f t="shared" si="164"/>
        <v>205449544.32771084</v>
      </c>
      <c r="E171" s="41">
        <f t="shared" si="165"/>
        <v>6660535.9734396851</v>
      </c>
      <c r="F171" s="5">
        <f t="shared" si="166"/>
        <v>212110080.3011505</v>
      </c>
      <c r="O171" s="57"/>
      <c r="Q171" s="5">
        <f t="shared" ca="1" si="167"/>
        <v>211640671.0567247</v>
      </c>
      <c r="R171" s="57">
        <f>'Historic CDM'!O9</f>
        <v>6660535.9734396851</v>
      </c>
      <c r="S171" s="57">
        <f t="shared" ca="1" si="168"/>
        <v>204980135.08328506</v>
      </c>
      <c r="AF171"/>
      <c r="AG171"/>
      <c r="AH171"/>
      <c r="AI171"/>
      <c r="AJ171"/>
      <c r="AK171"/>
      <c r="AL171"/>
      <c r="AM171"/>
      <c r="AN171"/>
    </row>
    <row r="172" spans="1:40" x14ac:dyDescent="0.2">
      <c r="A172" s="11">
        <f t="shared" si="169"/>
        <v>2016</v>
      </c>
      <c r="D172" s="41">
        <f t="shared" si="164"/>
        <v>204715589.59036142</v>
      </c>
      <c r="E172" s="41">
        <f t="shared" si="165"/>
        <v>7892962.8518290883</v>
      </c>
      <c r="F172" s="5">
        <f t="shared" si="166"/>
        <v>212608552.4421905</v>
      </c>
      <c r="O172" s="57"/>
      <c r="Q172" s="5">
        <f t="shared" ca="1" si="167"/>
        <v>211977098.2725001</v>
      </c>
      <c r="R172" s="57">
        <f>'Historic CDM'!O10</f>
        <v>7892962.8518290874</v>
      </c>
      <c r="S172" s="57">
        <f t="shared" ca="1" si="168"/>
        <v>204084135.42067096</v>
      </c>
      <c r="AF172"/>
      <c r="AG172"/>
      <c r="AH172"/>
      <c r="AI172"/>
      <c r="AJ172"/>
      <c r="AK172"/>
      <c r="AL172"/>
      <c r="AM172"/>
      <c r="AN172"/>
    </row>
    <row r="173" spans="1:40" x14ac:dyDescent="0.2">
      <c r="A173" s="11">
        <f t="shared" si="169"/>
        <v>2017</v>
      </c>
      <c r="B173" s="11"/>
      <c r="C173" s="11"/>
      <c r="D173" s="41">
        <f t="shared" si="164"/>
        <v>213633991.96144572</v>
      </c>
      <c r="E173" s="41">
        <f t="shared" si="165"/>
        <v>12308944.998419365</v>
      </c>
      <c r="F173" s="5">
        <f t="shared" si="166"/>
        <v>225942936.95986509</v>
      </c>
      <c r="O173" s="57"/>
      <c r="Q173" s="5">
        <f t="shared" ca="1" si="167"/>
        <v>226834816.02063075</v>
      </c>
      <c r="R173" s="57">
        <f>'Historic CDM'!O11</f>
        <v>12308944.998419363</v>
      </c>
      <c r="S173" s="57">
        <f t="shared" ca="1" si="168"/>
        <v>214525871.02221137</v>
      </c>
      <c r="AF173"/>
      <c r="AG173"/>
      <c r="AH173"/>
      <c r="AI173"/>
      <c r="AJ173"/>
      <c r="AK173"/>
      <c r="AL173"/>
      <c r="AM173"/>
      <c r="AN173"/>
    </row>
    <row r="174" spans="1:40" x14ac:dyDescent="0.2">
      <c r="A174" s="11">
        <f t="shared" si="169"/>
        <v>2018</v>
      </c>
      <c r="D174" s="41">
        <f t="shared" si="164"/>
        <v>221806792.86746988</v>
      </c>
      <c r="E174" s="41">
        <f t="shared" si="165"/>
        <v>17083005.325519945</v>
      </c>
      <c r="F174" s="5">
        <f t="shared" si="166"/>
        <v>238889798.19298983</v>
      </c>
      <c r="O174" s="57"/>
      <c r="Q174" s="5">
        <f t="shared" ca="1" si="167"/>
        <v>237350068.22221723</v>
      </c>
      <c r="R174" s="57">
        <f>'Historic CDM'!O12</f>
        <v>17083005.325519945</v>
      </c>
      <c r="S174" s="57">
        <f t="shared" ca="1" si="168"/>
        <v>220267062.89669731</v>
      </c>
      <c r="AF174"/>
      <c r="AG174"/>
      <c r="AH174"/>
      <c r="AI174"/>
      <c r="AJ174"/>
      <c r="AK174"/>
      <c r="AL174"/>
      <c r="AM174"/>
      <c r="AN174"/>
    </row>
    <row r="175" spans="1:40" x14ac:dyDescent="0.2">
      <c r="A175" s="11">
        <f t="shared" si="169"/>
        <v>2019</v>
      </c>
      <c r="B175" s="11"/>
      <c r="C175" s="11"/>
      <c r="D175" s="41">
        <f t="shared" si="164"/>
        <v>220154820.13493976</v>
      </c>
      <c r="E175" s="41">
        <f t="shared" si="165"/>
        <v>19187967.141494256</v>
      </c>
      <c r="F175" s="5">
        <f t="shared" si="166"/>
        <v>239342787.27643397</v>
      </c>
      <c r="O175" s="57"/>
      <c r="Q175" s="5">
        <f t="shared" ca="1" si="167"/>
        <v>239331013.06031072</v>
      </c>
      <c r="R175" s="57">
        <f>'Historic CDM'!O13</f>
        <v>19187967.141494252</v>
      </c>
      <c r="S175" s="57">
        <f t="shared" ca="1" si="168"/>
        <v>220143045.91881645</v>
      </c>
      <c r="AF175"/>
      <c r="AG175"/>
      <c r="AH175"/>
      <c r="AI175"/>
      <c r="AJ175"/>
      <c r="AK175"/>
      <c r="AL175"/>
      <c r="AM175"/>
      <c r="AN175"/>
    </row>
    <row r="176" spans="1:40" x14ac:dyDescent="0.2">
      <c r="A176" s="11">
        <f t="shared" si="169"/>
        <v>2020</v>
      </c>
      <c r="D176" s="41">
        <f t="shared" si="164"/>
        <v>209733279.5373494</v>
      </c>
      <c r="E176" s="41">
        <f t="shared" si="165"/>
        <v>19633009.963500582</v>
      </c>
      <c r="F176" s="5">
        <f t="shared" si="166"/>
        <v>229366289.50085002</v>
      </c>
      <c r="O176" s="57"/>
      <c r="Q176" s="5">
        <f t="shared" ca="1" si="167"/>
        <v>230198300.05135193</v>
      </c>
      <c r="R176" s="57">
        <f>'Historic CDM'!O14</f>
        <v>19633009.963500582</v>
      </c>
      <c r="S176" s="57">
        <f t="shared" ca="1" si="168"/>
        <v>210565290.08785135</v>
      </c>
      <c r="T176" s="5"/>
      <c r="AF176"/>
      <c r="AG176"/>
      <c r="AH176"/>
      <c r="AI176"/>
      <c r="AJ176"/>
      <c r="AK176"/>
      <c r="AL176"/>
      <c r="AM176"/>
      <c r="AN176"/>
    </row>
    <row r="177" spans="1:40" x14ac:dyDescent="0.2">
      <c r="A177" s="11">
        <f t="shared" si="169"/>
        <v>2021</v>
      </c>
      <c r="B177" s="11"/>
      <c r="C177" s="11"/>
      <c r="D177" s="41">
        <f>SUMIF(B:B,A177,D:D)</f>
        <v>214209551.57590359</v>
      </c>
      <c r="E177" s="41">
        <f t="shared" si="165"/>
        <v>19572923.582774989</v>
      </c>
      <c r="F177" s="5">
        <f t="shared" si="166"/>
        <v>233782475.15867856</v>
      </c>
      <c r="O177" s="57"/>
      <c r="Q177" s="5">
        <f t="shared" ca="1" si="167"/>
        <v>234194821.5149155</v>
      </c>
      <c r="R177" s="57">
        <f>'Historic CDM'!O15</f>
        <v>19572923.582774989</v>
      </c>
      <c r="S177" s="57">
        <f t="shared" ca="1" si="168"/>
        <v>214621897.93214053</v>
      </c>
      <c r="T177" s="5"/>
      <c r="AF177"/>
      <c r="AG177"/>
      <c r="AH177"/>
      <c r="AI177"/>
      <c r="AJ177"/>
      <c r="AK177"/>
      <c r="AL177"/>
      <c r="AM177"/>
      <c r="AN177"/>
    </row>
    <row r="178" spans="1:40" x14ac:dyDescent="0.2">
      <c r="A178" s="11">
        <f t="shared" si="169"/>
        <v>2022</v>
      </c>
      <c r="B178" s="11"/>
      <c r="C178" s="11"/>
      <c r="D178" s="41"/>
      <c r="E178" s="41"/>
      <c r="O178" s="57"/>
      <c r="Q178" s="5">
        <f t="shared" ca="1" si="167"/>
        <v>238595000.31083167</v>
      </c>
      <c r="R178" s="57">
        <f>'Historic CDM'!O16</f>
        <v>18898331.789018571</v>
      </c>
      <c r="S178" s="57">
        <f t="shared" ca="1" si="168"/>
        <v>219696668.52181309</v>
      </c>
      <c r="AF178"/>
      <c r="AG178"/>
      <c r="AH178"/>
      <c r="AI178"/>
      <c r="AJ178"/>
      <c r="AK178"/>
      <c r="AL178"/>
      <c r="AM178"/>
      <c r="AN178"/>
    </row>
    <row r="179" spans="1:40" x14ac:dyDescent="0.2">
      <c r="A179" s="11">
        <f t="shared" si="169"/>
        <v>2023</v>
      </c>
      <c r="D179" s="41"/>
      <c r="E179" s="41"/>
      <c r="K179" s="43"/>
      <c r="L179" s="43"/>
      <c r="M179" s="43"/>
      <c r="O179" s="54"/>
      <c r="P179" s="43"/>
      <c r="Q179" s="5">
        <f t="shared" ca="1" si="167"/>
        <v>246918605.91079232</v>
      </c>
      <c r="R179" s="57">
        <f>'Historic CDM'!O17</f>
        <v>17821321.963868957</v>
      </c>
      <c r="S179" s="57">
        <f t="shared" ca="1" si="168"/>
        <v>229097283.94692335</v>
      </c>
      <c r="T179" s="79"/>
      <c r="AF179"/>
      <c r="AG179"/>
      <c r="AH179"/>
      <c r="AI179"/>
      <c r="AJ179"/>
      <c r="AK179"/>
      <c r="AL179"/>
      <c r="AM179"/>
      <c r="AN179"/>
    </row>
    <row r="180" spans="1:40" x14ac:dyDescent="0.2">
      <c r="A180" s="28" t="s">
        <v>300</v>
      </c>
      <c r="B180" s="28"/>
      <c r="C180" s="28"/>
      <c r="D180" s="28"/>
      <c r="E180" s="28"/>
      <c r="L180" s="57"/>
      <c r="M180" s="57"/>
      <c r="P180" s="5"/>
      <c r="Q180" s="5"/>
      <c r="R180" s="5"/>
      <c r="S180" s="1"/>
      <c r="AF180"/>
      <c r="AG180"/>
      <c r="AH180"/>
      <c r="AI180"/>
      <c r="AJ180"/>
      <c r="AK180"/>
      <c r="AL180"/>
      <c r="AM180"/>
      <c r="AN180"/>
    </row>
    <row r="181" spans="1:40" x14ac:dyDescent="0.2">
      <c r="L181" s="57"/>
      <c r="M181" s="57"/>
      <c r="S181" s="1"/>
      <c r="AF181"/>
      <c r="AG181"/>
      <c r="AH181"/>
      <c r="AI181"/>
      <c r="AJ181"/>
      <c r="AK181"/>
      <c r="AL181"/>
      <c r="AM181"/>
      <c r="AN181"/>
    </row>
    <row r="182" spans="1:40" x14ac:dyDescent="0.2">
      <c r="G182" s="53"/>
      <c r="H182" s="43"/>
      <c r="I182" s="43"/>
      <c r="J182" s="43"/>
      <c r="K182" s="43"/>
      <c r="L182" s="54"/>
      <c r="M182" s="54"/>
      <c r="N182" s="43"/>
      <c r="S182" s="41"/>
    </row>
    <row r="184" spans="1:40" x14ac:dyDescent="0.2">
      <c r="S184" s="41"/>
    </row>
    <row r="185" spans="1:40" x14ac:dyDescent="0.2">
      <c r="S185" s="41"/>
    </row>
    <row r="190" spans="1:40" x14ac:dyDescent="0.2">
      <c r="AF190" s="39"/>
      <c r="AG190" s="39"/>
      <c r="AH190" s="39"/>
    </row>
  </sheetData>
  <mergeCells count="4">
    <mergeCell ref="AF4:AG4"/>
    <mergeCell ref="AH19:AI19"/>
    <mergeCell ref="H164:K164"/>
    <mergeCell ref="A1:G1"/>
  </mergeCells>
  <pageMargins left="0.39370078740157483" right="0.74803149606299213" top="0.55118110236220474" bottom="0.55118110236220474" header="0.51181102362204722" footer="0.51181102362204722"/>
  <pageSetup orientation="portrait" r:id="rId1"/>
  <headerFooter alignWithMargins="0"/>
  <rowBreaks count="1" manualBreakCount="1">
    <brk id="110" max="38" man="1"/>
  </rowBreaks>
  <colBreaks count="2" manualBreakCount="2">
    <brk id="18" max="1048575" man="1"/>
    <brk id="28" max="222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F7068-9B3F-4F61-AD9F-5974DCA5382E}">
  <sheetPr>
    <tabColor theme="9" tint="0.79998168889431442"/>
  </sheetPr>
  <dimension ref="A1:AY190"/>
  <sheetViews>
    <sheetView zoomScale="80" zoomScaleNormal="80" workbookViewId="0">
      <pane xSplit="1" ySplit="2" topLeftCell="B3" activePane="bottomRight" state="frozen"/>
      <selection activeCell="V159" sqref="V159"/>
      <selection pane="topRight" activeCell="V159" sqref="V159"/>
      <selection pane="bottomLeft" activeCell="V159" sqref="V159"/>
      <selection pane="bottomRight" activeCell="V12" sqref="V12"/>
    </sheetView>
  </sheetViews>
  <sheetFormatPr defaultRowHeight="12.75" x14ac:dyDescent="0.2"/>
  <cols>
    <col min="1" max="3" width="11.85546875" customWidth="1"/>
    <col min="4" max="4" width="14.140625" customWidth="1"/>
    <col min="5" max="5" width="14.7109375" customWidth="1"/>
    <col min="6" max="6" width="13" style="5" bestFit="1" customWidth="1"/>
    <col min="7" max="7" width="13" style="1" customWidth="1"/>
    <col min="8" max="10" width="12.85546875" style="1" customWidth="1"/>
    <col min="11" max="11" width="15.42578125" style="1" customWidth="1"/>
    <col min="12" max="13" width="8" style="1" customWidth="1"/>
    <col min="14" max="14" width="13.5703125" style="57" bestFit="1" customWidth="1"/>
    <col min="15" max="15" width="13.140625" style="1" customWidth="1"/>
    <col min="16" max="16" width="14.7109375" style="1" customWidth="1"/>
    <col min="17" max="17" width="19.42578125" style="1" bestFit="1" customWidth="1"/>
    <col min="18" max="18" width="14.5703125" style="1" customWidth="1"/>
    <col min="19" max="19" width="15.140625" style="1" bestFit="1" customWidth="1"/>
    <col min="20" max="20" width="13.42578125" style="1" bestFit="1" customWidth="1"/>
    <col min="21" max="21" width="22.42578125" bestFit="1" customWidth="1"/>
    <col min="22" max="22" width="17.7109375" customWidth="1"/>
    <col min="23" max="23" width="18.85546875" bestFit="1" customWidth="1"/>
    <col min="24" max="24" width="13.7109375" bestFit="1" customWidth="1"/>
    <col min="25" max="25" width="13" bestFit="1" customWidth="1"/>
    <col min="26" max="26" width="14.85546875" bestFit="1" customWidth="1"/>
    <col min="27" max="29" width="13.7109375" bestFit="1" customWidth="1"/>
    <col min="30" max="31" width="13" bestFit="1" customWidth="1"/>
    <col min="32" max="32" width="12.28515625" bestFit="1" customWidth="1"/>
    <col min="33" max="34" width="12.28515625" style="5" bestFit="1" customWidth="1"/>
    <col min="35" max="41" width="12.7109375" style="5" customWidth="1"/>
    <col min="42" max="51" width="12.7109375" customWidth="1"/>
  </cols>
  <sheetData>
    <row r="1" spans="1:47" ht="20.25" customHeight="1" x14ac:dyDescent="0.25">
      <c r="A1" s="321" t="s">
        <v>342</v>
      </c>
      <c r="B1" s="321"/>
      <c r="C1" s="321"/>
      <c r="D1" s="321"/>
      <c r="E1" s="321"/>
      <c r="F1" s="321"/>
    </row>
    <row r="2" spans="1:47" ht="42" customHeight="1" x14ac:dyDescent="0.2">
      <c r="D2" s="28" t="s">
        <v>269</v>
      </c>
      <c r="E2" s="28" t="s">
        <v>270</v>
      </c>
      <c r="F2" s="6" t="s">
        <v>271</v>
      </c>
      <c r="G2" s="129" t="str">
        <f>Data!AP1</f>
        <v>HDD16</v>
      </c>
      <c r="H2" s="129" t="str">
        <f>Data!AQ1</f>
        <v>CDD16</v>
      </c>
      <c r="I2" s="8" t="s">
        <v>332</v>
      </c>
      <c r="J2" s="8" t="s">
        <v>333</v>
      </c>
      <c r="K2" s="8" t="s">
        <v>272</v>
      </c>
      <c r="L2" s="8" t="s">
        <v>273</v>
      </c>
      <c r="M2" s="8" t="s">
        <v>131</v>
      </c>
      <c r="N2" s="58" t="s">
        <v>274</v>
      </c>
      <c r="O2" s="8" t="str">
        <f>Data!CG1</f>
        <v>COVIDHDD16</v>
      </c>
      <c r="P2" s="8" t="str">
        <f>Data!CH1</f>
        <v>COVIDCDD16</v>
      </c>
      <c r="Q2" s="8" t="s">
        <v>334</v>
      </c>
      <c r="R2" s="8" t="s">
        <v>335</v>
      </c>
      <c r="S2" s="8" t="s">
        <v>277</v>
      </c>
      <c r="T2" s="8" t="s">
        <v>278</v>
      </c>
      <c r="AG2" s="7"/>
      <c r="AH2" s="7"/>
      <c r="AI2" s="7"/>
    </row>
    <row r="3" spans="1:47" ht="12.75" customHeight="1" x14ac:dyDescent="0.2">
      <c r="A3" s="2">
        <v>40544</v>
      </c>
      <c r="B3">
        <f>YEAR(A3)</f>
        <v>2011</v>
      </c>
      <c r="C3">
        <f>MONTH(A3)</f>
        <v>1</v>
      </c>
      <c r="D3" s="151">
        <f>Data!D2</f>
        <v>23710157.339999959</v>
      </c>
      <c r="E3" s="151">
        <f>Data!E2</f>
        <v>23207.745325324893</v>
      </c>
      <c r="F3" s="151">
        <f>Data!F2</f>
        <v>23733365.085325282</v>
      </c>
      <c r="G3" s="129">
        <f>Data!AP2</f>
        <v>713.3</v>
      </c>
      <c r="H3" s="129">
        <f>Data!AQ2</f>
        <v>0</v>
      </c>
      <c r="I3" s="146">
        <f t="shared" ref="I3:J18" ca="1" si="0">I15</f>
        <v>619.82052631578927</v>
      </c>
      <c r="J3" s="146">
        <f t="shared" ca="1" si="0"/>
        <v>0</v>
      </c>
      <c r="K3" s="32">
        <f>Data!BG2</f>
        <v>31</v>
      </c>
      <c r="L3" s="32">
        <f>Data!BX2</f>
        <v>0</v>
      </c>
      <c r="M3" s="32">
        <f>Data!BR2</f>
        <v>0</v>
      </c>
      <c r="N3" s="41">
        <f>Data!AA2</f>
        <v>26615</v>
      </c>
      <c r="O3" s="255">
        <f>Data!CG2</f>
        <v>0</v>
      </c>
      <c r="P3" s="78">
        <f>Data!CH2</f>
        <v>0</v>
      </c>
      <c r="Q3" s="32">
        <f ca="1">F3+(I3-G3)*$V$20+(J3-H3)*$V$21</f>
        <v>18785263.618988007</v>
      </c>
      <c r="R3" s="145">
        <f ca="1">Q3-E3</f>
        <v>18762055.873662684</v>
      </c>
      <c r="S3" s="32">
        <f ca="1">+Q3-F3</f>
        <v>-4948101.4663372748</v>
      </c>
      <c r="T3" s="50">
        <f ca="1">ABS(S3/F3)</f>
        <v>0.20848714240682054</v>
      </c>
      <c r="U3" t="s">
        <v>279</v>
      </c>
      <c r="AG3"/>
      <c r="AH3" s="39"/>
      <c r="AI3" s="66"/>
      <c r="AJ3" s="51"/>
      <c r="AK3" s="74"/>
      <c r="AL3" s="74"/>
      <c r="AM3" s="204"/>
      <c r="AN3" s="74"/>
      <c r="AO3" s="74"/>
      <c r="AP3" s="197"/>
      <c r="AQ3" s="204"/>
      <c r="AR3" s="68"/>
      <c r="AS3" s="68"/>
      <c r="AT3" s="5"/>
    </row>
    <row r="4" spans="1:47" x14ac:dyDescent="0.2">
      <c r="A4" s="2">
        <v>40575</v>
      </c>
      <c r="B4">
        <f t="shared" ref="B4:B67" si="1">YEAR(A4)</f>
        <v>2011</v>
      </c>
      <c r="C4">
        <f t="shared" ref="C4:C67" si="2">MONTH(A4)</f>
        <v>2</v>
      </c>
      <c r="D4" s="151">
        <f>Data!D3</f>
        <v>22287321.790000025</v>
      </c>
      <c r="E4" s="151">
        <f>Data!E3</f>
        <v>23207.745325324893</v>
      </c>
      <c r="F4" s="151">
        <f>Data!F3</f>
        <v>22310529.535325348</v>
      </c>
      <c r="G4" s="129">
        <f>Data!AP3</f>
        <v>598.20000000000016</v>
      </c>
      <c r="H4" s="129">
        <f>Data!AQ3</f>
        <v>0</v>
      </c>
      <c r="I4" s="146">
        <f t="shared" ca="1" si="0"/>
        <v>570.53578947368419</v>
      </c>
      <c r="J4" s="146">
        <f t="shared" ca="1" si="0"/>
        <v>0</v>
      </c>
      <c r="K4" s="32">
        <f>Data!BG3</f>
        <v>28</v>
      </c>
      <c r="L4" s="32">
        <f>Data!BX3</f>
        <v>0</v>
      </c>
      <c r="M4" s="32">
        <f>Data!BR3</f>
        <v>0</v>
      </c>
      <c r="N4" s="41">
        <f>Data!AA3</f>
        <v>26654</v>
      </c>
      <c r="O4" s="255">
        <f>Data!CG3</f>
        <v>0</v>
      </c>
      <c r="P4" s="78">
        <f>Data!CH3</f>
        <v>0</v>
      </c>
      <c r="Q4" s="32">
        <f ca="1">F4+(I4-G4)*$V$20+(J4-H4)*$V$21</f>
        <v>20846193.940831646</v>
      </c>
      <c r="R4" s="145">
        <f t="shared" ref="R4:R67" ca="1" si="3">Q4-E4</f>
        <v>20822986.195506323</v>
      </c>
      <c r="S4" s="32">
        <f t="shared" ref="S4:S67" ca="1" si="4">+Q4-F4</f>
        <v>-1464335.5944937021</v>
      </c>
      <c r="T4" s="50">
        <f t="shared" ref="T4:T67" ca="1" si="5">ABS(S4/F4)</f>
        <v>6.5634282331808763E-2</v>
      </c>
      <c r="AG4"/>
      <c r="AH4" s="39"/>
      <c r="AI4" s="51"/>
      <c r="AJ4" s="74"/>
      <c r="AK4" s="74"/>
      <c r="AL4" s="74"/>
      <c r="AM4" s="197"/>
      <c r="AN4" s="208"/>
      <c r="AO4" s="74"/>
      <c r="AP4" s="197"/>
      <c r="AQ4" s="197"/>
      <c r="AR4" s="68"/>
      <c r="AS4" s="68"/>
      <c r="AT4" s="5"/>
    </row>
    <row r="5" spans="1:47" x14ac:dyDescent="0.2">
      <c r="A5" s="2">
        <v>40603</v>
      </c>
      <c r="B5">
        <f t="shared" si="1"/>
        <v>2011</v>
      </c>
      <c r="C5">
        <f t="shared" si="2"/>
        <v>3</v>
      </c>
      <c r="D5" s="151">
        <f>Data!D4</f>
        <v>20538303.360000029</v>
      </c>
      <c r="E5" s="151">
        <f>Data!E4</f>
        <v>23207.745325324893</v>
      </c>
      <c r="F5" s="151">
        <f>Data!F4</f>
        <v>20561511.105325352</v>
      </c>
      <c r="G5" s="129">
        <f>Data!AP4</f>
        <v>510.79999999999995</v>
      </c>
      <c r="H5" s="129">
        <f>Data!AQ4</f>
        <v>0</v>
      </c>
      <c r="I5" s="146">
        <f t="shared" ca="1" si="0"/>
        <v>461.49315789473712</v>
      </c>
      <c r="J5" s="146">
        <f t="shared" ca="1" si="0"/>
        <v>0.17368421052631611</v>
      </c>
      <c r="K5" s="32">
        <f>Data!BG4</f>
        <v>31</v>
      </c>
      <c r="L5" s="32">
        <f>Data!BX4</f>
        <v>1</v>
      </c>
      <c r="M5" s="32">
        <f>Data!BR4</f>
        <v>0</v>
      </c>
      <c r="N5" s="41">
        <f>Data!AA4</f>
        <v>26750</v>
      </c>
      <c r="O5" s="255">
        <f>Data!CG4</f>
        <v>0</v>
      </c>
      <c r="P5" s="78">
        <f>Data!CH4</f>
        <v>0</v>
      </c>
      <c r="Q5" s="32">
        <f ca="1">F5+(I5-G5)*$V$19+(J5-H5)*$V$20</f>
        <v>20139999.746637117</v>
      </c>
      <c r="R5" s="145">
        <f t="shared" ca="1" si="3"/>
        <v>20116792.001311794</v>
      </c>
      <c r="S5" s="32">
        <f t="shared" ca="1" si="4"/>
        <v>-421511.35868823528</v>
      </c>
      <c r="T5" s="50">
        <f t="shared" ca="1" si="5"/>
        <v>2.0500018531180105E-2</v>
      </c>
      <c r="AG5"/>
      <c r="AH5" s="51"/>
      <c r="AI5" s="51"/>
      <c r="AJ5" s="74"/>
      <c r="AK5" s="74"/>
      <c r="AL5" s="74"/>
      <c r="AM5" s="197"/>
      <c r="AN5" s="208"/>
      <c r="AO5" s="74"/>
      <c r="AP5" s="197"/>
      <c r="AQ5" s="197"/>
      <c r="AR5" s="67"/>
      <c r="AS5" s="68"/>
      <c r="AT5" s="5"/>
    </row>
    <row r="6" spans="1:47" ht="12.75" customHeight="1" x14ac:dyDescent="0.2">
      <c r="A6" s="2">
        <v>40634</v>
      </c>
      <c r="B6">
        <f t="shared" si="1"/>
        <v>2011</v>
      </c>
      <c r="C6">
        <f t="shared" si="2"/>
        <v>4</v>
      </c>
      <c r="D6" s="151">
        <f>Data!D5</f>
        <v>18173296.59999999</v>
      </c>
      <c r="E6" s="151">
        <f>Data!E5</f>
        <v>23207.745325324893</v>
      </c>
      <c r="F6" s="151">
        <f>Data!F5</f>
        <v>18196504.345325314</v>
      </c>
      <c r="G6" s="129">
        <f>Data!AP5</f>
        <v>272.29999999999995</v>
      </c>
      <c r="H6" s="129">
        <f>Data!AQ5</f>
        <v>0</v>
      </c>
      <c r="I6" s="146">
        <f t="shared" ca="1" si="0"/>
        <v>285.02368421052643</v>
      </c>
      <c r="J6" s="146">
        <f t="shared" ca="1" si="0"/>
        <v>0</v>
      </c>
      <c r="K6" s="32">
        <f>Data!BG5</f>
        <v>30</v>
      </c>
      <c r="L6" s="32">
        <f>Data!BX5</f>
        <v>1</v>
      </c>
      <c r="M6" s="32">
        <f>Data!BR5</f>
        <v>0</v>
      </c>
      <c r="N6" s="41">
        <f>Data!AA5</f>
        <v>26846</v>
      </c>
      <c r="O6" s="255">
        <f>Data!CG5</f>
        <v>0</v>
      </c>
      <c r="P6" s="78">
        <f>Data!CH5</f>
        <v>0</v>
      </c>
      <c r="Q6" s="32">
        <f t="shared" ref="Q6:Q69" ca="1" si="6">F6+(I6-G6)*$V$19+(J6-H6)*$V$20</f>
        <v>18307648.212177128</v>
      </c>
      <c r="R6" s="145">
        <f t="shared" ca="1" si="3"/>
        <v>18284440.466851804</v>
      </c>
      <c r="S6" s="32">
        <f t="shared" ca="1" si="4"/>
        <v>111143.86685181409</v>
      </c>
      <c r="T6" s="50">
        <f t="shared" ca="1" si="5"/>
        <v>6.1079790240243029E-3</v>
      </c>
      <c r="AG6"/>
      <c r="AI6" s="74"/>
      <c r="AJ6" s="69"/>
      <c r="AL6" s="39"/>
      <c r="AN6" s="209"/>
      <c r="AO6" s="209"/>
      <c r="AP6" s="5"/>
      <c r="AQ6" s="5"/>
      <c r="AR6" s="5"/>
      <c r="AS6" s="5"/>
      <c r="AT6" s="5"/>
      <c r="AU6" s="28"/>
    </row>
    <row r="7" spans="1:47" x14ac:dyDescent="0.2">
      <c r="A7" s="2">
        <v>40664</v>
      </c>
      <c r="B7">
        <f t="shared" si="1"/>
        <v>2011</v>
      </c>
      <c r="C7">
        <f t="shared" si="2"/>
        <v>5</v>
      </c>
      <c r="D7" s="151">
        <f>Data!D6</f>
        <v>19219228.860000029</v>
      </c>
      <c r="E7" s="151">
        <f>Data!E6</f>
        <v>23207.745325324893</v>
      </c>
      <c r="F7" s="151">
        <f>Data!F6</f>
        <v>19242436.605325352</v>
      </c>
      <c r="G7" s="129">
        <f>Data!AP6</f>
        <v>87.4</v>
      </c>
      <c r="H7" s="129">
        <f>Data!AQ6</f>
        <v>28.3</v>
      </c>
      <c r="I7" s="146">
        <f t="shared" ca="1" si="0"/>
        <v>92.127894736842109</v>
      </c>
      <c r="J7" s="146">
        <f t="shared" ca="1" si="0"/>
        <v>50.712631578947821</v>
      </c>
      <c r="K7" s="32">
        <f>Data!BG6</f>
        <v>31</v>
      </c>
      <c r="L7" s="32">
        <f>Data!BX6</f>
        <v>1</v>
      </c>
      <c r="M7" s="32">
        <f>Data!BR6</f>
        <v>0</v>
      </c>
      <c r="N7" s="41">
        <f>Data!AA6</f>
        <v>26969</v>
      </c>
      <c r="O7" s="255">
        <f>Data!CG6</f>
        <v>0</v>
      </c>
      <c r="P7" s="78">
        <f>Data!CH6</f>
        <v>0</v>
      </c>
      <c r="Q7" s="32">
        <f t="shared" ca="1" si="6"/>
        <v>20470092.124704909</v>
      </c>
      <c r="R7" s="145">
        <f t="shared" ca="1" si="3"/>
        <v>20446884.379379585</v>
      </c>
      <c r="S7" s="32">
        <f t="shared" ca="1" si="4"/>
        <v>1227655.5193795562</v>
      </c>
      <c r="T7" s="50">
        <f t="shared" ca="1" si="5"/>
        <v>6.3799379702246334E-2</v>
      </c>
      <c r="AG7"/>
      <c r="AI7" s="74"/>
      <c r="AJ7" s="69"/>
      <c r="AK7" s="39"/>
      <c r="AL7" s="39"/>
      <c r="AN7" s="209"/>
      <c r="AO7" s="209"/>
      <c r="AP7" s="5"/>
      <c r="AQ7" s="5"/>
      <c r="AR7" s="5"/>
      <c r="AS7" s="5"/>
      <c r="AT7" s="5"/>
      <c r="AU7" s="28"/>
    </row>
    <row r="8" spans="1:47" x14ac:dyDescent="0.2">
      <c r="A8" s="2">
        <v>40695</v>
      </c>
      <c r="B8">
        <f t="shared" si="1"/>
        <v>2011</v>
      </c>
      <c r="C8">
        <f t="shared" si="2"/>
        <v>6</v>
      </c>
      <c r="D8" s="151">
        <f>Data!D7</f>
        <v>23432000.140000012</v>
      </c>
      <c r="E8" s="151">
        <f>Data!E7</f>
        <v>23207.745325324893</v>
      </c>
      <c r="F8" s="151">
        <f>Data!F7</f>
        <v>23455207.885325335</v>
      </c>
      <c r="G8" s="129">
        <f>Data!AP7</f>
        <v>4.7999999999999989</v>
      </c>
      <c r="H8" s="129">
        <f>Data!AQ7</f>
        <v>97.999999999999986</v>
      </c>
      <c r="I8" s="146">
        <f t="shared" ca="1" si="0"/>
        <v>6.5805263157894842</v>
      </c>
      <c r="J8" s="146">
        <f t="shared" ca="1" si="0"/>
        <v>122.87210526315789</v>
      </c>
      <c r="K8" s="32">
        <f>Data!BG7</f>
        <v>30</v>
      </c>
      <c r="L8" s="32">
        <f>Data!BX7</f>
        <v>0</v>
      </c>
      <c r="M8" s="32">
        <f>Data!BR7</f>
        <v>0</v>
      </c>
      <c r="N8" s="41">
        <f>Data!AA7</f>
        <v>27068</v>
      </c>
      <c r="O8" s="255">
        <f>Data!CG7</f>
        <v>0</v>
      </c>
      <c r="P8" s="78">
        <f>Data!CH7</f>
        <v>0</v>
      </c>
      <c r="Q8" s="32">
        <f t="shared" ca="1" si="6"/>
        <v>24787303.63626118</v>
      </c>
      <c r="R8" s="145">
        <f t="shared" ca="1" si="3"/>
        <v>24764095.890935857</v>
      </c>
      <c r="S8" s="32">
        <f t="shared" ca="1" si="4"/>
        <v>1332095.7509358451</v>
      </c>
      <c r="T8" s="50">
        <f t="shared" ca="1" si="5"/>
        <v>5.6793176059175582E-2</v>
      </c>
      <c r="AG8"/>
      <c r="AI8" s="74"/>
      <c r="AJ8" s="69"/>
      <c r="AK8" s="39"/>
      <c r="AL8" s="39"/>
      <c r="AN8" s="209"/>
      <c r="AO8" s="209"/>
      <c r="AP8" s="5"/>
      <c r="AQ8" s="5"/>
      <c r="AR8" s="5"/>
      <c r="AS8" s="5"/>
      <c r="AT8" s="5"/>
      <c r="AU8" s="28"/>
    </row>
    <row r="9" spans="1:47" x14ac:dyDescent="0.2">
      <c r="A9" s="2">
        <v>40725</v>
      </c>
      <c r="B9">
        <f t="shared" si="1"/>
        <v>2011</v>
      </c>
      <c r="C9">
        <f t="shared" si="2"/>
        <v>7</v>
      </c>
      <c r="D9" s="151">
        <f>Data!D8</f>
        <v>29858048.27999996</v>
      </c>
      <c r="E9" s="151">
        <f>Data!E8</f>
        <v>23207.745325324893</v>
      </c>
      <c r="F9" s="151">
        <f>Data!F8</f>
        <v>29881256.025325283</v>
      </c>
      <c r="G9" s="129">
        <f>Data!AP8</f>
        <v>0</v>
      </c>
      <c r="H9" s="129">
        <f>Data!AQ8</f>
        <v>260.30000000000007</v>
      </c>
      <c r="I9" s="146">
        <f t="shared" ca="1" si="0"/>
        <v>0</v>
      </c>
      <c r="J9" s="146">
        <f t="shared" ca="1" si="0"/>
        <v>211.7568421052631</v>
      </c>
      <c r="K9" s="32">
        <f>Data!BG8</f>
        <v>31</v>
      </c>
      <c r="L9" s="32">
        <f>Data!BX8</f>
        <v>0</v>
      </c>
      <c r="M9" s="32">
        <f>Data!BR8</f>
        <v>0</v>
      </c>
      <c r="N9" s="41">
        <f>Data!AA8</f>
        <v>27119</v>
      </c>
      <c r="O9" s="255">
        <f>Data!CG8</f>
        <v>0</v>
      </c>
      <c r="P9" s="78">
        <f>Data!CH8</f>
        <v>0</v>
      </c>
      <c r="Q9" s="32">
        <f t="shared" ca="1" si="6"/>
        <v>27311745.722229078</v>
      </c>
      <c r="R9" s="145">
        <f t="shared" ca="1" si="3"/>
        <v>27288537.976903755</v>
      </c>
      <c r="S9" s="32">
        <f t="shared" ca="1" si="4"/>
        <v>-2569510.303096205</v>
      </c>
      <c r="T9" s="50">
        <f t="shared" ca="1" si="5"/>
        <v>8.5990706043898094E-2</v>
      </c>
      <c r="AG9"/>
      <c r="AI9" s="74"/>
      <c r="AJ9" s="69"/>
      <c r="AK9" s="39"/>
      <c r="AL9" s="39"/>
      <c r="AN9" s="209"/>
      <c r="AO9" s="209"/>
      <c r="AP9" s="5"/>
      <c r="AQ9" s="5"/>
      <c r="AR9" s="5"/>
      <c r="AS9" s="5"/>
      <c r="AT9" s="5"/>
      <c r="AU9" s="28"/>
    </row>
    <row r="10" spans="1:47" x14ac:dyDescent="0.2">
      <c r="A10" s="2">
        <v>40756</v>
      </c>
      <c r="B10">
        <f t="shared" si="1"/>
        <v>2011</v>
      </c>
      <c r="C10">
        <f t="shared" si="2"/>
        <v>8</v>
      </c>
      <c r="D10" s="151">
        <f>Data!D9</f>
        <v>28097294.710000008</v>
      </c>
      <c r="E10" s="151">
        <f>Data!E9</f>
        <v>23207.745325324893</v>
      </c>
      <c r="F10" s="151">
        <f>Data!F9</f>
        <v>28120502.455325332</v>
      </c>
      <c r="G10" s="129">
        <f>Data!AP9</f>
        <v>0</v>
      </c>
      <c r="H10" s="129">
        <f>Data!AQ9</f>
        <v>184.2</v>
      </c>
      <c r="I10" s="146">
        <f t="shared" ca="1" si="0"/>
        <v>0.34105263157894772</v>
      </c>
      <c r="J10" s="146">
        <f t="shared" ca="1" si="0"/>
        <v>191.39947368421053</v>
      </c>
      <c r="K10" s="32">
        <f>Data!BG9</f>
        <v>31</v>
      </c>
      <c r="L10" s="32">
        <f>Data!BX9</f>
        <v>0</v>
      </c>
      <c r="M10" s="32">
        <f>Data!BR9</f>
        <v>0</v>
      </c>
      <c r="N10" s="41">
        <f>Data!AA9</f>
        <v>27177</v>
      </c>
      <c r="O10" s="255">
        <f>Data!CG9</f>
        <v>0</v>
      </c>
      <c r="P10" s="78">
        <f>Data!CH9</f>
        <v>0</v>
      </c>
      <c r="Q10" s="32">
        <f t="shared" ca="1" si="6"/>
        <v>28504567.697822571</v>
      </c>
      <c r="R10" s="145">
        <f t="shared" ca="1" si="3"/>
        <v>28481359.952497248</v>
      </c>
      <c r="S10" s="32">
        <f t="shared" ca="1" si="4"/>
        <v>384065.24249723926</v>
      </c>
      <c r="T10" s="50">
        <f t="shared" ca="1" si="5"/>
        <v>1.3657837128173603E-2</v>
      </c>
      <c r="AG10"/>
      <c r="AI10" s="74"/>
      <c r="AJ10" s="69"/>
      <c r="AK10" s="39"/>
      <c r="AL10" s="39"/>
      <c r="AN10" s="209"/>
      <c r="AO10" s="209"/>
      <c r="AP10" s="5"/>
      <c r="AQ10" s="5"/>
      <c r="AR10" s="5"/>
      <c r="AS10" s="5"/>
      <c r="AT10" s="5"/>
      <c r="AU10" s="28"/>
    </row>
    <row r="11" spans="1:47" x14ac:dyDescent="0.2">
      <c r="A11" s="2">
        <v>40787</v>
      </c>
      <c r="B11">
        <f t="shared" si="1"/>
        <v>2011</v>
      </c>
      <c r="C11">
        <f t="shared" si="2"/>
        <v>9</v>
      </c>
      <c r="D11" s="151">
        <f>Data!D10</f>
        <v>19896374.790000003</v>
      </c>
      <c r="E11" s="151">
        <f>Data!E10</f>
        <v>23207.745325324893</v>
      </c>
      <c r="F11" s="151">
        <f>Data!F10</f>
        <v>19919582.535325326</v>
      </c>
      <c r="G11" s="129">
        <f>Data!AP10</f>
        <v>22.400000000000006</v>
      </c>
      <c r="H11" s="129">
        <f>Data!AQ10</f>
        <v>73.7</v>
      </c>
      <c r="I11" s="146">
        <f t="shared" ca="1" si="0"/>
        <v>26.567368421052606</v>
      </c>
      <c r="J11" s="146">
        <f t="shared" ca="1" si="0"/>
        <v>77.107368421052627</v>
      </c>
      <c r="K11" s="32">
        <f>Data!BG10</f>
        <v>30</v>
      </c>
      <c r="L11" s="32">
        <f>Data!BX10</f>
        <v>1</v>
      </c>
      <c r="M11" s="32">
        <f>Data!BR10</f>
        <v>1</v>
      </c>
      <c r="N11" s="41">
        <f>Data!AA10</f>
        <v>27326</v>
      </c>
      <c r="O11" s="255">
        <f>Data!CG10</f>
        <v>0</v>
      </c>
      <c r="P11" s="78">
        <f>Data!CH10</f>
        <v>0</v>
      </c>
      <c r="Q11" s="32">
        <f t="shared" ca="1" si="6"/>
        <v>20136345.813199002</v>
      </c>
      <c r="R11" s="145">
        <f t="shared" ca="1" si="3"/>
        <v>20113138.067873679</v>
      </c>
      <c r="S11" s="32">
        <f t="shared" ca="1" si="4"/>
        <v>216763.27787367627</v>
      </c>
      <c r="T11" s="50">
        <f t="shared" ca="1" si="5"/>
        <v>1.088191870935392E-2</v>
      </c>
      <c r="AG11"/>
      <c r="AI11" s="74"/>
      <c r="AJ11" s="69"/>
      <c r="AK11" s="39"/>
      <c r="AL11" s="39"/>
      <c r="AN11" s="209"/>
      <c r="AO11" s="209"/>
      <c r="AP11" s="5"/>
      <c r="AQ11" s="5"/>
      <c r="AR11" s="5"/>
      <c r="AS11" s="5"/>
      <c r="AT11" s="5"/>
      <c r="AU11" s="28"/>
    </row>
    <row r="12" spans="1:47" ht="13.5" customHeight="1" x14ac:dyDescent="0.2">
      <c r="A12" s="2">
        <v>40817</v>
      </c>
      <c r="B12">
        <f t="shared" si="1"/>
        <v>2011</v>
      </c>
      <c r="C12">
        <f t="shared" si="2"/>
        <v>10</v>
      </c>
      <c r="D12" s="151">
        <f>Data!D11</f>
        <v>18244566.349999983</v>
      </c>
      <c r="E12" s="151">
        <f>Data!E11</f>
        <v>23207.745325324893</v>
      </c>
      <c r="F12" s="151">
        <f>Data!F11</f>
        <v>18267774.095325306</v>
      </c>
      <c r="G12" s="129">
        <f>Data!AP11</f>
        <v>180.70000000000002</v>
      </c>
      <c r="H12" s="129">
        <f>Data!AQ11</f>
        <v>9.6999999999999957</v>
      </c>
      <c r="I12" s="146">
        <f t="shared" ca="1" si="0"/>
        <v>154.52315789473778</v>
      </c>
      <c r="J12" s="146">
        <f t="shared" ca="1" si="0"/>
        <v>10.628421052631595</v>
      </c>
      <c r="K12" s="32">
        <f>Data!BG11</f>
        <v>31</v>
      </c>
      <c r="L12" s="32">
        <f>Data!BX11</f>
        <v>1</v>
      </c>
      <c r="M12" s="32">
        <f>Data!BR11</f>
        <v>0</v>
      </c>
      <c r="N12" s="41">
        <f>Data!AA11</f>
        <v>27440</v>
      </c>
      <c r="O12" s="255">
        <f>Data!CG11</f>
        <v>0</v>
      </c>
      <c r="P12" s="78">
        <f>Data!CH11</f>
        <v>0</v>
      </c>
      <c r="Q12" s="32">
        <f t="shared" ca="1" si="6"/>
        <v>18088257.906181265</v>
      </c>
      <c r="R12" s="145">
        <f t="shared" ca="1" si="3"/>
        <v>18065050.160855941</v>
      </c>
      <c r="S12" s="32">
        <f t="shared" ca="1" si="4"/>
        <v>-179516.18914404139</v>
      </c>
      <c r="T12" s="50">
        <f t="shared" ca="1" si="5"/>
        <v>9.8269328385213219E-3</v>
      </c>
      <c r="V12" t="s">
        <v>356</v>
      </c>
      <c r="AA12" s="315" t="s">
        <v>349</v>
      </c>
      <c r="AG12"/>
      <c r="AI12" s="74"/>
      <c r="AJ12" s="69"/>
      <c r="AK12" s="39"/>
      <c r="AL12" s="39"/>
      <c r="AN12" s="209"/>
      <c r="AO12" s="209"/>
      <c r="AP12" s="5"/>
      <c r="AQ12" s="5"/>
      <c r="AR12" s="5"/>
      <c r="AS12" s="5"/>
      <c r="AT12" s="5"/>
      <c r="AU12" s="28"/>
    </row>
    <row r="13" spans="1:47" x14ac:dyDescent="0.2">
      <c r="A13" s="2">
        <v>40848</v>
      </c>
      <c r="B13">
        <f t="shared" si="1"/>
        <v>2011</v>
      </c>
      <c r="C13">
        <f t="shared" si="2"/>
        <v>11</v>
      </c>
      <c r="D13" s="151">
        <f>Data!D12</f>
        <v>20183725.750000019</v>
      </c>
      <c r="E13" s="151">
        <f>Data!E12</f>
        <v>23207.745325324893</v>
      </c>
      <c r="F13" s="151">
        <f>Data!F12</f>
        <v>20206933.495325342</v>
      </c>
      <c r="G13" s="129">
        <f>Data!AP12</f>
        <v>281.89999999999998</v>
      </c>
      <c r="H13" s="129">
        <f>Data!AQ12</f>
        <v>0</v>
      </c>
      <c r="I13" s="146">
        <f t="shared" ca="1" si="0"/>
        <v>363.9931578947369</v>
      </c>
      <c r="J13" s="146">
        <f t="shared" ca="1" si="0"/>
        <v>1.8421052631579116E-2</v>
      </c>
      <c r="K13" s="32">
        <f>Data!BG12</f>
        <v>30</v>
      </c>
      <c r="L13" s="32">
        <f>Data!BX12</f>
        <v>1</v>
      </c>
      <c r="M13" s="32">
        <f>Data!BR12</f>
        <v>0</v>
      </c>
      <c r="N13" s="41">
        <f>Data!AA12</f>
        <v>27703</v>
      </c>
      <c r="O13" s="255">
        <f>Data!CG12</f>
        <v>0</v>
      </c>
      <c r="P13" s="78">
        <f>Data!CH12</f>
        <v>0</v>
      </c>
      <c r="Q13" s="32">
        <f t="shared" ca="1" si="6"/>
        <v>20925008.336721919</v>
      </c>
      <c r="R13" s="145">
        <f t="shared" ca="1" si="3"/>
        <v>20901800.591396596</v>
      </c>
      <c r="S13" s="32">
        <f t="shared" ca="1" si="4"/>
        <v>718074.84139657766</v>
      </c>
      <c r="T13" s="50">
        <f t="shared" ca="1" si="5"/>
        <v>3.553606199390405E-2</v>
      </c>
      <c r="U13" t="s">
        <v>350</v>
      </c>
      <c r="Y13" s="130"/>
      <c r="AA13" s="315" t="s">
        <v>280</v>
      </c>
      <c r="AB13" s="315"/>
      <c r="AC13" s="315"/>
      <c r="AD13" s="315"/>
      <c r="AE13" s="316"/>
      <c r="AG13"/>
      <c r="AI13" s="74"/>
      <c r="AJ13" s="69"/>
      <c r="AK13" s="39"/>
      <c r="AL13" s="39"/>
      <c r="AN13" s="209"/>
      <c r="AO13" s="209"/>
      <c r="AP13" s="5"/>
      <c r="AQ13" s="5"/>
      <c r="AR13" s="5"/>
      <c r="AS13" s="5"/>
      <c r="AT13" s="5"/>
      <c r="AU13" s="28"/>
    </row>
    <row r="14" spans="1:47" ht="13.5" customHeight="1" x14ac:dyDescent="0.2">
      <c r="A14" s="2">
        <v>40878</v>
      </c>
      <c r="B14">
        <f t="shared" si="1"/>
        <v>2011</v>
      </c>
      <c r="C14">
        <f t="shared" si="2"/>
        <v>12</v>
      </c>
      <c r="D14" s="151">
        <f>Data!D13</f>
        <v>25085188.549999982</v>
      </c>
      <c r="E14" s="151">
        <f>Data!E13</f>
        <v>23207.745325324893</v>
      </c>
      <c r="F14" s="151">
        <f>Data!F13</f>
        <v>25108396.295325305</v>
      </c>
      <c r="G14" s="129">
        <f>Data!AP13</f>
        <v>472.00000000000006</v>
      </c>
      <c r="H14" s="129">
        <f>Data!AQ13</f>
        <v>0</v>
      </c>
      <c r="I14" s="146">
        <f t="shared" ca="1" si="0"/>
        <v>499.7842105263162</v>
      </c>
      <c r="J14" s="146">
        <f t="shared" ca="1" si="0"/>
        <v>0</v>
      </c>
      <c r="K14" s="32">
        <f>Data!BG13</f>
        <v>31</v>
      </c>
      <c r="L14" s="32">
        <f>Data!BX13</f>
        <v>0</v>
      </c>
      <c r="M14" s="32">
        <f>Data!BR13</f>
        <v>0</v>
      </c>
      <c r="N14" s="41">
        <f>Data!AA13</f>
        <v>27826</v>
      </c>
      <c r="O14" s="255">
        <f>Data!CG13</f>
        <v>0</v>
      </c>
      <c r="P14" s="78">
        <f>Data!CH13</f>
        <v>0</v>
      </c>
      <c r="Q14" s="32">
        <f t="shared" ca="1" si="6"/>
        <v>25351096.801265627</v>
      </c>
      <c r="R14" s="145">
        <f t="shared" ca="1" si="3"/>
        <v>25327889.055940304</v>
      </c>
      <c r="S14" s="32">
        <f t="shared" ca="1" si="4"/>
        <v>242700.50594032183</v>
      </c>
      <c r="T14" s="50">
        <f t="shared" ca="1" si="5"/>
        <v>9.6661094195612945E-3</v>
      </c>
      <c r="U14" t="s">
        <v>281</v>
      </c>
      <c r="AA14" s="315" t="s">
        <v>281</v>
      </c>
      <c r="AB14" s="315"/>
      <c r="AC14" s="315"/>
      <c r="AD14" s="315"/>
      <c r="AE14" s="315"/>
      <c r="AG14"/>
      <c r="AI14" s="74"/>
      <c r="AJ14" s="69"/>
      <c r="AK14" s="39"/>
      <c r="AL14" s="39"/>
      <c r="AN14" s="209"/>
      <c r="AO14" s="209"/>
      <c r="AP14" s="5"/>
      <c r="AQ14" s="5"/>
      <c r="AR14" s="5"/>
      <c r="AS14" s="5"/>
      <c r="AT14" s="5"/>
      <c r="AU14" s="28"/>
    </row>
    <row r="15" spans="1:47" x14ac:dyDescent="0.2">
      <c r="A15" s="2">
        <v>40909</v>
      </c>
      <c r="B15">
        <f t="shared" si="1"/>
        <v>2012</v>
      </c>
      <c r="C15">
        <f t="shared" si="2"/>
        <v>1</v>
      </c>
      <c r="D15" s="151">
        <f>Data!D14</f>
        <v>22605358.370000012</v>
      </c>
      <c r="E15" s="151">
        <f>Data!E14</f>
        <v>60152.639777244323</v>
      </c>
      <c r="F15" s="151">
        <f>Data!F14</f>
        <v>22665511.009777255</v>
      </c>
      <c r="G15" s="129">
        <f>Data!AP14</f>
        <v>549.1</v>
      </c>
      <c r="H15" s="129">
        <f>Data!AQ14</f>
        <v>0</v>
      </c>
      <c r="I15" s="146">
        <f t="shared" ca="1" si="0"/>
        <v>619.82052631578927</v>
      </c>
      <c r="J15" s="146">
        <f t="shared" ca="1" si="0"/>
        <v>0</v>
      </c>
      <c r="K15" s="32">
        <f>Data!BG14</f>
        <v>31</v>
      </c>
      <c r="L15" s="32">
        <f>Data!BX14</f>
        <v>0</v>
      </c>
      <c r="M15" s="32">
        <f>Data!BR14</f>
        <v>0</v>
      </c>
      <c r="N15" s="41">
        <f>Data!AA14</f>
        <v>27984</v>
      </c>
      <c r="O15" s="255">
        <f>Data!CG14</f>
        <v>0</v>
      </c>
      <c r="P15" s="78">
        <f>Data!CH14</f>
        <v>0</v>
      </c>
      <c r="Q15" s="32">
        <f t="shared" ca="1" si="6"/>
        <v>23283268.620739453</v>
      </c>
      <c r="R15" s="145">
        <f t="shared" ca="1" si="3"/>
        <v>23223115.980962209</v>
      </c>
      <c r="S15" s="32">
        <f t="shared" ca="1" si="4"/>
        <v>617757.61096219718</v>
      </c>
      <c r="T15" s="50">
        <f t="shared" ca="1" si="5"/>
        <v>2.7255401861255815E-2</v>
      </c>
      <c r="U15" t="s">
        <v>351</v>
      </c>
      <c r="AA15" s="315" t="s">
        <v>282</v>
      </c>
      <c r="AB15" s="315"/>
      <c r="AC15" s="315"/>
      <c r="AD15" s="315"/>
      <c r="AE15" s="315"/>
      <c r="AG15"/>
      <c r="AI15" s="74"/>
      <c r="AJ15" s="69"/>
      <c r="AK15" s="39"/>
      <c r="AL15" s="39"/>
      <c r="AN15" s="209"/>
      <c r="AO15" s="209"/>
      <c r="AP15" s="5"/>
      <c r="AQ15" s="5"/>
      <c r="AR15" s="5"/>
      <c r="AS15" s="5"/>
      <c r="AT15" s="5"/>
      <c r="AU15" s="28"/>
    </row>
    <row r="16" spans="1:47" x14ac:dyDescent="0.2">
      <c r="A16" s="2">
        <v>40940</v>
      </c>
      <c r="B16">
        <f t="shared" si="1"/>
        <v>2012</v>
      </c>
      <c r="C16">
        <f t="shared" si="2"/>
        <v>2</v>
      </c>
      <c r="D16" s="151">
        <f>Data!D15</f>
        <v>21671478.420000002</v>
      </c>
      <c r="E16" s="151">
        <f>Data!E15</f>
        <v>60152.639777244323</v>
      </c>
      <c r="F16" s="151">
        <f>Data!F15</f>
        <v>21731631.059777245</v>
      </c>
      <c r="G16" s="129">
        <f>Data!AP15</f>
        <v>473.70000000000005</v>
      </c>
      <c r="H16" s="129">
        <f>Data!AQ15</f>
        <v>0</v>
      </c>
      <c r="I16" s="146">
        <f t="shared" ca="1" si="0"/>
        <v>570.53578947368419</v>
      </c>
      <c r="J16" s="146">
        <f t="shared" ca="1" si="0"/>
        <v>0</v>
      </c>
      <c r="K16" s="32">
        <f>Data!BG15</f>
        <v>29</v>
      </c>
      <c r="L16" s="32">
        <f>Data!BX15</f>
        <v>0</v>
      </c>
      <c r="M16" s="32">
        <f>Data!BR15</f>
        <v>0</v>
      </c>
      <c r="N16" s="41">
        <f>Data!AA15</f>
        <v>28152</v>
      </c>
      <c r="O16" s="255">
        <f>Data!CG15</f>
        <v>0</v>
      </c>
      <c r="P16" s="78">
        <f>Data!CH15</f>
        <v>0</v>
      </c>
      <c r="Q16" s="32">
        <f t="shared" ca="1" si="6"/>
        <v>22577510.595426936</v>
      </c>
      <c r="R16" s="145">
        <f t="shared" ca="1" si="3"/>
        <v>22517357.955649693</v>
      </c>
      <c r="S16" s="32">
        <f t="shared" ca="1" si="4"/>
        <v>845879.53564969078</v>
      </c>
      <c r="T16" s="50">
        <f t="shared" ca="1" si="5"/>
        <v>3.8923886261593897E-2</v>
      </c>
      <c r="AA16" s="315"/>
      <c r="AB16" s="315"/>
      <c r="AC16" s="315"/>
      <c r="AD16" s="315"/>
      <c r="AE16" s="315"/>
      <c r="AG16"/>
      <c r="AI16" s="74"/>
      <c r="AJ16" s="69"/>
      <c r="AK16" s="39"/>
      <c r="AL16" s="39"/>
      <c r="AN16" s="209"/>
      <c r="AO16" s="209"/>
      <c r="AP16" s="5"/>
      <c r="AQ16" s="5"/>
      <c r="AR16" s="5"/>
      <c r="AS16" s="5"/>
      <c r="AT16" s="35"/>
      <c r="AU16" s="28"/>
    </row>
    <row r="17" spans="1:48" x14ac:dyDescent="0.2">
      <c r="A17" s="2">
        <v>40969</v>
      </c>
      <c r="B17">
        <f t="shared" si="1"/>
        <v>2012</v>
      </c>
      <c r="C17">
        <f t="shared" si="2"/>
        <v>3</v>
      </c>
      <c r="D17" s="151">
        <f>Data!D16</f>
        <v>19949861.740000002</v>
      </c>
      <c r="E17" s="151">
        <f>Data!E16</f>
        <v>60152.639777244323</v>
      </c>
      <c r="F17" s="151">
        <f>Data!F16</f>
        <v>20010014.379777245</v>
      </c>
      <c r="G17" s="129">
        <f>Data!AP16</f>
        <v>290.2</v>
      </c>
      <c r="H17" s="129">
        <f>Data!AQ16</f>
        <v>3</v>
      </c>
      <c r="I17" s="146">
        <f t="shared" ca="1" si="0"/>
        <v>461.49315789473712</v>
      </c>
      <c r="J17" s="146">
        <f t="shared" ca="1" si="0"/>
        <v>0.17368421052631611</v>
      </c>
      <c r="K17" s="32">
        <f>Data!BG16</f>
        <v>31</v>
      </c>
      <c r="L17" s="32">
        <f>Data!BX16</f>
        <v>1</v>
      </c>
      <c r="M17" s="32">
        <f>Data!BR16</f>
        <v>0</v>
      </c>
      <c r="N17" s="41">
        <f>Data!AA16</f>
        <v>28320</v>
      </c>
      <c r="O17" s="255">
        <f>Data!CG16</f>
        <v>0</v>
      </c>
      <c r="P17" s="78">
        <f>Data!CH16</f>
        <v>0</v>
      </c>
      <c r="Q17" s="32">
        <f t="shared" ca="1" si="6"/>
        <v>21356689.634971894</v>
      </c>
      <c r="R17" s="145">
        <f t="shared" ca="1" si="3"/>
        <v>21296536.995194651</v>
      </c>
      <c r="S17" s="32">
        <f t="shared" ca="1" si="4"/>
        <v>1346675.2551946491</v>
      </c>
      <c r="T17" s="50">
        <f t="shared" ca="1" si="5"/>
        <v>6.7300064339565979E-2</v>
      </c>
      <c r="V17" t="s">
        <v>135</v>
      </c>
      <c r="W17" t="s">
        <v>136</v>
      </c>
      <c r="X17" t="s">
        <v>137</v>
      </c>
      <c r="Y17" t="s">
        <v>138</v>
      </c>
      <c r="AA17" s="315"/>
      <c r="AB17" s="315" t="s">
        <v>135</v>
      </c>
      <c r="AC17" s="315" t="s">
        <v>136</v>
      </c>
      <c r="AD17" s="315" t="s">
        <v>137</v>
      </c>
      <c r="AE17" s="315" t="s">
        <v>138</v>
      </c>
      <c r="AG17"/>
      <c r="AI17" s="74"/>
      <c r="AJ17" s="69"/>
      <c r="AK17" s="39"/>
      <c r="AL17" s="39"/>
      <c r="AN17" s="209"/>
      <c r="AO17" s="209"/>
      <c r="AP17" s="5"/>
      <c r="AQ17" s="5"/>
      <c r="AR17" s="5"/>
      <c r="AS17" s="5"/>
      <c r="AT17" s="5"/>
      <c r="AU17" s="28"/>
    </row>
    <row r="18" spans="1:48" x14ac:dyDescent="0.2">
      <c r="A18" s="2">
        <v>41000</v>
      </c>
      <c r="B18">
        <f t="shared" si="1"/>
        <v>2012</v>
      </c>
      <c r="C18">
        <f t="shared" si="2"/>
        <v>4</v>
      </c>
      <c r="D18" s="151">
        <f>Data!D17</f>
        <v>18851854.700000014</v>
      </c>
      <c r="E18" s="151">
        <f>Data!E17</f>
        <v>60152.639777244323</v>
      </c>
      <c r="F18" s="151">
        <f>Data!F17</f>
        <v>18912007.339777257</v>
      </c>
      <c r="G18" s="129">
        <f>Data!AP17</f>
        <v>263.10000000000002</v>
      </c>
      <c r="H18" s="129">
        <f>Data!AQ17</f>
        <v>1.3999999999999986</v>
      </c>
      <c r="I18" s="146">
        <f t="shared" ca="1" si="0"/>
        <v>285.02368421052643</v>
      </c>
      <c r="J18" s="146">
        <f t="shared" ca="1" si="0"/>
        <v>0</v>
      </c>
      <c r="K18" s="32">
        <f>Data!BG17</f>
        <v>30</v>
      </c>
      <c r="L18" s="32">
        <f>Data!BX17</f>
        <v>1</v>
      </c>
      <c r="M18" s="32">
        <f>Data!BR17</f>
        <v>0</v>
      </c>
      <c r="N18" s="41">
        <f>Data!AA17</f>
        <v>28570</v>
      </c>
      <c r="O18" s="255">
        <f>Data!CG17</f>
        <v>0</v>
      </c>
      <c r="P18" s="78">
        <f>Data!CH17</f>
        <v>0</v>
      </c>
      <c r="Q18" s="32">
        <f t="shared" ca="1" si="6"/>
        <v>19029409.515231606</v>
      </c>
      <c r="R18" s="145">
        <f t="shared" ca="1" si="3"/>
        <v>18969256.875454362</v>
      </c>
      <c r="S18" s="32">
        <f t="shared" ca="1" si="4"/>
        <v>117402.17545434833</v>
      </c>
      <c r="T18" s="50">
        <f t="shared" ca="1" si="5"/>
        <v>6.2078114366748687E-3</v>
      </c>
      <c r="U18" t="s">
        <v>139</v>
      </c>
      <c r="V18">
        <v>-18892736.902284101</v>
      </c>
      <c r="W18">
        <v>5185536.8876383696</v>
      </c>
      <c r="X18">
        <v>-3.6433521372342099</v>
      </c>
      <c r="Y18">
        <v>3.9520076722873601E-4</v>
      </c>
      <c r="AA18" s="315" t="s">
        <v>139</v>
      </c>
      <c r="AB18" s="315">
        <v>-18893263.306903001</v>
      </c>
      <c r="AC18" s="315">
        <v>5185235.7900725901</v>
      </c>
      <c r="AD18" s="315">
        <v>-3.6436652202152802</v>
      </c>
      <c r="AE18" s="315">
        <v>3.9476725714889698E-4</v>
      </c>
      <c r="AG18"/>
      <c r="AH18" s="51"/>
      <c r="AI18" s="69"/>
      <c r="AJ18" s="70"/>
      <c r="AK18" s="39"/>
      <c r="AN18" s="60"/>
      <c r="AO18" s="71"/>
      <c r="AP18" s="71"/>
      <c r="AQ18" s="71"/>
      <c r="AR18" s="5"/>
      <c r="AS18" s="5"/>
      <c r="AU18" s="28"/>
    </row>
    <row r="19" spans="1:48" x14ac:dyDescent="0.2">
      <c r="A19" s="2">
        <v>41030</v>
      </c>
      <c r="B19">
        <f t="shared" si="1"/>
        <v>2012</v>
      </c>
      <c r="C19">
        <f t="shared" si="2"/>
        <v>5</v>
      </c>
      <c r="D19" s="151">
        <f>Data!D18</f>
        <v>18991152.079999991</v>
      </c>
      <c r="E19" s="151">
        <f>Data!E18</f>
        <v>60152.639777244323</v>
      </c>
      <c r="F19" s="151">
        <f>Data!F18</f>
        <v>19051304.719777234</v>
      </c>
      <c r="G19" s="129">
        <f>Data!AP18</f>
        <v>46.199999999999989</v>
      </c>
      <c r="H19" s="129">
        <f>Data!AQ18</f>
        <v>64.199999999999989</v>
      </c>
      <c r="I19" s="146">
        <f t="shared" ref="I19:J34" ca="1" si="7">I31</f>
        <v>92.127894736842109</v>
      </c>
      <c r="J19" s="146">
        <f t="shared" ca="1" si="7"/>
        <v>50.712631578947821</v>
      </c>
      <c r="K19" s="32">
        <f>Data!BG18</f>
        <v>31</v>
      </c>
      <c r="L19" s="32">
        <f>Data!BX18</f>
        <v>1</v>
      </c>
      <c r="M19" s="32">
        <f>Data!BR18</f>
        <v>0</v>
      </c>
      <c r="N19" s="41">
        <f>Data!AA18</f>
        <v>28755</v>
      </c>
      <c r="O19" s="255">
        <f>Data!CG18</f>
        <v>0</v>
      </c>
      <c r="P19" s="78">
        <f>Data!CH18</f>
        <v>0</v>
      </c>
      <c r="Q19" s="32">
        <f t="shared" ca="1" si="6"/>
        <v>18738573.834030926</v>
      </c>
      <c r="R19" s="145">
        <f t="shared" ca="1" si="3"/>
        <v>18678421.194253683</v>
      </c>
      <c r="S19" s="32">
        <f t="shared" ca="1" si="4"/>
        <v>-312730.88574630767</v>
      </c>
      <c r="T19" s="50">
        <f t="shared" ca="1" si="5"/>
        <v>1.6415195197715803E-2</v>
      </c>
      <c r="U19" t="s">
        <v>113</v>
      </c>
      <c r="V19">
        <v>8735.1953265126594</v>
      </c>
      <c r="W19">
        <v>955.17340067697796</v>
      </c>
      <c r="X19">
        <v>9.1451408930793008</v>
      </c>
      <c r="Y19" s="130">
        <v>1.55543222650303E-15</v>
      </c>
      <c r="AA19" s="315" t="s">
        <v>113</v>
      </c>
      <c r="AB19" s="315">
        <v>8735.5477451992792</v>
      </c>
      <c r="AC19" s="315">
        <v>955.16207542171696</v>
      </c>
      <c r="AD19" s="315">
        <v>9.1456182882286399</v>
      </c>
      <c r="AE19" s="316">
        <v>1.5513487993009601E-15</v>
      </c>
      <c r="AG19"/>
      <c r="AH19" s="74"/>
      <c r="AI19" s="69"/>
      <c r="AJ19" s="51"/>
      <c r="AK19" s="77"/>
      <c r="AL19" s="77"/>
      <c r="AM19" s="1"/>
      <c r="AP19" s="5"/>
      <c r="AQ19" s="5"/>
      <c r="AR19" s="5"/>
      <c r="AS19" s="5"/>
    </row>
    <row r="20" spans="1:48" x14ac:dyDescent="0.2">
      <c r="A20" s="2">
        <v>41061</v>
      </c>
      <c r="B20">
        <f t="shared" si="1"/>
        <v>2012</v>
      </c>
      <c r="C20">
        <f t="shared" si="2"/>
        <v>6</v>
      </c>
      <c r="D20" s="151">
        <f>Data!D19</f>
        <v>27898710.519999996</v>
      </c>
      <c r="E20" s="151">
        <f>Data!E19</f>
        <v>60152.639777244323</v>
      </c>
      <c r="F20" s="151">
        <f>Data!F19</f>
        <v>27958863.159777239</v>
      </c>
      <c r="G20" s="129">
        <f>Data!AP19</f>
        <v>9.6</v>
      </c>
      <c r="H20" s="129">
        <f>Data!AQ19</f>
        <v>148</v>
      </c>
      <c r="I20" s="146">
        <f t="shared" ca="1" si="7"/>
        <v>6.5805263157894842</v>
      </c>
      <c r="J20" s="146">
        <f t="shared" ca="1" si="7"/>
        <v>122.87210526315789</v>
      </c>
      <c r="K20" s="32">
        <f>Data!BG19</f>
        <v>30</v>
      </c>
      <c r="L20" s="32">
        <f>Data!BX19</f>
        <v>0</v>
      </c>
      <c r="M20" s="32">
        <f>Data!BR19</f>
        <v>0</v>
      </c>
      <c r="N20" s="41">
        <f>Data!AA19</f>
        <v>28856</v>
      </c>
      <c r="O20" s="255">
        <f>Data!CG19</f>
        <v>0</v>
      </c>
      <c r="P20" s="78">
        <f>Data!CH19</f>
        <v>0</v>
      </c>
      <c r="Q20" s="32">
        <f t="shared" ca="1" si="6"/>
        <v>26602405.387382329</v>
      </c>
      <c r="R20" s="145">
        <f t="shared" ca="1" si="3"/>
        <v>26542252.747605085</v>
      </c>
      <c r="S20" s="32">
        <f t="shared" ca="1" si="4"/>
        <v>-1356457.7723949105</v>
      </c>
      <c r="T20" s="50">
        <f t="shared" ca="1" si="5"/>
        <v>4.8516199125948942E-2</v>
      </c>
      <c r="U20" t="s">
        <v>114</v>
      </c>
      <c r="V20">
        <v>52932.491715269898</v>
      </c>
      <c r="W20">
        <v>3453.7667894875899</v>
      </c>
      <c r="X20">
        <v>15.3260179223401</v>
      </c>
      <c r="Y20" s="130">
        <v>2.6275464431370299E-30</v>
      </c>
      <c r="AA20" s="315" t="s">
        <v>114</v>
      </c>
      <c r="AB20" s="315">
        <v>52933.346861410202</v>
      </c>
      <c r="AC20" s="315">
        <v>3453.72029547191</v>
      </c>
      <c r="AD20" s="315">
        <v>15.3264718427864</v>
      </c>
      <c r="AE20" s="316">
        <v>2.6212456298096899E-30</v>
      </c>
      <c r="AG20"/>
      <c r="AH20" s="74"/>
      <c r="AI20" s="212"/>
      <c r="AJ20" s="212"/>
      <c r="AK20" s="39"/>
      <c r="AM20" s="1"/>
      <c r="AP20" s="5"/>
      <c r="AQ20" s="5"/>
      <c r="AR20" s="5"/>
      <c r="AS20" s="5"/>
    </row>
    <row r="21" spans="1:48" x14ac:dyDescent="0.2">
      <c r="A21" s="2">
        <v>41091</v>
      </c>
      <c r="B21">
        <f t="shared" si="1"/>
        <v>2012</v>
      </c>
      <c r="C21">
        <f t="shared" si="2"/>
        <v>7</v>
      </c>
      <c r="D21" s="151">
        <f>Data!D20</f>
        <v>33515927.190000005</v>
      </c>
      <c r="E21" s="151">
        <f>Data!E20</f>
        <v>60152.639777244323</v>
      </c>
      <c r="F21" s="151">
        <f>Data!F20</f>
        <v>33576079.829777248</v>
      </c>
      <c r="G21" s="129">
        <f>Data!AP20</f>
        <v>0</v>
      </c>
      <c r="H21" s="129">
        <f>Data!AQ20</f>
        <v>257.39999999999998</v>
      </c>
      <c r="I21" s="146">
        <f t="shared" ca="1" si="7"/>
        <v>0</v>
      </c>
      <c r="J21" s="146">
        <f t="shared" ca="1" si="7"/>
        <v>211.7568421052631</v>
      </c>
      <c r="K21" s="32">
        <f>Data!BG20</f>
        <v>31</v>
      </c>
      <c r="L21" s="32">
        <f>Data!BX20</f>
        <v>0</v>
      </c>
      <c r="M21" s="32">
        <f>Data!BR20</f>
        <v>0</v>
      </c>
      <c r="N21" s="41">
        <f>Data!AA20</f>
        <v>28963</v>
      </c>
      <c r="O21" s="255">
        <f>Data!CG20</f>
        <v>0</v>
      </c>
      <c r="P21" s="78">
        <f>Data!CH20</f>
        <v>0</v>
      </c>
      <c r="Q21" s="32">
        <f t="shared" ca="1" si="6"/>
        <v>31160073.752655335</v>
      </c>
      <c r="R21" s="145">
        <f t="shared" ca="1" si="3"/>
        <v>31099921.112878092</v>
      </c>
      <c r="S21" s="32">
        <f t="shared" ca="1" si="4"/>
        <v>-2416006.0771219134</v>
      </c>
      <c r="T21" s="50">
        <f t="shared" ca="1" si="5"/>
        <v>7.1956169075439738E-2</v>
      </c>
      <c r="U21" t="s">
        <v>34</v>
      </c>
      <c r="V21">
        <v>700085.65402100503</v>
      </c>
      <c r="W21">
        <v>167164.851737177</v>
      </c>
      <c r="X21">
        <v>4.1879955429967204</v>
      </c>
      <c r="Y21" s="130">
        <v>5.3201429036835201E-5</v>
      </c>
      <c r="AA21" s="315" t="s">
        <v>34</v>
      </c>
      <c r="AB21" s="315">
        <v>700140.39219496294</v>
      </c>
      <c r="AC21" s="315">
        <v>167154.58775368199</v>
      </c>
      <c r="AD21" s="315">
        <v>4.1885801736215802</v>
      </c>
      <c r="AE21" s="316">
        <v>5.3081721144805101E-5</v>
      </c>
      <c r="AG21"/>
      <c r="AH21" s="51"/>
      <c r="AI21" s="69"/>
      <c r="AJ21" s="51"/>
      <c r="AK21" s="39"/>
      <c r="AM21" s="1"/>
      <c r="AP21" s="5"/>
      <c r="AQ21" s="5"/>
      <c r="AR21" s="5"/>
      <c r="AS21" s="5"/>
    </row>
    <row r="22" spans="1:48" x14ac:dyDescent="0.2">
      <c r="A22" s="2">
        <v>41122</v>
      </c>
      <c r="B22">
        <f t="shared" si="1"/>
        <v>2012</v>
      </c>
      <c r="C22">
        <f t="shared" si="2"/>
        <v>8</v>
      </c>
      <c r="D22" s="151">
        <f>Data!D21</f>
        <v>29969286.820000008</v>
      </c>
      <c r="E22" s="151">
        <f>Data!E21</f>
        <v>60152.639777244323</v>
      </c>
      <c r="F22" s="151">
        <f>Data!F21</f>
        <v>30029439.459777251</v>
      </c>
      <c r="G22" s="129">
        <f>Data!AP21</f>
        <v>0</v>
      </c>
      <c r="H22" s="129">
        <f>Data!AQ21</f>
        <v>172.1</v>
      </c>
      <c r="I22" s="146">
        <f t="shared" ca="1" si="7"/>
        <v>0.34105263157894772</v>
      </c>
      <c r="J22" s="146">
        <f t="shared" ca="1" si="7"/>
        <v>191.39947368421053</v>
      </c>
      <c r="K22" s="32">
        <f>Data!BG21</f>
        <v>31</v>
      </c>
      <c r="L22" s="32">
        <f>Data!BX21</f>
        <v>0</v>
      </c>
      <c r="M22" s="32">
        <f>Data!BR21</f>
        <v>0</v>
      </c>
      <c r="N22" s="41">
        <f>Data!AA21</f>
        <v>29039</v>
      </c>
      <c r="O22" s="255">
        <f>Data!CG21</f>
        <v>0</v>
      </c>
      <c r="P22" s="78">
        <f>Data!CH21</f>
        <v>0</v>
      </c>
      <c r="Q22" s="32">
        <f t="shared" ca="1" si="6"/>
        <v>31053987.852029257</v>
      </c>
      <c r="R22" s="145">
        <f t="shared" ca="1" si="3"/>
        <v>30993835.212252013</v>
      </c>
      <c r="S22" s="32">
        <f t="shared" ca="1" si="4"/>
        <v>1024548.3922520056</v>
      </c>
      <c r="T22" s="50">
        <f t="shared" ca="1" si="5"/>
        <v>3.4118132428823077E-2</v>
      </c>
      <c r="U22" t="s">
        <v>51</v>
      </c>
      <c r="V22">
        <v>-2872168.3044731901</v>
      </c>
      <c r="W22">
        <v>364288.28144099098</v>
      </c>
      <c r="X22">
        <v>-7.8843280193146601</v>
      </c>
      <c r="Y22" s="130">
        <v>1.44918884190066E-12</v>
      </c>
      <c r="AA22" s="315" t="s">
        <v>51</v>
      </c>
      <c r="AB22" s="315">
        <v>-2872240.8640193399</v>
      </c>
      <c r="AC22" s="315">
        <v>364282.109347158</v>
      </c>
      <c r="AD22" s="315">
        <v>-7.8846607898663397</v>
      </c>
      <c r="AE22" s="316">
        <v>1.44662653707938E-12</v>
      </c>
      <c r="AG22"/>
      <c r="AH22" s="51"/>
      <c r="AI22" s="69"/>
      <c r="AJ22" s="51"/>
      <c r="AK22" s="39"/>
      <c r="AM22" s="72"/>
      <c r="AN22" s="72"/>
      <c r="AO22" s="72"/>
      <c r="AP22" s="72"/>
      <c r="AQ22" s="72"/>
      <c r="AR22" s="72"/>
      <c r="AS22" s="5"/>
    </row>
    <row r="23" spans="1:48" x14ac:dyDescent="0.2">
      <c r="A23" s="2">
        <v>41153</v>
      </c>
      <c r="B23">
        <f t="shared" si="1"/>
        <v>2012</v>
      </c>
      <c r="C23">
        <f t="shared" si="2"/>
        <v>9</v>
      </c>
      <c r="D23" s="151">
        <f>Data!D22</f>
        <v>21178062.030000005</v>
      </c>
      <c r="E23" s="151">
        <f>Data!E22</f>
        <v>60152.639777244323</v>
      </c>
      <c r="F23" s="151">
        <f>Data!F22</f>
        <v>21238214.669777248</v>
      </c>
      <c r="G23" s="129">
        <f>Data!AP22</f>
        <v>48.300000000000011</v>
      </c>
      <c r="H23" s="129">
        <f>Data!AQ22</f>
        <v>58.899999999999991</v>
      </c>
      <c r="I23" s="146">
        <f t="shared" ca="1" si="7"/>
        <v>26.567368421052606</v>
      </c>
      <c r="J23" s="146">
        <f t="shared" ca="1" si="7"/>
        <v>77.107368421052627</v>
      </c>
      <c r="K23" s="32">
        <f>Data!BG22</f>
        <v>30</v>
      </c>
      <c r="L23" s="32">
        <f>Data!BX22</f>
        <v>1</v>
      </c>
      <c r="M23" s="32">
        <f>Data!BR22</f>
        <v>1</v>
      </c>
      <c r="N23" s="41">
        <f>Data!AA22</f>
        <v>29133</v>
      </c>
      <c r="O23" s="255">
        <f>Data!CG22</f>
        <v>0</v>
      </c>
      <c r="P23" s="78">
        <f>Data!CH22</f>
        <v>0</v>
      </c>
      <c r="Q23" s="32">
        <f t="shared" ca="1" si="6"/>
        <v>22012137.266080242</v>
      </c>
      <c r="R23" s="145">
        <f t="shared" ca="1" si="3"/>
        <v>21951984.626302999</v>
      </c>
      <c r="S23" s="32">
        <f t="shared" ca="1" si="4"/>
        <v>773922.5963029936</v>
      </c>
      <c r="T23" s="50">
        <f t="shared" ca="1" si="5"/>
        <v>3.6440096700044833E-2</v>
      </c>
      <c r="U23" t="s">
        <v>45</v>
      </c>
      <c r="V23">
        <v>1706441.2545030201</v>
      </c>
      <c r="W23">
        <v>497377.36926863599</v>
      </c>
      <c r="X23">
        <v>3.43087836306715</v>
      </c>
      <c r="Y23" s="130">
        <v>8.1974804307166204E-4</v>
      </c>
      <c r="AA23" s="315" t="s">
        <v>45</v>
      </c>
      <c r="AB23" s="315">
        <v>1706351.3837903</v>
      </c>
      <c r="AC23" s="315">
        <v>497363.92251725</v>
      </c>
      <c r="AD23" s="315">
        <v>3.4307904263625302</v>
      </c>
      <c r="AE23" s="316">
        <v>8.1999039110360495E-4</v>
      </c>
      <c r="AG23"/>
      <c r="AH23" s="51"/>
      <c r="AI23" s="69"/>
      <c r="AJ23" s="51"/>
      <c r="AK23" s="39"/>
      <c r="AM23" s="72"/>
      <c r="AN23" s="72"/>
      <c r="AO23" s="72"/>
      <c r="AP23" s="72"/>
      <c r="AQ23" s="72"/>
      <c r="AR23" s="72"/>
      <c r="AS23" s="5"/>
    </row>
    <row r="24" spans="1:48" x14ac:dyDescent="0.2">
      <c r="A24" s="2">
        <v>41183</v>
      </c>
      <c r="B24">
        <f t="shared" si="1"/>
        <v>2012</v>
      </c>
      <c r="C24">
        <f t="shared" si="2"/>
        <v>10</v>
      </c>
      <c r="D24" s="151">
        <f>Data!D23</f>
        <v>19579886.000000007</v>
      </c>
      <c r="E24" s="151">
        <f>Data!E23</f>
        <v>60152.639777244323</v>
      </c>
      <c r="F24" s="151">
        <f>Data!F23</f>
        <v>19640038.639777251</v>
      </c>
      <c r="G24" s="129">
        <f>Data!AP23</f>
        <v>183.9</v>
      </c>
      <c r="H24" s="129">
        <f>Data!AQ23</f>
        <v>4.5</v>
      </c>
      <c r="I24" s="146">
        <f t="shared" ca="1" si="7"/>
        <v>154.52315789473778</v>
      </c>
      <c r="J24" s="146">
        <f t="shared" ca="1" si="7"/>
        <v>10.628421052631595</v>
      </c>
      <c r="K24" s="32">
        <f>Data!BG23</f>
        <v>31</v>
      </c>
      <c r="L24" s="32">
        <f>Data!BX23</f>
        <v>1</v>
      </c>
      <c r="M24" s="32">
        <f>Data!BR23</f>
        <v>0</v>
      </c>
      <c r="N24" s="41">
        <f>Data!AA23</f>
        <v>29289</v>
      </c>
      <c r="O24" s="255">
        <f>Data!CG23</f>
        <v>0</v>
      </c>
      <c r="P24" s="78">
        <f>Data!CH23</f>
        <v>0</v>
      </c>
      <c r="Q24" s="32">
        <f t="shared" ca="1" si="6"/>
        <v>19707818.78250777</v>
      </c>
      <c r="R24" s="145">
        <f t="shared" ca="1" si="3"/>
        <v>19647666.142730527</v>
      </c>
      <c r="S24" s="32">
        <f t="shared" ca="1" si="4"/>
        <v>67780.142730519176</v>
      </c>
      <c r="T24" s="50">
        <f t="shared" ca="1" si="5"/>
        <v>3.4511206405288372E-3</v>
      </c>
      <c r="U24" t="s">
        <v>26</v>
      </c>
      <c r="V24">
        <v>588.50630558987302</v>
      </c>
      <c r="W24">
        <v>38.0701712054043</v>
      </c>
      <c r="X24">
        <v>15.458462280472499</v>
      </c>
      <c r="Y24" s="130">
        <v>1.3053892766067999E-30</v>
      </c>
      <c r="AA24" s="315" t="s">
        <v>26</v>
      </c>
      <c r="AB24" s="315">
        <v>588.46728649549095</v>
      </c>
      <c r="AC24" s="315">
        <v>38.071823410709797</v>
      </c>
      <c r="AD24" s="315">
        <v>15.456766547460701</v>
      </c>
      <c r="AE24" s="316">
        <v>1.31711731993705E-30</v>
      </c>
      <c r="AG24"/>
      <c r="AH24" s="51"/>
      <c r="AI24" s="69"/>
      <c r="AJ24" s="51"/>
      <c r="AK24" s="39"/>
      <c r="AM24" s="204"/>
      <c r="AN24" s="204"/>
      <c r="AO24" s="204"/>
      <c r="AP24" s="67"/>
      <c r="AQ24" s="67"/>
      <c r="AR24" s="67"/>
      <c r="AS24" s="5"/>
    </row>
    <row r="25" spans="1:48" x14ac:dyDescent="0.2">
      <c r="A25" s="2">
        <v>41214</v>
      </c>
      <c r="B25">
        <f t="shared" si="1"/>
        <v>2012</v>
      </c>
      <c r="C25">
        <f t="shared" si="2"/>
        <v>11</v>
      </c>
      <c r="D25" s="151">
        <f>Data!D24</f>
        <v>21421956.510000002</v>
      </c>
      <c r="E25" s="151">
        <f>Data!E24</f>
        <v>60152.639777244323</v>
      </c>
      <c r="F25" s="151">
        <f>Data!F24</f>
        <v>21482109.149777245</v>
      </c>
      <c r="G25" s="129">
        <f>Data!AP24</f>
        <v>373.99999999999994</v>
      </c>
      <c r="H25" s="129">
        <f>Data!AQ24</f>
        <v>0</v>
      </c>
      <c r="I25" s="146">
        <f t="shared" ca="1" si="7"/>
        <v>363.9931578947369</v>
      </c>
      <c r="J25" s="146">
        <f t="shared" ca="1" si="7"/>
        <v>1.8421052631579116E-2</v>
      </c>
      <c r="K25" s="32">
        <f>Data!BG24</f>
        <v>30</v>
      </c>
      <c r="L25" s="32">
        <f>Data!BX24</f>
        <v>1</v>
      </c>
      <c r="M25" s="32">
        <f>Data!BR24</f>
        <v>0</v>
      </c>
      <c r="N25" s="41">
        <f>Data!AA24</f>
        <v>29378</v>
      </c>
      <c r="O25" s="255">
        <f>Data!CG24</f>
        <v>0</v>
      </c>
      <c r="P25" s="78">
        <f>Data!CH24</f>
        <v>0</v>
      </c>
      <c r="Q25" s="32">
        <f t="shared" ca="1" si="6"/>
        <v>21395672.501602009</v>
      </c>
      <c r="R25" s="145">
        <f t="shared" ca="1" si="3"/>
        <v>21335519.861824766</v>
      </c>
      <c r="S25" s="32">
        <f t="shared" ca="1" si="4"/>
        <v>-86436.648175235838</v>
      </c>
      <c r="T25" s="50">
        <f t="shared" ca="1" si="5"/>
        <v>4.0236574338480225E-3</v>
      </c>
      <c r="U25" t="s">
        <v>283</v>
      </c>
      <c r="V25">
        <v>3583.1468978574599</v>
      </c>
      <c r="W25">
        <v>1128.5185962640501</v>
      </c>
      <c r="X25">
        <v>3.1750889260659498</v>
      </c>
      <c r="Y25">
        <v>1.8932264723428699E-3</v>
      </c>
      <c r="AA25" s="315" t="s">
        <v>283</v>
      </c>
      <c r="AB25" s="315">
        <v>3576.4087557058901</v>
      </c>
      <c r="AC25" s="315">
        <v>1128.55821394485</v>
      </c>
      <c r="AD25" s="315">
        <v>3.1690068899544301</v>
      </c>
      <c r="AE25" s="315">
        <v>1.9302008059125699E-3</v>
      </c>
      <c r="AG25" s="2"/>
      <c r="AH25" s="51"/>
      <c r="AI25" s="69"/>
      <c r="AJ25" s="73"/>
      <c r="AK25" s="2"/>
      <c r="AL25" s="39"/>
      <c r="AO25" s="2"/>
      <c r="AP25" s="74"/>
      <c r="AQ25" s="74"/>
      <c r="AR25" s="74"/>
      <c r="AS25" s="2"/>
      <c r="AT25" s="74"/>
      <c r="AU25" s="74"/>
      <c r="AV25" s="5"/>
    </row>
    <row r="26" spans="1:48" x14ac:dyDescent="0.2">
      <c r="A26" s="2">
        <v>41244</v>
      </c>
      <c r="B26">
        <f t="shared" si="1"/>
        <v>2012</v>
      </c>
      <c r="C26">
        <f t="shared" si="2"/>
        <v>12</v>
      </c>
      <c r="D26" s="151">
        <f>Data!D25</f>
        <v>25587420.26999997</v>
      </c>
      <c r="E26" s="151">
        <f>Data!E25</f>
        <v>60152.639777244323</v>
      </c>
      <c r="F26" s="151">
        <f>Data!F25</f>
        <v>25647572.909777213</v>
      </c>
      <c r="G26" s="129">
        <f>Data!AP25</f>
        <v>471.50000000000006</v>
      </c>
      <c r="H26" s="129">
        <f>Data!AQ25</f>
        <v>0</v>
      </c>
      <c r="I26" s="146">
        <f t="shared" ca="1" si="7"/>
        <v>499.7842105263162</v>
      </c>
      <c r="J26" s="146">
        <f t="shared" ca="1" si="7"/>
        <v>0</v>
      </c>
      <c r="K26" s="32">
        <f>Data!BG25</f>
        <v>31</v>
      </c>
      <c r="L26" s="32">
        <f>Data!BX25</f>
        <v>0</v>
      </c>
      <c r="M26" s="32">
        <f>Data!BR25</f>
        <v>0</v>
      </c>
      <c r="N26" s="41">
        <f>Data!AA25</f>
        <v>29614</v>
      </c>
      <c r="O26" s="255">
        <f>Data!CG25</f>
        <v>0</v>
      </c>
      <c r="P26" s="78">
        <f>Data!CH25</f>
        <v>0</v>
      </c>
      <c r="Q26" s="32">
        <f t="shared" ca="1" si="6"/>
        <v>25894641.013380788</v>
      </c>
      <c r="R26" s="145">
        <f t="shared" ca="1" si="3"/>
        <v>25834488.373603545</v>
      </c>
      <c r="S26" s="32">
        <f t="shared" ca="1" si="4"/>
        <v>247068.10360357538</v>
      </c>
      <c r="T26" s="50">
        <f t="shared" ca="1" si="5"/>
        <v>9.6331962666685537E-3</v>
      </c>
      <c r="U26" t="s">
        <v>284</v>
      </c>
      <c r="V26">
        <v>24547.497590356401</v>
      </c>
      <c r="W26">
        <v>3130.8789125877402</v>
      </c>
      <c r="X26">
        <v>7.8404493676401197</v>
      </c>
      <c r="Y26" s="130">
        <v>1.8296999297249899E-12</v>
      </c>
      <c r="AA26" s="315" t="s">
        <v>284</v>
      </c>
      <c r="AB26" s="315">
        <v>24534.8158289153</v>
      </c>
      <c r="AC26" s="315">
        <v>3130.9815657572599</v>
      </c>
      <c r="AD26" s="315">
        <v>7.8361418978783597</v>
      </c>
      <c r="AE26" s="316">
        <v>1.8720205917012902E-12</v>
      </c>
      <c r="AG26" s="2"/>
      <c r="AH26" s="51"/>
      <c r="AI26" s="69"/>
      <c r="AJ26" s="73"/>
      <c r="AK26" s="2"/>
      <c r="AL26" s="39"/>
      <c r="AO26" s="2"/>
      <c r="AP26" s="74"/>
      <c r="AQ26" s="74"/>
      <c r="AR26" s="74"/>
      <c r="AS26" s="2"/>
      <c r="AT26" s="74"/>
      <c r="AU26" s="74"/>
      <c r="AV26" s="5"/>
    </row>
    <row r="27" spans="1:48" x14ac:dyDescent="0.2">
      <c r="A27" s="2">
        <v>41275</v>
      </c>
      <c r="B27">
        <f t="shared" si="1"/>
        <v>2013</v>
      </c>
      <c r="C27">
        <f t="shared" si="2"/>
        <v>1</v>
      </c>
      <c r="D27" s="151">
        <f>Data!D26</f>
        <v>24654099.019999988</v>
      </c>
      <c r="E27" s="151">
        <f>Data!E26</f>
        <v>89162.051531255813</v>
      </c>
      <c r="F27" s="151">
        <f>Data!F26</f>
        <v>24743261.071531244</v>
      </c>
      <c r="G27" s="129">
        <f>Data!AP26</f>
        <v>562.50000000000011</v>
      </c>
      <c r="H27" s="129">
        <f>Data!AQ26</f>
        <v>0</v>
      </c>
      <c r="I27" s="146">
        <f t="shared" ca="1" si="7"/>
        <v>619.82052631578927</v>
      </c>
      <c r="J27" s="146">
        <f t="shared" ca="1" si="7"/>
        <v>0</v>
      </c>
      <c r="K27" s="32">
        <f>Data!BG26</f>
        <v>31</v>
      </c>
      <c r="L27" s="32">
        <f>Data!BX26</f>
        <v>0</v>
      </c>
      <c r="M27" s="32">
        <f>Data!BR26</f>
        <v>0</v>
      </c>
      <c r="N27" s="41">
        <f>Data!AA26</f>
        <v>29835</v>
      </c>
      <c r="O27" s="255">
        <f>Data!CG26</f>
        <v>0</v>
      </c>
      <c r="P27" s="78">
        <f>Data!CH26</f>
        <v>0</v>
      </c>
      <c r="Q27" s="32">
        <f t="shared" ca="1" si="6"/>
        <v>25243967.065118171</v>
      </c>
      <c r="R27" s="145">
        <f t="shared" ca="1" si="3"/>
        <v>25154805.013586916</v>
      </c>
      <c r="S27" s="32">
        <f t="shared" ca="1" si="4"/>
        <v>500705.99358692765</v>
      </c>
      <c r="T27" s="50">
        <f t="shared" ca="1" si="5"/>
        <v>2.0236055067253161E-2</v>
      </c>
      <c r="AA27" s="315"/>
      <c r="AB27" s="315"/>
      <c r="AC27" s="315"/>
      <c r="AD27" s="315"/>
      <c r="AE27" s="315"/>
      <c r="AG27" s="2"/>
      <c r="AH27" s="51"/>
      <c r="AI27" s="213"/>
      <c r="AJ27" s="73"/>
      <c r="AK27" s="2"/>
      <c r="AL27" s="39"/>
      <c r="AO27" s="2"/>
      <c r="AP27" s="74"/>
      <c r="AQ27" s="5"/>
      <c r="AR27" s="5"/>
      <c r="AS27" s="2"/>
      <c r="AT27" s="74"/>
      <c r="AU27" s="5"/>
      <c r="AV27" s="5"/>
    </row>
    <row r="28" spans="1:48" x14ac:dyDescent="0.2">
      <c r="A28" s="2">
        <v>41306</v>
      </c>
      <c r="B28">
        <f t="shared" si="1"/>
        <v>2013</v>
      </c>
      <c r="C28">
        <f t="shared" si="2"/>
        <v>2</v>
      </c>
      <c r="D28" s="151">
        <f>Data!D27</f>
        <v>23135370.840000026</v>
      </c>
      <c r="E28" s="151">
        <f>Data!E27</f>
        <v>89162.051531255813</v>
      </c>
      <c r="F28" s="151">
        <f>Data!F27</f>
        <v>23224532.891531281</v>
      </c>
      <c r="G28" s="129">
        <f>Data!AP27</f>
        <v>575.5</v>
      </c>
      <c r="H28" s="129">
        <f>Data!AQ27</f>
        <v>0</v>
      </c>
      <c r="I28" s="146">
        <f t="shared" ca="1" si="7"/>
        <v>570.53578947368419</v>
      </c>
      <c r="J28" s="146">
        <f t="shared" ca="1" si="7"/>
        <v>0</v>
      </c>
      <c r="K28" s="32">
        <f>Data!BG27</f>
        <v>28</v>
      </c>
      <c r="L28" s="32">
        <f>Data!BX27</f>
        <v>0</v>
      </c>
      <c r="M28" s="32">
        <f>Data!BR27</f>
        <v>0</v>
      </c>
      <c r="N28" s="41">
        <f>Data!AA27</f>
        <v>29989</v>
      </c>
      <c r="O28" s="255">
        <f>Data!CG27</f>
        <v>0</v>
      </c>
      <c r="P28" s="78">
        <f>Data!CH27</f>
        <v>0</v>
      </c>
      <c r="Q28" s="32">
        <f t="shared" ca="1" si="6"/>
        <v>23181169.542941984</v>
      </c>
      <c r="R28" s="145">
        <f t="shared" ca="1" si="3"/>
        <v>23092007.491410729</v>
      </c>
      <c r="S28" s="32">
        <f t="shared" ca="1" si="4"/>
        <v>-43363.348589297384</v>
      </c>
      <c r="T28" s="50">
        <f t="shared" ca="1" si="5"/>
        <v>1.8671354464618588E-3</v>
      </c>
      <c r="U28" t="s">
        <v>140</v>
      </c>
      <c r="AA28" s="315" t="s">
        <v>140</v>
      </c>
      <c r="AB28" s="315"/>
      <c r="AC28" s="315"/>
      <c r="AD28" s="315"/>
      <c r="AE28" s="315"/>
      <c r="AG28" s="2"/>
      <c r="AH28" s="51"/>
      <c r="AI28" s="69"/>
      <c r="AJ28" s="73"/>
      <c r="AK28" s="2"/>
      <c r="AL28" s="39"/>
      <c r="AO28" s="2"/>
      <c r="AP28" s="74"/>
      <c r="AQ28" s="5"/>
      <c r="AR28" s="5"/>
      <c r="AS28" s="2"/>
      <c r="AT28" s="74"/>
      <c r="AU28" s="5"/>
      <c r="AV28" s="5"/>
    </row>
    <row r="29" spans="1:48" x14ac:dyDescent="0.2">
      <c r="A29" s="2">
        <v>41334</v>
      </c>
      <c r="B29">
        <f t="shared" si="1"/>
        <v>2013</v>
      </c>
      <c r="C29">
        <f t="shared" si="2"/>
        <v>3</v>
      </c>
      <c r="D29" s="151">
        <f>Data!D28</f>
        <v>22963588.829999994</v>
      </c>
      <c r="E29" s="151">
        <f>Data!E28</f>
        <v>89162.051531255813</v>
      </c>
      <c r="F29" s="151">
        <f>Data!F28</f>
        <v>23052750.88153125</v>
      </c>
      <c r="G29" s="129">
        <f>Data!AP28</f>
        <v>492.79999999999995</v>
      </c>
      <c r="H29" s="129">
        <f>Data!AQ28</f>
        <v>0</v>
      </c>
      <c r="I29" s="146">
        <f t="shared" ca="1" si="7"/>
        <v>461.49315789473712</v>
      </c>
      <c r="J29" s="146">
        <f t="shared" ca="1" si="7"/>
        <v>0.17368421052631611</v>
      </c>
      <c r="K29" s="32">
        <f>Data!BG28</f>
        <v>31</v>
      </c>
      <c r="L29" s="32">
        <f>Data!BX28</f>
        <v>1</v>
      </c>
      <c r="M29" s="32">
        <f>Data!BR28</f>
        <v>0</v>
      </c>
      <c r="N29" s="41">
        <f>Data!AA28</f>
        <v>30236</v>
      </c>
      <c r="O29" s="255">
        <f>Data!CG28</f>
        <v>0</v>
      </c>
      <c r="P29" s="78">
        <f>Data!CH28</f>
        <v>0</v>
      </c>
      <c r="Q29" s="32">
        <f t="shared" ca="1" si="6"/>
        <v>22788473.038720243</v>
      </c>
      <c r="R29" s="145">
        <f t="shared" ca="1" si="3"/>
        <v>22699310.987188987</v>
      </c>
      <c r="S29" s="32">
        <f t="shared" ca="1" si="4"/>
        <v>-264277.84281100705</v>
      </c>
      <c r="T29" s="50">
        <f t="shared" ca="1" si="5"/>
        <v>1.1464048007508453E-2</v>
      </c>
      <c r="U29" t="s">
        <v>141</v>
      </c>
      <c r="V29">
        <v>26319098.5556794</v>
      </c>
      <c r="W29" t="s">
        <v>142</v>
      </c>
      <c r="X29">
        <v>5379459.2851267997</v>
      </c>
      <c r="AA29" s="315" t="s">
        <v>141</v>
      </c>
      <c r="AB29" s="315">
        <v>26318647.798103601</v>
      </c>
      <c r="AC29" s="315" t="s">
        <v>142</v>
      </c>
      <c r="AD29" s="315">
        <v>5379028.7518450199</v>
      </c>
      <c r="AE29" s="315"/>
      <c r="AG29" s="2"/>
      <c r="AH29" s="51"/>
      <c r="AI29" s="69"/>
      <c r="AJ29" s="73"/>
      <c r="AK29" s="2"/>
      <c r="AL29" s="39"/>
      <c r="AO29" s="2"/>
      <c r="AP29" s="74"/>
      <c r="AQ29" s="5"/>
      <c r="AR29" s="5"/>
      <c r="AS29" s="2"/>
      <c r="AT29" s="74"/>
      <c r="AU29" s="5"/>
      <c r="AV29" s="5"/>
    </row>
    <row r="30" spans="1:48" x14ac:dyDescent="0.2">
      <c r="A30" s="2">
        <v>41365</v>
      </c>
      <c r="B30">
        <f t="shared" si="1"/>
        <v>2013</v>
      </c>
      <c r="C30">
        <f t="shared" si="2"/>
        <v>4</v>
      </c>
      <c r="D30" s="151">
        <f>Data!D29</f>
        <v>19590025.609999973</v>
      </c>
      <c r="E30" s="151">
        <f>Data!E29</f>
        <v>89162.051531255813</v>
      </c>
      <c r="F30" s="151">
        <f>Data!F29</f>
        <v>19679187.661531229</v>
      </c>
      <c r="G30" s="129">
        <f>Data!AP29</f>
        <v>298.60000000000002</v>
      </c>
      <c r="H30" s="129">
        <f>Data!AQ29</f>
        <v>0</v>
      </c>
      <c r="I30" s="146">
        <f t="shared" ca="1" si="7"/>
        <v>285.02368421052643</v>
      </c>
      <c r="J30" s="146">
        <f t="shared" ca="1" si="7"/>
        <v>0</v>
      </c>
      <c r="K30" s="32">
        <f>Data!BG29</f>
        <v>30</v>
      </c>
      <c r="L30" s="32">
        <f>Data!BX29</f>
        <v>1</v>
      </c>
      <c r="M30" s="32">
        <f>Data!BR29</f>
        <v>0</v>
      </c>
      <c r="N30" s="41">
        <f>Data!AA29</f>
        <v>30511</v>
      </c>
      <c r="O30" s="255">
        <f>Data!CG29</f>
        <v>0</v>
      </c>
      <c r="P30" s="78">
        <f>Data!CH29</f>
        <v>0</v>
      </c>
      <c r="Q30" s="32">
        <f t="shared" ca="1" si="6"/>
        <v>19560595.891295757</v>
      </c>
      <c r="R30" s="145">
        <f t="shared" ca="1" si="3"/>
        <v>19471433.839764502</v>
      </c>
      <c r="S30" s="32">
        <f t="shared" ca="1" si="4"/>
        <v>-118591.77023547143</v>
      </c>
      <c r="T30" s="50">
        <f t="shared" ca="1" si="5"/>
        <v>6.0262533329713602E-3</v>
      </c>
      <c r="U30" t="s">
        <v>143</v>
      </c>
      <c r="V30">
        <v>233383346747024</v>
      </c>
      <c r="W30" t="s">
        <v>144</v>
      </c>
      <c r="X30">
        <v>1377470.7195832301</v>
      </c>
      <c r="Y30" s="130"/>
      <c r="AA30" s="315" t="s">
        <v>143</v>
      </c>
      <c r="AB30" s="315">
        <v>233370554573808</v>
      </c>
      <c r="AC30" s="315" t="s">
        <v>144</v>
      </c>
      <c r="AD30" s="315">
        <v>1377432.9682060301</v>
      </c>
      <c r="AE30" s="316"/>
      <c r="AG30" s="2"/>
      <c r="AH30" s="51"/>
      <c r="AI30" s="213"/>
      <c r="AJ30" s="73"/>
      <c r="AK30" s="2"/>
      <c r="AL30" s="39"/>
      <c r="AO30" s="2"/>
      <c r="AP30" s="74"/>
      <c r="AQ30" s="5"/>
      <c r="AR30" s="5"/>
      <c r="AS30" s="2"/>
      <c r="AT30" s="74"/>
      <c r="AU30" s="5"/>
      <c r="AV30" s="5"/>
    </row>
    <row r="31" spans="1:48" x14ac:dyDescent="0.2">
      <c r="A31" s="2">
        <v>41395</v>
      </c>
      <c r="B31">
        <f t="shared" si="1"/>
        <v>2013</v>
      </c>
      <c r="C31">
        <f t="shared" si="2"/>
        <v>5</v>
      </c>
      <c r="D31" s="151">
        <f>Data!D30</f>
        <v>20707182.480000004</v>
      </c>
      <c r="E31" s="151">
        <f>Data!E30</f>
        <v>89162.051531255813</v>
      </c>
      <c r="F31" s="151">
        <f>Data!F30</f>
        <v>20796344.531531259</v>
      </c>
      <c r="G31" s="129">
        <f>Data!AP30</f>
        <v>70.100000000000009</v>
      </c>
      <c r="H31" s="129">
        <f>Data!AQ30</f>
        <v>46.1</v>
      </c>
      <c r="I31" s="146">
        <f t="shared" ca="1" si="7"/>
        <v>92.127894736842109</v>
      </c>
      <c r="J31" s="146">
        <f t="shared" ca="1" si="7"/>
        <v>50.712631578947821</v>
      </c>
      <c r="K31" s="32">
        <f>Data!BG30</f>
        <v>31</v>
      </c>
      <c r="L31" s="32">
        <f>Data!BX30</f>
        <v>1</v>
      </c>
      <c r="M31" s="32">
        <f>Data!BR30</f>
        <v>0</v>
      </c>
      <c r="N31" s="41">
        <f>Data!AA30</f>
        <v>30723</v>
      </c>
      <c r="O31" s="255">
        <f>Data!CG30</f>
        <v>0</v>
      </c>
      <c r="P31" s="78">
        <f>Data!CH30</f>
        <v>0</v>
      </c>
      <c r="Q31" s="32">
        <f t="shared" ca="1" si="6"/>
        <v>21232920.577527683</v>
      </c>
      <c r="R31" s="145">
        <f t="shared" ca="1" si="3"/>
        <v>21143758.525996428</v>
      </c>
      <c r="S31" s="32">
        <f t="shared" ca="1" si="4"/>
        <v>436576.04599642381</v>
      </c>
      <c r="T31" s="50">
        <f t="shared" ca="1" si="5"/>
        <v>2.099292235394978E-2</v>
      </c>
      <c r="U31" t="s">
        <v>145</v>
      </c>
      <c r="V31">
        <v>0.93843912073048597</v>
      </c>
      <c r="W31" t="s">
        <v>146</v>
      </c>
      <c r="X31">
        <v>0.93443516110320002</v>
      </c>
      <c r="Y31" s="130"/>
      <c r="AA31" s="315" t="s">
        <v>145</v>
      </c>
      <c r="AB31" s="315">
        <v>0.93843263368290097</v>
      </c>
      <c r="AC31" s="315" t="s">
        <v>146</v>
      </c>
      <c r="AD31" s="315">
        <v>0.93442825213382197</v>
      </c>
      <c r="AE31" s="316"/>
      <c r="AG31" s="2"/>
      <c r="AH31" s="51"/>
      <c r="AI31" s="69"/>
      <c r="AJ31" s="73"/>
      <c r="AK31" s="2"/>
      <c r="AL31" s="39"/>
      <c r="AO31" s="2"/>
      <c r="AP31" s="74"/>
      <c r="AQ31" s="5"/>
      <c r="AR31" s="5"/>
      <c r="AS31" s="2"/>
      <c r="AT31" s="74"/>
      <c r="AU31" s="5"/>
      <c r="AV31" s="5"/>
    </row>
    <row r="32" spans="1:48" x14ac:dyDescent="0.2">
      <c r="A32" s="2">
        <v>41426</v>
      </c>
      <c r="B32">
        <f t="shared" si="1"/>
        <v>2013</v>
      </c>
      <c r="C32">
        <f t="shared" si="2"/>
        <v>6</v>
      </c>
      <c r="D32" s="151">
        <f>Data!D31</f>
        <v>24630971.620000005</v>
      </c>
      <c r="E32" s="151">
        <f>Data!E31</f>
        <v>89162.051531255813</v>
      </c>
      <c r="F32" s="151">
        <f>Data!F31</f>
        <v>24720133.67153126</v>
      </c>
      <c r="G32" s="129">
        <f>Data!AP31</f>
        <v>12.7</v>
      </c>
      <c r="H32" s="129">
        <f>Data!AQ31</f>
        <v>99.300000000000011</v>
      </c>
      <c r="I32" s="146">
        <f t="shared" ca="1" si="7"/>
        <v>6.5805263157894842</v>
      </c>
      <c r="J32" s="146">
        <f t="shared" ca="1" si="7"/>
        <v>122.87210526315789</v>
      </c>
      <c r="K32" s="32">
        <f>Data!BG31</f>
        <v>30</v>
      </c>
      <c r="L32" s="32">
        <f>Data!BX31</f>
        <v>0</v>
      </c>
      <c r="M32" s="32">
        <f>Data!BR31</f>
        <v>0</v>
      </c>
      <c r="N32" s="41">
        <f>Data!AA31</f>
        <v>30825</v>
      </c>
      <c r="O32" s="255">
        <f>Data!CG31</f>
        <v>0</v>
      </c>
      <c r="P32" s="78">
        <f>Data!CH31</f>
        <v>0</v>
      </c>
      <c r="Q32" s="32">
        <f t="shared" ca="1" si="6"/>
        <v>25914409.1401578</v>
      </c>
      <c r="R32" s="145">
        <f t="shared" ca="1" si="3"/>
        <v>25825247.088626545</v>
      </c>
      <c r="S32" s="32">
        <f t="shared" ca="1" si="4"/>
        <v>1194275.4686265402</v>
      </c>
      <c r="T32" s="50">
        <f t="shared" ca="1" si="5"/>
        <v>4.8311853183946075E-2</v>
      </c>
      <c r="U32" t="s">
        <v>285</v>
      </c>
      <c r="V32">
        <v>263.29887212825798</v>
      </c>
      <c r="W32" t="s">
        <v>148</v>
      </c>
      <c r="X32" s="130">
        <v>1.4895288245749501E-73</v>
      </c>
      <c r="Y32" s="130"/>
      <c r="AA32" s="315" t="s">
        <v>285</v>
      </c>
      <c r="AB32" s="315">
        <v>263.236867034233</v>
      </c>
      <c r="AC32" s="315" t="s">
        <v>148</v>
      </c>
      <c r="AD32" s="316">
        <v>1.5099957346625299E-73</v>
      </c>
      <c r="AE32" s="316"/>
      <c r="AG32" s="2"/>
      <c r="AH32" s="51"/>
      <c r="AI32" s="69"/>
      <c r="AJ32" s="73"/>
      <c r="AK32" s="2"/>
      <c r="AL32" s="39"/>
      <c r="AO32" s="2"/>
      <c r="AP32" s="74"/>
      <c r="AQ32" s="5"/>
      <c r="AR32" s="5"/>
      <c r="AS32" s="2"/>
      <c r="AT32" s="74"/>
      <c r="AU32" s="5"/>
      <c r="AV32" s="5"/>
    </row>
    <row r="33" spans="1:51" x14ac:dyDescent="0.2">
      <c r="A33" s="2">
        <v>41456</v>
      </c>
      <c r="B33">
        <f t="shared" si="1"/>
        <v>2013</v>
      </c>
      <c r="C33">
        <f t="shared" si="2"/>
        <v>7</v>
      </c>
      <c r="D33" s="151">
        <f>Data!D32</f>
        <v>30978235.180000015</v>
      </c>
      <c r="E33" s="151">
        <f>Data!E32</f>
        <v>89162.051531255813</v>
      </c>
      <c r="F33" s="151">
        <f>Data!F32</f>
        <v>31067397.23153127</v>
      </c>
      <c r="G33" s="129">
        <f>Data!AP32</f>
        <v>0</v>
      </c>
      <c r="H33" s="129">
        <f>Data!AQ32</f>
        <v>195.3</v>
      </c>
      <c r="I33" s="146">
        <f t="shared" ca="1" si="7"/>
        <v>0</v>
      </c>
      <c r="J33" s="146">
        <f t="shared" ca="1" si="7"/>
        <v>211.7568421052631</v>
      </c>
      <c r="K33" s="32">
        <f>Data!BG32</f>
        <v>31</v>
      </c>
      <c r="L33" s="32">
        <f>Data!BX32</f>
        <v>0</v>
      </c>
      <c r="M33" s="32">
        <f>Data!BR32</f>
        <v>0</v>
      </c>
      <c r="N33" s="41">
        <f>Data!AA32</f>
        <v>30936</v>
      </c>
      <c r="O33" s="255">
        <f>Data!CG32</f>
        <v>0</v>
      </c>
      <c r="P33" s="78">
        <f>Data!CH32</f>
        <v>0</v>
      </c>
      <c r="Q33" s="32">
        <f t="shared" ca="1" si="6"/>
        <v>31938498.889927614</v>
      </c>
      <c r="R33" s="145">
        <f t="shared" ca="1" si="3"/>
        <v>31849336.838396359</v>
      </c>
      <c r="S33" s="32">
        <f t="shared" ca="1" si="4"/>
        <v>871101.65839634463</v>
      </c>
      <c r="T33" s="50">
        <f t="shared" ca="1" si="5"/>
        <v>2.8039093584326286E-2</v>
      </c>
      <c r="U33" t="s">
        <v>149</v>
      </c>
      <c r="V33">
        <v>-4.2453263967470196E-3</v>
      </c>
      <c r="W33" t="s">
        <v>150</v>
      </c>
      <c r="X33">
        <v>1.9975076720049301</v>
      </c>
      <c r="Y33" s="130"/>
      <c r="AA33" s="315" t="s">
        <v>149</v>
      </c>
      <c r="AB33" s="315">
        <v>-4.2291676121520702E-3</v>
      </c>
      <c r="AC33" s="315" t="s">
        <v>150</v>
      </c>
      <c r="AD33" s="315">
        <v>1.9974519624829501</v>
      </c>
      <c r="AE33" s="316"/>
      <c r="AG33" s="2"/>
      <c r="AH33" s="51"/>
      <c r="AI33" s="213"/>
      <c r="AJ33" s="73"/>
      <c r="AK33" s="2"/>
      <c r="AL33" s="39"/>
      <c r="AO33" s="2"/>
      <c r="AP33" s="74"/>
      <c r="AQ33" s="5"/>
      <c r="AR33" s="5"/>
      <c r="AS33" s="2"/>
      <c r="AT33" s="74"/>
      <c r="AU33" s="5"/>
      <c r="AV33" s="5"/>
    </row>
    <row r="34" spans="1:51" x14ac:dyDescent="0.2">
      <c r="A34" s="2">
        <v>41487</v>
      </c>
      <c r="B34">
        <f t="shared" si="1"/>
        <v>2013</v>
      </c>
      <c r="C34">
        <f t="shared" si="2"/>
        <v>8</v>
      </c>
      <c r="D34" s="151">
        <f>Data!D33</f>
        <v>28353597.569999993</v>
      </c>
      <c r="E34" s="151">
        <f>Data!E33</f>
        <v>89162.051531255813</v>
      </c>
      <c r="F34" s="151">
        <f>Data!F33</f>
        <v>28442759.621531248</v>
      </c>
      <c r="G34" s="129">
        <f>Data!AP33</f>
        <v>0</v>
      </c>
      <c r="H34" s="129">
        <f>Data!AQ33</f>
        <v>151.39999999999998</v>
      </c>
      <c r="I34" s="146">
        <f t="shared" ca="1" si="7"/>
        <v>0.34105263157894772</v>
      </c>
      <c r="J34" s="146">
        <f t="shared" ca="1" si="7"/>
        <v>191.39947368421053</v>
      </c>
      <c r="K34" s="32">
        <f>Data!BG33</f>
        <v>31</v>
      </c>
      <c r="L34" s="32">
        <f>Data!BX33</f>
        <v>0</v>
      </c>
      <c r="M34" s="32">
        <f>Data!BR33</f>
        <v>0</v>
      </c>
      <c r="N34" s="41">
        <f>Data!AA33</f>
        <v>30985</v>
      </c>
      <c r="O34" s="255">
        <f>Data!CG33</f>
        <v>0</v>
      </c>
      <c r="P34" s="78">
        <f>Data!CH33</f>
        <v>0</v>
      </c>
      <c r="Q34" s="32">
        <f t="shared" ca="1" si="6"/>
        <v>30563010.59228934</v>
      </c>
      <c r="R34" s="145">
        <f t="shared" ca="1" si="3"/>
        <v>30473848.540758085</v>
      </c>
      <c r="S34" s="32">
        <f t="shared" ca="1" si="4"/>
        <v>2120250.9707580917</v>
      </c>
      <c r="T34" s="50">
        <f t="shared" ca="1" si="5"/>
        <v>7.4544488614004104E-2</v>
      </c>
      <c r="Y34" s="130"/>
      <c r="AG34" s="2"/>
      <c r="AH34" s="51"/>
      <c r="AI34" s="69"/>
      <c r="AJ34" s="73"/>
      <c r="AK34" s="2"/>
      <c r="AL34" s="39"/>
      <c r="AO34" s="2"/>
      <c r="AP34" s="74"/>
      <c r="AQ34" s="5"/>
      <c r="AR34" s="5"/>
      <c r="AS34" s="2"/>
      <c r="AT34" s="74"/>
      <c r="AU34" s="5"/>
      <c r="AV34" s="5"/>
    </row>
    <row r="35" spans="1:51" x14ac:dyDescent="0.2">
      <c r="A35" s="2">
        <v>41518</v>
      </c>
      <c r="B35">
        <f t="shared" si="1"/>
        <v>2013</v>
      </c>
      <c r="C35">
        <f t="shared" si="2"/>
        <v>9</v>
      </c>
      <c r="D35" s="151">
        <f>Data!D34</f>
        <v>20823560.830000009</v>
      </c>
      <c r="E35" s="151">
        <f>Data!E34</f>
        <v>89162.051531255813</v>
      </c>
      <c r="F35" s="151">
        <f>Data!F34</f>
        <v>20912722.881531265</v>
      </c>
      <c r="G35" s="129">
        <f>Data!AP34</f>
        <v>49.2</v>
      </c>
      <c r="H35" s="129">
        <f>Data!AQ34</f>
        <v>47.3</v>
      </c>
      <c r="I35" s="146">
        <f t="shared" ref="I35:J50" ca="1" si="8">I47</f>
        <v>26.567368421052606</v>
      </c>
      <c r="J35" s="146">
        <f t="shared" ca="1" si="8"/>
        <v>77.107368421052627</v>
      </c>
      <c r="K35" s="32">
        <f>Data!BG34</f>
        <v>30</v>
      </c>
      <c r="L35" s="32">
        <f>Data!BX34</f>
        <v>1</v>
      </c>
      <c r="M35" s="32">
        <f>Data!BR34</f>
        <v>1</v>
      </c>
      <c r="N35" s="41">
        <f>Data!AA34</f>
        <v>31028</v>
      </c>
      <c r="O35" s="255">
        <f>Data!CG34</f>
        <v>0</v>
      </c>
      <c r="P35" s="78">
        <f>Data!CH34</f>
        <v>0</v>
      </c>
      <c r="Q35" s="32">
        <f t="shared" ca="1" si="6"/>
        <v>22292800.705937527</v>
      </c>
      <c r="R35" s="145">
        <f t="shared" ca="1" si="3"/>
        <v>22203638.654406272</v>
      </c>
      <c r="S35" s="32">
        <f t="shared" ca="1" si="4"/>
        <v>1380077.8244062625</v>
      </c>
      <c r="T35" s="50">
        <f t="shared" ca="1" si="5"/>
        <v>6.5992258981495716E-2</v>
      </c>
      <c r="Y35" s="130"/>
      <c r="AG35" s="2"/>
      <c r="AH35" s="51"/>
      <c r="AI35" s="69"/>
      <c r="AJ35" s="73"/>
      <c r="AK35" s="2"/>
      <c r="AL35" s="39"/>
      <c r="AO35" s="2"/>
      <c r="AP35" s="74"/>
      <c r="AQ35" s="5"/>
      <c r="AR35" s="5"/>
      <c r="AS35" s="2"/>
      <c r="AT35" s="74"/>
      <c r="AU35" s="39"/>
      <c r="AV35" s="5"/>
    </row>
    <row r="36" spans="1:51" x14ac:dyDescent="0.2">
      <c r="A36" s="2">
        <v>41548</v>
      </c>
      <c r="B36">
        <f t="shared" si="1"/>
        <v>2013</v>
      </c>
      <c r="C36">
        <f t="shared" si="2"/>
        <v>10</v>
      </c>
      <c r="D36" s="151">
        <f>Data!D35</f>
        <v>20892190.989999991</v>
      </c>
      <c r="E36" s="151">
        <f>Data!E35</f>
        <v>89162.051531255813</v>
      </c>
      <c r="F36" s="151">
        <f>Data!F35</f>
        <v>20981353.041531246</v>
      </c>
      <c r="G36" s="129">
        <f>Data!AP35</f>
        <v>166</v>
      </c>
      <c r="H36" s="129">
        <f>Data!AQ35</f>
        <v>4.6999999999999993</v>
      </c>
      <c r="I36" s="146">
        <f t="shared" ca="1" si="8"/>
        <v>154.52315789473778</v>
      </c>
      <c r="J36" s="146">
        <f t="shared" ca="1" si="8"/>
        <v>10.628421052631595</v>
      </c>
      <c r="K36" s="32">
        <f>Data!BG35</f>
        <v>31</v>
      </c>
      <c r="L36" s="32">
        <f>Data!BX35</f>
        <v>1</v>
      </c>
      <c r="M36" s="32">
        <f>Data!BR35</f>
        <v>0</v>
      </c>
      <c r="N36" s="41">
        <f>Data!AA35</f>
        <v>31160</v>
      </c>
      <c r="O36" s="255">
        <f>Data!CG35</f>
        <v>0</v>
      </c>
      <c r="P36" s="78">
        <f>Data!CH35</f>
        <v>0</v>
      </c>
      <c r="Q36" s="32">
        <f t="shared" ca="1" si="6"/>
        <v>21194906.682263289</v>
      </c>
      <c r="R36" s="145">
        <f t="shared" ca="1" si="3"/>
        <v>21105744.630732033</v>
      </c>
      <c r="S36" s="32">
        <f t="shared" ca="1" si="4"/>
        <v>213553.64073204249</v>
      </c>
      <c r="T36" s="50">
        <f t="shared" ca="1" si="5"/>
        <v>1.0178258776225095E-2</v>
      </c>
      <c r="Y36" s="130"/>
      <c r="AG36" s="2"/>
      <c r="AH36" s="51"/>
      <c r="AJ36" s="73"/>
      <c r="AK36" s="2"/>
      <c r="AL36" s="39"/>
      <c r="AO36" s="2"/>
      <c r="AP36" s="74"/>
      <c r="AQ36" s="5"/>
      <c r="AR36" s="5"/>
      <c r="AS36" s="2"/>
      <c r="AT36" s="74"/>
      <c r="AU36" s="5"/>
      <c r="AV36" s="5"/>
    </row>
    <row r="37" spans="1:51" x14ac:dyDescent="0.2">
      <c r="A37" s="2">
        <v>41579</v>
      </c>
      <c r="B37">
        <f t="shared" si="1"/>
        <v>2013</v>
      </c>
      <c r="C37">
        <f t="shared" si="2"/>
        <v>11</v>
      </c>
      <c r="D37" s="151">
        <f>Data!D36</f>
        <v>21740451.749999989</v>
      </c>
      <c r="E37" s="151">
        <f>Data!E36</f>
        <v>89162.051531255813</v>
      </c>
      <c r="F37" s="151">
        <f>Data!F36</f>
        <v>21829613.801531244</v>
      </c>
      <c r="G37" s="129">
        <f>Data!AP36</f>
        <v>418.20000000000005</v>
      </c>
      <c r="H37" s="129">
        <f>Data!AQ36</f>
        <v>0</v>
      </c>
      <c r="I37" s="146">
        <f t="shared" ca="1" si="8"/>
        <v>363.9931578947369</v>
      </c>
      <c r="J37" s="146">
        <f t="shared" ca="1" si="8"/>
        <v>1.8421052631579116E-2</v>
      </c>
      <c r="K37" s="32">
        <f>Data!BG36</f>
        <v>30</v>
      </c>
      <c r="L37" s="32">
        <f>Data!BX36</f>
        <v>1</v>
      </c>
      <c r="M37" s="32">
        <f>Data!BR36</f>
        <v>0</v>
      </c>
      <c r="N37" s="41">
        <f>Data!AA36</f>
        <v>31231</v>
      </c>
      <c r="O37" s="255">
        <f>Data!CG36</f>
        <v>0</v>
      </c>
      <c r="P37" s="78">
        <f>Data!CH36</f>
        <v>0</v>
      </c>
      <c r="Q37" s="32">
        <f t="shared" ca="1" si="6"/>
        <v>21357081.519924145</v>
      </c>
      <c r="R37" s="145">
        <f t="shared" ca="1" si="3"/>
        <v>21267919.46839289</v>
      </c>
      <c r="S37" s="32">
        <f t="shared" ca="1" si="4"/>
        <v>-472532.28160709888</v>
      </c>
      <c r="T37" s="50">
        <f t="shared" ca="1" si="5"/>
        <v>2.16463876046196E-2</v>
      </c>
      <c r="Y37" s="130"/>
      <c r="AG37" s="2"/>
      <c r="AK37" s="2"/>
      <c r="AO37" s="2"/>
      <c r="AP37" s="76"/>
      <c r="AQ37" s="5"/>
      <c r="AR37" s="5"/>
      <c r="AS37" s="2"/>
      <c r="AT37" s="76"/>
      <c r="AU37" s="71"/>
      <c r="AV37" s="5"/>
      <c r="AW37" s="29"/>
      <c r="AX37" s="29"/>
    </row>
    <row r="38" spans="1:51" x14ac:dyDescent="0.2">
      <c r="A38" s="2">
        <v>41609</v>
      </c>
      <c r="B38">
        <f t="shared" si="1"/>
        <v>2013</v>
      </c>
      <c r="C38">
        <f t="shared" si="2"/>
        <v>12</v>
      </c>
      <c r="D38" s="151">
        <f>Data!D37</f>
        <v>28821858.809999991</v>
      </c>
      <c r="E38" s="151">
        <f>Data!E37</f>
        <v>89162.051531255813</v>
      </c>
      <c r="F38" s="151">
        <f>Data!F37</f>
        <v>28911020.861531246</v>
      </c>
      <c r="G38" s="129">
        <f>Data!AP37</f>
        <v>625.9</v>
      </c>
      <c r="H38" s="129">
        <f>Data!AQ37</f>
        <v>0</v>
      </c>
      <c r="I38" s="146">
        <f t="shared" ca="1" si="8"/>
        <v>499.7842105263162</v>
      </c>
      <c r="J38" s="146">
        <f t="shared" ca="1" si="8"/>
        <v>0</v>
      </c>
      <c r="K38" s="32">
        <f>Data!BG37</f>
        <v>31</v>
      </c>
      <c r="L38" s="32">
        <f>Data!BX37</f>
        <v>0</v>
      </c>
      <c r="M38" s="32">
        <f>Data!BR37</f>
        <v>0</v>
      </c>
      <c r="N38" s="41">
        <f>Data!AA37</f>
        <v>31309</v>
      </c>
      <c r="O38" s="255">
        <f>Data!CG37</f>
        <v>0</v>
      </c>
      <c r="P38" s="78">
        <f>Data!CH37</f>
        <v>0</v>
      </c>
      <c r="Q38" s="32">
        <f t="shared" ca="1" si="6"/>
        <v>27809374.80672127</v>
      </c>
      <c r="R38" s="145">
        <f t="shared" ca="1" si="3"/>
        <v>27720212.755190015</v>
      </c>
      <c r="S38" s="32">
        <f t="shared" ca="1" si="4"/>
        <v>-1101646.0548099764</v>
      </c>
      <c r="T38" s="50">
        <f t="shared" ca="1" si="5"/>
        <v>3.8104709622198675E-2</v>
      </c>
      <c r="Y38" s="130"/>
      <c r="AG38" s="2"/>
      <c r="AK38" s="2"/>
      <c r="AO38" s="2"/>
      <c r="AP38" s="76"/>
      <c r="AQ38" s="5"/>
      <c r="AR38" s="5"/>
      <c r="AS38" s="2"/>
      <c r="AT38" s="76"/>
      <c r="AU38" s="5"/>
      <c r="AV38" s="5"/>
      <c r="AW38" s="29"/>
      <c r="AX38" s="29"/>
    </row>
    <row r="39" spans="1:51" x14ac:dyDescent="0.2">
      <c r="A39" s="2">
        <v>41640</v>
      </c>
      <c r="B39">
        <f t="shared" si="1"/>
        <v>2014</v>
      </c>
      <c r="C39">
        <f t="shared" si="2"/>
        <v>1</v>
      </c>
      <c r="D39" s="151">
        <f>Data!D38</f>
        <v>26189486.200000007</v>
      </c>
      <c r="E39" s="151">
        <f>Data!E38</f>
        <v>170537.35727284456</v>
      </c>
      <c r="F39" s="151">
        <f>Data!F38</f>
        <v>26360023.557272851</v>
      </c>
      <c r="G39" s="129">
        <f>Data!AP38</f>
        <v>763.9000000000002</v>
      </c>
      <c r="H39" s="129">
        <f>Data!AQ38</f>
        <v>0</v>
      </c>
      <c r="I39" s="146">
        <f t="shared" ca="1" si="8"/>
        <v>619.82052631578927</v>
      </c>
      <c r="J39" s="146">
        <f t="shared" ca="1" si="8"/>
        <v>0</v>
      </c>
      <c r="K39" s="32">
        <f>Data!BG38</f>
        <v>31</v>
      </c>
      <c r="L39" s="32">
        <f>Data!BX38</f>
        <v>0</v>
      </c>
      <c r="M39" s="32">
        <f>Data!BR38</f>
        <v>0</v>
      </c>
      <c r="N39" s="41">
        <f>Data!AA38</f>
        <v>31327</v>
      </c>
      <c r="O39" s="255">
        <f>Data!CG38</f>
        <v>0</v>
      </c>
      <c r="P39" s="78">
        <f>Data!CH38</f>
        <v>0</v>
      </c>
      <c r="Q39" s="32">
        <f t="shared" ca="1" si="6"/>
        <v>25101461.21210013</v>
      </c>
      <c r="R39" s="145">
        <f t="shared" ca="1" si="3"/>
        <v>24930923.854827285</v>
      </c>
      <c r="S39" s="32">
        <f t="shared" ca="1" si="4"/>
        <v>-1258562.3451727219</v>
      </c>
      <c r="T39" s="50">
        <f t="shared" ca="1" si="5"/>
        <v>4.7745114583764431E-2</v>
      </c>
      <c r="Y39" s="130"/>
      <c r="AG39" s="2"/>
      <c r="AK39" s="2"/>
      <c r="AO39" s="2"/>
      <c r="AP39" s="76"/>
      <c r="AQ39" s="5"/>
      <c r="AR39" s="5"/>
      <c r="AS39" s="2"/>
      <c r="AT39" s="76"/>
      <c r="AU39" s="5"/>
      <c r="AV39" s="5"/>
      <c r="AW39" s="29"/>
      <c r="AX39" s="29"/>
    </row>
    <row r="40" spans="1:51" x14ac:dyDescent="0.2">
      <c r="A40" s="2">
        <v>41671</v>
      </c>
      <c r="B40">
        <f t="shared" si="1"/>
        <v>2014</v>
      </c>
      <c r="C40">
        <f t="shared" si="2"/>
        <v>2</v>
      </c>
      <c r="D40" s="151">
        <f>Data!D39</f>
        <v>26203678.18999999</v>
      </c>
      <c r="E40" s="151">
        <f>Data!E39</f>
        <v>170537.35727284456</v>
      </c>
      <c r="F40" s="151">
        <f>Data!F39</f>
        <v>26374215.547272835</v>
      </c>
      <c r="G40" s="129">
        <f>Data!AP39</f>
        <v>681.0999999999998</v>
      </c>
      <c r="H40" s="129">
        <f>Data!AQ39</f>
        <v>0</v>
      </c>
      <c r="I40" s="146">
        <f t="shared" ca="1" si="8"/>
        <v>570.53578947368419</v>
      </c>
      <c r="J40" s="146">
        <f t="shared" ca="1" si="8"/>
        <v>0</v>
      </c>
      <c r="K40" s="32">
        <f>Data!BG39</f>
        <v>28</v>
      </c>
      <c r="L40" s="32">
        <f>Data!BX39</f>
        <v>0</v>
      </c>
      <c r="M40" s="32">
        <f>Data!BR39</f>
        <v>0</v>
      </c>
      <c r="N40" s="41">
        <f>Data!AA39</f>
        <v>31341</v>
      </c>
      <c r="O40" s="255">
        <f>Data!CG39</f>
        <v>0</v>
      </c>
      <c r="P40" s="78">
        <f>Data!CH39</f>
        <v>0</v>
      </c>
      <c r="Q40" s="32">
        <f t="shared" ca="1" si="6"/>
        <v>25408415.5722038</v>
      </c>
      <c r="R40" s="145">
        <f t="shared" ca="1" si="3"/>
        <v>25237878.214930955</v>
      </c>
      <c r="S40" s="32">
        <f t="shared" ca="1" si="4"/>
        <v>-965799.97506903484</v>
      </c>
      <c r="T40" s="50">
        <f t="shared" ca="1" si="5"/>
        <v>3.6619097669007304E-2</v>
      </c>
      <c r="Y40" s="130"/>
      <c r="AG40" s="2"/>
      <c r="AK40" s="2"/>
      <c r="AO40" s="2"/>
      <c r="AP40" s="76"/>
      <c r="AQ40" s="5"/>
      <c r="AR40" s="5"/>
      <c r="AS40" s="2"/>
      <c r="AT40" s="76"/>
      <c r="AU40" s="5"/>
      <c r="AV40" s="5"/>
      <c r="AW40" s="29"/>
      <c r="AX40" s="29"/>
    </row>
    <row r="41" spans="1:51" x14ac:dyDescent="0.2">
      <c r="A41" s="2">
        <v>41699</v>
      </c>
      <c r="B41">
        <f t="shared" si="1"/>
        <v>2014</v>
      </c>
      <c r="C41">
        <f t="shared" si="2"/>
        <v>3</v>
      </c>
      <c r="D41" s="151">
        <f>Data!D40</f>
        <v>23971257.690000013</v>
      </c>
      <c r="E41" s="151">
        <f>Data!E40</f>
        <v>170537.35727284456</v>
      </c>
      <c r="F41" s="151">
        <f>Data!F40</f>
        <v>24141795.047272857</v>
      </c>
      <c r="G41" s="129">
        <f>Data!AP40</f>
        <v>628.6</v>
      </c>
      <c r="H41" s="129">
        <f>Data!AQ40</f>
        <v>0</v>
      </c>
      <c r="I41" s="146">
        <f t="shared" ca="1" si="8"/>
        <v>461.49315789473712</v>
      </c>
      <c r="J41" s="146">
        <f t="shared" ca="1" si="8"/>
        <v>0.17368421052631611</v>
      </c>
      <c r="K41" s="32">
        <f>Data!BG40</f>
        <v>31</v>
      </c>
      <c r="L41" s="32">
        <f>Data!BX40</f>
        <v>1</v>
      </c>
      <c r="M41" s="32">
        <f>Data!BR40</f>
        <v>0</v>
      </c>
      <c r="N41" s="41">
        <f>Data!AA40</f>
        <v>31333</v>
      </c>
      <c r="O41" s="255">
        <f>Data!CG40</f>
        <v>0</v>
      </c>
      <c r="P41" s="78">
        <f>Data!CH40</f>
        <v>0</v>
      </c>
      <c r="Q41" s="32">
        <f t="shared" ca="1" si="6"/>
        <v>22691277.679121431</v>
      </c>
      <c r="R41" s="145">
        <f t="shared" ca="1" si="3"/>
        <v>22520740.321848586</v>
      </c>
      <c r="S41" s="32">
        <f t="shared" ca="1" si="4"/>
        <v>-1450517.3681514263</v>
      </c>
      <c r="T41" s="50">
        <f t="shared" ca="1" si="5"/>
        <v>6.0083244237270662E-2</v>
      </c>
      <c r="AG41" s="2"/>
      <c r="AK41" s="2"/>
      <c r="AO41" s="2"/>
      <c r="AP41" s="76"/>
      <c r="AQ41" s="5"/>
      <c r="AR41" s="5"/>
      <c r="AS41" s="2"/>
      <c r="AT41" s="76"/>
      <c r="AU41" s="5"/>
      <c r="AV41" s="5"/>
      <c r="AW41" s="29"/>
      <c r="AX41" s="29"/>
    </row>
    <row r="42" spans="1:51" x14ac:dyDescent="0.2">
      <c r="A42" s="2">
        <v>41730</v>
      </c>
      <c r="B42">
        <f t="shared" si="1"/>
        <v>2014</v>
      </c>
      <c r="C42">
        <f t="shared" si="2"/>
        <v>4</v>
      </c>
      <c r="D42" s="151">
        <f>Data!D41</f>
        <v>21900568.520000003</v>
      </c>
      <c r="E42" s="151">
        <f>Data!E41</f>
        <v>170537.35727284456</v>
      </c>
      <c r="F42" s="151">
        <f>Data!F41</f>
        <v>22071105.877272848</v>
      </c>
      <c r="G42" s="129">
        <f>Data!AP41</f>
        <v>296.90000000000003</v>
      </c>
      <c r="H42" s="129">
        <f>Data!AQ41</f>
        <v>0</v>
      </c>
      <c r="I42" s="146">
        <f t="shared" ca="1" si="8"/>
        <v>285.02368421052643</v>
      </c>
      <c r="J42" s="146">
        <f t="shared" ca="1" si="8"/>
        <v>0</v>
      </c>
      <c r="K42" s="32">
        <f>Data!BG41</f>
        <v>30</v>
      </c>
      <c r="L42" s="32">
        <f>Data!BX41</f>
        <v>1</v>
      </c>
      <c r="M42" s="32">
        <f>Data!BR41</f>
        <v>0</v>
      </c>
      <c r="N42" s="41">
        <f>Data!AA41</f>
        <v>31349</v>
      </c>
      <c r="O42" s="255">
        <f>Data!CG41</f>
        <v>0</v>
      </c>
      <c r="P42" s="78">
        <f>Data!CH41</f>
        <v>0</v>
      </c>
      <c r="Q42" s="32">
        <f t="shared" ca="1" si="6"/>
        <v>21967363.93909245</v>
      </c>
      <c r="R42" s="145">
        <f t="shared" ca="1" si="3"/>
        <v>21796826.581819605</v>
      </c>
      <c r="S42" s="32">
        <f t="shared" ca="1" si="4"/>
        <v>-103741.9381803982</v>
      </c>
      <c r="T42" s="50">
        <f t="shared" ca="1" si="5"/>
        <v>4.7003507099852111E-3</v>
      </c>
      <c r="Y42" s="130"/>
      <c r="AG42" s="2"/>
      <c r="AK42" s="2"/>
      <c r="AO42" s="2"/>
      <c r="AP42" s="76"/>
      <c r="AQ42" s="5"/>
      <c r="AR42" s="5"/>
      <c r="AS42" s="2"/>
      <c r="AT42" s="76"/>
      <c r="AU42" s="5"/>
      <c r="AV42" s="5"/>
      <c r="AW42" s="29"/>
      <c r="AX42" s="29"/>
    </row>
    <row r="43" spans="1:51" x14ac:dyDescent="0.2">
      <c r="A43" s="2">
        <v>41760</v>
      </c>
      <c r="B43">
        <f t="shared" si="1"/>
        <v>2014</v>
      </c>
      <c r="C43">
        <f t="shared" si="2"/>
        <v>5</v>
      </c>
      <c r="D43" s="151">
        <f>Data!D42</f>
        <v>20478356.049999967</v>
      </c>
      <c r="E43" s="151">
        <f>Data!E42</f>
        <v>170537.35727284456</v>
      </c>
      <c r="F43" s="151">
        <f>Data!F42</f>
        <v>20648893.407272812</v>
      </c>
      <c r="G43" s="129">
        <f>Data!AP42</f>
        <v>81.700000000000031</v>
      </c>
      <c r="H43" s="129">
        <f>Data!AQ42</f>
        <v>23.500000000000004</v>
      </c>
      <c r="I43" s="146">
        <f t="shared" ca="1" si="8"/>
        <v>92.127894736842109</v>
      </c>
      <c r="J43" s="146">
        <f t="shared" ca="1" si="8"/>
        <v>50.712631578947821</v>
      </c>
      <c r="K43" s="32">
        <f>Data!BG42</f>
        <v>31</v>
      </c>
      <c r="L43" s="32">
        <f>Data!BX42</f>
        <v>1</v>
      </c>
      <c r="M43" s="32">
        <f>Data!BR42</f>
        <v>0</v>
      </c>
      <c r="N43" s="41">
        <f>Data!AA42</f>
        <v>31435</v>
      </c>
      <c r="O43" s="255">
        <f>Data!CG42</f>
        <v>0</v>
      </c>
      <c r="P43" s="78">
        <f>Data!CH42</f>
        <v>0</v>
      </c>
      <c r="Q43" s="32">
        <f t="shared" ca="1" si="6"/>
        <v>22180415.500246789</v>
      </c>
      <c r="R43" s="145">
        <f t="shared" ca="1" si="3"/>
        <v>22009878.142973945</v>
      </c>
      <c r="S43" s="32">
        <f t="shared" ca="1" si="4"/>
        <v>1531522.0929739773</v>
      </c>
      <c r="T43" s="50">
        <f t="shared" ca="1" si="5"/>
        <v>7.4169693395509273E-2</v>
      </c>
      <c r="X43" s="130"/>
      <c r="Y43" s="130"/>
      <c r="AG43" s="2"/>
      <c r="AK43" s="2"/>
      <c r="AO43" s="2"/>
      <c r="AP43" s="76"/>
      <c r="AQ43" s="5"/>
      <c r="AR43" s="5"/>
      <c r="AS43" s="2"/>
      <c r="AT43" s="76"/>
      <c r="AU43" s="5"/>
      <c r="AV43" s="5"/>
      <c r="AW43" s="29"/>
      <c r="AX43" s="29"/>
    </row>
    <row r="44" spans="1:51" x14ac:dyDescent="0.2">
      <c r="A44" s="2">
        <v>41791</v>
      </c>
      <c r="B44">
        <f t="shared" si="1"/>
        <v>2014</v>
      </c>
      <c r="C44">
        <f t="shared" si="2"/>
        <v>6</v>
      </c>
      <c r="D44" s="151">
        <f>Data!D43</f>
        <v>24401887.909999993</v>
      </c>
      <c r="E44" s="151">
        <f>Data!E43</f>
        <v>170537.35727284456</v>
      </c>
      <c r="F44" s="151">
        <f>Data!F43</f>
        <v>24572425.267272837</v>
      </c>
      <c r="G44" s="129">
        <f>Data!AP43</f>
        <v>2.7999999999999989</v>
      </c>
      <c r="H44" s="129">
        <f>Data!AQ43</f>
        <v>116.8</v>
      </c>
      <c r="I44" s="146">
        <f t="shared" ca="1" si="8"/>
        <v>6.5805263157894842</v>
      </c>
      <c r="J44" s="146">
        <f t="shared" ca="1" si="8"/>
        <v>122.87210526315789</v>
      </c>
      <c r="K44" s="32">
        <f>Data!BG43</f>
        <v>30</v>
      </c>
      <c r="L44" s="32">
        <f>Data!BX43</f>
        <v>0</v>
      </c>
      <c r="M44" s="32">
        <f>Data!BR43</f>
        <v>0</v>
      </c>
      <c r="N44" s="41">
        <f>Data!AA43</f>
        <v>31553</v>
      </c>
      <c r="O44" s="255">
        <f>Data!CG43</f>
        <v>0</v>
      </c>
      <c r="P44" s="78">
        <f>Data!CH43</f>
        <v>0</v>
      </c>
      <c r="Q44" s="32">
        <f t="shared" ca="1" si="6"/>
        <v>24926860.564614631</v>
      </c>
      <c r="R44" s="145">
        <f t="shared" ca="1" si="3"/>
        <v>24756323.207341786</v>
      </c>
      <c r="S44" s="32">
        <f t="shared" ca="1" si="4"/>
        <v>354435.29734179378</v>
      </c>
      <c r="T44" s="50">
        <f t="shared" ca="1" si="5"/>
        <v>1.4424107245687868E-2</v>
      </c>
      <c r="AG44" s="2"/>
      <c r="AK44" s="2"/>
      <c r="AO44" s="2"/>
      <c r="AP44" s="76"/>
      <c r="AQ44" s="5"/>
      <c r="AR44" s="5"/>
      <c r="AS44" s="2"/>
      <c r="AT44" s="76"/>
      <c r="AU44" s="5"/>
      <c r="AV44" s="5"/>
      <c r="AW44" s="29"/>
      <c r="AX44" s="29"/>
    </row>
    <row r="45" spans="1:51" x14ac:dyDescent="0.2">
      <c r="A45" s="2">
        <v>41821</v>
      </c>
      <c r="B45">
        <f t="shared" si="1"/>
        <v>2014</v>
      </c>
      <c r="C45">
        <f t="shared" si="2"/>
        <v>7</v>
      </c>
      <c r="D45" s="151">
        <f>Data!D44</f>
        <v>28438794.999999996</v>
      </c>
      <c r="E45" s="151">
        <f>Data!E44</f>
        <v>170537.35727284456</v>
      </c>
      <c r="F45" s="151">
        <f>Data!F44</f>
        <v>28609332.357272841</v>
      </c>
      <c r="G45" s="129">
        <f>Data!AP44</f>
        <v>0</v>
      </c>
      <c r="H45" s="129">
        <f>Data!AQ44</f>
        <v>129</v>
      </c>
      <c r="I45" s="146">
        <f t="shared" ca="1" si="8"/>
        <v>0</v>
      </c>
      <c r="J45" s="146">
        <f t="shared" ca="1" si="8"/>
        <v>211.7568421052631</v>
      </c>
      <c r="K45" s="32">
        <f>Data!BG44</f>
        <v>31</v>
      </c>
      <c r="L45" s="32">
        <f>Data!BX44</f>
        <v>0</v>
      </c>
      <c r="M45" s="32">
        <f>Data!BR44</f>
        <v>0</v>
      </c>
      <c r="N45" s="41">
        <f>Data!AA44</f>
        <v>31756</v>
      </c>
      <c r="O45" s="255">
        <f>Data!CG44</f>
        <v>0</v>
      </c>
      <c r="P45" s="78">
        <f>Data!CH44</f>
        <v>0</v>
      </c>
      <c r="Q45" s="32">
        <f t="shared" ca="1" si="6"/>
        <v>32989858.216391578</v>
      </c>
      <c r="R45" s="145">
        <f t="shared" ca="1" si="3"/>
        <v>32819320.859118734</v>
      </c>
      <c r="S45" s="32">
        <f t="shared" ca="1" si="4"/>
        <v>4380525.8591187373</v>
      </c>
      <c r="T45" s="50">
        <f t="shared" ca="1" si="5"/>
        <v>0.15311527736525996</v>
      </c>
      <c r="Y45" s="130"/>
      <c r="AG45" s="2"/>
      <c r="AK45" s="2"/>
      <c r="AO45" s="2"/>
      <c r="AP45" s="76"/>
      <c r="AQ45" s="5"/>
      <c r="AR45" s="5"/>
      <c r="AS45" s="2"/>
      <c r="AT45" s="76"/>
      <c r="AU45" s="5"/>
      <c r="AV45" s="5"/>
      <c r="AW45" s="29"/>
      <c r="AX45" s="29"/>
    </row>
    <row r="46" spans="1:51" x14ac:dyDescent="0.2">
      <c r="A46" s="2">
        <v>41852</v>
      </c>
      <c r="B46">
        <f t="shared" si="1"/>
        <v>2014</v>
      </c>
      <c r="C46">
        <f t="shared" si="2"/>
        <v>8</v>
      </c>
      <c r="D46" s="151">
        <f>Data!D45</f>
        <v>26308447.180000015</v>
      </c>
      <c r="E46" s="151">
        <f>Data!E45</f>
        <v>170537.35727284456</v>
      </c>
      <c r="F46" s="151">
        <f>Data!F45</f>
        <v>26478984.537272859</v>
      </c>
      <c r="G46" s="129">
        <f>Data!AP45</f>
        <v>1</v>
      </c>
      <c r="H46" s="129">
        <f>Data!AQ45</f>
        <v>136</v>
      </c>
      <c r="I46" s="146">
        <f t="shared" ca="1" si="8"/>
        <v>0.34105263157894772</v>
      </c>
      <c r="J46" s="146">
        <f t="shared" ca="1" si="8"/>
        <v>191.39947368421053</v>
      </c>
      <c r="K46" s="32">
        <f>Data!BG45</f>
        <v>31</v>
      </c>
      <c r="L46" s="32">
        <f>Data!BX45</f>
        <v>0</v>
      </c>
      <c r="M46" s="32">
        <f>Data!BR45</f>
        <v>0</v>
      </c>
      <c r="N46" s="41">
        <f>Data!AA45</f>
        <v>31837</v>
      </c>
      <c r="O46" s="255">
        <f>Data!CG45</f>
        <v>0</v>
      </c>
      <c r="P46" s="78">
        <f>Data!CH45</f>
        <v>0</v>
      </c>
      <c r="Q46" s="32">
        <f t="shared" ca="1" si="6"/>
        <v>29405660.685119595</v>
      </c>
      <c r="R46" s="145">
        <f t="shared" ca="1" si="3"/>
        <v>29235123.327846751</v>
      </c>
      <c r="S46" s="32">
        <f t="shared" ca="1" si="4"/>
        <v>2926676.147846736</v>
      </c>
      <c r="T46" s="50">
        <f t="shared" ca="1" si="5"/>
        <v>0.11052826228011242</v>
      </c>
      <c r="Y46" s="130"/>
      <c r="AG46" s="2"/>
      <c r="AK46" s="2"/>
      <c r="AO46" s="2"/>
      <c r="AP46" s="76"/>
      <c r="AQ46" s="5"/>
      <c r="AR46" s="5"/>
      <c r="AS46" s="2"/>
      <c r="AT46" s="76"/>
      <c r="AU46" s="5"/>
      <c r="AV46" s="5"/>
      <c r="AW46" s="29"/>
      <c r="AX46" s="29"/>
      <c r="AY46" s="29"/>
    </row>
    <row r="47" spans="1:51" x14ac:dyDescent="0.2">
      <c r="A47" s="2">
        <v>41883</v>
      </c>
      <c r="B47">
        <f t="shared" si="1"/>
        <v>2014</v>
      </c>
      <c r="C47">
        <f t="shared" si="2"/>
        <v>9</v>
      </c>
      <c r="D47" s="151">
        <f>Data!D46</f>
        <v>21592645.629999999</v>
      </c>
      <c r="E47" s="151">
        <f>Data!E46</f>
        <v>170537.35727284456</v>
      </c>
      <c r="F47" s="151">
        <f>Data!F46</f>
        <v>21763182.987272844</v>
      </c>
      <c r="G47" s="129">
        <f>Data!AP46</f>
        <v>39.299999999999997</v>
      </c>
      <c r="H47" s="129">
        <f>Data!AQ46</f>
        <v>59.70000000000001</v>
      </c>
      <c r="I47" s="146">
        <f t="shared" ca="1" si="8"/>
        <v>26.567368421052606</v>
      </c>
      <c r="J47" s="146">
        <f t="shared" ca="1" si="8"/>
        <v>77.107368421052627</v>
      </c>
      <c r="K47" s="32">
        <f>Data!BG46</f>
        <v>30</v>
      </c>
      <c r="L47" s="32">
        <f>Data!BX46</f>
        <v>1</v>
      </c>
      <c r="M47" s="32">
        <f>Data!BR46</f>
        <v>1</v>
      </c>
      <c r="N47" s="41">
        <f>Data!AA46</f>
        <v>31970</v>
      </c>
      <c r="O47" s="255">
        <f>Data!CG46</f>
        <v>0</v>
      </c>
      <c r="P47" s="78">
        <f>Data!CH46</f>
        <v>0</v>
      </c>
      <c r="Q47" s="32">
        <f t="shared" ca="1" si="6"/>
        <v>22573376.348142233</v>
      </c>
      <c r="R47" s="145">
        <f t="shared" ca="1" si="3"/>
        <v>22402838.990869388</v>
      </c>
      <c r="S47" s="32">
        <f t="shared" ca="1" si="4"/>
        <v>810193.36086938903</v>
      </c>
      <c r="T47" s="50">
        <f t="shared" ca="1" si="5"/>
        <v>3.7227705218634236E-2</v>
      </c>
      <c r="AG47" s="2"/>
      <c r="AK47" s="2"/>
      <c r="AO47" s="2"/>
      <c r="AP47" s="76"/>
      <c r="AQ47" s="5"/>
      <c r="AR47" s="5"/>
      <c r="AS47" s="2"/>
      <c r="AT47" s="76"/>
      <c r="AU47" s="5"/>
      <c r="AV47" s="5"/>
      <c r="AW47" s="29"/>
      <c r="AX47" s="29"/>
    </row>
    <row r="48" spans="1:51" x14ac:dyDescent="0.2">
      <c r="A48" s="2">
        <v>41913</v>
      </c>
      <c r="B48">
        <f t="shared" si="1"/>
        <v>2014</v>
      </c>
      <c r="C48">
        <f t="shared" si="2"/>
        <v>10</v>
      </c>
      <c r="D48" s="151">
        <f>Data!D47</f>
        <v>21211727.290000003</v>
      </c>
      <c r="E48" s="151">
        <f>Data!E47</f>
        <v>170537.35727284456</v>
      </c>
      <c r="F48" s="151">
        <f>Data!F47</f>
        <v>21382264.647272848</v>
      </c>
      <c r="G48" s="129">
        <f>Data!AP47</f>
        <v>167.3</v>
      </c>
      <c r="H48" s="129">
        <f>Data!AQ47</f>
        <v>6.3000000000000007</v>
      </c>
      <c r="I48" s="146">
        <f t="shared" ca="1" si="8"/>
        <v>154.52315789473778</v>
      </c>
      <c r="J48" s="146">
        <f t="shared" ca="1" si="8"/>
        <v>10.628421052631595</v>
      </c>
      <c r="K48" s="32">
        <f>Data!BG47</f>
        <v>31</v>
      </c>
      <c r="L48" s="32">
        <f>Data!BX47</f>
        <v>1</v>
      </c>
      <c r="M48" s="32">
        <f>Data!BR47</f>
        <v>0</v>
      </c>
      <c r="N48" s="41">
        <f>Data!AA47</f>
        <v>32106</v>
      </c>
      <c r="O48" s="255">
        <f>Data!CG47</f>
        <v>0</v>
      </c>
      <c r="P48" s="78">
        <f>Data!CH47</f>
        <v>0</v>
      </c>
      <c r="Q48" s="32">
        <f t="shared" ca="1" si="6"/>
        <v>21499770.547335993</v>
      </c>
      <c r="R48" s="145">
        <f t="shared" ca="1" si="3"/>
        <v>21329233.190063149</v>
      </c>
      <c r="S48" s="32">
        <f t="shared" ca="1" si="4"/>
        <v>117505.90006314591</v>
      </c>
      <c r="T48" s="50">
        <f t="shared" ca="1" si="5"/>
        <v>5.4954843185019194E-3</v>
      </c>
      <c r="Y48" s="130"/>
      <c r="AG48" s="2"/>
      <c r="AK48" s="2"/>
      <c r="AO48" s="2"/>
      <c r="AP48" s="76"/>
      <c r="AQ48" s="5"/>
      <c r="AR48" s="5"/>
      <c r="AS48" s="2"/>
      <c r="AT48" s="76"/>
      <c r="AU48" s="5"/>
      <c r="AV48" s="5"/>
      <c r="AW48" s="29"/>
      <c r="AX48" s="29"/>
    </row>
    <row r="49" spans="1:50" x14ac:dyDescent="0.2">
      <c r="A49" s="2">
        <v>41944</v>
      </c>
      <c r="B49">
        <f t="shared" si="1"/>
        <v>2014</v>
      </c>
      <c r="C49">
        <f t="shared" si="2"/>
        <v>11</v>
      </c>
      <c r="D49" s="151">
        <f>Data!D48</f>
        <v>22391892.130000006</v>
      </c>
      <c r="E49" s="151">
        <f>Data!E48</f>
        <v>170537.35727284456</v>
      </c>
      <c r="F49" s="151">
        <f>Data!F48</f>
        <v>22562429.487272851</v>
      </c>
      <c r="G49" s="129">
        <f>Data!AP48</f>
        <v>422.10000000000008</v>
      </c>
      <c r="H49" s="129">
        <f>Data!AQ48</f>
        <v>0</v>
      </c>
      <c r="I49" s="146">
        <f t="shared" ca="1" si="8"/>
        <v>363.9931578947369</v>
      </c>
      <c r="J49" s="146">
        <f t="shared" ca="1" si="8"/>
        <v>1.8421052631579116E-2</v>
      </c>
      <c r="K49" s="32">
        <f>Data!BG48</f>
        <v>30</v>
      </c>
      <c r="L49" s="32">
        <f>Data!BX48</f>
        <v>1</v>
      </c>
      <c r="M49" s="32">
        <f>Data!BR48</f>
        <v>0</v>
      </c>
      <c r="N49" s="41">
        <f>Data!AA48</f>
        <v>32208</v>
      </c>
      <c r="O49" s="255">
        <f>Data!CG48</f>
        <v>0</v>
      </c>
      <c r="P49" s="78">
        <f>Data!CH48</f>
        <v>0</v>
      </c>
      <c r="Q49" s="32">
        <f t="shared" ca="1" si="6"/>
        <v>22055829.943892352</v>
      </c>
      <c r="R49" s="145">
        <f t="shared" ca="1" si="3"/>
        <v>21885292.586619508</v>
      </c>
      <c r="S49" s="32">
        <f t="shared" ca="1" si="4"/>
        <v>-506599.54338049889</v>
      </c>
      <c r="T49" s="50">
        <f t="shared" ca="1" si="5"/>
        <v>2.2453235528836313E-2</v>
      </c>
      <c r="AG49" s="2"/>
      <c r="AK49" s="2"/>
      <c r="AO49" s="2"/>
      <c r="AP49" s="76"/>
      <c r="AQ49" s="5"/>
      <c r="AR49" s="5"/>
      <c r="AS49" s="2"/>
      <c r="AT49" s="76"/>
      <c r="AU49" s="5"/>
      <c r="AV49" s="5"/>
      <c r="AW49" s="29"/>
      <c r="AX49" s="29"/>
    </row>
    <row r="50" spans="1:50" x14ac:dyDescent="0.2">
      <c r="A50" s="2">
        <v>41974</v>
      </c>
      <c r="B50">
        <f t="shared" si="1"/>
        <v>2014</v>
      </c>
      <c r="C50">
        <f t="shared" si="2"/>
        <v>12</v>
      </c>
      <c r="D50" s="151">
        <f>Data!D49</f>
        <v>27503240.840000004</v>
      </c>
      <c r="E50" s="151">
        <f>Data!E49</f>
        <v>170537.35727284456</v>
      </c>
      <c r="F50" s="151">
        <f>Data!F49</f>
        <v>27673778.197272848</v>
      </c>
      <c r="G50" s="129">
        <f>Data!AP49</f>
        <v>495.30000000000007</v>
      </c>
      <c r="H50" s="129">
        <f>Data!AQ49</f>
        <v>0</v>
      </c>
      <c r="I50" s="146">
        <f t="shared" ca="1" si="8"/>
        <v>499.7842105263162</v>
      </c>
      <c r="J50" s="146">
        <f t="shared" ca="1" si="8"/>
        <v>0</v>
      </c>
      <c r="K50" s="32">
        <f>Data!BG49</f>
        <v>31</v>
      </c>
      <c r="L50" s="32">
        <f>Data!BX49</f>
        <v>0</v>
      </c>
      <c r="M50" s="32">
        <f>Data!BR49</f>
        <v>0</v>
      </c>
      <c r="N50" s="41">
        <f>Data!AA49</f>
        <v>32268</v>
      </c>
      <c r="O50" s="255">
        <f>Data!CG49</f>
        <v>0</v>
      </c>
      <c r="P50" s="78">
        <f>Data!CH49</f>
        <v>0</v>
      </c>
      <c r="Q50" s="32">
        <f t="shared" ca="1" si="6"/>
        <v>27712948.652105425</v>
      </c>
      <c r="R50" s="145">
        <f t="shared" ca="1" si="3"/>
        <v>27542411.29483258</v>
      </c>
      <c r="S50" s="32">
        <f t="shared" ca="1" si="4"/>
        <v>39170.454832576215</v>
      </c>
      <c r="T50" s="50">
        <f t="shared" ca="1" si="5"/>
        <v>1.4154357440227053E-3</v>
      </c>
      <c r="AG50" s="2"/>
      <c r="AK50" s="2"/>
      <c r="AO50" s="2"/>
      <c r="AP50" s="76"/>
      <c r="AQ50" s="5"/>
      <c r="AR50" s="5"/>
      <c r="AS50" s="2"/>
      <c r="AT50" s="76"/>
      <c r="AU50" s="5"/>
      <c r="AV50" s="5"/>
      <c r="AW50" s="29"/>
      <c r="AX50" s="29"/>
    </row>
    <row r="51" spans="1:50" x14ac:dyDescent="0.2">
      <c r="A51" s="2">
        <v>42005</v>
      </c>
      <c r="B51">
        <f t="shared" si="1"/>
        <v>2015</v>
      </c>
      <c r="C51">
        <f t="shared" si="2"/>
        <v>1</v>
      </c>
      <c r="D51" s="151">
        <f>Data!D50</f>
        <v>27752175.363855418</v>
      </c>
      <c r="E51" s="151">
        <f>Data!E50</f>
        <v>317002.07740110968</v>
      </c>
      <c r="F51" s="151">
        <f>Data!F50</f>
        <v>28069177.441256527</v>
      </c>
      <c r="G51" s="129">
        <f>Data!AP50</f>
        <v>730.39999999999975</v>
      </c>
      <c r="H51" s="129">
        <f>Data!AQ50</f>
        <v>0</v>
      </c>
      <c r="I51" s="146">
        <f t="shared" ref="I51:J66" ca="1" si="9">I63</f>
        <v>619.82052631578927</v>
      </c>
      <c r="J51" s="146">
        <f t="shared" ca="1" si="9"/>
        <v>0</v>
      </c>
      <c r="K51" s="32">
        <f>Data!BG50</f>
        <v>31</v>
      </c>
      <c r="L51" s="32">
        <f>Data!BX50</f>
        <v>0</v>
      </c>
      <c r="M51" s="32">
        <f>Data!BR50</f>
        <v>0</v>
      </c>
      <c r="N51" s="41">
        <f>Data!AA50</f>
        <v>32346</v>
      </c>
      <c r="O51" s="255">
        <f>Data!CG50</f>
        <v>0</v>
      </c>
      <c r="P51" s="78">
        <f>Data!CH50</f>
        <v>0</v>
      </c>
      <c r="Q51" s="32">
        <f t="shared" ca="1" si="6"/>
        <v>27103244.139521983</v>
      </c>
      <c r="R51" s="145">
        <f t="shared" ca="1" si="3"/>
        <v>26786242.062120873</v>
      </c>
      <c r="S51" s="32">
        <f t="shared" ca="1" si="4"/>
        <v>-965933.30173454434</v>
      </c>
      <c r="T51" s="50">
        <f t="shared" ca="1" si="5"/>
        <v>3.4412597367915743E-2</v>
      </c>
      <c r="AG51" s="2"/>
      <c r="AK51" s="2"/>
      <c r="AO51" s="2"/>
      <c r="AP51" s="76"/>
      <c r="AQ51" s="5"/>
      <c r="AR51" s="5"/>
      <c r="AS51" s="2"/>
      <c r="AT51" s="76"/>
      <c r="AU51" s="5"/>
      <c r="AV51" s="5"/>
      <c r="AW51" s="29"/>
      <c r="AX51" s="29"/>
    </row>
    <row r="52" spans="1:50" x14ac:dyDescent="0.2">
      <c r="A52" s="2">
        <v>42036</v>
      </c>
      <c r="B52">
        <f t="shared" si="1"/>
        <v>2015</v>
      </c>
      <c r="C52">
        <f t="shared" si="2"/>
        <v>2</v>
      </c>
      <c r="D52" s="151">
        <f>Data!D51</f>
        <v>26390163.306024112</v>
      </c>
      <c r="E52" s="151">
        <f>Data!E51</f>
        <v>317002.07740110968</v>
      </c>
      <c r="F52" s="151">
        <f>Data!F51</f>
        <v>26707165.383425221</v>
      </c>
      <c r="G52" s="129">
        <f>Data!AP51</f>
        <v>800.8</v>
      </c>
      <c r="H52" s="129">
        <f>Data!AQ51</f>
        <v>0</v>
      </c>
      <c r="I52" s="146">
        <f t="shared" ca="1" si="9"/>
        <v>570.53578947368419</v>
      </c>
      <c r="J52" s="146">
        <f t="shared" ca="1" si="9"/>
        <v>0</v>
      </c>
      <c r="K52" s="32">
        <f>Data!BG51</f>
        <v>28</v>
      </c>
      <c r="L52" s="32">
        <f>Data!BX51</f>
        <v>0</v>
      </c>
      <c r="M52" s="32">
        <f>Data!BR51</f>
        <v>0</v>
      </c>
      <c r="N52" s="41">
        <f>Data!AA51</f>
        <v>32433</v>
      </c>
      <c r="O52" s="255">
        <f>Data!CG51</f>
        <v>0</v>
      </c>
      <c r="P52" s="78">
        <f>Data!CH51</f>
        <v>0</v>
      </c>
      <c r="Q52" s="32">
        <f t="shared" ca="1" si="6"/>
        <v>24695762.52777262</v>
      </c>
      <c r="R52" s="145">
        <f t="shared" ca="1" si="3"/>
        <v>24378760.450371511</v>
      </c>
      <c r="S52" s="32">
        <f t="shared" ca="1" si="4"/>
        <v>-2011402.8556526005</v>
      </c>
      <c r="T52" s="50">
        <f t="shared" ca="1" si="5"/>
        <v>7.5313228745005664E-2</v>
      </c>
      <c r="AG52" s="2"/>
      <c r="AK52" s="2"/>
      <c r="AO52" s="2"/>
      <c r="AP52" s="76"/>
      <c r="AQ52" s="5"/>
      <c r="AR52" s="5"/>
      <c r="AS52" s="2"/>
      <c r="AT52" s="76"/>
      <c r="AU52" s="5"/>
      <c r="AV52" s="5"/>
      <c r="AW52" s="29"/>
      <c r="AX52" s="29"/>
    </row>
    <row r="53" spans="1:50" x14ac:dyDescent="0.2">
      <c r="A53" s="2">
        <v>42064</v>
      </c>
      <c r="B53">
        <f t="shared" si="1"/>
        <v>2015</v>
      </c>
      <c r="C53">
        <f t="shared" si="2"/>
        <v>3</v>
      </c>
      <c r="D53" s="151">
        <f>Data!D52</f>
        <v>24161080.125301201</v>
      </c>
      <c r="E53" s="151">
        <f>Data!E52</f>
        <v>317002.07740110968</v>
      </c>
      <c r="F53" s="151">
        <f>Data!F52</f>
        <v>24478082.20270231</v>
      </c>
      <c r="G53" s="129">
        <f>Data!AP52</f>
        <v>553.5</v>
      </c>
      <c r="H53" s="129">
        <f>Data!AQ52</f>
        <v>0</v>
      </c>
      <c r="I53" s="146">
        <f t="shared" ca="1" si="9"/>
        <v>461.49315789473712</v>
      </c>
      <c r="J53" s="146">
        <f t="shared" ca="1" si="9"/>
        <v>0.17368421052631611</v>
      </c>
      <c r="K53" s="32">
        <f>Data!BG52</f>
        <v>31</v>
      </c>
      <c r="L53" s="32">
        <f>Data!BX52</f>
        <v>1</v>
      </c>
      <c r="M53" s="32">
        <f>Data!BR52</f>
        <v>0</v>
      </c>
      <c r="N53" s="41">
        <f>Data!AA52</f>
        <v>32524</v>
      </c>
      <c r="O53" s="255">
        <f>Data!CG52</f>
        <v>0</v>
      </c>
      <c r="P53" s="78">
        <f>Data!CH52</f>
        <v>0</v>
      </c>
      <c r="Q53" s="32">
        <f t="shared" ca="1" si="6"/>
        <v>23683578.003571983</v>
      </c>
      <c r="R53" s="145">
        <f t="shared" ca="1" si="3"/>
        <v>23366575.926170874</v>
      </c>
      <c r="S53" s="32">
        <f t="shared" ca="1" si="4"/>
        <v>-794504.19913032651</v>
      </c>
      <c r="T53" s="50">
        <f t="shared" ca="1" si="5"/>
        <v>3.245777968024862E-2</v>
      </c>
      <c r="AG53" s="2"/>
      <c r="AK53" s="2"/>
      <c r="AO53" s="2"/>
      <c r="AP53" s="76"/>
      <c r="AQ53" s="5"/>
      <c r="AR53" s="5"/>
      <c r="AS53" s="2"/>
      <c r="AT53" s="76"/>
      <c r="AU53" s="5"/>
      <c r="AV53" s="5"/>
      <c r="AW53" s="29"/>
      <c r="AX53" s="29"/>
    </row>
    <row r="54" spans="1:50" x14ac:dyDescent="0.2">
      <c r="A54" s="2">
        <v>42095</v>
      </c>
      <c r="B54">
        <f t="shared" si="1"/>
        <v>2015</v>
      </c>
      <c r="C54">
        <f t="shared" si="2"/>
        <v>4</v>
      </c>
      <c r="D54" s="151">
        <f>Data!D53</f>
        <v>20359667.007228933</v>
      </c>
      <c r="E54" s="151">
        <f>Data!E53</f>
        <v>317002.07740110968</v>
      </c>
      <c r="F54" s="151">
        <f>Data!F53</f>
        <v>20676669.084630042</v>
      </c>
      <c r="G54" s="129">
        <f>Data!AP53</f>
        <v>253.70000000000002</v>
      </c>
      <c r="H54" s="129">
        <f>Data!AQ53</f>
        <v>0</v>
      </c>
      <c r="I54" s="146">
        <f t="shared" ca="1" si="9"/>
        <v>285.02368421052643</v>
      </c>
      <c r="J54" s="146">
        <f t="shared" ca="1" si="9"/>
        <v>0</v>
      </c>
      <c r="K54" s="32">
        <f>Data!BG53</f>
        <v>30</v>
      </c>
      <c r="L54" s="32">
        <f>Data!BX53</f>
        <v>1</v>
      </c>
      <c r="M54" s="32">
        <f>Data!BR53</f>
        <v>0</v>
      </c>
      <c r="N54" s="41">
        <f>Data!AA53</f>
        <v>32605</v>
      </c>
      <c r="O54" s="255">
        <f>Data!CG53</f>
        <v>0</v>
      </c>
      <c r="P54" s="78">
        <f>Data!CH53</f>
        <v>0</v>
      </c>
      <c r="Q54" s="32">
        <f t="shared" ca="1" si="6"/>
        <v>20950287.584554993</v>
      </c>
      <c r="R54" s="145">
        <f t="shared" ca="1" si="3"/>
        <v>20633285.507153884</v>
      </c>
      <c r="S54" s="32">
        <f t="shared" ca="1" si="4"/>
        <v>273618.4999249503</v>
      </c>
      <c r="T54" s="50">
        <f t="shared" ca="1" si="5"/>
        <v>1.3233200125466246E-2</v>
      </c>
      <c r="X54" s="130"/>
      <c r="AG54" s="2"/>
      <c r="AK54" s="2"/>
      <c r="AO54" s="2"/>
      <c r="AP54" s="76"/>
      <c r="AQ54" s="5"/>
      <c r="AR54" s="5"/>
      <c r="AS54" s="2"/>
      <c r="AT54" s="76"/>
      <c r="AU54" s="5"/>
      <c r="AV54" s="5"/>
      <c r="AW54" s="29"/>
      <c r="AX54" s="29"/>
    </row>
    <row r="55" spans="1:50" x14ac:dyDescent="0.2">
      <c r="A55" s="2">
        <v>42125</v>
      </c>
      <c r="B55">
        <f t="shared" si="1"/>
        <v>2015</v>
      </c>
      <c r="C55">
        <f t="shared" si="2"/>
        <v>5</v>
      </c>
      <c r="D55" s="151">
        <f>Data!D54</f>
        <v>21429091.180722896</v>
      </c>
      <c r="E55" s="151">
        <f>Data!E54</f>
        <v>317002.07740110968</v>
      </c>
      <c r="F55" s="151">
        <f>Data!F54</f>
        <v>21746093.258124005</v>
      </c>
      <c r="G55" s="129">
        <f>Data!AP54</f>
        <v>56.900000000000006</v>
      </c>
      <c r="H55" s="129">
        <f>Data!AQ54</f>
        <v>63.7</v>
      </c>
      <c r="I55" s="146">
        <f t="shared" ca="1" si="9"/>
        <v>92.127894736842109</v>
      </c>
      <c r="J55" s="146">
        <f t="shared" ca="1" si="9"/>
        <v>50.712631578947821</v>
      </c>
      <c r="K55" s="32">
        <f>Data!BG54</f>
        <v>31</v>
      </c>
      <c r="L55" s="32">
        <f>Data!BX54</f>
        <v>1</v>
      </c>
      <c r="M55" s="32">
        <f>Data!BR54</f>
        <v>0</v>
      </c>
      <c r="N55" s="41">
        <f>Data!AA54</f>
        <v>32646</v>
      </c>
      <c r="O55" s="255">
        <f>Data!CG54</f>
        <v>0</v>
      </c>
      <c r="P55" s="78">
        <f>Data!CH54</f>
        <v>0</v>
      </c>
      <c r="Q55" s="32">
        <f t="shared" ca="1" si="6"/>
        <v>21366362.028241646</v>
      </c>
      <c r="R55" s="145">
        <f t="shared" ca="1" si="3"/>
        <v>21049359.950840537</v>
      </c>
      <c r="S55" s="32">
        <f t="shared" ca="1" si="4"/>
        <v>-379731.2298823595</v>
      </c>
      <c r="T55" s="50">
        <f t="shared" ca="1" si="5"/>
        <v>1.7462043658830431E-2</v>
      </c>
      <c r="AG55" s="2"/>
      <c r="AK55" s="2"/>
      <c r="AO55" s="2"/>
      <c r="AP55" s="76"/>
      <c r="AQ55" s="5"/>
      <c r="AR55" s="5"/>
      <c r="AS55" s="2"/>
      <c r="AT55" s="76"/>
      <c r="AU55" s="5"/>
      <c r="AV55" s="5"/>
      <c r="AW55" s="29"/>
      <c r="AX55" s="29"/>
    </row>
    <row r="56" spans="1:50" x14ac:dyDescent="0.2">
      <c r="A56" s="2">
        <v>42156</v>
      </c>
      <c r="B56">
        <f t="shared" si="1"/>
        <v>2015</v>
      </c>
      <c r="C56">
        <f t="shared" si="2"/>
        <v>6</v>
      </c>
      <c r="D56" s="151">
        <f>Data!D55</f>
        <v>24790300.809638564</v>
      </c>
      <c r="E56" s="151">
        <f>Data!E55</f>
        <v>317002.07740110968</v>
      </c>
      <c r="F56" s="151">
        <f>Data!F55</f>
        <v>25107302.887039673</v>
      </c>
      <c r="G56" s="129">
        <f>Data!AP55</f>
        <v>14.299999999999999</v>
      </c>
      <c r="H56" s="129">
        <f>Data!AQ55</f>
        <v>72.800000000000011</v>
      </c>
      <c r="I56" s="146">
        <f t="shared" ca="1" si="9"/>
        <v>6.5805263157894842</v>
      </c>
      <c r="J56" s="146">
        <f t="shared" ca="1" si="9"/>
        <v>122.87210526315789</v>
      </c>
      <c r="K56" s="32">
        <f>Data!BG55</f>
        <v>30</v>
      </c>
      <c r="L56" s="32">
        <f>Data!BX55</f>
        <v>0</v>
      </c>
      <c r="M56" s="32">
        <f>Data!BR55</f>
        <v>0</v>
      </c>
      <c r="N56" s="41">
        <f>Data!AA55</f>
        <v>32729</v>
      </c>
      <c r="O56" s="255">
        <f>Data!CG55</f>
        <v>0</v>
      </c>
      <c r="P56" s="78">
        <f>Data!CH55</f>
        <v>0</v>
      </c>
      <c r="Q56" s="32">
        <f t="shared" ca="1" si="6"/>
        <v>27690313.073598448</v>
      </c>
      <c r="R56" s="145">
        <f t="shared" ca="1" si="3"/>
        <v>27373310.996197339</v>
      </c>
      <c r="S56" s="32">
        <f t="shared" ca="1" si="4"/>
        <v>2583010.1865587756</v>
      </c>
      <c r="T56" s="50">
        <f t="shared" ca="1" si="5"/>
        <v>0.10287883960216687</v>
      </c>
      <c r="AG56" s="2"/>
      <c r="AK56" s="2"/>
      <c r="AO56" s="2"/>
      <c r="AP56" s="76"/>
      <c r="AQ56" s="5"/>
      <c r="AR56" s="5"/>
      <c r="AS56" s="2"/>
      <c r="AT56" s="76"/>
      <c r="AU56" s="5"/>
      <c r="AV56" s="5"/>
      <c r="AW56" s="29"/>
      <c r="AX56" s="29"/>
    </row>
    <row r="57" spans="1:50" x14ac:dyDescent="0.2">
      <c r="A57" s="2">
        <v>42186</v>
      </c>
      <c r="B57">
        <f t="shared" si="1"/>
        <v>2015</v>
      </c>
      <c r="C57">
        <f t="shared" si="2"/>
        <v>7</v>
      </c>
      <c r="D57" s="151">
        <f>Data!D56</f>
        <v>31635963.15180723</v>
      </c>
      <c r="E57" s="151">
        <f>Data!E56</f>
        <v>317002.07740110968</v>
      </c>
      <c r="F57" s="151">
        <f>Data!F56</f>
        <v>31952965.229208339</v>
      </c>
      <c r="G57" s="129">
        <f>Data!AP56</f>
        <v>0</v>
      </c>
      <c r="H57" s="129">
        <f>Data!AQ56</f>
        <v>172.30000000000004</v>
      </c>
      <c r="I57" s="146">
        <f t="shared" ca="1" si="9"/>
        <v>0</v>
      </c>
      <c r="J57" s="146">
        <f t="shared" ca="1" si="9"/>
        <v>211.7568421052631</v>
      </c>
      <c r="K57" s="32">
        <f>Data!BG56</f>
        <v>31</v>
      </c>
      <c r="L57" s="32">
        <f>Data!BX56</f>
        <v>0</v>
      </c>
      <c r="M57" s="32">
        <f>Data!BR56</f>
        <v>0</v>
      </c>
      <c r="N57" s="41">
        <f>Data!AA56</f>
        <v>32779</v>
      </c>
      <c r="O57" s="255">
        <f>Data!CG56</f>
        <v>0</v>
      </c>
      <c r="P57" s="78">
        <f>Data!CH56</f>
        <v>0</v>
      </c>
      <c r="Q57" s="32">
        <f t="shared" ca="1" si="6"/>
        <v>34041514.197055891</v>
      </c>
      <c r="R57" s="145">
        <f t="shared" ca="1" si="3"/>
        <v>33724512.119654782</v>
      </c>
      <c r="S57" s="32">
        <f t="shared" ca="1" si="4"/>
        <v>2088548.9678475522</v>
      </c>
      <c r="T57" s="50">
        <f t="shared" ca="1" si="5"/>
        <v>6.5363228509960028E-2</v>
      </c>
      <c r="AG57" s="2"/>
      <c r="AK57" s="2"/>
      <c r="AO57" s="2"/>
      <c r="AP57" s="76"/>
      <c r="AQ57" s="5"/>
      <c r="AR57" s="5"/>
      <c r="AS57" s="2"/>
      <c r="AT57" s="76"/>
      <c r="AU57" s="5"/>
      <c r="AV57" s="5"/>
      <c r="AW57" s="29"/>
      <c r="AX57" s="29"/>
    </row>
    <row r="58" spans="1:50" x14ac:dyDescent="0.2">
      <c r="A58" s="2">
        <v>42217</v>
      </c>
      <c r="B58">
        <f t="shared" si="1"/>
        <v>2015</v>
      </c>
      <c r="C58">
        <f t="shared" si="2"/>
        <v>8</v>
      </c>
      <c r="D58" s="151">
        <f>Data!D57</f>
        <v>29263075.190361433</v>
      </c>
      <c r="E58" s="151">
        <f>Data!E57</f>
        <v>317002.07740110968</v>
      </c>
      <c r="F58" s="151">
        <f>Data!F57</f>
        <v>29580077.267762542</v>
      </c>
      <c r="G58" s="129">
        <f>Data!AP57</f>
        <v>0</v>
      </c>
      <c r="H58" s="129">
        <f>Data!AQ57</f>
        <v>146.20000000000002</v>
      </c>
      <c r="I58" s="146">
        <f t="shared" ca="1" si="9"/>
        <v>0.34105263157894772</v>
      </c>
      <c r="J58" s="146">
        <f t="shared" ca="1" si="9"/>
        <v>191.39947368421053</v>
      </c>
      <c r="K58" s="32">
        <f>Data!BG57</f>
        <v>31</v>
      </c>
      <c r="L58" s="32">
        <f>Data!BX57</f>
        <v>0</v>
      </c>
      <c r="M58" s="32">
        <f>Data!BR57</f>
        <v>0</v>
      </c>
      <c r="N58" s="41">
        <f>Data!AA57</f>
        <v>32817</v>
      </c>
      <c r="O58" s="255">
        <f>Data!CG57</f>
        <v>0</v>
      </c>
      <c r="P58" s="78">
        <f>Data!CH57</f>
        <v>0</v>
      </c>
      <c r="Q58" s="32">
        <f t="shared" ca="1" si="6"/>
        <v>31975577.195440035</v>
      </c>
      <c r="R58" s="145">
        <f t="shared" ca="1" si="3"/>
        <v>31658575.118038926</v>
      </c>
      <c r="S58" s="32">
        <f t="shared" ca="1" si="4"/>
        <v>2395499.9276774935</v>
      </c>
      <c r="T58" s="50">
        <f t="shared" ca="1" si="5"/>
        <v>8.0983558832288707E-2</v>
      </c>
      <c r="AG58" s="2"/>
      <c r="AK58" s="2"/>
      <c r="AO58" s="2"/>
      <c r="AP58" s="76"/>
      <c r="AQ58" s="5"/>
      <c r="AR58" s="5"/>
      <c r="AS58" s="2"/>
      <c r="AT58" s="76"/>
      <c r="AU58" s="5"/>
      <c r="AV58" s="5"/>
      <c r="AW58" s="29"/>
      <c r="AX58" s="29"/>
    </row>
    <row r="59" spans="1:50" x14ac:dyDescent="0.2">
      <c r="A59" s="2">
        <v>42248</v>
      </c>
      <c r="B59">
        <f t="shared" si="1"/>
        <v>2015</v>
      </c>
      <c r="C59">
        <f t="shared" si="2"/>
        <v>9</v>
      </c>
      <c r="D59" s="151">
        <f>Data!D58</f>
        <v>26291769.465060253</v>
      </c>
      <c r="E59" s="151">
        <f>Data!E58</f>
        <v>317002.07740110968</v>
      </c>
      <c r="F59" s="151">
        <f>Data!F58</f>
        <v>26608771.542461362</v>
      </c>
      <c r="G59" s="129">
        <f>Data!AP58</f>
        <v>12.9</v>
      </c>
      <c r="H59" s="129">
        <f>Data!AQ58</f>
        <v>123.69999999999999</v>
      </c>
      <c r="I59" s="146">
        <f t="shared" ca="1" si="9"/>
        <v>26.567368421052606</v>
      </c>
      <c r="J59" s="146">
        <f t="shared" ca="1" si="9"/>
        <v>77.107368421052627</v>
      </c>
      <c r="K59" s="32">
        <f>Data!BG58</f>
        <v>30</v>
      </c>
      <c r="L59" s="32">
        <f>Data!BX58</f>
        <v>1</v>
      </c>
      <c r="M59" s="32">
        <f>Data!BR58</f>
        <v>1</v>
      </c>
      <c r="N59" s="41">
        <f>Data!AA58</f>
        <v>32876</v>
      </c>
      <c r="O59" s="255">
        <f>Data!CG58</f>
        <v>0</v>
      </c>
      <c r="P59" s="78">
        <f>Data!CH58</f>
        <v>0</v>
      </c>
      <c r="Q59" s="32">
        <f t="shared" ca="1" si="6"/>
        <v>24261894.590173416</v>
      </c>
      <c r="R59" s="145">
        <f t="shared" ca="1" si="3"/>
        <v>23944892.512772307</v>
      </c>
      <c r="S59" s="32">
        <f t="shared" ca="1" si="4"/>
        <v>-2346876.9522879459</v>
      </c>
      <c r="T59" s="50">
        <f t="shared" ca="1" si="5"/>
        <v>8.819937247170094E-2</v>
      </c>
      <c r="AG59" s="2"/>
      <c r="AK59" s="2"/>
      <c r="AO59" s="2"/>
      <c r="AP59" s="76"/>
      <c r="AQ59" s="5"/>
      <c r="AR59" s="5"/>
      <c r="AS59" s="2"/>
      <c r="AT59" s="76"/>
      <c r="AU59" s="5"/>
      <c r="AV59" s="5"/>
      <c r="AW59" s="29"/>
      <c r="AX59" s="29"/>
    </row>
    <row r="60" spans="1:50" x14ac:dyDescent="0.2">
      <c r="A60" s="2">
        <v>42278</v>
      </c>
      <c r="B60">
        <f t="shared" si="1"/>
        <v>2015</v>
      </c>
      <c r="C60">
        <f t="shared" si="2"/>
        <v>10</v>
      </c>
      <c r="D60" s="151">
        <f>Data!D59</f>
        <v>21166911.199999988</v>
      </c>
      <c r="E60" s="151">
        <f>Data!E59</f>
        <v>317002.07740110968</v>
      </c>
      <c r="F60" s="151">
        <f>Data!F59</f>
        <v>21483913.277401097</v>
      </c>
      <c r="G60" s="129">
        <f>Data!AP59</f>
        <v>190.60000000000002</v>
      </c>
      <c r="H60" s="129">
        <f>Data!AQ59</f>
        <v>2.7999999999999972</v>
      </c>
      <c r="I60" s="146">
        <f t="shared" ca="1" si="9"/>
        <v>154.52315789473778</v>
      </c>
      <c r="J60" s="146">
        <f t="shared" ca="1" si="9"/>
        <v>10.628421052631595</v>
      </c>
      <c r="K60" s="32">
        <f>Data!BG59</f>
        <v>31</v>
      </c>
      <c r="L60" s="32">
        <f>Data!BX59</f>
        <v>1</v>
      </c>
      <c r="M60" s="32">
        <f>Data!BR59</f>
        <v>0</v>
      </c>
      <c r="N60" s="41">
        <f>Data!AA59</f>
        <v>32908</v>
      </c>
      <c r="O60" s="255">
        <f>Data!CG59</f>
        <v>0</v>
      </c>
      <c r="P60" s="78">
        <f>Data!CH59</f>
        <v>0</v>
      </c>
      <c r="Q60" s="32">
        <f t="shared" ca="1" si="6"/>
        <v>21583152.84735994</v>
      </c>
      <c r="R60" s="145">
        <f t="shared" ca="1" si="3"/>
        <v>21266150.769958831</v>
      </c>
      <c r="S60" s="32">
        <f t="shared" ca="1" si="4"/>
        <v>99239.569958843291</v>
      </c>
      <c r="T60" s="50">
        <f t="shared" ca="1" si="5"/>
        <v>4.6192501653427023E-3</v>
      </c>
      <c r="AG60" s="2"/>
      <c r="AK60" s="2"/>
      <c r="AO60" s="2"/>
      <c r="AP60" s="76"/>
      <c r="AQ60" s="5"/>
      <c r="AR60" s="5"/>
      <c r="AS60" s="2"/>
      <c r="AT60" s="76"/>
      <c r="AU60" s="5"/>
      <c r="AV60" s="5"/>
      <c r="AW60" s="29"/>
      <c r="AX60" s="29"/>
    </row>
    <row r="61" spans="1:50" x14ac:dyDescent="0.2">
      <c r="A61" s="2">
        <v>42309</v>
      </c>
      <c r="B61">
        <f t="shared" si="1"/>
        <v>2015</v>
      </c>
      <c r="C61">
        <f t="shared" si="2"/>
        <v>11</v>
      </c>
      <c r="D61" s="151">
        <f>Data!D60</f>
        <v>19417085.089156609</v>
      </c>
      <c r="E61" s="151">
        <f>Data!E60</f>
        <v>317002.07740110968</v>
      </c>
      <c r="F61" s="151">
        <f>Data!F60</f>
        <v>19734087.166557718</v>
      </c>
      <c r="G61" s="129">
        <f>Data!AP60</f>
        <v>285</v>
      </c>
      <c r="H61" s="129">
        <f>Data!AQ60</f>
        <v>0</v>
      </c>
      <c r="I61" s="146">
        <f t="shared" ca="1" si="9"/>
        <v>363.9931578947369</v>
      </c>
      <c r="J61" s="146">
        <f t="shared" ca="1" si="9"/>
        <v>1.8421052631579116E-2</v>
      </c>
      <c r="K61" s="32">
        <f>Data!BG60</f>
        <v>30</v>
      </c>
      <c r="L61" s="32">
        <f>Data!BX60</f>
        <v>1</v>
      </c>
      <c r="M61" s="32">
        <f>Data!BR60</f>
        <v>0</v>
      </c>
      <c r="N61" s="41">
        <f>Data!AA60</f>
        <v>32947</v>
      </c>
      <c r="O61" s="255">
        <f>Data!CG60</f>
        <v>0</v>
      </c>
      <c r="P61" s="78">
        <f>Data!CH60</f>
        <v>0</v>
      </c>
      <c r="Q61" s="32">
        <f t="shared" ca="1" si="6"/>
        <v>20425082.902442109</v>
      </c>
      <c r="R61" s="145">
        <f t="shared" ca="1" si="3"/>
        <v>20108080.825041</v>
      </c>
      <c r="S61" s="32">
        <f t="shared" ca="1" si="4"/>
        <v>690995.73588439077</v>
      </c>
      <c r="T61" s="50">
        <f t="shared" ca="1" si="5"/>
        <v>3.501533818373842E-2</v>
      </c>
      <c r="AG61" s="2"/>
      <c r="AP61" s="5"/>
      <c r="AQ61" s="5"/>
      <c r="AR61" s="5"/>
      <c r="AS61" s="5"/>
      <c r="AT61" s="5"/>
      <c r="AU61" s="5"/>
      <c r="AW61" s="29"/>
      <c r="AX61" s="29"/>
    </row>
    <row r="62" spans="1:50" x14ac:dyDescent="0.2">
      <c r="A62" s="2">
        <v>42339</v>
      </c>
      <c r="B62">
        <f t="shared" si="1"/>
        <v>2015</v>
      </c>
      <c r="C62">
        <f t="shared" si="2"/>
        <v>12</v>
      </c>
      <c r="D62" s="151">
        <f>Data!D61</f>
        <v>23283597.985542178</v>
      </c>
      <c r="E62" s="151">
        <f>Data!E61</f>
        <v>317002.07740110968</v>
      </c>
      <c r="F62" s="151">
        <f>Data!F61</f>
        <v>23600600.062943287</v>
      </c>
      <c r="G62" s="129">
        <f>Data!AP61</f>
        <v>367.70000000000005</v>
      </c>
      <c r="H62" s="129">
        <f>Data!AQ61</f>
        <v>0</v>
      </c>
      <c r="I62" s="146">
        <f t="shared" ca="1" si="9"/>
        <v>499.7842105263162</v>
      </c>
      <c r="J62" s="146">
        <f t="shared" ca="1" si="9"/>
        <v>0</v>
      </c>
      <c r="K62" s="32">
        <f>Data!BG61</f>
        <v>31</v>
      </c>
      <c r="L62" s="32">
        <f>Data!BX61</f>
        <v>0</v>
      </c>
      <c r="M62" s="32">
        <f>Data!BR61</f>
        <v>0</v>
      </c>
      <c r="N62" s="41">
        <f>Data!AA61</f>
        <v>33001</v>
      </c>
      <c r="O62" s="255">
        <f>Data!CG61</f>
        <v>0</v>
      </c>
      <c r="P62" s="78">
        <f>Data!CH61</f>
        <v>0</v>
      </c>
      <c r="Q62" s="32">
        <f t="shared" ca="1" si="6"/>
        <v>24754381.44143888</v>
      </c>
      <c r="R62" s="145">
        <f t="shared" ca="1" si="3"/>
        <v>24437379.364037771</v>
      </c>
      <c r="S62" s="32">
        <f t="shared" ca="1" si="4"/>
        <v>1153781.3784955926</v>
      </c>
      <c r="T62" s="50">
        <f t="shared" ca="1" si="5"/>
        <v>4.8887798421160221E-2</v>
      </c>
      <c r="AG62" s="2"/>
      <c r="AP62" s="5"/>
      <c r="AQ62" s="5"/>
      <c r="AR62" s="5"/>
      <c r="AS62" s="5"/>
      <c r="AT62" s="5"/>
    </row>
    <row r="63" spans="1:50" x14ac:dyDescent="0.2">
      <c r="A63" s="2">
        <v>42370</v>
      </c>
      <c r="B63">
        <f t="shared" si="1"/>
        <v>2016</v>
      </c>
      <c r="C63">
        <f t="shared" si="2"/>
        <v>1</v>
      </c>
      <c r="D63" s="151">
        <f>Data!D62</f>
        <v>25985111.093975894</v>
      </c>
      <c r="E63" s="151">
        <f>Data!E62</f>
        <v>503439.62575630058</v>
      </c>
      <c r="F63" s="151">
        <f>Data!F62</f>
        <v>26488550.719732195</v>
      </c>
      <c r="G63" s="129">
        <f>Data!AP62</f>
        <v>608.4</v>
      </c>
      <c r="H63" s="129">
        <f>Data!AQ62</f>
        <v>0</v>
      </c>
      <c r="I63" s="146">
        <f t="shared" ca="1" si="9"/>
        <v>619.82052631578927</v>
      </c>
      <c r="J63" s="146">
        <f t="shared" ca="1" si="9"/>
        <v>0</v>
      </c>
      <c r="K63" s="32">
        <f>Data!BG62</f>
        <v>31</v>
      </c>
      <c r="L63" s="32">
        <f>Data!BX62</f>
        <v>0</v>
      </c>
      <c r="M63" s="32">
        <f>Data!BR62</f>
        <v>0</v>
      </c>
      <c r="N63" s="41">
        <f>Data!AA62</f>
        <v>33068</v>
      </c>
      <c r="O63" s="255">
        <f>Data!CG62</f>
        <v>0</v>
      </c>
      <c r="P63" s="78">
        <f>Data!CH62</f>
        <v>0</v>
      </c>
      <c r="Q63" s="32">
        <f t="shared" ca="1" si="6"/>
        <v>26588311.247832194</v>
      </c>
      <c r="R63" s="145">
        <f t="shared" ca="1" si="3"/>
        <v>26084871.622075893</v>
      </c>
      <c r="S63" s="32">
        <f t="shared" ca="1" si="4"/>
        <v>99760.528099998832</v>
      </c>
      <c r="T63" s="50">
        <f t="shared" ca="1" si="5"/>
        <v>3.7661753999128356E-3</v>
      </c>
    </row>
    <row r="64" spans="1:50" x14ac:dyDescent="0.2">
      <c r="A64" s="2">
        <v>42401</v>
      </c>
      <c r="B64">
        <f t="shared" si="1"/>
        <v>2016</v>
      </c>
      <c r="C64">
        <f t="shared" si="2"/>
        <v>2</v>
      </c>
      <c r="D64" s="151">
        <f>Data!D63</f>
        <v>24520177.522891562</v>
      </c>
      <c r="E64" s="151">
        <f>Data!E63</f>
        <v>503439.62575630058</v>
      </c>
      <c r="F64" s="151">
        <f>Data!F63</f>
        <v>25023617.148647863</v>
      </c>
      <c r="G64" s="129">
        <f>Data!AP63</f>
        <v>530.40000000000009</v>
      </c>
      <c r="H64" s="129">
        <f>Data!AQ63</f>
        <v>0</v>
      </c>
      <c r="I64" s="146">
        <f t="shared" ca="1" si="9"/>
        <v>570.53578947368419</v>
      </c>
      <c r="J64" s="146">
        <f t="shared" ca="1" si="9"/>
        <v>0</v>
      </c>
      <c r="K64" s="32">
        <f>Data!BG63</f>
        <v>29</v>
      </c>
      <c r="L64" s="32">
        <f>Data!BX63</f>
        <v>0</v>
      </c>
      <c r="M64" s="32">
        <f>Data!BR63</f>
        <v>0</v>
      </c>
      <c r="N64" s="41">
        <f>Data!AA63</f>
        <v>33176</v>
      </c>
      <c r="O64" s="255">
        <f>Data!CG63</f>
        <v>0</v>
      </c>
      <c r="P64" s="78">
        <f>Data!CH63</f>
        <v>0</v>
      </c>
      <c r="Q64" s="32">
        <f t="shared" ca="1" si="6"/>
        <v>25374211.109284285</v>
      </c>
      <c r="R64" s="145">
        <f t="shared" ca="1" si="3"/>
        <v>24870771.483527984</v>
      </c>
      <c r="S64" s="32">
        <f t="shared" ca="1" si="4"/>
        <v>350593.96063642204</v>
      </c>
      <c r="T64" s="50">
        <f t="shared" ca="1" si="5"/>
        <v>1.4010522881395912E-2</v>
      </c>
    </row>
    <row r="65" spans="1:34" x14ac:dyDescent="0.2">
      <c r="A65" s="2">
        <v>42430</v>
      </c>
      <c r="B65">
        <f t="shared" si="1"/>
        <v>2016</v>
      </c>
      <c r="C65">
        <f t="shared" si="2"/>
        <v>3</v>
      </c>
      <c r="D65" s="151">
        <f>Data!D64</f>
        <v>22958336.693975914</v>
      </c>
      <c r="E65" s="151">
        <f>Data!E64</f>
        <v>503439.62575630058</v>
      </c>
      <c r="F65" s="151">
        <f>Data!F64</f>
        <v>23461776.319732215</v>
      </c>
      <c r="G65" s="129">
        <f>Data!AP64</f>
        <v>414.0999999999998</v>
      </c>
      <c r="H65" s="129">
        <f>Data!AQ64</f>
        <v>0</v>
      </c>
      <c r="I65" s="146">
        <f t="shared" ca="1" si="9"/>
        <v>461.49315789473712</v>
      </c>
      <c r="J65" s="146">
        <f t="shared" ca="1" si="9"/>
        <v>0.17368421052631611</v>
      </c>
      <c r="K65" s="32">
        <f>Data!BG64</f>
        <v>31</v>
      </c>
      <c r="L65" s="32">
        <f>Data!BX64</f>
        <v>1</v>
      </c>
      <c r="M65" s="32">
        <f>Data!BR64</f>
        <v>0</v>
      </c>
      <c r="N65" s="41">
        <f>Data!AA64</f>
        <v>33263</v>
      </c>
      <c r="O65" s="255">
        <f>Data!CG64</f>
        <v>0</v>
      </c>
      <c r="P65" s="78">
        <f>Data!CH64</f>
        <v>0</v>
      </c>
      <c r="Q65" s="32">
        <f t="shared" ca="1" si="6"/>
        <v>23884958.349117756</v>
      </c>
      <c r="R65" s="145">
        <f t="shared" ca="1" si="3"/>
        <v>23381518.723361455</v>
      </c>
      <c r="S65" s="32">
        <f t="shared" ca="1" si="4"/>
        <v>423182.02938554063</v>
      </c>
      <c r="T65" s="50">
        <f t="shared" ca="1" si="5"/>
        <v>1.8037083962377947E-2</v>
      </c>
    </row>
    <row r="66" spans="1:34" x14ac:dyDescent="0.2">
      <c r="A66" s="2">
        <v>42461</v>
      </c>
      <c r="B66">
        <f t="shared" si="1"/>
        <v>2016</v>
      </c>
      <c r="C66">
        <f t="shared" si="2"/>
        <v>4</v>
      </c>
      <c r="D66" s="151">
        <f>Data!D65</f>
        <v>21632719.643373489</v>
      </c>
      <c r="E66" s="151">
        <f>Data!E65</f>
        <v>503439.62575630058</v>
      </c>
      <c r="F66" s="151">
        <f>Data!F65</f>
        <v>22136159.26912979</v>
      </c>
      <c r="G66" s="129">
        <f>Data!AP65</f>
        <v>335.1</v>
      </c>
      <c r="H66" s="129">
        <f>Data!AQ65</f>
        <v>0.30000000000000071</v>
      </c>
      <c r="I66" s="146">
        <f t="shared" ca="1" si="9"/>
        <v>285.02368421052643</v>
      </c>
      <c r="J66" s="146">
        <f t="shared" ca="1" si="9"/>
        <v>0</v>
      </c>
      <c r="K66" s="32">
        <f>Data!BG65</f>
        <v>30</v>
      </c>
      <c r="L66" s="32">
        <f>Data!BX65</f>
        <v>1</v>
      </c>
      <c r="M66" s="32">
        <f>Data!BR65</f>
        <v>0</v>
      </c>
      <c r="N66" s="41">
        <f>Data!AA65</f>
        <v>33437</v>
      </c>
      <c r="O66" s="255">
        <f>Data!CG65</f>
        <v>0</v>
      </c>
      <c r="P66" s="78">
        <f>Data!CH65</f>
        <v>0</v>
      </c>
      <c r="Q66" s="32">
        <f t="shared" ca="1" si="6"/>
        <v>21682853.121962029</v>
      </c>
      <c r="R66" s="145">
        <f t="shared" ca="1" si="3"/>
        <v>21179413.496205729</v>
      </c>
      <c r="S66" s="32">
        <f t="shared" ca="1" si="4"/>
        <v>-453306.14716776088</v>
      </c>
      <c r="T66" s="50">
        <f t="shared" ca="1" si="5"/>
        <v>2.0478084822958591E-2</v>
      </c>
    </row>
    <row r="67" spans="1:34" x14ac:dyDescent="0.2">
      <c r="A67" s="2">
        <v>42491</v>
      </c>
      <c r="B67">
        <f t="shared" si="1"/>
        <v>2016</v>
      </c>
      <c r="C67">
        <f t="shared" si="2"/>
        <v>5</v>
      </c>
      <c r="D67" s="151">
        <f>Data!D66</f>
        <v>20564699.585542157</v>
      </c>
      <c r="E67" s="151">
        <f>Data!E66</f>
        <v>503439.62575630058</v>
      </c>
      <c r="F67" s="151">
        <f>Data!F66</f>
        <v>21068139.211298458</v>
      </c>
      <c r="G67" s="129">
        <f>Data!AP66</f>
        <v>102.19999999999999</v>
      </c>
      <c r="H67" s="129">
        <f>Data!AQ66</f>
        <v>58.6</v>
      </c>
      <c r="I67" s="146">
        <f t="shared" ref="I67:J82" ca="1" si="10">I79</f>
        <v>92.127894736842109</v>
      </c>
      <c r="J67" s="146">
        <f t="shared" ca="1" si="10"/>
        <v>50.712631578947821</v>
      </c>
      <c r="K67" s="32">
        <f>Data!BG66</f>
        <v>31</v>
      </c>
      <c r="L67" s="32">
        <f>Data!BX66</f>
        <v>1</v>
      </c>
      <c r="M67" s="32">
        <f>Data!BR66</f>
        <v>0</v>
      </c>
      <c r="N67" s="41">
        <f>Data!AA66</f>
        <v>33518</v>
      </c>
      <c r="O67" s="255">
        <f>Data!CG66</f>
        <v>0</v>
      </c>
      <c r="P67" s="78">
        <f>Data!CH66</f>
        <v>0</v>
      </c>
      <c r="Q67" s="32">
        <f t="shared" ca="1" si="6"/>
        <v>20562659.340872951</v>
      </c>
      <c r="R67" s="145">
        <f t="shared" ca="1" si="3"/>
        <v>20059219.71511665</v>
      </c>
      <c r="S67" s="32">
        <f t="shared" ca="1" si="4"/>
        <v>-505479.87042550743</v>
      </c>
      <c r="T67" s="50">
        <f t="shared" ca="1" si="5"/>
        <v>2.3992620580104568E-2</v>
      </c>
    </row>
    <row r="68" spans="1:34" x14ac:dyDescent="0.2">
      <c r="A68" s="2">
        <v>42522</v>
      </c>
      <c r="B68">
        <f t="shared" ref="B68:B131" si="11">YEAR(A68)</f>
        <v>2016</v>
      </c>
      <c r="C68">
        <f t="shared" ref="C68:C131" si="12">MONTH(A68)</f>
        <v>6</v>
      </c>
      <c r="D68" s="151">
        <f>Data!D67</f>
        <v>29990486.101204813</v>
      </c>
      <c r="E68" s="151">
        <f>Data!E67</f>
        <v>503439.62575630058</v>
      </c>
      <c r="F68" s="151">
        <f>Data!F67</f>
        <v>30493925.726961114</v>
      </c>
      <c r="G68" s="129">
        <f>Data!AP67</f>
        <v>9.1999999999999993</v>
      </c>
      <c r="H68" s="129">
        <f>Data!AQ67</f>
        <v>128.70000000000002</v>
      </c>
      <c r="I68" s="146">
        <f t="shared" ca="1" si="10"/>
        <v>6.5805263157894842</v>
      </c>
      <c r="J68" s="146">
        <f t="shared" ca="1" si="10"/>
        <v>122.87210526315789</v>
      </c>
      <c r="K68" s="32">
        <f>Data!BG67</f>
        <v>30</v>
      </c>
      <c r="L68" s="32">
        <f>Data!BX67</f>
        <v>0</v>
      </c>
      <c r="M68" s="32">
        <f>Data!BR67</f>
        <v>0</v>
      </c>
      <c r="N68" s="41">
        <f>Data!AA67</f>
        <v>33555</v>
      </c>
      <c r="O68" s="255">
        <f>Data!CG67</f>
        <v>0</v>
      </c>
      <c r="P68" s="78">
        <f>Data!CH67</f>
        <v>0</v>
      </c>
      <c r="Q68" s="32">
        <f t="shared" ca="1" si="6"/>
        <v>30162559.122801512</v>
      </c>
      <c r="R68" s="145">
        <f t="shared" ref="R68:R131" ca="1" si="13">Q68-E68</f>
        <v>29659119.497045211</v>
      </c>
      <c r="S68" s="32">
        <f t="shared" ref="S68:S131" ca="1" si="14">+Q68-F68</f>
        <v>-331366.60415960103</v>
      </c>
      <c r="T68" s="50">
        <f t="shared" ref="T68:T131" ca="1" si="15">ABS(S68/F68)</f>
        <v>1.0866642987413858E-2</v>
      </c>
      <c r="AG68"/>
      <c r="AH68"/>
    </row>
    <row r="69" spans="1:34" x14ac:dyDescent="0.2">
      <c r="A69" s="2">
        <v>42552</v>
      </c>
      <c r="B69">
        <f t="shared" si="11"/>
        <v>2016</v>
      </c>
      <c r="C69">
        <f t="shared" si="12"/>
        <v>7</v>
      </c>
      <c r="D69" s="151">
        <f>Data!D68</f>
        <v>35728630.342168637</v>
      </c>
      <c r="E69" s="151">
        <f>Data!E68</f>
        <v>503439.62575630058</v>
      </c>
      <c r="F69" s="151">
        <f>Data!F68</f>
        <v>36232069.967924938</v>
      </c>
      <c r="G69" s="129">
        <f>Data!AP68</f>
        <v>0</v>
      </c>
      <c r="H69" s="129">
        <f>Data!AQ68</f>
        <v>238.9</v>
      </c>
      <c r="I69" s="146">
        <f t="shared" ca="1" si="10"/>
        <v>0</v>
      </c>
      <c r="J69" s="146">
        <f t="shared" ca="1" si="10"/>
        <v>211.7568421052631</v>
      </c>
      <c r="K69" s="32">
        <f>Data!BG68</f>
        <v>31</v>
      </c>
      <c r="L69" s="32">
        <f>Data!BX68</f>
        <v>0</v>
      </c>
      <c r="M69" s="32">
        <f>Data!BR68</f>
        <v>0</v>
      </c>
      <c r="N69" s="41">
        <f>Data!AA68</f>
        <v>33585</v>
      </c>
      <c r="O69" s="255">
        <f>Data!CG68</f>
        <v>0</v>
      </c>
      <c r="P69" s="78">
        <f>Data!CH68</f>
        <v>0</v>
      </c>
      <c r="Q69" s="32">
        <f t="shared" ca="1" si="6"/>
        <v>34795314.987535514</v>
      </c>
      <c r="R69" s="145">
        <f t="shared" ca="1" si="13"/>
        <v>34291875.361779213</v>
      </c>
      <c r="S69" s="32">
        <f t="shared" ca="1" si="14"/>
        <v>-1436754.9803894237</v>
      </c>
      <c r="T69" s="50">
        <f t="shared" ca="1" si="15"/>
        <v>3.9654233988324038E-2</v>
      </c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</row>
    <row r="70" spans="1:34" x14ac:dyDescent="0.2">
      <c r="A70" s="2">
        <v>42583</v>
      </c>
      <c r="B70">
        <f t="shared" si="11"/>
        <v>2016</v>
      </c>
      <c r="C70">
        <f t="shared" si="12"/>
        <v>8</v>
      </c>
      <c r="D70" s="151">
        <f>Data!D69</f>
        <v>36163152.231325291</v>
      </c>
      <c r="E70" s="151">
        <f>Data!E69</f>
        <v>503439.62575630058</v>
      </c>
      <c r="F70" s="151">
        <f>Data!F69</f>
        <v>36666591.857081592</v>
      </c>
      <c r="G70" s="129">
        <f>Data!AP69</f>
        <v>0</v>
      </c>
      <c r="H70" s="129">
        <f>Data!AQ69</f>
        <v>257.40000000000003</v>
      </c>
      <c r="I70" s="146">
        <f t="shared" ca="1" si="10"/>
        <v>0.34105263157894772</v>
      </c>
      <c r="J70" s="146">
        <f t="shared" ca="1" si="10"/>
        <v>191.39947368421053</v>
      </c>
      <c r="K70" s="32">
        <f>Data!BG69</f>
        <v>31</v>
      </c>
      <c r="L70" s="32">
        <f>Data!BX69</f>
        <v>0</v>
      </c>
      <c r="M70" s="32">
        <f>Data!BR69</f>
        <v>0</v>
      </c>
      <c r="N70" s="41">
        <f>Data!AA69</f>
        <v>33654</v>
      </c>
      <c r="O70" s="255">
        <f>Data!CG69</f>
        <v>0</v>
      </c>
      <c r="P70" s="78">
        <f>Data!CH69</f>
        <v>0</v>
      </c>
      <c r="Q70" s="32">
        <f t="shared" ref="Q70:Q133" ca="1" si="16">F70+(I70-G70)*$V$19+(J70-H70)*$V$20</f>
        <v>33175998.706021074</v>
      </c>
      <c r="R70" s="145">
        <f t="shared" ca="1" si="13"/>
        <v>32672559.080264773</v>
      </c>
      <c r="S70" s="32">
        <f t="shared" ca="1" si="14"/>
        <v>-3490593.1510605179</v>
      </c>
      <c r="T70" s="50">
        <f t="shared" ca="1" si="15"/>
        <v>9.5198189258115171E-2</v>
      </c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</row>
    <row r="71" spans="1:34" x14ac:dyDescent="0.2">
      <c r="A71" s="2">
        <v>42614</v>
      </c>
      <c r="B71">
        <f t="shared" si="11"/>
        <v>2016</v>
      </c>
      <c r="C71">
        <f t="shared" si="12"/>
        <v>9</v>
      </c>
      <c r="D71" s="151">
        <f>Data!D70</f>
        <v>26948392.906024113</v>
      </c>
      <c r="E71" s="151">
        <f>Data!E70</f>
        <v>503439.62575630058</v>
      </c>
      <c r="F71" s="151">
        <f>Data!F70</f>
        <v>27451832.531780414</v>
      </c>
      <c r="G71" s="129">
        <f>Data!AP70</f>
        <v>8.3999999999999986</v>
      </c>
      <c r="H71" s="129">
        <f>Data!AQ70</f>
        <v>111.89999999999999</v>
      </c>
      <c r="I71" s="146">
        <f t="shared" ca="1" si="10"/>
        <v>26.567368421052606</v>
      </c>
      <c r="J71" s="146">
        <f t="shared" ca="1" si="10"/>
        <v>77.107368421052627</v>
      </c>
      <c r="K71" s="32">
        <f>Data!BG70</f>
        <v>30</v>
      </c>
      <c r="L71" s="32">
        <f>Data!BX70</f>
        <v>1</v>
      </c>
      <c r="M71" s="32">
        <f>Data!BR70</f>
        <v>1</v>
      </c>
      <c r="N71" s="41">
        <f>Data!AA70</f>
        <v>33716</v>
      </c>
      <c r="O71" s="255">
        <f>Data!CG70</f>
        <v>0</v>
      </c>
      <c r="P71" s="78">
        <f>Data!CH70</f>
        <v>0</v>
      </c>
      <c r="Q71" s="32">
        <f t="shared" ca="1" si="16"/>
        <v>25768867.36070196</v>
      </c>
      <c r="R71" s="145">
        <f t="shared" ca="1" si="13"/>
        <v>25265427.734945659</v>
      </c>
      <c r="S71" s="32">
        <f t="shared" ca="1" si="14"/>
        <v>-1682965.1710784547</v>
      </c>
      <c r="T71" s="50">
        <f t="shared" ca="1" si="15"/>
        <v>6.1306113867994824E-2</v>
      </c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</row>
    <row r="72" spans="1:34" x14ac:dyDescent="0.2">
      <c r="A72" s="2">
        <v>42644</v>
      </c>
      <c r="B72">
        <f t="shared" si="11"/>
        <v>2016</v>
      </c>
      <c r="C72">
        <f t="shared" si="12"/>
        <v>10</v>
      </c>
      <c r="D72" s="151">
        <f>Data!D71</f>
        <v>19412813.638554234</v>
      </c>
      <c r="E72" s="151">
        <f>Data!E71</f>
        <v>503439.62575630058</v>
      </c>
      <c r="F72" s="151">
        <f>Data!F71</f>
        <v>19916253.264310535</v>
      </c>
      <c r="G72" s="129">
        <f>Data!AP71</f>
        <v>144.70000000000002</v>
      </c>
      <c r="H72" s="129">
        <f>Data!AQ71</f>
        <v>16.600000000000005</v>
      </c>
      <c r="I72" s="146">
        <f t="shared" ca="1" si="10"/>
        <v>154.52315789473778</v>
      </c>
      <c r="J72" s="146">
        <f t="shared" ca="1" si="10"/>
        <v>10.628421052631595</v>
      </c>
      <c r="K72" s="32">
        <f>Data!BG71</f>
        <v>31</v>
      </c>
      <c r="L72" s="32">
        <f>Data!BX71</f>
        <v>1</v>
      </c>
      <c r="M72" s="32">
        <f>Data!BR71</f>
        <v>0</v>
      </c>
      <c r="N72" s="41">
        <f>Data!AA71</f>
        <v>33751</v>
      </c>
      <c r="O72" s="255">
        <f>Data!CG71</f>
        <v>0</v>
      </c>
      <c r="P72" s="78">
        <f>Data!CH71</f>
        <v>0</v>
      </c>
      <c r="Q72" s="32">
        <f t="shared" ca="1" si="16"/>
        <v>19685969.914085586</v>
      </c>
      <c r="R72" s="145">
        <f t="shared" ca="1" si="13"/>
        <v>19182530.288329285</v>
      </c>
      <c r="S72" s="32">
        <f t="shared" ca="1" si="14"/>
        <v>-230283.35022494942</v>
      </c>
      <c r="T72" s="50">
        <f t="shared" ca="1" si="15"/>
        <v>1.1562583944321086E-2</v>
      </c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</row>
    <row r="73" spans="1:34" x14ac:dyDescent="0.2">
      <c r="A73" s="2">
        <v>42675</v>
      </c>
      <c r="B73">
        <f t="shared" si="11"/>
        <v>2016</v>
      </c>
      <c r="C73">
        <f t="shared" si="12"/>
        <v>11</v>
      </c>
      <c r="D73" s="151">
        <f>Data!D72</f>
        <v>19369741.908433728</v>
      </c>
      <c r="E73" s="151">
        <f>Data!E72</f>
        <v>503439.62575630058</v>
      </c>
      <c r="F73" s="151">
        <f>Data!F72</f>
        <v>19873181.534190029</v>
      </c>
      <c r="G73" s="129">
        <f>Data!AP72</f>
        <v>277.79999999999995</v>
      </c>
      <c r="H73" s="129">
        <f>Data!AQ72</f>
        <v>0</v>
      </c>
      <c r="I73" s="146">
        <f t="shared" ca="1" si="10"/>
        <v>363.9931578947369</v>
      </c>
      <c r="J73" s="146">
        <f t="shared" ca="1" si="10"/>
        <v>1.8421052631579116E-2</v>
      </c>
      <c r="K73" s="32">
        <f>Data!BG72</f>
        <v>30</v>
      </c>
      <c r="L73" s="32">
        <f>Data!BX72</f>
        <v>1</v>
      </c>
      <c r="M73" s="32">
        <f>Data!BR72</f>
        <v>0</v>
      </c>
      <c r="N73" s="41">
        <f>Data!AA72</f>
        <v>33815</v>
      </c>
      <c r="O73" s="255">
        <f>Data!CG72</f>
        <v>0</v>
      </c>
      <c r="P73" s="78">
        <f>Data!CH72</f>
        <v>0</v>
      </c>
      <c r="Q73" s="32">
        <f t="shared" ca="1" si="16"/>
        <v>20627070.676425308</v>
      </c>
      <c r="R73" s="145">
        <f t="shared" ca="1" si="13"/>
        <v>20123631.050669007</v>
      </c>
      <c r="S73" s="32">
        <f t="shared" ca="1" si="14"/>
        <v>753889.14223527908</v>
      </c>
      <c r="T73" s="50">
        <f t="shared" ca="1" si="15"/>
        <v>3.7935000037023783E-2</v>
      </c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</row>
    <row r="74" spans="1:34" x14ac:dyDescent="0.2">
      <c r="A74" s="2">
        <v>42705</v>
      </c>
      <c r="B74">
        <f t="shared" si="11"/>
        <v>2016</v>
      </c>
      <c r="C74">
        <f t="shared" si="12"/>
        <v>12</v>
      </c>
      <c r="D74" s="151">
        <f>Data!D73</f>
        <v>27474754.322891567</v>
      </c>
      <c r="E74" s="151">
        <f>Data!E73</f>
        <v>503439.62575630058</v>
      </c>
      <c r="F74" s="151">
        <f>Data!F73</f>
        <v>27978193.948647868</v>
      </c>
      <c r="G74" s="129">
        <f>Data!AP73</f>
        <v>545.99999999999989</v>
      </c>
      <c r="H74" s="129">
        <f>Data!AQ73</f>
        <v>0</v>
      </c>
      <c r="I74" s="146">
        <f t="shared" ca="1" si="10"/>
        <v>499.7842105263162</v>
      </c>
      <c r="J74" s="146">
        <f t="shared" ca="1" si="10"/>
        <v>0</v>
      </c>
      <c r="K74" s="32">
        <f>Data!BG73</f>
        <v>31</v>
      </c>
      <c r="L74" s="32">
        <f>Data!BX73</f>
        <v>0</v>
      </c>
      <c r="M74" s="32">
        <f>Data!BR73</f>
        <v>0</v>
      </c>
      <c r="N74" s="41">
        <f>Data!AA73</f>
        <v>33857</v>
      </c>
      <c r="O74" s="255">
        <f>Data!CG73</f>
        <v>0</v>
      </c>
      <c r="P74" s="78">
        <f>Data!CH73</f>
        <v>0</v>
      </c>
      <c r="Q74" s="32">
        <f t="shared" ca="1" si="16"/>
        <v>27574490.000426251</v>
      </c>
      <c r="R74" s="145">
        <f t="shared" ca="1" si="13"/>
        <v>27071050.37466995</v>
      </c>
      <c r="S74" s="32">
        <f t="shared" ca="1" si="14"/>
        <v>-403703.94822161645</v>
      </c>
      <c r="T74" s="50">
        <f t="shared" ca="1" si="15"/>
        <v>1.4429235459679364E-2</v>
      </c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</row>
    <row r="75" spans="1:34" x14ac:dyDescent="0.2">
      <c r="A75" s="2">
        <v>42736</v>
      </c>
      <c r="B75">
        <f t="shared" si="11"/>
        <v>2017</v>
      </c>
      <c r="C75">
        <f t="shared" si="12"/>
        <v>1</v>
      </c>
      <c r="D75" s="151">
        <f>Data!D74</f>
        <v>26135142.110843364</v>
      </c>
      <c r="E75" s="151">
        <f>Data!E74</f>
        <v>958479.98780037428</v>
      </c>
      <c r="F75" s="151">
        <f>Data!F74</f>
        <v>27093622.098643739</v>
      </c>
      <c r="G75" s="129">
        <f>Data!AP74</f>
        <v>546.9</v>
      </c>
      <c r="H75" s="129">
        <f>Data!AQ74</f>
        <v>0</v>
      </c>
      <c r="I75" s="146">
        <f t="shared" ca="1" si="10"/>
        <v>619.82052631578927</v>
      </c>
      <c r="J75" s="146">
        <f t="shared" ca="1" si="10"/>
        <v>0</v>
      </c>
      <c r="K75" s="32">
        <f>Data!BG74</f>
        <v>31</v>
      </c>
      <c r="L75" s="32">
        <f>Data!BX74</f>
        <v>0</v>
      </c>
      <c r="M75" s="32">
        <f>Data!BR74</f>
        <v>0</v>
      </c>
      <c r="N75" s="41">
        <f>Data!AA74</f>
        <v>33886</v>
      </c>
      <c r="O75" s="255">
        <f>Data!CG74</f>
        <v>0</v>
      </c>
      <c r="P75" s="78">
        <f>Data!CH74</f>
        <v>0</v>
      </c>
      <c r="Q75" s="32">
        <f t="shared" ca="1" si="16"/>
        <v>27730597.139324266</v>
      </c>
      <c r="R75" s="145">
        <f t="shared" ca="1" si="13"/>
        <v>26772117.151523892</v>
      </c>
      <c r="S75" s="32">
        <f t="shared" ca="1" si="14"/>
        <v>636975.04068052769</v>
      </c>
      <c r="T75" s="50">
        <f t="shared" ca="1" si="15"/>
        <v>2.3510147087805348E-2</v>
      </c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</row>
    <row r="76" spans="1:34" x14ac:dyDescent="0.2">
      <c r="A76" s="2">
        <v>42767</v>
      </c>
      <c r="B76">
        <f t="shared" si="11"/>
        <v>2017</v>
      </c>
      <c r="C76">
        <f t="shared" si="12"/>
        <v>2</v>
      </c>
      <c r="D76" s="151">
        <f>Data!D75</f>
        <v>22110279.383132529</v>
      </c>
      <c r="E76" s="151">
        <f>Data!E75</f>
        <v>958479.98780037428</v>
      </c>
      <c r="F76" s="151">
        <f>Data!F75</f>
        <v>23068759.370932903</v>
      </c>
      <c r="G76" s="129">
        <f>Data!AP75</f>
        <v>454.4</v>
      </c>
      <c r="H76" s="129">
        <f>Data!AQ75</f>
        <v>0</v>
      </c>
      <c r="I76" s="146">
        <f t="shared" ca="1" si="10"/>
        <v>570.53578947368419</v>
      </c>
      <c r="J76" s="146">
        <f t="shared" ca="1" si="10"/>
        <v>0</v>
      </c>
      <c r="K76" s="32">
        <f>Data!BG75</f>
        <v>28</v>
      </c>
      <c r="L76" s="32">
        <f>Data!BX75</f>
        <v>0</v>
      </c>
      <c r="M76" s="32">
        <f>Data!BR75</f>
        <v>0</v>
      </c>
      <c r="N76" s="41">
        <f>Data!AA75</f>
        <v>33938</v>
      </c>
      <c r="O76" s="255">
        <f>Data!CG75</f>
        <v>0</v>
      </c>
      <c r="P76" s="78">
        <f>Data!CH75</f>
        <v>0</v>
      </c>
      <c r="Q76" s="32">
        <f t="shared" ca="1" si="16"/>
        <v>24083228.176384289</v>
      </c>
      <c r="R76" s="145">
        <f t="shared" ca="1" si="13"/>
        <v>23124748.188583914</v>
      </c>
      <c r="S76" s="32">
        <f t="shared" ca="1" si="14"/>
        <v>1014468.8054513857</v>
      </c>
      <c r="T76" s="50">
        <f t="shared" ca="1" si="15"/>
        <v>4.3975871833386783E-2</v>
      </c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</row>
    <row r="77" spans="1:34" x14ac:dyDescent="0.2">
      <c r="A77" s="2">
        <v>42795</v>
      </c>
      <c r="B77">
        <f t="shared" si="11"/>
        <v>2017</v>
      </c>
      <c r="C77">
        <f t="shared" si="12"/>
        <v>3</v>
      </c>
      <c r="D77" s="151">
        <f>Data!D76</f>
        <v>24430975.248192772</v>
      </c>
      <c r="E77" s="151">
        <f>Data!E76</f>
        <v>958479.98780037428</v>
      </c>
      <c r="F77" s="151">
        <f>Data!F76</f>
        <v>25389455.235993147</v>
      </c>
      <c r="G77" s="129">
        <f>Data!AP76</f>
        <v>512</v>
      </c>
      <c r="H77" s="129">
        <f>Data!AQ76</f>
        <v>0</v>
      </c>
      <c r="I77" s="146">
        <f t="shared" ca="1" si="10"/>
        <v>461.49315789473712</v>
      </c>
      <c r="J77" s="146">
        <f t="shared" ca="1" si="10"/>
        <v>0.17368421052631611</v>
      </c>
      <c r="K77" s="32">
        <f>Data!BG76</f>
        <v>31</v>
      </c>
      <c r="L77" s="32">
        <f>Data!BX76</f>
        <v>1</v>
      </c>
      <c r="M77" s="32">
        <f>Data!BR76</f>
        <v>0</v>
      </c>
      <c r="N77" s="41">
        <f>Data!AA76</f>
        <v>33998</v>
      </c>
      <c r="O77" s="255">
        <f>Data!CG76</f>
        <v>0</v>
      </c>
      <c r="P77" s="78">
        <f>Data!CH76</f>
        <v>0</v>
      </c>
      <c r="Q77" s="32">
        <f t="shared" ca="1" si="16"/>
        <v>24957461.642913099</v>
      </c>
      <c r="R77" s="145">
        <f t="shared" ca="1" si="13"/>
        <v>23998981.655112725</v>
      </c>
      <c r="S77" s="32">
        <f t="shared" ca="1" si="14"/>
        <v>-431993.59308004752</v>
      </c>
      <c r="T77" s="50">
        <f t="shared" ca="1" si="15"/>
        <v>1.7014685390635536E-2</v>
      </c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</row>
    <row r="78" spans="1:34" x14ac:dyDescent="0.2">
      <c r="A78" s="2">
        <v>42826</v>
      </c>
      <c r="B78">
        <f t="shared" si="11"/>
        <v>2017</v>
      </c>
      <c r="C78">
        <f t="shared" si="12"/>
        <v>4</v>
      </c>
      <c r="D78" s="151">
        <f>Data!D77</f>
        <v>19400096.75180722</v>
      </c>
      <c r="E78" s="151">
        <f>Data!E77</f>
        <v>958479.98780037428</v>
      </c>
      <c r="F78" s="151">
        <f>Data!F77</f>
        <v>20358576.739607595</v>
      </c>
      <c r="G78" s="129">
        <f>Data!AP77</f>
        <v>199.7</v>
      </c>
      <c r="H78" s="129">
        <f>Data!AQ77</f>
        <v>2.1999999999999993</v>
      </c>
      <c r="I78" s="146">
        <f t="shared" ca="1" si="10"/>
        <v>285.02368421052643</v>
      </c>
      <c r="J78" s="146">
        <f t="shared" ca="1" si="10"/>
        <v>0</v>
      </c>
      <c r="K78" s="32">
        <f>Data!BG77</f>
        <v>30</v>
      </c>
      <c r="L78" s="32">
        <f>Data!BX77</f>
        <v>1</v>
      </c>
      <c r="M78" s="32">
        <f>Data!BR77</f>
        <v>0</v>
      </c>
      <c r="N78" s="41">
        <f>Data!AA77</f>
        <v>34086</v>
      </c>
      <c r="O78" s="255">
        <f>Data!CG77</f>
        <v>0</v>
      </c>
      <c r="P78" s="78">
        <f>Data!CH77</f>
        <v>0</v>
      </c>
      <c r="Q78" s="32">
        <f t="shared" ca="1" si="16"/>
        <v>20987444.305390634</v>
      </c>
      <c r="R78" s="145">
        <f t="shared" ca="1" si="13"/>
        <v>20028964.317590259</v>
      </c>
      <c r="S78" s="32">
        <f t="shared" ca="1" si="14"/>
        <v>628867.56578303874</v>
      </c>
      <c r="T78" s="50">
        <f t="shared" ca="1" si="15"/>
        <v>3.0889564325956902E-2</v>
      </c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</row>
    <row r="79" spans="1:34" x14ac:dyDescent="0.2">
      <c r="A79" s="2">
        <v>42856</v>
      </c>
      <c r="B79">
        <f t="shared" si="11"/>
        <v>2017</v>
      </c>
      <c r="C79">
        <f t="shared" si="12"/>
        <v>5</v>
      </c>
      <c r="D79" s="151">
        <f>Data!D78</f>
        <v>20438887.527710862</v>
      </c>
      <c r="E79" s="151">
        <f>Data!E78</f>
        <v>958479.98780037428</v>
      </c>
      <c r="F79" s="151">
        <f>Data!F78</f>
        <v>21397367.515511237</v>
      </c>
      <c r="G79" s="129">
        <f>Data!AP78</f>
        <v>125.89999999999998</v>
      </c>
      <c r="H79" s="129">
        <f>Data!AQ78</f>
        <v>19.900000000000002</v>
      </c>
      <c r="I79" s="146">
        <f t="shared" ca="1" si="10"/>
        <v>92.127894736842109</v>
      </c>
      <c r="J79" s="146">
        <f t="shared" ca="1" si="10"/>
        <v>50.712631578947821</v>
      </c>
      <c r="K79" s="32">
        <f>Data!BG78</f>
        <v>31</v>
      </c>
      <c r="L79" s="32">
        <f>Data!BX78</f>
        <v>1</v>
      </c>
      <c r="M79" s="32">
        <f>Data!BR78</f>
        <v>0</v>
      </c>
      <c r="N79" s="41">
        <f>Data!AA78</f>
        <v>34202</v>
      </c>
      <c r="O79" s="255">
        <f>Data!CG78</f>
        <v>0</v>
      </c>
      <c r="P79" s="78">
        <f>Data!CH78</f>
        <v>0</v>
      </c>
      <c r="Q79" s="32">
        <f t="shared" ca="1" si="16"/>
        <v>22733350.945228327</v>
      </c>
      <c r="R79" s="145">
        <f t="shared" ca="1" si="13"/>
        <v>21774870.957427952</v>
      </c>
      <c r="S79" s="32">
        <f t="shared" ca="1" si="14"/>
        <v>1335983.42971709</v>
      </c>
      <c r="T79" s="50">
        <f t="shared" ca="1" si="15"/>
        <v>6.243681278777017E-2</v>
      </c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</row>
    <row r="80" spans="1:34" x14ac:dyDescent="0.2">
      <c r="A80" s="2">
        <v>42887</v>
      </c>
      <c r="B80">
        <f t="shared" si="11"/>
        <v>2017</v>
      </c>
      <c r="C80">
        <f t="shared" si="12"/>
        <v>6</v>
      </c>
      <c r="D80" s="151">
        <f>Data!D79</f>
        <v>27578153.118072305</v>
      </c>
      <c r="E80" s="151">
        <f>Data!E79</f>
        <v>958479.98780037428</v>
      </c>
      <c r="F80" s="151">
        <f>Data!F79</f>
        <v>28536633.10587268</v>
      </c>
      <c r="G80" s="129">
        <f>Data!AP79</f>
        <v>8.8000000000000007</v>
      </c>
      <c r="H80" s="129">
        <f>Data!AQ79</f>
        <v>110.30000000000001</v>
      </c>
      <c r="I80" s="146">
        <f t="shared" ca="1" si="10"/>
        <v>6.5805263157894842</v>
      </c>
      <c r="J80" s="146">
        <f t="shared" ca="1" si="10"/>
        <v>122.87210526315789</v>
      </c>
      <c r="K80" s="32">
        <f>Data!BG79</f>
        <v>30</v>
      </c>
      <c r="L80" s="32">
        <f>Data!BX79</f>
        <v>0</v>
      </c>
      <c r="M80" s="32">
        <f>Data!BR79</f>
        <v>0</v>
      </c>
      <c r="N80" s="41">
        <f>Data!AA79</f>
        <v>34272</v>
      </c>
      <c r="O80" s="255">
        <f>Data!CG79</f>
        <v>0</v>
      </c>
      <c r="P80" s="78">
        <f>Data!CH79</f>
        <v>0</v>
      </c>
      <c r="Q80" s="32">
        <f t="shared" ca="1" si="16"/>
        <v>29182718.427404653</v>
      </c>
      <c r="R80" s="145">
        <f t="shared" ca="1" si="13"/>
        <v>28224238.439604279</v>
      </c>
      <c r="S80" s="32">
        <f t="shared" ca="1" si="14"/>
        <v>646085.32153197378</v>
      </c>
      <c r="T80" s="50">
        <f t="shared" ca="1" si="15"/>
        <v>2.2640558861129732E-2</v>
      </c>
    </row>
    <row r="81" spans="1:34" x14ac:dyDescent="0.2">
      <c r="A81" s="2">
        <v>42917</v>
      </c>
      <c r="B81">
        <f t="shared" si="11"/>
        <v>2017</v>
      </c>
      <c r="C81">
        <f t="shared" si="12"/>
        <v>7</v>
      </c>
      <c r="D81" s="151">
        <f>Data!D80</f>
        <v>28972066.226506032</v>
      </c>
      <c r="E81" s="151">
        <f>Data!E80</f>
        <v>958479.98780037428</v>
      </c>
      <c r="F81" s="151">
        <f>Data!F80</f>
        <v>29930546.214306407</v>
      </c>
      <c r="G81" s="129">
        <f>Data!AP80</f>
        <v>0</v>
      </c>
      <c r="H81" s="129">
        <f>Data!AQ80</f>
        <v>178.50000000000003</v>
      </c>
      <c r="I81" s="146">
        <f t="shared" ca="1" si="10"/>
        <v>0</v>
      </c>
      <c r="J81" s="146">
        <f t="shared" ca="1" si="10"/>
        <v>211.7568421052631</v>
      </c>
      <c r="K81" s="32">
        <f>Data!BG80</f>
        <v>31</v>
      </c>
      <c r="L81" s="32">
        <f>Data!BX80</f>
        <v>0</v>
      </c>
      <c r="M81" s="32">
        <f>Data!BR80</f>
        <v>0</v>
      </c>
      <c r="N81" s="41">
        <f>Data!AA80</f>
        <v>34382</v>
      </c>
      <c r="O81" s="255">
        <f>Data!CG80</f>
        <v>0</v>
      </c>
      <c r="P81" s="78">
        <f>Data!CH80</f>
        <v>0</v>
      </c>
      <c r="Q81" s="32">
        <f t="shared" ca="1" si="16"/>
        <v>31690913.733519282</v>
      </c>
      <c r="R81" s="145">
        <f t="shared" ca="1" si="13"/>
        <v>30732433.745718908</v>
      </c>
      <c r="S81" s="32">
        <f t="shared" ca="1" si="14"/>
        <v>1760367.5192128755</v>
      </c>
      <c r="T81" s="50">
        <f t="shared" ca="1" si="15"/>
        <v>5.8815081642961897E-2</v>
      </c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</row>
    <row r="82" spans="1:34" x14ac:dyDescent="0.2">
      <c r="A82" s="2">
        <v>42948</v>
      </c>
      <c r="B82">
        <f t="shared" si="11"/>
        <v>2017</v>
      </c>
      <c r="C82">
        <f t="shared" si="12"/>
        <v>8</v>
      </c>
      <c r="D82" s="151">
        <f>Data!D81</f>
        <v>29587012.925301205</v>
      </c>
      <c r="E82" s="151">
        <f>Data!E81</f>
        <v>958479.98780037428</v>
      </c>
      <c r="F82" s="151">
        <f>Data!F81</f>
        <v>30545492.91310158</v>
      </c>
      <c r="G82" s="129">
        <f>Data!AP81</f>
        <v>1.9000000000000004</v>
      </c>
      <c r="H82" s="129">
        <f>Data!AQ81</f>
        <v>127.49999999999999</v>
      </c>
      <c r="I82" s="146">
        <f t="shared" ca="1" si="10"/>
        <v>0.34105263157894772</v>
      </c>
      <c r="J82" s="146">
        <f t="shared" ca="1" si="10"/>
        <v>191.39947368421053</v>
      </c>
      <c r="K82" s="32">
        <f>Data!BG81</f>
        <v>31</v>
      </c>
      <c r="L82" s="32">
        <f>Data!BX81</f>
        <v>0</v>
      </c>
      <c r="M82" s="32">
        <f>Data!BR81</f>
        <v>0</v>
      </c>
      <c r="N82" s="41">
        <f>Data!AA81</f>
        <v>34485</v>
      </c>
      <c r="O82" s="255">
        <f>Data!CG81</f>
        <v>0</v>
      </c>
      <c r="P82" s="78">
        <f>Data!CH81</f>
        <v>0</v>
      </c>
      <c r="Q82" s="32">
        <f t="shared" ca="1" si="16"/>
        <v>33914233.56473425</v>
      </c>
      <c r="R82" s="145">
        <f t="shared" ca="1" si="13"/>
        <v>32955753.576933876</v>
      </c>
      <c r="S82" s="32">
        <f t="shared" ca="1" si="14"/>
        <v>3368740.6516326703</v>
      </c>
      <c r="T82" s="50">
        <f t="shared" ca="1" si="15"/>
        <v>0.11028601375713107</v>
      </c>
    </row>
    <row r="83" spans="1:34" x14ac:dyDescent="0.2">
      <c r="A83" s="2">
        <v>42979</v>
      </c>
      <c r="B83">
        <f t="shared" si="11"/>
        <v>2017</v>
      </c>
      <c r="C83">
        <f t="shared" si="12"/>
        <v>9</v>
      </c>
      <c r="D83" s="151">
        <f>Data!D82</f>
        <v>25857618.775903624</v>
      </c>
      <c r="E83" s="151">
        <f>Data!E82</f>
        <v>958479.98780037428</v>
      </c>
      <c r="F83" s="151">
        <f>Data!F82</f>
        <v>26816098.763703998</v>
      </c>
      <c r="G83" s="129">
        <f>Data!AP82</f>
        <v>25.2</v>
      </c>
      <c r="H83" s="129">
        <f>Data!AQ82</f>
        <v>107.6</v>
      </c>
      <c r="I83" s="146">
        <f t="shared" ref="I83:J98" ca="1" si="17">I95</f>
        <v>26.567368421052606</v>
      </c>
      <c r="J83" s="146">
        <f t="shared" ca="1" si="17"/>
        <v>77.107368421052627</v>
      </c>
      <c r="K83" s="32">
        <f>Data!BG82</f>
        <v>30</v>
      </c>
      <c r="L83" s="32">
        <f>Data!BX82</f>
        <v>1</v>
      </c>
      <c r="M83" s="32">
        <f>Data!BR82</f>
        <v>1</v>
      </c>
      <c r="N83" s="41">
        <f>Data!AA82</f>
        <v>34561</v>
      </c>
      <c r="O83" s="255">
        <f>Data!CG82</f>
        <v>0</v>
      </c>
      <c r="P83" s="78">
        <f>Data!CH82</f>
        <v>0</v>
      </c>
      <c r="Q83" s="32">
        <f t="shared" ca="1" si="16"/>
        <v>25213992.025515787</v>
      </c>
      <c r="R83" s="145">
        <f t="shared" ca="1" si="13"/>
        <v>24255512.037715413</v>
      </c>
      <c r="S83" s="32">
        <f t="shared" ca="1" si="14"/>
        <v>-1602106.7381882109</v>
      </c>
      <c r="T83" s="50">
        <f t="shared" ca="1" si="15"/>
        <v>5.9744213813706822E-2</v>
      </c>
    </row>
    <row r="84" spans="1:34" x14ac:dyDescent="0.2">
      <c r="A84" s="2">
        <v>43009</v>
      </c>
      <c r="B84">
        <f t="shared" si="11"/>
        <v>2017</v>
      </c>
      <c r="C84">
        <f t="shared" si="12"/>
        <v>10</v>
      </c>
      <c r="D84" s="151">
        <f>Data!D83</f>
        <v>20602579.845783144</v>
      </c>
      <c r="E84" s="151">
        <f>Data!E83</f>
        <v>958479.98780037428</v>
      </c>
      <c r="F84" s="151">
        <f>Data!F83</f>
        <v>21561059.833583519</v>
      </c>
      <c r="G84" s="129">
        <f>Data!AP83</f>
        <v>103.3</v>
      </c>
      <c r="H84" s="129">
        <f>Data!AQ83</f>
        <v>19.399999999999999</v>
      </c>
      <c r="I84" s="146">
        <f t="shared" ca="1" si="17"/>
        <v>154.52315789473778</v>
      </c>
      <c r="J84" s="146">
        <f t="shared" ca="1" si="17"/>
        <v>10.628421052631595</v>
      </c>
      <c r="K84" s="32">
        <f>Data!BG83</f>
        <v>31</v>
      </c>
      <c r="L84" s="32">
        <f>Data!BX83</f>
        <v>1</v>
      </c>
      <c r="M84" s="32">
        <f>Data!BR83</f>
        <v>0</v>
      </c>
      <c r="N84" s="41">
        <f>Data!AA83</f>
        <v>34637</v>
      </c>
      <c r="O84" s="255">
        <f>Data!CG83</f>
        <v>0</v>
      </c>
      <c r="P84" s="78">
        <f>Data!CH83</f>
        <v>0</v>
      </c>
      <c r="Q84" s="32">
        <f t="shared" ca="1" si="16"/>
        <v>21544202.593073439</v>
      </c>
      <c r="R84" s="145">
        <f t="shared" ca="1" si="13"/>
        <v>20585722.605273064</v>
      </c>
      <c r="S84" s="32">
        <f t="shared" ca="1" si="14"/>
        <v>-16857.24051008001</v>
      </c>
      <c r="T84" s="50">
        <f t="shared" ca="1" si="15"/>
        <v>7.8183728630181544E-4</v>
      </c>
    </row>
    <row r="85" spans="1:34" x14ac:dyDescent="0.2">
      <c r="A85" s="2">
        <v>43040</v>
      </c>
      <c r="B85">
        <f t="shared" si="11"/>
        <v>2017</v>
      </c>
      <c r="C85">
        <f t="shared" si="12"/>
        <v>11</v>
      </c>
      <c r="D85" s="151">
        <f>Data!D84</f>
        <v>22620692.693975899</v>
      </c>
      <c r="E85" s="151">
        <f>Data!E84</f>
        <v>958479.98780037428</v>
      </c>
      <c r="F85" s="151">
        <f>Data!F84</f>
        <v>23579172.681776274</v>
      </c>
      <c r="G85" s="129">
        <f>Data!AP84</f>
        <v>369.4</v>
      </c>
      <c r="H85" s="129">
        <f>Data!AQ84</f>
        <v>0</v>
      </c>
      <c r="I85" s="146">
        <f t="shared" ca="1" si="17"/>
        <v>363.9931578947369</v>
      </c>
      <c r="J85" s="146">
        <f t="shared" ca="1" si="17"/>
        <v>1.8421052631579116E-2</v>
      </c>
      <c r="K85" s="32">
        <f>Data!BG84</f>
        <v>30</v>
      </c>
      <c r="L85" s="32">
        <f>Data!BX84</f>
        <v>1</v>
      </c>
      <c r="M85" s="32">
        <f>Data!BR84</f>
        <v>0</v>
      </c>
      <c r="N85" s="41">
        <f>Data!AA84</f>
        <v>34794</v>
      </c>
      <c r="O85" s="255">
        <f>Data!CG84</f>
        <v>0</v>
      </c>
      <c r="P85" s="78">
        <f>Data!CH84</f>
        <v>0</v>
      </c>
      <c r="Q85" s="32">
        <f t="shared" ca="1" si="16"/>
        <v>23532917.932102993</v>
      </c>
      <c r="R85" s="145">
        <f t="shared" ca="1" si="13"/>
        <v>22574437.944302619</v>
      </c>
      <c r="S85" s="32">
        <f t="shared" ca="1" si="14"/>
        <v>-46254.749673280865</v>
      </c>
      <c r="T85" s="50">
        <f t="shared" ca="1" si="15"/>
        <v>1.9616782275414589E-3</v>
      </c>
    </row>
    <row r="86" spans="1:34" x14ac:dyDescent="0.2">
      <c r="A86" s="2">
        <v>43070</v>
      </c>
      <c r="B86">
        <f t="shared" si="11"/>
        <v>2017</v>
      </c>
      <c r="C86">
        <f t="shared" si="12"/>
        <v>12</v>
      </c>
      <c r="D86" s="151">
        <f>Data!D85</f>
        <v>26519901.040963847</v>
      </c>
      <c r="E86" s="151">
        <f>Data!E85</f>
        <v>958479.98780037428</v>
      </c>
      <c r="F86" s="151">
        <f>Data!F85</f>
        <v>27478381.028764222</v>
      </c>
      <c r="G86" s="129">
        <f>Data!AP85</f>
        <v>656.49999999999989</v>
      </c>
      <c r="H86" s="129">
        <f>Data!AQ85</f>
        <v>0</v>
      </c>
      <c r="I86" s="146">
        <f t="shared" ca="1" si="17"/>
        <v>499.7842105263162</v>
      </c>
      <c r="J86" s="146">
        <f t="shared" ca="1" si="17"/>
        <v>0</v>
      </c>
      <c r="K86" s="32">
        <f>Data!BG85</f>
        <v>31</v>
      </c>
      <c r="L86" s="32">
        <f>Data!BX85</f>
        <v>0</v>
      </c>
      <c r="M86" s="32">
        <f>Data!BR85</f>
        <v>0</v>
      </c>
      <c r="N86" s="41">
        <f>Data!AA85</f>
        <v>34878</v>
      </c>
      <c r="O86" s="255">
        <f>Data!CG85</f>
        <v>0</v>
      </c>
      <c r="P86" s="78">
        <f>Data!CH85</f>
        <v>0</v>
      </c>
      <c r="Q86" s="32">
        <f t="shared" ca="1" si="16"/>
        <v>26109437.996962957</v>
      </c>
      <c r="R86" s="145">
        <f t="shared" ca="1" si="13"/>
        <v>25150958.009162582</v>
      </c>
      <c r="S86" s="32">
        <f t="shared" ca="1" si="14"/>
        <v>-1368943.0318012647</v>
      </c>
      <c r="T86" s="50">
        <f t="shared" ca="1" si="15"/>
        <v>4.9818911469648175E-2</v>
      </c>
    </row>
    <row r="87" spans="1:34" x14ac:dyDescent="0.2">
      <c r="A87" s="2">
        <v>43101</v>
      </c>
      <c r="B87">
        <f t="shared" si="11"/>
        <v>2018</v>
      </c>
      <c r="C87">
        <f t="shared" si="12"/>
        <v>1</v>
      </c>
      <c r="D87" s="151">
        <f>Data!D86</f>
        <v>28325353.78313252</v>
      </c>
      <c r="E87" s="151">
        <f>Data!E86</f>
        <v>1281849.6400688274</v>
      </c>
      <c r="F87" s="151">
        <f>Data!F86</f>
        <v>29607203.423201349</v>
      </c>
      <c r="G87" s="129">
        <f>Data!AP86</f>
        <v>670.29999999999984</v>
      </c>
      <c r="H87" s="129">
        <f>Data!AQ86</f>
        <v>0</v>
      </c>
      <c r="I87" s="146">
        <f t="shared" ca="1" si="17"/>
        <v>619.82052631578927</v>
      </c>
      <c r="J87" s="146">
        <f t="shared" ca="1" si="17"/>
        <v>0</v>
      </c>
      <c r="K87" s="32">
        <f>Data!BG86</f>
        <v>31</v>
      </c>
      <c r="L87" s="32">
        <f>Data!BX86</f>
        <v>0</v>
      </c>
      <c r="M87" s="32">
        <f>Data!BR86</f>
        <v>0</v>
      </c>
      <c r="N87" s="41">
        <f>Data!AA86</f>
        <v>34927</v>
      </c>
      <c r="O87" s="255">
        <f>Data!CG86</f>
        <v>0</v>
      </c>
      <c r="P87" s="78">
        <f>Data!CH86</f>
        <v>0</v>
      </c>
      <c r="Q87" s="32">
        <f t="shared" ca="1" si="16"/>
        <v>29166255.360590212</v>
      </c>
      <c r="R87" s="145">
        <f t="shared" ca="1" si="13"/>
        <v>27884405.720521383</v>
      </c>
      <c r="S87" s="32">
        <f t="shared" ca="1" si="14"/>
        <v>-440948.06261113659</v>
      </c>
      <c r="T87" s="50">
        <f t="shared" ca="1" si="15"/>
        <v>1.4893269597546409E-2</v>
      </c>
    </row>
    <row r="88" spans="1:34" x14ac:dyDescent="0.2">
      <c r="A88" s="2">
        <v>43132</v>
      </c>
      <c r="B88">
        <f t="shared" si="11"/>
        <v>2018</v>
      </c>
      <c r="C88">
        <f t="shared" si="12"/>
        <v>2</v>
      </c>
      <c r="D88" s="151">
        <f>Data!D87</f>
        <v>22897439.132530119</v>
      </c>
      <c r="E88" s="151">
        <f>Data!E87</f>
        <v>1281849.6400688274</v>
      </c>
      <c r="F88" s="151">
        <f>Data!F87</f>
        <v>24179288.772598948</v>
      </c>
      <c r="G88" s="129">
        <f>Data!AP87</f>
        <v>499.00000000000011</v>
      </c>
      <c r="H88" s="129">
        <f>Data!AQ87</f>
        <v>0</v>
      </c>
      <c r="I88" s="146">
        <f t="shared" ca="1" si="17"/>
        <v>570.53578947368419</v>
      </c>
      <c r="J88" s="146">
        <f t="shared" ca="1" si="17"/>
        <v>0</v>
      </c>
      <c r="K88" s="32">
        <f>Data!BG87</f>
        <v>28</v>
      </c>
      <c r="L88" s="32">
        <f>Data!BX87</f>
        <v>0</v>
      </c>
      <c r="M88" s="32">
        <f>Data!BR87</f>
        <v>0</v>
      </c>
      <c r="N88" s="41">
        <f>Data!AA87</f>
        <v>35069</v>
      </c>
      <c r="O88" s="255">
        <f>Data!CG87</f>
        <v>0</v>
      </c>
      <c r="P88" s="78">
        <f>Data!CH87</f>
        <v>0</v>
      </c>
      <c r="Q88" s="32">
        <f t="shared" ca="1" si="16"/>
        <v>24804167.866487868</v>
      </c>
      <c r="R88" s="145">
        <f t="shared" ca="1" si="13"/>
        <v>23522318.226419039</v>
      </c>
      <c r="S88" s="32">
        <f t="shared" ca="1" si="14"/>
        <v>624879.0938889198</v>
      </c>
      <c r="T88" s="50">
        <f t="shared" ca="1" si="15"/>
        <v>2.5843568012515767E-2</v>
      </c>
    </row>
    <row r="89" spans="1:34" x14ac:dyDescent="0.2">
      <c r="A89" s="2">
        <v>43160</v>
      </c>
      <c r="B89">
        <f t="shared" si="11"/>
        <v>2018</v>
      </c>
      <c r="C89">
        <f t="shared" si="12"/>
        <v>3</v>
      </c>
      <c r="D89" s="151">
        <f>Data!D88</f>
        <v>24842177.96626506</v>
      </c>
      <c r="E89" s="151">
        <f>Data!E88</f>
        <v>1281849.6400688274</v>
      </c>
      <c r="F89" s="151">
        <f>Data!F88</f>
        <v>26124027.606333889</v>
      </c>
      <c r="G89" s="129">
        <f>Data!AP88</f>
        <v>492</v>
      </c>
      <c r="H89" s="129">
        <f>Data!AQ88</f>
        <v>0</v>
      </c>
      <c r="I89" s="146">
        <f t="shared" ca="1" si="17"/>
        <v>461.49315789473712</v>
      </c>
      <c r="J89" s="146">
        <f t="shared" ca="1" si="17"/>
        <v>0.17368421052631611</v>
      </c>
      <c r="K89" s="32">
        <f>Data!BG88</f>
        <v>31</v>
      </c>
      <c r="L89" s="32">
        <f>Data!BX88</f>
        <v>1</v>
      </c>
      <c r="M89" s="32">
        <f>Data!BR88</f>
        <v>0</v>
      </c>
      <c r="N89" s="41">
        <f>Data!AA88</f>
        <v>35293</v>
      </c>
      <c r="O89" s="255">
        <f>Data!CG88</f>
        <v>0</v>
      </c>
      <c r="P89" s="78">
        <f>Data!CH88</f>
        <v>0</v>
      </c>
      <c r="Q89" s="32">
        <f t="shared" ca="1" si="16"/>
        <v>25866737.919784091</v>
      </c>
      <c r="R89" s="145">
        <f t="shared" ca="1" si="13"/>
        <v>24584888.279715262</v>
      </c>
      <c r="S89" s="32">
        <f t="shared" ca="1" si="14"/>
        <v>-257289.68654979765</v>
      </c>
      <c r="T89" s="50">
        <f t="shared" ca="1" si="15"/>
        <v>9.8487756339461462E-3</v>
      </c>
    </row>
    <row r="90" spans="1:34" x14ac:dyDescent="0.2">
      <c r="A90" s="2">
        <v>43191</v>
      </c>
      <c r="B90">
        <f t="shared" si="11"/>
        <v>2018</v>
      </c>
      <c r="C90">
        <f t="shared" si="12"/>
        <v>4</v>
      </c>
      <c r="D90" s="151">
        <f>Data!D89</f>
        <v>21016838.76626505</v>
      </c>
      <c r="E90" s="151">
        <f>Data!E89</f>
        <v>1281849.6400688274</v>
      </c>
      <c r="F90" s="151">
        <f>Data!F89</f>
        <v>22298688.406333879</v>
      </c>
      <c r="G90" s="129">
        <f>Data!AP89</f>
        <v>377.2</v>
      </c>
      <c r="H90" s="129">
        <f>Data!AQ89</f>
        <v>0</v>
      </c>
      <c r="I90" s="146">
        <f t="shared" ca="1" si="17"/>
        <v>285.02368421052643</v>
      </c>
      <c r="J90" s="146">
        <f t="shared" ca="1" si="17"/>
        <v>0</v>
      </c>
      <c r="K90" s="32">
        <f>Data!BG89</f>
        <v>30</v>
      </c>
      <c r="L90" s="32">
        <f>Data!BX89</f>
        <v>1</v>
      </c>
      <c r="M90" s="32">
        <f>Data!BR89</f>
        <v>0</v>
      </c>
      <c r="N90" s="41">
        <f>Data!AA89</f>
        <v>35464</v>
      </c>
      <c r="O90" s="255">
        <f>Data!CG89</f>
        <v>0</v>
      </c>
      <c r="P90" s="78">
        <f>Data!CH89</f>
        <v>0</v>
      </c>
      <c r="Q90" s="32">
        <f t="shared" ca="1" si="16"/>
        <v>21493510.283434514</v>
      </c>
      <c r="R90" s="145">
        <f t="shared" ca="1" si="13"/>
        <v>20211660.643365685</v>
      </c>
      <c r="S90" s="32">
        <f t="shared" ca="1" si="14"/>
        <v>-805178.12289936468</v>
      </c>
      <c r="T90" s="50">
        <f t="shared" ca="1" si="15"/>
        <v>3.6108766050592295E-2</v>
      </c>
    </row>
    <row r="91" spans="1:34" x14ac:dyDescent="0.2">
      <c r="A91" s="2">
        <v>43221</v>
      </c>
      <c r="B91">
        <f t="shared" si="11"/>
        <v>2018</v>
      </c>
      <c r="C91">
        <f t="shared" si="12"/>
        <v>5</v>
      </c>
      <c r="D91" s="151">
        <f>Data!D90</f>
        <v>23626890.708433751</v>
      </c>
      <c r="E91" s="151">
        <f>Data!E90</f>
        <v>1281849.6400688274</v>
      </c>
      <c r="F91" s="151">
        <f>Data!F90</f>
        <v>24908740.34850258</v>
      </c>
      <c r="G91" s="129">
        <f>Data!AP90</f>
        <v>39.300000000000004</v>
      </c>
      <c r="H91" s="129">
        <f>Data!AQ90</f>
        <v>69.399999999999991</v>
      </c>
      <c r="I91" s="146">
        <f t="shared" ca="1" si="17"/>
        <v>92.127894736842109</v>
      </c>
      <c r="J91" s="146">
        <f t="shared" ca="1" si="17"/>
        <v>50.712631578947821</v>
      </c>
      <c r="K91" s="32">
        <f>Data!BG90</f>
        <v>31</v>
      </c>
      <c r="L91" s="32">
        <f>Data!BX90</f>
        <v>1</v>
      </c>
      <c r="M91" s="32">
        <f>Data!BR90</f>
        <v>0</v>
      </c>
      <c r="N91" s="41">
        <f>Data!AA90</f>
        <v>35588</v>
      </c>
      <c r="O91" s="255">
        <f>Data!CG90</f>
        <v>0</v>
      </c>
      <c r="P91" s="78">
        <f>Data!CH90</f>
        <v>0</v>
      </c>
      <c r="Q91" s="32">
        <f t="shared" ca="1" si="16"/>
        <v>24381033.353589803</v>
      </c>
      <c r="R91" s="145">
        <f t="shared" ca="1" si="13"/>
        <v>23099183.713520974</v>
      </c>
      <c r="S91" s="32">
        <f t="shared" ca="1" si="14"/>
        <v>-527706.9949127771</v>
      </c>
      <c r="T91" s="50">
        <f t="shared" ca="1" si="15"/>
        <v>2.1185615471900041E-2</v>
      </c>
    </row>
    <row r="92" spans="1:34" x14ac:dyDescent="0.2">
      <c r="A92" s="2">
        <v>43252</v>
      </c>
      <c r="B92">
        <f t="shared" si="11"/>
        <v>2018</v>
      </c>
      <c r="C92">
        <f t="shared" si="12"/>
        <v>6</v>
      </c>
      <c r="D92" s="151">
        <f>Data!D91</f>
        <v>32759189.532530148</v>
      </c>
      <c r="E92" s="151">
        <f>Data!E91</f>
        <v>1281849.6400688274</v>
      </c>
      <c r="F92" s="151">
        <f>Data!F91</f>
        <v>34041039.172598973</v>
      </c>
      <c r="G92" s="129">
        <f>Data!AP91</f>
        <v>5.6999999999999993</v>
      </c>
      <c r="H92" s="129">
        <f>Data!AQ91</f>
        <v>111.39999999999998</v>
      </c>
      <c r="I92" s="146">
        <f t="shared" ca="1" si="17"/>
        <v>6.5805263157894842</v>
      </c>
      <c r="J92" s="146">
        <f t="shared" ca="1" si="17"/>
        <v>122.87210526315789</v>
      </c>
      <c r="K92" s="32">
        <f>Data!BG91</f>
        <v>30</v>
      </c>
      <c r="L92" s="32">
        <f>Data!BX91</f>
        <v>0</v>
      </c>
      <c r="M92" s="32">
        <f>Data!BR91</f>
        <v>0</v>
      </c>
      <c r="N92" s="41">
        <f>Data!AA91</f>
        <v>35766</v>
      </c>
      <c r="O92" s="255">
        <f>Data!CG91</f>
        <v>0</v>
      </c>
      <c r="P92" s="78">
        <f>Data!CH91</f>
        <v>0</v>
      </c>
      <c r="Q92" s="32">
        <f t="shared" ca="1" si="16"/>
        <v>34655977.858756341</v>
      </c>
      <c r="R92" s="145">
        <f t="shared" ca="1" si="13"/>
        <v>33374128.218687512</v>
      </c>
      <c r="S92" s="32">
        <f t="shared" ca="1" si="14"/>
        <v>614938.68615736812</v>
      </c>
      <c r="T92" s="50">
        <f t="shared" ca="1" si="15"/>
        <v>1.806462731761601E-2</v>
      </c>
    </row>
    <row r="93" spans="1:34" x14ac:dyDescent="0.2">
      <c r="A93" s="2">
        <v>43282</v>
      </c>
      <c r="B93">
        <f t="shared" si="11"/>
        <v>2018</v>
      </c>
      <c r="C93">
        <f t="shared" si="12"/>
        <v>7</v>
      </c>
      <c r="D93" s="151">
        <f>Data!D92</f>
        <v>33985677.465060242</v>
      </c>
      <c r="E93" s="151">
        <f>Data!E92</f>
        <v>1281849.6400688274</v>
      </c>
      <c r="F93" s="151">
        <f>Data!F92</f>
        <v>35267527.105129071</v>
      </c>
      <c r="G93" s="129">
        <f>Data!AP92</f>
        <v>0</v>
      </c>
      <c r="H93" s="129">
        <f>Data!AQ92</f>
        <v>229.79999999999998</v>
      </c>
      <c r="I93" s="146">
        <f t="shared" ca="1" si="17"/>
        <v>0</v>
      </c>
      <c r="J93" s="146">
        <f t="shared" ca="1" si="17"/>
        <v>211.7568421052631</v>
      </c>
      <c r="K93" s="32">
        <f>Data!BG92</f>
        <v>31</v>
      </c>
      <c r="L93" s="32">
        <f>Data!BX92</f>
        <v>0</v>
      </c>
      <c r="M93" s="32">
        <f>Data!BR92</f>
        <v>0</v>
      </c>
      <c r="N93" s="41">
        <f>Data!AA92</f>
        <v>35939</v>
      </c>
      <c r="O93" s="255">
        <f>Data!CG92</f>
        <v>0</v>
      </c>
      <c r="P93" s="78">
        <f>Data!CH92</f>
        <v>0</v>
      </c>
      <c r="Q93" s="32">
        <f t="shared" ca="1" si="16"/>
        <v>34312457.799348608</v>
      </c>
      <c r="R93" s="145">
        <f t="shared" ca="1" si="13"/>
        <v>33030608.159279779</v>
      </c>
      <c r="S93" s="32">
        <f t="shared" ca="1" si="14"/>
        <v>-955069.30578046292</v>
      </c>
      <c r="T93" s="50">
        <f t="shared" ca="1" si="15"/>
        <v>2.7080699560632481E-2</v>
      </c>
    </row>
    <row r="94" spans="1:34" x14ac:dyDescent="0.2">
      <c r="A94" s="2">
        <v>43313</v>
      </c>
      <c r="B94">
        <f t="shared" si="11"/>
        <v>2018</v>
      </c>
      <c r="C94">
        <f t="shared" si="12"/>
        <v>8</v>
      </c>
      <c r="D94" s="151">
        <f>Data!D93</f>
        <v>36600647.12289153</v>
      </c>
      <c r="E94" s="151">
        <f>Data!E93</f>
        <v>1281849.6400688274</v>
      </c>
      <c r="F94" s="151">
        <f>Data!F93</f>
        <v>37882496.762960359</v>
      </c>
      <c r="G94" s="129">
        <f>Data!AP93</f>
        <v>0</v>
      </c>
      <c r="H94" s="129">
        <f>Data!AQ93</f>
        <v>223.20000000000002</v>
      </c>
      <c r="I94" s="146">
        <f t="shared" ca="1" si="17"/>
        <v>0.34105263157894772</v>
      </c>
      <c r="J94" s="146">
        <f t="shared" ca="1" si="17"/>
        <v>191.39947368421053</v>
      </c>
      <c r="K94" s="32">
        <f>Data!BG93</f>
        <v>31</v>
      </c>
      <c r="L94" s="32">
        <f>Data!BX93</f>
        <v>0</v>
      </c>
      <c r="M94" s="32">
        <f>Data!BR93</f>
        <v>0</v>
      </c>
      <c r="N94" s="41">
        <f>Data!AA93</f>
        <v>36069</v>
      </c>
      <c r="O94" s="255">
        <f>Data!CG93</f>
        <v>0</v>
      </c>
      <c r="P94" s="78">
        <f>Data!CH93</f>
        <v>0</v>
      </c>
      <c r="Q94" s="32">
        <f t="shared" ca="1" si="16"/>
        <v>36202194.828562073</v>
      </c>
      <c r="R94" s="145">
        <f t="shared" ca="1" si="13"/>
        <v>34920345.188493244</v>
      </c>
      <c r="S94" s="32">
        <f t="shared" ca="1" si="14"/>
        <v>-1680301.934398286</v>
      </c>
      <c r="T94" s="50">
        <f t="shared" ca="1" si="15"/>
        <v>4.4355628007106504E-2</v>
      </c>
    </row>
    <row r="95" spans="1:34" x14ac:dyDescent="0.2">
      <c r="A95" s="2">
        <v>43344</v>
      </c>
      <c r="B95">
        <f t="shared" si="11"/>
        <v>2018</v>
      </c>
      <c r="C95">
        <f t="shared" si="12"/>
        <v>9</v>
      </c>
      <c r="D95" s="151">
        <f>Data!D94</f>
        <v>27341665.600000009</v>
      </c>
      <c r="E95" s="151">
        <f>Data!E94</f>
        <v>1281849.6400688274</v>
      </c>
      <c r="F95" s="151">
        <f>Data!F94</f>
        <v>28623515.240068838</v>
      </c>
      <c r="G95" s="129">
        <f>Data!AP94</f>
        <v>25.1</v>
      </c>
      <c r="H95" s="129">
        <f>Data!AQ94</f>
        <v>114.89999999999998</v>
      </c>
      <c r="I95" s="146">
        <f t="shared" ca="1" si="17"/>
        <v>26.567368421052606</v>
      </c>
      <c r="J95" s="146">
        <f t="shared" ca="1" si="17"/>
        <v>77.107368421052627</v>
      </c>
      <c r="K95" s="32">
        <f>Data!BG94</f>
        <v>30</v>
      </c>
      <c r="L95" s="32">
        <f>Data!BX94</f>
        <v>1</v>
      </c>
      <c r="M95" s="32">
        <f>Data!BR94</f>
        <v>1</v>
      </c>
      <c r="N95" s="41">
        <f>Data!AA94</f>
        <v>36128</v>
      </c>
      <c r="O95" s="255">
        <f>Data!CG94</f>
        <v>0</v>
      </c>
      <c r="P95" s="78">
        <f>Data!CH94</f>
        <v>0</v>
      </c>
      <c r="Q95" s="32">
        <f t="shared" ca="1" si="16"/>
        <v>26635874.831891812</v>
      </c>
      <c r="R95" s="145">
        <f t="shared" ca="1" si="13"/>
        <v>25354025.191822983</v>
      </c>
      <c r="S95" s="32">
        <f t="shared" ca="1" si="14"/>
        <v>-1987640.4081770256</v>
      </c>
      <c r="T95" s="50">
        <f t="shared" ca="1" si="15"/>
        <v>6.9440821349385229E-2</v>
      </c>
    </row>
    <row r="96" spans="1:34" x14ac:dyDescent="0.2">
      <c r="A96" s="2">
        <v>43374</v>
      </c>
      <c r="B96">
        <f t="shared" si="11"/>
        <v>2018</v>
      </c>
      <c r="C96">
        <f t="shared" si="12"/>
        <v>10</v>
      </c>
      <c r="D96" s="151">
        <f>Data!D95</f>
        <v>21787579.980722882</v>
      </c>
      <c r="E96" s="151">
        <f>Data!E95</f>
        <v>1281849.6400688274</v>
      </c>
      <c r="F96" s="151">
        <f>Data!F95</f>
        <v>23069429.620791711</v>
      </c>
      <c r="G96" s="129">
        <f>Data!AP95</f>
        <v>231.4</v>
      </c>
      <c r="H96" s="129">
        <f>Data!AQ95</f>
        <v>12.2</v>
      </c>
      <c r="I96" s="146">
        <f t="shared" ca="1" si="17"/>
        <v>154.52315789473778</v>
      </c>
      <c r="J96" s="146">
        <f t="shared" ca="1" si="17"/>
        <v>10.628421052631595</v>
      </c>
      <c r="K96" s="32">
        <f>Data!BG95</f>
        <v>31</v>
      </c>
      <c r="L96" s="32">
        <f>Data!BX95</f>
        <v>1</v>
      </c>
      <c r="M96" s="32">
        <f>Data!BR95</f>
        <v>0</v>
      </c>
      <c r="N96" s="41">
        <f>Data!AA95</f>
        <v>36344</v>
      </c>
      <c r="O96" s="255">
        <f>Data!CG95</f>
        <v>0</v>
      </c>
      <c r="P96" s="78">
        <f>Data!CH95</f>
        <v>0</v>
      </c>
      <c r="Q96" s="32">
        <f t="shared" ca="1" si="16"/>
        <v>22314707.799305301</v>
      </c>
      <c r="R96" s="145">
        <f t="shared" ca="1" si="13"/>
        <v>21032858.159236472</v>
      </c>
      <c r="S96" s="32">
        <f t="shared" ca="1" si="14"/>
        <v>-754721.82148640975</v>
      </c>
      <c r="T96" s="50">
        <f t="shared" ca="1" si="15"/>
        <v>3.2715235438946617E-2</v>
      </c>
    </row>
    <row r="97" spans="1:41" x14ac:dyDescent="0.2">
      <c r="A97" s="2">
        <v>43405</v>
      </c>
      <c r="B97">
        <f t="shared" si="11"/>
        <v>2018</v>
      </c>
      <c r="C97">
        <f t="shared" si="12"/>
        <v>11</v>
      </c>
      <c r="D97" s="151">
        <f>Data!D96</f>
        <v>20895540.250602394</v>
      </c>
      <c r="E97" s="151">
        <f>Data!E96</f>
        <v>1281849.6400688274</v>
      </c>
      <c r="F97" s="151">
        <f>Data!F96</f>
        <v>22177389.890671223</v>
      </c>
      <c r="G97" s="129">
        <f>Data!AP96</f>
        <v>434.10000000000008</v>
      </c>
      <c r="H97" s="129">
        <f>Data!AQ96</f>
        <v>0</v>
      </c>
      <c r="I97" s="146">
        <f t="shared" ca="1" si="17"/>
        <v>363.9931578947369</v>
      </c>
      <c r="J97" s="146">
        <f t="shared" ca="1" si="17"/>
        <v>1.8421052631579116E-2</v>
      </c>
      <c r="K97" s="32">
        <f>Data!BG96</f>
        <v>30</v>
      </c>
      <c r="L97" s="32">
        <f>Data!BX96</f>
        <v>1</v>
      </c>
      <c r="M97" s="32">
        <f>Data!BR96</f>
        <v>0</v>
      </c>
      <c r="N97" s="41">
        <f>Data!AA96</f>
        <v>36437</v>
      </c>
      <c r="O97" s="255">
        <f>Data!CG96</f>
        <v>0</v>
      </c>
      <c r="P97" s="78">
        <f>Data!CH96</f>
        <v>0</v>
      </c>
      <c r="Q97" s="32">
        <f t="shared" ca="1" si="16"/>
        <v>21565968.003372576</v>
      </c>
      <c r="R97" s="145">
        <f t="shared" ca="1" si="13"/>
        <v>20284118.363303747</v>
      </c>
      <c r="S97" s="32">
        <f t="shared" ca="1" si="14"/>
        <v>-611421.88729864731</v>
      </c>
      <c r="T97" s="50">
        <f t="shared" ca="1" si="15"/>
        <v>2.7569605364418381E-2</v>
      </c>
    </row>
    <row r="98" spans="1:41" x14ac:dyDescent="0.2">
      <c r="A98" s="2">
        <v>43435</v>
      </c>
      <c r="B98">
        <f t="shared" si="11"/>
        <v>2018</v>
      </c>
      <c r="C98">
        <f t="shared" si="12"/>
        <v>12</v>
      </c>
      <c r="D98" s="151">
        <f>Data!D97</f>
        <v>29544191.980722886</v>
      </c>
      <c r="E98" s="151">
        <f>Data!E97</f>
        <v>1281849.6400688274</v>
      </c>
      <c r="F98" s="151">
        <f>Data!F97</f>
        <v>30826041.620791715</v>
      </c>
      <c r="G98" s="129">
        <f>Data!AP97</f>
        <v>501.6</v>
      </c>
      <c r="H98" s="129">
        <f>Data!AQ97</f>
        <v>0</v>
      </c>
      <c r="I98" s="146">
        <f t="shared" ca="1" si="17"/>
        <v>499.7842105263162</v>
      </c>
      <c r="J98" s="146">
        <f t="shared" ca="1" si="17"/>
        <v>0</v>
      </c>
      <c r="K98" s="32">
        <f>Data!BG97</f>
        <v>31</v>
      </c>
      <c r="L98" s="32">
        <f>Data!BX97</f>
        <v>0</v>
      </c>
      <c r="M98" s="32">
        <f>Data!BR97</f>
        <v>0</v>
      </c>
      <c r="N98" s="41">
        <f>Data!AA97</f>
        <v>36530</v>
      </c>
      <c r="O98" s="255">
        <f>Data!CG97</f>
        <v>0</v>
      </c>
      <c r="P98" s="78">
        <f>Data!CH97</f>
        <v>0</v>
      </c>
      <c r="Q98" s="32">
        <f t="shared" ca="1" si="16"/>
        <v>30810180.345067263</v>
      </c>
      <c r="R98" s="145">
        <f t="shared" ca="1" si="13"/>
        <v>29528330.704998434</v>
      </c>
      <c r="S98" s="32">
        <f t="shared" ca="1" si="14"/>
        <v>-15861.275724451989</v>
      </c>
      <c r="T98" s="50">
        <f t="shared" ca="1" si="15"/>
        <v>5.1454143608739534E-4</v>
      </c>
    </row>
    <row r="99" spans="1:41" s="9" customFormat="1" x14ac:dyDescent="0.2">
      <c r="A99" s="2">
        <v>43466</v>
      </c>
      <c r="B99">
        <f t="shared" si="11"/>
        <v>2019</v>
      </c>
      <c r="C99">
        <f t="shared" si="12"/>
        <v>1</v>
      </c>
      <c r="D99" s="151">
        <f>Data!D98</f>
        <v>28887987.922891602</v>
      </c>
      <c r="E99" s="151">
        <f>Data!E98</f>
        <v>1408690.5797202766</v>
      </c>
      <c r="F99" s="151">
        <f>Data!F98</f>
        <v>30296678.502611879</v>
      </c>
      <c r="G99" s="129">
        <f>Data!AP98</f>
        <v>702.49999999999989</v>
      </c>
      <c r="H99" s="129">
        <f>Data!AQ98</f>
        <v>0</v>
      </c>
      <c r="I99" s="146">
        <f t="shared" ref="I99:J114" ca="1" si="18">I111</f>
        <v>619.82052631578927</v>
      </c>
      <c r="J99" s="146">
        <f t="shared" ca="1" si="18"/>
        <v>0</v>
      </c>
      <c r="K99" s="32">
        <f>Data!BG98</f>
        <v>31</v>
      </c>
      <c r="L99" s="32">
        <f>Data!BX98</f>
        <v>0</v>
      </c>
      <c r="M99" s="32">
        <f>Data!BR98</f>
        <v>0</v>
      </c>
      <c r="N99" s="41">
        <f>Data!AA98</f>
        <v>36566</v>
      </c>
      <c r="O99" s="255">
        <f>Data!CG98</f>
        <v>0</v>
      </c>
      <c r="P99" s="78">
        <f>Data!CH98</f>
        <v>0</v>
      </c>
      <c r="Q99" s="32">
        <f t="shared" ca="1" si="16"/>
        <v>29574457.150487036</v>
      </c>
      <c r="R99" s="145">
        <f t="shared" ca="1" si="13"/>
        <v>28165766.570766758</v>
      </c>
      <c r="S99" s="32">
        <f t="shared" ca="1" si="14"/>
        <v>-722221.35212484375</v>
      </c>
      <c r="T99" s="50">
        <f t="shared" ca="1" si="15"/>
        <v>2.3838301352492517E-2</v>
      </c>
      <c r="U99"/>
      <c r="V99"/>
      <c r="W99"/>
      <c r="X99"/>
      <c r="Y99"/>
      <c r="Z99"/>
      <c r="AA99"/>
      <c r="AB99"/>
      <c r="AC99"/>
      <c r="AD99"/>
      <c r="AE99"/>
      <c r="AF99"/>
      <c r="AG99" s="39"/>
      <c r="AH99" s="39"/>
      <c r="AI99" s="39"/>
      <c r="AJ99" s="39"/>
      <c r="AK99" s="39"/>
      <c r="AL99" s="39"/>
      <c r="AM99" s="39"/>
      <c r="AN99" s="39"/>
      <c r="AO99" s="39"/>
    </row>
    <row r="100" spans="1:41" x14ac:dyDescent="0.2">
      <c r="A100" s="2">
        <v>43497</v>
      </c>
      <c r="B100">
        <f t="shared" si="11"/>
        <v>2019</v>
      </c>
      <c r="C100">
        <f t="shared" si="12"/>
        <v>2</v>
      </c>
      <c r="D100" s="151">
        <f>Data!D99</f>
        <v>25855133.050602406</v>
      </c>
      <c r="E100" s="151">
        <f>Data!E99</f>
        <v>1408690.5797202766</v>
      </c>
      <c r="F100" s="151">
        <f>Data!F99</f>
        <v>27263823.630322684</v>
      </c>
      <c r="G100" s="129">
        <f>Data!AP99</f>
        <v>565.70000000000005</v>
      </c>
      <c r="H100" s="129">
        <f>Data!AQ99</f>
        <v>0</v>
      </c>
      <c r="I100" s="146">
        <f t="shared" ca="1" si="18"/>
        <v>570.53578947368419</v>
      </c>
      <c r="J100" s="146">
        <f t="shared" ca="1" si="18"/>
        <v>0</v>
      </c>
      <c r="K100" s="32">
        <f>Data!BG99</f>
        <v>28</v>
      </c>
      <c r="L100" s="32">
        <f>Data!BX99</f>
        <v>0</v>
      </c>
      <c r="M100" s="32">
        <f>Data!BR99</f>
        <v>0</v>
      </c>
      <c r="N100" s="41">
        <f>Data!AA99</f>
        <v>36622</v>
      </c>
      <c r="O100" s="255">
        <f>Data!CG99</f>
        <v>0</v>
      </c>
      <c r="P100" s="78">
        <f>Data!CH99</f>
        <v>0</v>
      </c>
      <c r="Q100" s="32">
        <f t="shared" ca="1" si="16"/>
        <v>27306065.195933208</v>
      </c>
      <c r="R100" s="145">
        <f t="shared" ca="1" si="13"/>
        <v>25897374.616212931</v>
      </c>
      <c r="S100" s="32">
        <f t="shared" ca="1" si="14"/>
        <v>42241.565610524267</v>
      </c>
      <c r="T100" s="50">
        <f t="shared" ca="1" si="15"/>
        <v>1.5493632215087916E-3</v>
      </c>
    </row>
    <row r="101" spans="1:41" x14ac:dyDescent="0.2">
      <c r="A101" s="2">
        <v>43525</v>
      </c>
      <c r="B101">
        <f t="shared" si="11"/>
        <v>2019</v>
      </c>
      <c r="C101">
        <f t="shared" si="12"/>
        <v>3</v>
      </c>
      <c r="D101" s="151">
        <f>Data!D100</f>
        <v>23881199.306024097</v>
      </c>
      <c r="E101" s="151">
        <f>Data!E100</f>
        <v>1408690.5797202766</v>
      </c>
      <c r="F101" s="151">
        <f>Data!F100</f>
        <v>25289889.885744374</v>
      </c>
      <c r="G101" s="129">
        <f>Data!AP100</f>
        <v>531.9</v>
      </c>
      <c r="H101" s="129">
        <f>Data!AQ100</f>
        <v>0</v>
      </c>
      <c r="I101" s="146">
        <f t="shared" ca="1" si="18"/>
        <v>461.49315789473712</v>
      </c>
      <c r="J101" s="146">
        <f t="shared" ca="1" si="18"/>
        <v>0.17368421052631611</v>
      </c>
      <c r="K101" s="32">
        <f>Data!BG100</f>
        <v>31</v>
      </c>
      <c r="L101" s="32">
        <f>Data!BX100</f>
        <v>1</v>
      </c>
      <c r="M101" s="32">
        <f>Data!BR100</f>
        <v>0</v>
      </c>
      <c r="N101" s="41">
        <f>Data!AA100</f>
        <v>36709</v>
      </c>
      <c r="O101" s="255">
        <f>Data!CG100</f>
        <v>0</v>
      </c>
      <c r="P101" s="78">
        <f>Data!CH100</f>
        <v>0</v>
      </c>
      <c r="Q101" s="32">
        <f t="shared" ca="1" si="16"/>
        <v>24684065.905666724</v>
      </c>
      <c r="R101" s="145">
        <f t="shared" ca="1" si="13"/>
        <v>23275375.325946447</v>
      </c>
      <c r="S101" s="32">
        <f t="shared" ca="1" si="14"/>
        <v>-605823.9800776504</v>
      </c>
      <c r="T101" s="50">
        <f t="shared" ca="1" si="15"/>
        <v>2.3955184574336423E-2</v>
      </c>
    </row>
    <row r="102" spans="1:41" x14ac:dyDescent="0.2">
      <c r="A102" s="2">
        <v>43556</v>
      </c>
      <c r="B102">
        <f t="shared" si="11"/>
        <v>2019</v>
      </c>
      <c r="C102">
        <f t="shared" si="12"/>
        <v>4</v>
      </c>
      <c r="D102" s="151">
        <f>Data!D101</f>
        <v>22676737.503614482</v>
      </c>
      <c r="E102" s="151">
        <f>Data!E101</f>
        <v>1408690.5797202766</v>
      </c>
      <c r="F102" s="151">
        <f>Data!F101</f>
        <v>24085428.083334759</v>
      </c>
      <c r="G102" s="129">
        <f>Data!AP101</f>
        <v>286.80000000000007</v>
      </c>
      <c r="H102" s="129">
        <f>Data!AQ101</f>
        <v>0</v>
      </c>
      <c r="I102" s="146">
        <f t="shared" ca="1" si="18"/>
        <v>285.02368421052643</v>
      </c>
      <c r="J102" s="146">
        <f t="shared" ca="1" si="18"/>
        <v>0</v>
      </c>
      <c r="K102" s="32">
        <f>Data!BG101</f>
        <v>30</v>
      </c>
      <c r="L102" s="32">
        <f>Data!BX101</f>
        <v>1</v>
      </c>
      <c r="M102" s="32">
        <f>Data!BR101</f>
        <v>0</v>
      </c>
      <c r="N102" s="41">
        <f>Data!AA101</f>
        <v>36807</v>
      </c>
      <c r="O102" s="255">
        <f>Data!CG101</f>
        <v>0</v>
      </c>
      <c r="P102" s="78">
        <f>Data!CH101</f>
        <v>0</v>
      </c>
      <c r="Q102" s="32">
        <f t="shared" ca="1" si="16"/>
        <v>24069911.617952138</v>
      </c>
      <c r="R102" s="145">
        <f t="shared" ca="1" si="13"/>
        <v>22661221.038231861</v>
      </c>
      <c r="S102" s="32">
        <f t="shared" ca="1" si="14"/>
        <v>-15516.465382620692</v>
      </c>
      <c r="T102" s="50">
        <f t="shared" ca="1" si="15"/>
        <v>6.4422626531420791E-4</v>
      </c>
    </row>
    <row r="103" spans="1:41" x14ac:dyDescent="0.2">
      <c r="A103" s="2">
        <v>43586</v>
      </c>
      <c r="B103">
        <f t="shared" si="11"/>
        <v>2019</v>
      </c>
      <c r="C103">
        <f t="shared" si="12"/>
        <v>5</v>
      </c>
      <c r="D103" s="151">
        <f>Data!D102</f>
        <v>22100464.308433745</v>
      </c>
      <c r="E103" s="151">
        <f>Data!E102</f>
        <v>1408690.5797202766</v>
      </c>
      <c r="F103" s="151">
        <f>Data!F102</f>
        <v>23509154.888154022</v>
      </c>
      <c r="G103" s="129">
        <f>Data!AP102</f>
        <v>135.6</v>
      </c>
      <c r="H103" s="129">
        <f>Data!AQ102</f>
        <v>4.6000000000000014</v>
      </c>
      <c r="I103" s="146">
        <f t="shared" ca="1" si="18"/>
        <v>92.127894736842109</v>
      </c>
      <c r="J103" s="146">
        <f t="shared" ca="1" si="18"/>
        <v>50.712631578947821</v>
      </c>
      <c r="K103" s="32">
        <f>Data!BG102</f>
        <v>31</v>
      </c>
      <c r="L103" s="32">
        <f>Data!BX102</f>
        <v>1</v>
      </c>
      <c r="M103" s="32">
        <f>Data!BR102</f>
        <v>0</v>
      </c>
      <c r="N103" s="41">
        <f>Data!AA102</f>
        <v>36908</v>
      </c>
      <c r="O103" s="255">
        <f>Data!CG102</f>
        <v>0</v>
      </c>
      <c r="P103" s="78">
        <f>Data!CH102</f>
        <v>0</v>
      </c>
      <c r="Q103" s="32">
        <f t="shared" ca="1" si="16"/>
        <v>25570274.046447568</v>
      </c>
      <c r="R103" s="145">
        <f t="shared" ca="1" si="13"/>
        <v>24161583.46672729</v>
      </c>
      <c r="S103" s="32">
        <f t="shared" ca="1" si="14"/>
        <v>2061119.1582935452</v>
      </c>
      <c r="T103" s="50">
        <f t="shared" ca="1" si="15"/>
        <v>8.7673043463256023E-2</v>
      </c>
    </row>
    <row r="104" spans="1:41" x14ac:dyDescent="0.2">
      <c r="A104" s="2">
        <v>43617</v>
      </c>
      <c r="B104">
        <f t="shared" si="11"/>
        <v>2019</v>
      </c>
      <c r="C104">
        <f t="shared" si="12"/>
        <v>6</v>
      </c>
      <c r="D104" s="151">
        <f>Data!D103</f>
        <v>25171611.431325283</v>
      </c>
      <c r="E104" s="151">
        <f>Data!E103</f>
        <v>1408690.5797202766</v>
      </c>
      <c r="F104" s="151">
        <f>Data!F103</f>
        <v>26580302.01104556</v>
      </c>
      <c r="G104" s="129">
        <f>Data!AP103</f>
        <v>13.800000000000002</v>
      </c>
      <c r="H104" s="129">
        <f>Data!AQ103</f>
        <v>79.600000000000009</v>
      </c>
      <c r="I104" s="146">
        <f t="shared" ca="1" si="18"/>
        <v>6.5805263157894842</v>
      </c>
      <c r="J104" s="146">
        <f t="shared" ca="1" si="18"/>
        <v>122.87210526315789</v>
      </c>
      <c r="K104" s="32">
        <f>Data!BG103</f>
        <v>30</v>
      </c>
      <c r="L104" s="32">
        <f>Data!BX103</f>
        <v>0</v>
      </c>
      <c r="M104" s="32">
        <f>Data!BR103</f>
        <v>0</v>
      </c>
      <c r="N104" s="41">
        <f>Data!AA103</f>
        <v>37029</v>
      </c>
      <c r="O104" s="255">
        <f>Data!CG103</f>
        <v>0</v>
      </c>
      <c r="P104" s="78">
        <f>Data!CH103</f>
        <v>0</v>
      </c>
      <c r="Q104" s="32">
        <f t="shared" ca="1" si="16"/>
        <v>28807738.851603754</v>
      </c>
      <c r="R104" s="145">
        <f t="shared" ca="1" si="13"/>
        <v>27399048.271883477</v>
      </c>
      <c r="S104" s="32">
        <f t="shared" ca="1" si="14"/>
        <v>2227436.8405581936</v>
      </c>
      <c r="T104" s="50">
        <f t="shared" ca="1" si="15"/>
        <v>8.3800283368961448E-2</v>
      </c>
    </row>
    <row r="105" spans="1:41" x14ac:dyDescent="0.2">
      <c r="A105" s="2">
        <v>43647</v>
      </c>
      <c r="B105">
        <f t="shared" si="11"/>
        <v>2019</v>
      </c>
      <c r="C105">
        <f t="shared" si="12"/>
        <v>7</v>
      </c>
      <c r="D105" s="151">
        <f>Data!D104</f>
        <v>37225707.074698806</v>
      </c>
      <c r="E105" s="151">
        <f>Data!E104</f>
        <v>1408690.5797202766</v>
      </c>
      <c r="F105" s="151">
        <f>Data!F104</f>
        <v>38634397.654419079</v>
      </c>
      <c r="G105" s="129">
        <f>Data!AP104</f>
        <v>0</v>
      </c>
      <c r="H105" s="129">
        <f>Data!AQ104</f>
        <v>228.9</v>
      </c>
      <c r="I105" s="146">
        <f t="shared" ca="1" si="18"/>
        <v>0</v>
      </c>
      <c r="J105" s="146">
        <f t="shared" ca="1" si="18"/>
        <v>211.7568421052631</v>
      </c>
      <c r="K105" s="32">
        <f>Data!BG104</f>
        <v>31</v>
      </c>
      <c r="L105" s="32">
        <f>Data!BX104</f>
        <v>0</v>
      </c>
      <c r="M105" s="32">
        <f>Data!BR104</f>
        <v>0</v>
      </c>
      <c r="N105" s="41">
        <f>Data!AA104</f>
        <v>37141</v>
      </c>
      <c r="O105" s="255">
        <f>Data!CG104</f>
        <v>0</v>
      </c>
      <c r="P105" s="78">
        <f>Data!CH104</f>
        <v>0</v>
      </c>
      <c r="Q105" s="32">
        <f t="shared" ca="1" si="16"/>
        <v>37726967.591182351</v>
      </c>
      <c r="R105" s="145">
        <f t="shared" ca="1" si="13"/>
        <v>36318277.011462077</v>
      </c>
      <c r="S105" s="32">
        <f t="shared" ca="1" si="14"/>
        <v>-907430.06323672831</v>
      </c>
      <c r="T105" s="50">
        <f t="shared" ca="1" si="15"/>
        <v>2.3487620315802558E-2</v>
      </c>
    </row>
    <row r="106" spans="1:41" x14ac:dyDescent="0.2">
      <c r="A106" s="2">
        <v>43678</v>
      </c>
      <c r="B106">
        <f t="shared" si="11"/>
        <v>2019</v>
      </c>
      <c r="C106">
        <f t="shared" si="12"/>
        <v>8</v>
      </c>
      <c r="D106" s="151">
        <f>Data!D105</f>
        <v>34053660.819277115</v>
      </c>
      <c r="E106" s="151">
        <f>Data!E105</f>
        <v>1408690.5797202766</v>
      </c>
      <c r="F106" s="151">
        <f>Data!F105</f>
        <v>35462351.398997389</v>
      </c>
      <c r="G106" s="129">
        <f>Data!AP105</f>
        <v>0</v>
      </c>
      <c r="H106" s="129">
        <f>Data!AQ105</f>
        <v>164.40000000000006</v>
      </c>
      <c r="I106" s="146">
        <f t="shared" ca="1" si="18"/>
        <v>0.34105263157894772</v>
      </c>
      <c r="J106" s="146">
        <f t="shared" ca="1" si="18"/>
        <v>191.39947368421053</v>
      </c>
      <c r="K106" s="32">
        <f>Data!BG105</f>
        <v>31</v>
      </c>
      <c r="L106" s="32">
        <f>Data!BX105</f>
        <v>0</v>
      </c>
      <c r="M106" s="32">
        <f>Data!BR105</f>
        <v>0</v>
      </c>
      <c r="N106" s="41">
        <f>Data!AA105</f>
        <v>37161</v>
      </c>
      <c r="O106" s="255">
        <f>Data!CG105</f>
        <v>0</v>
      </c>
      <c r="P106" s="78">
        <f>Data!CH105</f>
        <v>0</v>
      </c>
      <c r="Q106" s="32">
        <f t="shared" ca="1" si="16"/>
        <v>36894479.977456972</v>
      </c>
      <c r="R106" s="145">
        <f t="shared" ca="1" si="13"/>
        <v>35485789.397736698</v>
      </c>
      <c r="S106" s="32">
        <f t="shared" ca="1" si="14"/>
        <v>1432128.5784595832</v>
      </c>
      <c r="T106" s="50">
        <f t="shared" ca="1" si="15"/>
        <v>4.0384478805318959E-2</v>
      </c>
    </row>
    <row r="107" spans="1:41" x14ac:dyDescent="0.2">
      <c r="A107" s="2">
        <v>43709</v>
      </c>
      <c r="B107">
        <f t="shared" si="11"/>
        <v>2019</v>
      </c>
      <c r="C107">
        <f t="shared" si="12"/>
        <v>9</v>
      </c>
      <c r="D107" s="151">
        <f>Data!D106</f>
        <v>25049312.13493976</v>
      </c>
      <c r="E107" s="151">
        <f>Data!E106</f>
        <v>1408690.5797202766</v>
      </c>
      <c r="F107" s="151">
        <f>Data!F106</f>
        <v>26458002.714660037</v>
      </c>
      <c r="G107" s="129">
        <f>Data!AP106</f>
        <v>11.699999999999998</v>
      </c>
      <c r="H107" s="129">
        <f>Data!AQ106</f>
        <v>58.7</v>
      </c>
      <c r="I107" s="146">
        <f t="shared" ca="1" si="18"/>
        <v>26.567368421052606</v>
      </c>
      <c r="J107" s="146">
        <f t="shared" ca="1" si="18"/>
        <v>77.107368421052627</v>
      </c>
      <c r="K107" s="32">
        <f>Data!BG106</f>
        <v>30</v>
      </c>
      <c r="L107" s="32">
        <f>Data!BX106</f>
        <v>1</v>
      </c>
      <c r="M107" s="32">
        <f>Data!BR106</f>
        <v>1</v>
      </c>
      <c r="N107" s="41">
        <f>Data!AA106</f>
        <v>37192</v>
      </c>
      <c r="O107" s="255">
        <f>Data!CG106</f>
        <v>0</v>
      </c>
      <c r="P107" s="78">
        <f>Data!CH106</f>
        <v>0</v>
      </c>
      <c r="Q107" s="32">
        <f t="shared" ca="1" si="16"/>
        <v>27562219.95825645</v>
      </c>
      <c r="R107" s="145">
        <f t="shared" ca="1" si="13"/>
        <v>26153529.378536172</v>
      </c>
      <c r="S107" s="32">
        <f t="shared" ca="1" si="14"/>
        <v>1104217.2435964122</v>
      </c>
      <c r="T107" s="50">
        <f t="shared" ca="1" si="15"/>
        <v>4.1734716543232485E-2</v>
      </c>
    </row>
    <row r="108" spans="1:41" x14ac:dyDescent="0.2">
      <c r="A108" s="2">
        <v>43739</v>
      </c>
      <c r="B108">
        <f t="shared" si="11"/>
        <v>2019</v>
      </c>
      <c r="C108">
        <f t="shared" si="12"/>
        <v>10</v>
      </c>
      <c r="D108" s="151">
        <f>Data!D107</f>
        <v>22049631.412048209</v>
      </c>
      <c r="E108" s="151">
        <f>Data!E107</f>
        <v>1408690.5797202766</v>
      </c>
      <c r="F108" s="151">
        <f>Data!F107</f>
        <v>23458321.991768487</v>
      </c>
      <c r="G108" s="129">
        <f>Data!AP107</f>
        <v>177.10000000000002</v>
      </c>
      <c r="H108" s="129">
        <f>Data!AQ107</f>
        <v>7.7000000000000028</v>
      </c>
      <c r="I108" s="146">
        <f t="shared" ca="1" si="18"/>
        <v>154.52315789473778</v>
      </c>
      <c r="J108" s="146">
        <f t="shared" ca="1" si="18"/>
        <v>10.628421052631595</v>
      </c>
      <c r="K108" s="32">
        <f>Data!BG107</f>
        <v>31</v>
      </c>
      <c r="L108" s="32">
        <f>Data!BX107</f>
        <v>1</v>
      </c>
      <c r="M108" s="32">
        <f>Data!BR107</f>
        <v>0</v>
      </c>
      <c r="N108" s="41">
        <f>Data!AA107</f>
        <v>37260</v>
      </c>
      <c r="O108" s="255">
        <f>Data!CG107</f>
        <v>0</v>
      </c>
      <c r="P108" s="78">
        <f>Data!CH107</f>
        <v>0</v>
      </c>
      <c r="Q108" s="32">
        <f t="shared" ca="1" si="16"/>
        <v>23416117.489230428</v>
      </c>
      <c r="R108" s="145">
        <f t="shared" ca="1" si="13"/>
        <v>22007426.909510151</v>
      </c>
      <c r="S108" s="32">
        <f t="shared" ca="1" si="14"/>
        <v>-42204.502538058907</v>
      </c>
      <c r="T108" s="50">
        <f t="shared" ca="1" si="15"/>
        <v>1.7991270881552587E-3</v>
      </c>
    </row>
    <row r="109" spans="1:41" x14ac:dyDescent="0.2">
      <c r="A109" s="2">
        <v>43770</v>
      </c>
      <c r="B109">
        <f t="shared" si="11"/>
        <v>2019</v>
      </c>
      <c r="C109">
        <f t="shared" si="12"/>
        <v>11</v>
      </c>
      <c r="D109" s="151">
        <f>Data!D108</f>
        <v>21315185.031325318</v>
      </c>
      <c r="E109" s="151">
        <f>Data!E108</f>
        <v>1408690.5797202766</v>
      </c>
      <c r="F109" s="151">
        <f>Data!F108</f>
        <v>22723875.611045595</v>
      </c>
      <c r="G109" s="129">
        <f>Data!AP108</f>
        <v>453.3</v>
      </c>
      <c r="H109" s="129">
        <f>Data!AQ108</f>
        <v>0</v>
      </c>
      <c r="I109" s="146">
        <f t="shared" ca="1" si="18"/>
        <v>363.9931578947369</v>
      </c>
      <c r="J109" s="146">
        <f t="shared" ca="1" si="18"/>
        <v>1.8421052631579116E-2</v>
      </c>
      <c r="K109" s="32">
        <f>Data!BG108</f>
        <v>30</v>
      </c>
      <c r="L109" s="32">
        <f>Data!BX108</f>
        <v>1</v>
      </c>
      <c r="M109" s="32">
        <f>Data!BR108</f>
        <v>0</v>
      </c>
      <c r="N109" s="41">
        <f>Data!AA108</f>
        <v>37298</v>
      </c>
      <c r="O109" s="255">
        <f>Data!CG108</f>
        <v>0</v>
      </c>
      <c r="P109" s="78">
        <f>Data!CH108</f>
        <v>0</v>
      </c>
      <c r="Q109" s="32">
        <f t="shared" ca="1" si="16"/>
        <v>21944737.973477904</v>
      </c>
      <c r="R109" s="145">
        <f t="shared" ca="1" si="13"/>
        <v>20536047.393757626</v>
      </c>
      <c r="S109" s="32">
        <f t="shared" ca="1" si="14"/>
        <v>-779137.6375676915</v>
      </c>
      <c r="T109" s="50">
        <f t="shared" ca="1" si="15"/>
        <v>3.4287181064702237E-2</v>
      </c>
    </row>
    <row r="110" spans="1:41" x14ac:dyDescent="0.2">
      <c r="A110" s="2">
        <v>43800</v>
      </c>
      <c r="B110">
        <f t="shared" si="11"/>
        <v>2019</v>
      </c>
      <c r="C110">
        <f t="shared" si="12"/>
        <v>12</v>
      </c>
      <c r="D110" s="151">
        <f>Data!D109</f>
        <v>28146546.1686747</v>
      </c>
      <c r="E110" s="151">
        <f>Data!E109</f>
        <v>1408690.5797202766</v>
      </c>
      <c r="F110" s="151">
        <f>Data!F109</f>
        <v>29555236.748394977</v>
      </c>
      <c r="G110" s="129">
        <f>Data!AP109</f>
        <v>520.4</v>
      </c>
      <c r="H110" s="129">
        <f>Data!AQ109</f>
        <v>0</v>
      </c>
      <c r="I110" s="146">
        <f t="shared" ca="1" si="18"/>
        <v>499.7842105263162</v>
      </c>
      <c r="J110" s="146">
        <f t="shared" ca="1" si="18"/>
        <v>0</v>
      </c>
      <c r="K110" s="32">
        <f>Data!BG109</f>
        <v>31</v>
      </c>
      <c r="L110" s="32">
        <f>Data!BX109</f>
        <v>0</v>
      </c>
      <c r="M110" s="32">
        <f>Data!BR109</f>
        <v>0</v>
      </c>
      <c r="N110" s="41">
        <f>Data!AA109</f>
        <v>37321</v>
      </c>
      <c r="O110" s="255">
        <f>Data!CG109</f>
        <v>0</v>
      </c>
      <c r="P110" s="78">
        <f>Data!CH109</f>
        <v>0</v>
      </c>
      <c r="Q110" s="32">
        <f t="shared" ca="1" si="16"/>
        <v>29375153.800532088</v>
      </c>
      <c r="R110" s="145">
        <f t="shared" ca="1" si="13"/>
        <v>27966463.22081181</v>
      </c>
      <c r="S110" s="32">
        <f t="shared" ca="1" si="14"/>
        <v>-180082.94786288962</v>
      </c>
      <c r="T110" s="50">
        <f t="shared" ca="1" si="15"/>
        <v>6.093097795018312E-3</v>
      </c>
    </row>
    <row r="111" spans="1:41" x14ac:dyDescent="0.2">
      <c r="A111" s="2">
        <v>43831</v>
      </c>
      <c r="B111">
        <f t="shared" si="11"/>
        <v>2020</v>
      </c>
      <c r="C111">
        <f t="shared" si="12"/>
        <v>1</v>
      </c>
      <c r="D111" s="151">
        <f>Data!D110</f>
        <v>29703689.253012061</v>
      </c>
      <c r="E111" s="151">
        <f>Data!E110</f>
        <v>1392643.6565677822</v>
      </c>
      <c r="F111" s="151">
        <f>Data!F110</f>
        <v>31096332.909579843</v>
      </c>
      <c r="G111" s="129">
        <f>Data!AP110</f>
        <v>543</v>
      </c>
      <c r="H111" s="129">
        <f>Data!AQ110</f>
        <v>0</v>
      </c>
      <c r="I111" s="146">
        <f t="shared" ca="1" si="18"/>
        <v>619.82052631578927</v>
      </c>
      <c r="J111" s="146">
        <f t="shared" ca="1" si="18"/>
        <v>0</v>
      </c>
      <c r="K111" s="32">
        <f>Data!BG110</f>
        <v>31</v>
      </c>
      <c r="L111" s="32">
        <f>Data!BX110</f>
        <v>0</v>
      </c>
      <c r="M111" s="32">
        <f>Data!BR110</f>
        <v>0</v>
      </c>
      <c r="N111" s="41">
        <f>Data!AA110</f>
        <v>37330</v>
      </c>
      <c r="O111" s="255">
        <f>Data!CG110</f>
        <v>0</v>
      </c>
      <c r="P111" s="78">
        <f>Data!CH110</f>
        <v>0</v>
      </c>
      <c r="Q111" s="32">
        <f t="shared" ca="1" si="16"/>
        <v>31767375.212033767</v>
      </c>
      <c r="R111" s="145">
        <f t="shared" ca="1" si="13"/>
        <v>30374731.555465985</v>
      </c>
      <c r="S111" s="32">
        <f t="shared" ca="1" si="14"/>
        <v>671042.30245392397</v>
      </c>
      <c r="T111" s="50">
        <f t="shared" ca="1" si="15"/>
        <v>2.1579467405534368E-2</v>
      </c>
      <c r="U111" s="12"/>
      <c r="AG111" s="39"/>
      <c r="AH111" s="39"/>
      <c r="AI111" s="39"/>
    </row>
    <row r="112" spans="1:41" x14ac:dyDescent="0.2">
      <c r="A112" s="2">
        <v>43862</v>
      </c>
      <c r="B112">
        <f t="shared" si="11"/>
        <v>2020</v>
      </c>
      <c r="C112">
        <f t="shared" si="12"/>
        <v>2</v>
      </c>
      <c r="D112" s="151">
        <f>Data!D111</f>
        <v>25536377.551807232</v>
      </c>
      <c r="E112" s="151">
        <f>Data!E111</f>
        <v>1392643.6565677822</v>
      </c>
      <c r="F112" s="151">
        <f>Data!F111</f>
        <v>26929021.208375014</v>
      </c>
      <c r="G112" s="129">
        <f>Data!AP111</f>
        <v>553.80000000000007</v>
      </c>
      <c r="H112" s="129">
        <f>Data!AQ111</f>
        <v>0</v>
      </c>
      <c r="I112" s="146">
        <f t="shared" ca="1" si="18"/>
        <v>570.53578947368419</v>
      </c>
      <c r="J112" s="146">
        <f t="shared" ca="1" si="18"/>
        <v>0</v>
      </c>
      <c r="K112" s="32">
        <f>Data!BG111</f>
        <v>29</v>
      </c>
      <c r="L112" s="32">
        <f>Data!BX111</f>
        <v>0</v>
      </c>
      <c r="M112" s="32">
        <f>Data!BR111</f>
        <v>0</v>
      </c>
      <c r="N112" s="41">
        <f>Data!AA111</f>
        <v>37362</v>
      </c>
      <c r="O112" s="255">
        <f>Data!CG111</f>
        <v>0</v>
      </c>
      <c r="P112" s="78">
        <f>Data!CH111</f>
        <v>0</v>
      </c>
      <c r="Q112" s="32">
        <f t="shared" ca="1" si="16"/>
        <v>27075211.59837104</v>
      </c>
      <c r="R112" s="145">
        <f t="shared" ca="1" si="13"/>
        <v>25682567.941803258</v>
      </c>
      <c r="S112" s="32">
        <f t="shared" ca="1" si="14"/>
        <v>146190.38999602571</v>
      </c>
      <c r="T112" s="50">
        <f t="shared" ca="1" si="15"/>
        <v>5.4287301742166555E-3</v>
      </c>
    </row>
    <row r="113" spans="1:20" x14ac:dyDescent="0.2">
      <c r="A113" s="2">
        <v>43891</v>
      </c>
      <c r="B113">
        <f t="shared" si="11"/>
        <v>2020</v>
      </c>
      <c r="C113">
        <f t="shared" si="12"/>
        <v>3</v>
      </c>
      <c r="D113" s="151">
        <f>Data!D112</f>
        <v>24945910.043373495</v>
      </c>
      <c r="E113" s="151">
        <f>Data!E112</f>
        <v>1392643.6565677822</v>
      </c>
      <c r="F113" s="151">
        <f>Data!F112</f>
        <v>26338553.699941278</v>
      </c>
      <c r="G113" s="129">
        <f>Data!AP112</f>
        <v>396.7</v>
      </c>
      <c r="H113" s="129">
        <f>Data!AQ112</f>
        <v>0</v>
      </c>
      <c r="I113" s="146">
        <f t="shared" ca="1" si="18"/>
        <v>461.49315789473712</v>
      </c>
      <c r="J113" s="146">
        <f t="shared" ca="1" si="18"/>
        <v>0.17368421052631611</v>
      </c>
      <c r="K113" s="32">
        <f>Data!BG112</f>
        <v>31</v>
      </c>
      <c r="L113" s="32">
        <f>Data!BX112</f>
        <v>1</v>
      </c>
      <c r="M113" s="32">
        <f>Data!BR112</f>
        <v>0</v>
      </c>
      <c r="N113" s="41">
        <f>Data!AA112</f>
        <v>37440</v>
      </c>
      <c r="O113" s="255">
        <f>Data!CG112</f>
        <v>396.7</v>
      </c>
      <c r="P113" s="78">
        <f>Data!CH112</f>
        <v>0</v>
      </c>
      <c r="Q113" s="32">
        <f t="shared" ca="1" si="16"/>
        <v>26913728.128008138</v>
      </c>
      <c r="R113" s="145">
        <f t="shared" ca="1" si="13"/>
        <v>25521084.471440356</v>
      </c>
      <c r="S113" s="32">
        <f t="shared" ca="1" si="14"/>
        <v>575174.42806686088</v>
      </c>
      <c r="T113" s="50">
        <f t="shared" ca="1" si="15"/>
        <v>2.1837737736834929E-2</v>
      </c>
    </row>
    <row r="114" spans="1:20" x14ac:dyDescent="0.2">
      <c r="A114" s="2">
        <v>43922</v>
      </c>
      <c r="B114">
        <f t="shared" si="11"/>
        <v>2020</v>
      </c>
      <c r="C114">
        <f t="shared" si="12"/>
        <v>4</v>
      </c>
      <c r="D114" s="151">
        <f>Data!D113</f>
        <v>25646430.178313266</v>
      </c>
      <c r="E114" s="151">
        <f>Data!E113</f>
        <v>1392643.6565677822</v>
      </c>
      <c r="F114" s="151">
        <f>Data!F113</f>
        <v>27039073.834881049</v>
      </c>
      <c r="G114" s="129">
        <f>Data!AP113</f>
        <v>302.29999999999995</v>
      </c>
      <c r="H114" s="129">
        <f>Data!AQ113</f>
        <v>0</v>
      </c>
      <c r="I114" s="146">
        <f t="shared" ca="1" si="18"/>
        <v>285.02368421052643</v>
      </c>
      <c r="J114" s="146">
        <f t="shared" ca="1" si="18"/>
        <v>0</v>
      </c>
      <c r="K114" s="32">
        <f>Data!BG113</f>
        <v>30</v>
      </c>
      <c r="L114" s="32">
        <f>Data!BX113</f>
        <v>1</v>
      </c>
      <c r="M114" s="32">
        <f>Data!BR113</f>
        <v>0</v>
      </c>
      <c r="N114" s="41">
        <f>Data!AA113</f>
        <v>37485</v>
      </c>
      <c r="O114" s="255">
        <f>Data!CG113</f>
        <v>302.29999999999995</v>
      </c>
      <c r="P114" s="78">
        <f>Data!CH113</f>
        <v>0</v>
      </c>
      <c r="Q114" s="32">
        <f t="shared" ca="1" si="16"/>
        <v>26888161.841937482</v>
      </c>
      <c r="R114" s="145">
        <f t="shared" ca="1" si="13"/>
        <v>25495518.1853697</v>
      </c>
      <c r="S114" s="32">
        <f t="shared" ca="1" si="14"/>
        <v>-150911.99294356629</v>
      </c>
      <c r="T114" s="50">
        <f t="shared" ca="1" si="15"/>
        <v>5.5812559951253296E-3</v>
      </c>
    </row>
    <row r="115" spans="1:20" x14ac:dyDescent="0.2">
      <c r="A115" s="2">
        <v>43952</v>
      </c>
      <c r="B115">
        <f t="shared" si="11"/>
        <v>2020</v>
      </c>
      <c r="C115">
        <f t="shared" si="12"/>
        <v>5</v>
      </c>
      <c r="D115" s="151">
        <f>Data!D114</f>
        <v>25915345.012048189</v>
      </c>
      <c r="E115" s="151">
        <f>Data!E114</f>
        <v>1392643.6565677822</v>
      </c>
      <c r="F115" s="151">
        <f>Data!F114</f>
        <v>27307988.668615971</v>
      </c>
      <c r="G115" s="129">
        <f>Data!AP114</f>
        <v>160.9</v>
      </c>
      <c r="H115" s="129">
        <f>Data!AQ114</f>
        <v>39</v>
      </c>
      <c r="I115" s="146">
        <f t="shared" ref="I115:J130" ca="1" si="19">I127</f>
        <v>92.127894736842109</v>
      </c>
      <c r="J115" s="146">
        <f t="shared" ca="1" si="19"/>
        <v>50.712631578947821</v>
      </c>
      <c r="K115" s="32">
        <f>Data!BG114</f>
        <v>31</v>
      </c>
      <c r="L115" s="32">
        <f>Data!BX114</f>
        <v>1</v>
      </c>
      <c r="M115" s="32">
        <f>Data!BR114</f>
        <v>0</v>
      </c>
      <c r="N115" s="41">
        <f>Data!AA114</f>
        <v>37545</v>
      </c>
      <c r="O115" s="255">
        <f>Data!CG114</f>
        <v>160.9</v>
      </c>
      <c r="P115" s="78">
        <f>Data!CH114</f>
        <v>39</v>
      </c>
      <c r="Q115" s="32">
        <f t="shared" ca="1" si="16"/>
        <v>27327229.670143459</v>
      </c>
      <c r="R115" s="145">
        <f t="shared" ca="1" si="13"/>
        <v>25934586.013575677</v>
      </c>
      <c r="S115" s="32">
        <f t="shared" ca="1" si="14"/>
        <v>19241.001527488232</v>
      </c>
      <c r="T115" s="50">
        <f t="shared" ca="1" si="15"/>
        <v>7.0459240923888256E-4</v>
      </c>
    </row>
    <row r="116" spans="1:20" x14ac:dyDescent="0.2">
      <c r="A116" s="2">
        <v>43983</v>
      </c>
      <c r="B116">
        <f t="shared" si="11"/>
        <v>2020</v>
      </c>
      <c r="C116">
        <f t="shared" si="12"/>
        <v>6</v>
      </c>
      <c r="D116" s="151">
        <f>Data!D115</f>
        <v>37641354.804819241</v>
      </c>
      <c r="E116" s="151">
        <f>Data!E115</f>
        <v>1392643.6565677822</v>
      </c>
      <c r="F116" s="151">
        <f>Data!F115</f>
        <v>39033998.461387023</v>
      </c>
      <c r="G116" s="129">
        <f>Data!AP115</f>
        <v>9.2999999999999989</v>
      </c>
      <c r="H116" s="129">
        <f>Data!AQ115</f>
        <v>143.20000000000002</v>
      </c>
      <c r="I116" s="146">
        <f t="shared" ca="1" si="19"/>
        <v>6.5805263157894842</v>
      </c>
      <c r="J116" s="146">
        <f t="shared" ca="1" si="19"/>
        <v>122.87210526315789</v>
      </c>
      <c r="K116" s="32">
        <f>Data!BG115</f>
        <v>30</v>
      </c>
      <c r="L116" s="32">
        <f>Data!BX115</f>
        <v>0</v>
      </c>
      <c r="M116" s="32">
        <f>Data!BR115</f>
        <v>0</v>
      </c>
      <c r="N116" s="41">
        <f>Data!AA115</f>
        <v>37663</v>
      </c>
      <c r="O116" s="255">
        <f>Data!CG115</f>
        <v>9.2999999999999989</v>
      </c>
      <c r="P116" s="78">
        <f>Data!CH115</f>
        <v>143.20000000000002</v>
      </c>
      <c r="Q116" s="32">
        <f t="shared" ca="1" si="16"/>
        <v>37934237.207823358</v>
      </c>
      <c r="R116" s="145">
        <f t="shared" ca="1" si="13"/>
        <v>36541593.551255576</v>
      </c>
      <c r="S116" s="32">
        <f t="shared" ca="1" si="14"/>
        <v>-1099761.2535636649</v>
      </c>
      <c r="T116" s="50">
        <f t="shared" ca="1" si="15"/>
        <v>2.8174445276252291E-2</v>
      </c>
    </row>
    <row r="117" spans="1:20" x14ac:dyDescent="0.2">
      <c r="A117" s="2">
        <v>44013</v>
      </c>
      <c r="B117">
        <f t="shared" si="11"/>
        <v>2020</v>
      </c>
      <c r="C117">
        <f t="shared" si="12"/>
        <v>7</v>
      </c>
      <c r="D117" s="151">
        <f>Data!D116</f>
        <v>44487853.166265093</v>
      </c>
      <c r="E117" s="151">
        <f>Data!E116</f>
        <v>1392643.6565677822</v>
      </c>
      <c r="F117" s="151">
        <f>Data!F116</f>
        <v>45880496.822832875</v>
      </c>
      <c r="G117" s="129">
        <f>Data!AP116</f>
        <v>0</v>
      </c>
      <c r="H117" s="129">
        <f>Data!AQ116</f>
        <v>277.7</v>
      </c>
      <c r="I117" s="146">
        <f t="shared" ca="1" si="19"/>
        <v>0</v>
      </c>
      <c r="J117" s="146">
        <f t="shared" ca="1" si="19"/>
        <v>211.7568421052631</v>
      </c>
      <c r="K117" s="32">
        <f>Data!BG116</f>
        <v>31</v>
      </c>
      <c r="L117" s="32">
        <f>Data!BX116</f>
        <v>0</v>
      </c>
      <c r="M117" s="32">
        <f>Data!BR116</f>
        <v>0</v>
      </c>
      <c r="N117" s="41">
        <f>Data!AA116</f>
        <v>37791</v>
      </c>
      <c r="O117" s="255">
        <f>Data!CG116</f>
        <v>0</v>
      </c>
      <c r="P117" s="78">
        <f>Data!CH116</f>
        <v>277.7</v>
      </c>
      <c r="Q117" s="32">
        <f t="shared" ca="1" si="16"/>
        <v>42389961.16389098</v>
      </c>
      <c r="R117" s="145">
        <f t="shared" ca="1" si="13"/>
        <v>40997317.507323198</v>
      </c>
      <c r="S117" s="32">
        <f t="shared" ca="1" si="14"/>
        <v>-3490535.6589418948</v>
      </c>
      <c r="T117" s="50">
        <f t="shared" ca="1" si="15"/>
        <v>7.6078854865512177E-2</v>
      </c>
    </row>
    <row r="118" spans="1:20" x14ac:dyDescent="0.2">
      <c r="A118" s="2">
        <v>44044</v>
      </c>
      <c r="B118">
        <f t="shared" si="11"/>
        <v>2020</v>
      </c>
      <c r="C118">
        <f t="shared" si="12"/>
        <v>8</v>
      </c>
      <c r="D118" s="151">
        <f>Data!D117</f>
        <v>38799720.212048218</v>
      </c>
      <c r="E118" s="151">
        <f>Data!E117</f>
        <v>1392643.6565677822</v>
      </c>
      <c r="F118" s="151">
        <f>Data!F117</f>
        <v>40192363.868616</v>
      </c>
      <c r="G118" s="129">
        <f>Data!AP117</f>
        <v>0</v>
      </c>
      <c r="H118" s="129">
        <f>Data!AQ117</f>
        <v>187.89999999999998</v>
      </c>
      <c r="I118" s="146">
        <f t="shared" ca="1" si="19"/>
        <v>0.34105263157894772</v>
      </c>
      <c r="J118" s="146">
        <f t="shared" ca="1" si="19"/>
        <v>191.39947368421053</v>
      </c>
      <c r="K118" s="32">
        <f>Data!BG117</f>
        <v>31</v>
      </c>
      <c r="L118" s="32">
        <f>Data!BX117</f>
        <v>0</v>
      </c>
      <c r="M118" s="32">
        <f>Data!BR117</f>
        <v>0</v>
      </c>
      <c r="N118" s="41">
        <f>Data!AA117</f>
        <v>37841</v>
      </c>
      <c r="O118" s="255">
        <f>Data!CG117</f>
        <v>0</v>
      </c>
      <c r="P118" s="78">
        <f>Data!CH117</f>
        <v>187.89999999999998</v>
      </c>
      <c r="Q118" s="32">
        <f t="shared" ca="1" si="16"/>
        <v>40380578.891766742</v>
      </c>
      <c r="R118" s="145">
        <f t="shared" ca="1" si="13"/>
        <v>38987935.23519896</v>
      </c>
      <c r="S118" s="32">
        <f t="shared" ca="1" si="14"/>
        <v>188215.02315074205</v>
      </c>
      <c r="T118" s="50">
        <f t="shared" ca="1" si="15"/>
        <v>4.6828552748475879E-3</v>
      </c>
    </row>
    <row r="119" spans="1:20" x14ac:dyDescent="0.2">
      <c r="A119" s="2">
        <v>44075</v>
      </c>
      <c r="B119">
        <f t="shared" si="11"/>
        <v>2020</v>
      </c>
      <c r="C119">
        <f t="shared" si="12"/>
        <v>9</v>
      </c>
      <c r="D119" s="151">
        <f>Data!D118</f>
        <v>27206302.631325286</v>
      </c>
      <c r="E119" s="151">
        <f>Data!E118</f>
        <v>1392643.6565677822</v>
      </c>
      <c r="F119" s="151">
        <f>Data!F118</f>
        <v>28598946.287893068</v>
      </c>
      <c r="G119" s="129">
        <f>Data!AP118</f>
        <v>35.6</v>
      </c>
      <c r="H119" s="129">
        <f>Data!AQ118</f>
        <v>59.8</v>
      </c>
      <c r="I119" s="146">
        <f t="shared" ca="1" si="19"/>
        <v>26.567368421052606</v>
      </c>
      <c r="J119" s="146">
        <f t="shared" ca="1" si="19"/>
        <v>77.107368421052627</v>
      </c>
      <c r="K119" s="32">
        <f>Data!BG118</f>
        <v>30</v>
      </c>
      <c r="L119" s="32">
        <f>Data!BX118</f>
        <v>1</v>
      </c>
      <c r="M119" s="32">
        <f>Data!BR118</f>
        <v>1</v>
      </c>
      <c r="N119" s="41">
        <f>Data!AA118</f>
        <v>37918</v>
      </c>
      <c r="O119" s="255">
        <f>Data!CG118</f>
        <v>35.6</v>
      </c>
      <c r="P119" s="78">
        <f>Data!CH118</f>
        <v>59.8</v>
      </c>
      <c r="Q119" s="32">
        <f t="shared" ca="1" si="16"/>
        <v>29436166.62229903</v>
      </c>
      <c r="R119" s="145">
        <f t="shared" ca="1" si="13"/>
        <v>28043522.965731248</v>
      </c>
      <c r="S119" s="32">
        <f t="shared" ca="1" si="14"/>
        <v>837220.33440596238</v>
      </c>
      <c r="T119" s="50">
        <f t="shared" ca="1" si="15"/>
        <v>2.9274516829327624E-2</v>
      </c>
    </row>
    <row r="120" spans="1:20" x14ac:dyDescent="0.2">
      <c r="A120" s="2">
        <v>44105</v>
      </c>
      <c r="B120">
        <f t="shared" si="11"/>
        <v>2020</v>
      </c>
      <c r="C120">
        <f t="shared" si="12"/>
        <v>10</v>
      </c>
      <c r="D120" s="151">
        <f>Data!D119</f>
        <v>24001107.065060236</v>
      </c>
      <c r="E120" s="151">
        <f>Data!E119</f>
        <v>1392643.6565677822</v>
      </c>
      <c r="F120" s="151">
        <f>Data!F119</f>
        <v>25393750.721628018</v>
      </c>
      <c r="G120" s="129">
        <f>Data!AP119</f>
        <v>208.8</v>
      </c>
      <c r="H120" s="129">
        <f>Data!AQ119</f>
        <v>0.5</v>
      </c>
      <c r="I120" s="146">
        <f t="shared" ca="1" si="19"/>
        <v>154.52315789473778</v>
      </c>
      <c r="J120" s="146">
        <f t="shared" ca="1" si="19"/>
        <v>10.628421052631595</v>
      </c>
      <c r="K120" s="32">
        <f>Data!BG119</f>
        <v>31</v>
      </c>
      <c r="L120" s="32">
        <f>Data!BX119</f>
        <v>1</v>
      </c>
      <c r="M120" s="32">
        <f>Data!BR119</f>
        <v>0</v>
      </c>
      <c r="N120" s="41">
        <f>Data!AA119</f>
        <v>37985</v>
      </c>
      <c r="O120" s="255">
        <f>Data!CG119</f>
        <v>208.8</v>
      </c>
      <c r="P120" s="78">
        <f>Data!CH119</f>
        <v>0.5</v>
      </c>
      <c r="Q120" s="32">
        <f t="shared" ca="1" si="16"/>
        <v>25455754.467589453</v>
      </c>
      <c r="R120" s="145">
        <f t="shared" ca="1" si="13"/>
        <v>24063110.811021671</v>
      </c>
      <c r="S120" s="32">
        <f t="shared" ca="1" si="14"/>
        <v>62003.745961435139</v>
      </c>
      <c r="T120" s="50">
        <f t="shared" ca="1" si="15"/>
        <v>2.4416931016270141E-3</v>
      </c>
    </row>
    <row r="121" spans="1:20" x14ac:dyDescent="0.2">
      <c r="A121" s="2">
        <v>44136</v>
      </c>
      <c r="B121">
        <f t="shared" si="11"/>
        <v>2020</v>
      </c>
      <c r="C121">
        <f t="shared" si="12"/>
        <v>11</v>
      </c>
      <c r="D121" s="151">
        <f>Data!D120</f>
        <v>21906254.004819274</v>
      </c>
      <c r="E121" s="151">
        <f>Data!E120</f>
        <v>1392643.6565677822</v>
      </c>
      <c r="F121" s="151">
        <f>Data!F120</f>
        <v>23298897.661387056</v>
      </c>
      <c r="G121" s="129">
        <f>Data!AP120</f>
        <v>274.89999999999998</v>
      </c>
      <c r="H121" s="129">
        <f>Data!AQ120</f>
        <v>0.10000000000000142</v>
      </c>
      <c r="I121" s="146">
        <f t="shared" ca="1" si="19"/>
        <v>363.9931578947369</v>
      </c>
      <c r="J121" s="146">
        <f t="shared" ca="1" si="19"/>
        <v>1.8421052631579116E-2</v>
      </c>
      <c r="K121" s="32">
        <f>Data!BG120</f>
        <v>30</v>
      </c>
      <c r="L121" s="32">
        <f>Data!BX120</f>
        <v>1</v>
      </c>
      <c r="M121" s="32">
        <f>Data!BR120</f>
        <v>0</v>
      </c>
      <c r="N121" s="41">
        <f>Data!AA120</f>
        <v>38048</v>
      </c>
      <c r="O121" s="255">
        <f>Data!CG120</f>
        <v>274.89999999999998</v>
      </c>
      <c r="P121" s="78">
        <f>Data!CH120</f>
        <v>0.10000000000000142</v>
      </c>
      <c r="Q121" s="32">
        <f t="shared" ca="1" si="16"/>
        <v>24072825.620897699</v>
      </c>
      <c r="R121" s="145">
        <f t="shared" ca="1" si="13"/>
        <v>22680181.964329917</v>
      </c>
      <c r="S121" s="32">
        <f t="shared" ca="1" si="14"/>
        <v>773927.95951064304</v>
      </c>
      <c r="T121" s="50">
        <f t="shared" ca="1" si="15"/>
        <v>3.321736378941495E-2</v>
      </c>
    </row>
    <row r="122" spans="1:20" x14ac:dyDescent="0.2">
      <c r="A122" s="2">
        <v>44166</v>
      </c>
      <c r="B122">
        <f t="shared" si="11"/>
        <v>2020</v>
      </c>
      <c r="C122">
        <f t="shared" si="12"/>
        <v>12</v>
      </c>
      <c r="D122" s="151">
        <f>Data!D121</f>
        <v>28015587.036144584</v>
      </c>
      <c r="E122" s="151">
        <f>Data!E121</f>
        <v>1392643.6565677822</v>
      </c>
      <c r="F122" s="151">
        <f>Data!F121</f>
        <v>29408230.692712367</v>
      </c>
      <c r="G122" s="129">
        <f>Data!AP121</f>
        <v>505.3</v>
      </c>
      <c r="H122" s="129">
        <f>Data!AQ121</f>
        <v>0</v>
      </c>
      <c r="I122" s="146">
        <f t="shared" ca="1" si="19"/>
        <v>499.7842105263162</v>
      </c>
      <c r="J122" s="146">
        <f t="shared" ca="1" si="19"/>
        <v>0</v>
      </c>
      <c r="K122" s="32">
        <f>Data!BG121</f>
        <v>31</v>
      </c>
      <c r="L122" s="32">
        <f>Data!BX121</f>
        <v>0</v>
      </c>
      <c r="M122" s="32">
        <f>Data!BR121</f>
        <v>0</v>
      </c>
      <c r="N122" s="41">
        <f>Data!AA121</f>
        <v>38063</v>
      </c>
      <c r="O122" s="255">
        <f>Data!CG121</f>
        <v>505.3</v>
      </c>
      <c r="P122" s="78">
        <f>Data!CH121</f>
        <v>0</v>
      </c>
      <c r="Q122" s="32">
        <f t="shared" ca="1" si="16"/>
        <v>29360049.194279816</v>
      </c>
      <c r="R122" s="145">
        <f t="shared" ca="1" si="13"/>
        <v>27967405.537712034</v>
      </c>
      <c r="S122" s="32">
        <f t="shared" ca="1" si="14"/>
        <v>-48181.498432550579</v>
      </c>
      <c r="T122" s="50">
        <f t="shared" ca="1" si="15"/>
        <v>1.6383678071625848E-3</v>
      </c>
    </row>
    <row r="123" spans="1:20" x14ac:dyDescent="0.2">
      <c r="A123" s="2">
        <v>44197</v>
      </c>
      <c r="B123">
        <f t="shared" si="11"/>
        <v>2021</v>
      </c>
      <c r="C123">
        <f t="shared" si="12"/>
        <v>1</v>
      </c>
      <c r="D123" s="151">
        <f>Data!D122</f>
        <v>32091025.21445784</v>
      </c>
      <c r="E123" s="151">
        <f>Data!E122</f>
        <v>1386307.1922259934</v>
      </c>
      <c r="F123" s="151">
        <f>Data!F122</f>
        <v>33477332.406683832</v>
      </c>
      <c r="G123" s="129">
        <f>Data!AP122</f>
        <v>577.99999999999989</v>
      </c>
      <c r="H123" s="129">
        <f>Data!AQ122</f>
        <v>0</v>
      </c>
      <c r="I123" s="146">
        <f t="shared" ca="1" si="19"/>
        <v>619.82052631578927</v>
      </c>
      <c r="J123" s="146">
        <f t="shared" ca="1" si="19"/>
        <v>0</v>
      </c>
      <c r="K123" s="32">
        <f>Data!BG122</f>
        <v>31</v>
      </c>
      <c r="L123" s="32">
        <f>Data!BX122</f>
        <v>0</v>
      </c>
      <c r="M123" s="32">
        <f>Data!BR122</f>
        <v>0</v>
      </c>
      <c r="N123" s="41">
        <f>Data!AA122</f>
        <v>38101</v>
      </c>
      <c r="O123" s="255">
        <f>Data!CG122</f>
        <v>577.99999999999989</v>
      </c>
      <c r="P123" s="78">
        <f>Data!CH122</f>
        <v>0</v>
      </c>
      <c r="Q123" s="32">
        <f t="shared" ca="1" si="16"/>
        <v>33842642.872709818</v>
      </c>
      <c r="R123" s="145">
        <f t="shared" ca="1" si="13"/>
        <v>32456335.680483826</v>
      </c>
      <c r="S123" s="32">
        <f t="shared" ca="1" si="14"/>
        <v>365310.46602598578</v>
      </c>
      <c r="T123" s="50">
        <f t="shared" ca="1" si="15"/>
        <v>1.0912173693775274E-2</v>
      </c>
    </row>
    <row r="124" spans="1:20" x14ac:dyDescent="0.2">
      <c r="A124" s="2">
        <v>44228</v>
      </c>
      <c r="B124">
        <f t="shared" si="11"/>
        <v>2021</v>
      </c>
      <c r="C124">
        <f t="shared" si="12"/>
        <v>2</v>
      </c>
      <c r="D124" s="151">
        <f>Data!D123</f>
        <v>30522858.187951799</v>
      </c>
      <c r="E124" s="151">
        <f>Data!E123</f>
        <v>1386307.1922259934</v>
      </c>
      <c r="F124" s="151">
        <f>Data!F123</f>
        <v>31909165.380177792</v>
      </c>
      <c r="G124" s="129">
        <f>Data!AP123</f>
        <v>597.70000000000005</v>
      </c>
      <c r="H124" s="129">
        <f>Data!AQ123</f>
        <v>0</v>
      </c>
      <c r="I124" s="146">
        <f t="shared" ca="1" si="19"/>
        <v>570.53578947368419</v>
      </c>
      <c r="J124" s="146">
        <f t="shared" ca="1" si="19"/>
        <v>0</v>
      </c>
      <c r="K124" s="32">
        <f>Data!BG123</f>
        <v>28</v>
      </c>
      <c r="L124" s="32">
        <f>Data!BX123</f>
        <v>0</v>
      </c>
      <c r="M124" s="32">
        <f>Data!BR123</f>
        <v>0</v>
      </c>
      <c r="N124" s="41">
        <f>Data!AA123</f>
        <v>38138</v>
      </c>
      <c r="O124" s="255">
        <f>Data!CG123</f>
        <v>597.70000000000005</v>
      </c>
      <c r="P124" s="78">
        <f>Data!CH123</f>
        <v>0</v>
      </c>
      <c r="Q124" s="32">
        <f t="shared" ca="1" si="16"/>
        <v>31671880.695339911</v>
      </c>
      <c r="R124" s="145">
        <f t="shared" ca="1" si="13"/>
        <v>30285573.503113918</v>
      </c>
      <c r="S124" s="32">
        <f t="shared" ca="1" si="14"/>
        <v>-237284.68483788148</v>
      </c>
      <c r="T124" s="50">
        <f t="shared" ca="1" si="15"/>
        <v>7.4362548192903992E-3</v>
      </c>
    </row>
    <row r="125" spans="1:20" x14ac:dyDescent="0.2">
      <c r="A125" s="2">
        <v>44256</v>
      </c>
      <c r="B125">
        <f t="shared" si="11"/>
        <v>2021</v>
      </c>
      <c r="C125">
        <f t="shared" si="12"/>
        <v>3</v>
      </c>
      <c r="D125" s="151">
        <f>Data!D124</f>
        <v>26534307.575903594</v>
      </c>
      <c r="E125" s="151">
        <f>Data!E124</f>
        <v>1386307.1922259934</v>
      </c>
      <c r="F125" s="151">
        <f>Data!F124</f>
        <v>27920614.768129587</v>
      </c>
      <c r="G125" s="129">
        <f>Data!AP124</f>
        <v>398.70000000000005</v>
      </c>
      <c r="H125" s="129">
        <f>Data!AQ124</f>
        <v>0</v>
      </c>
      <c r="I125" s="146">
        <f t="shared" ca="1" si="19"/>
        <v>461.49315789473712</v>
      </c>
      <c r="J125" s="146">
        <f t="shared" ca="1" si="19"/>
        <v>0.17368421052631611</v>
      </c>
      <c r="K125" s="32">
        <f>Data!BG124</f>
        <v>31</v>
      </c>
      <c r="L125" s="32">
        <f>Data!BX124</f>
        <v>1</v>
      </c>
      <c r="M125" s="32">
        <f>Data!BR124</f>
        <v>0</v>
      </c>
      <c r="N125" s="41">
        <f>Data!AA124</f>
        <v>38255</v>
      </c>
      <c r="O125" s="255">
        <f>Data!CG124</f>
        <v>398.70000000000005</v>
      </c>
      <c r="P125" s="78">
        <f>Data!CH124</f>
        <v>0</v>
      </c>
      <c r="Q125" s="32">
        <f t="shared" ca="1" si="16"/>
        <v>28478318.805543423</v>
      </c>
      <c r="R125" s="145">
        <f t="shared" ca="1" si="13"/>
        <v>27092011.61331743</v>
      </c>
      <c r="S125" s="32">
        <f t="shared" ca="1" si="14"/>
        <v>557704.03741383553</v>
      </c>
      <c r="T125" s="50">
        <f t="shared" ca="1" si="15"/>
        <v>1.9974633153509044E-2</v>
      </c>
    </row>
    <row r="126" spans="1:20" x14ac:dyDescent="0.2">
      <c r="A126" s="2">
        <v>44287</v>
      </c>
      <c r="B126">
        <f t="shared" si="11"/>
        <v>2021</v>
      </c>
      <c r="C126">
        <f t="shared" si="12"/>
        <v>4</v>
      </c>
      <c r="D126" s="151">
        <f>Data!D125</f>
        <v>24380831.836144578</v>
      </c>
      <c r="E126" s="151">
        <f>Data!E125</f>
        <v>1386307.1922259934</v>
      </c>
      <c r="F126" s="151">
        <f>Data!F125</f>
        <v>25767139.02837057</v>
      </c>
      <c r="G126" s="129">
        <f>Data!AP125</f>
        <v>242.4</v>
      </c>
      <c r="H126" s="129">
        <f>Data!AQ125</f>
        <v>0</v>
      </c>
      <c r="I126" s="146">
        <f t="shared" ca="1" si="19"/>
        <v>285.02368421052643</v>
      </c>
      <c r="J126" s="146">
        <f t="shared" ca="1" si="19"/>
        <v>0</v>
      </c>
      <c r="K126" s="32">
        <f t="shared" ref="K126:L141" si="20">K78</f>
        <v>30</v>
      </c>
      <c r="L126" s="32">
        <f>Data!BX125</f>
        <v>1</v>
      </c>
      <c r="M126" s="32">
        <f>Data!BR125</f>
        <v>0</v>
      </c>
      <c r="N126" s="41">
        <f>Data!AA125</f>
        <v>38336</v>
      </c>
      <c r="O126" s="255">
        <f>Data!CG125</f>
        <v>242.4</v>
      </c>
      <c r="P126" s="78">
        <f>Data!CH125</f>
        <v>0</v>
      </c>
      <c r="Q126" s="32">
        <f t="shared" ca="1" si="16"/>
        <v>26139465.23548511</v>
      </c>
      <c r="R126" s="145">
        <f t="shared" ca="1" si="13"/>
        <v>24753158.043259118</v>
      </c>
      <c r="S126" s="32">
        <f t="shared" ca="1" si="14"/>
        <v>372326.20711454004</v>
      </c>
      <c r="T126" s="50">
        <f t="shared" ca="1" si="15"/>
        <v>1.4449652586753816E-2</v>
      </c>
    </row>
    <row r="127" spans="1:20" x14ac:dyDescent="0.2">
      <c r="A127" s="2">
        <v>44317</v>
      </c>
      <c r="B127">
        <f t="shared" si="11"/>
        <v>2021</v>
      </c>
      <c r="C127">
        <f t="shared" si="12"/>
        <v>5</v>
      </c>
      <c r="D127" s="151">
        <f>Data!D126</f>
        <v>26420547.893975921</v>
      </c>
      <c r="E127" s="151">
        <f>Data!E126</f>
        <v>1386307.1922259934</v>
      </c>
      <c r="F127" s="151">
        <f>Data!F126</f>
        <v>27806855.086201914</v>
      </c>
      <c r="G127" s="129">
        <f>Data!AP126</f>
        <v>118.79999999999998</v>
      </c>
      <c r="H127" s="129">
        <f>Data!AQ126</f>
        <v>44.499999999999986</v>
      </c>
      <c r="I127" s="146">
        <f t="shared" ca="1" si="19"/>
        <v>92.127894736842109</v>
      </c>
      <c r="J127" s="146">
        <f t="shared" ca="1" si="19"/>
        <v>50.712631578947821</v>
      </c>
      <c r="K127" s="32">
        <f t="shared" si="20"/>
        <v>31</v>
      </c>
      <c r="L127" s="32">
        <f>Data!BX126</f>
        <v>1</v>
      </c>
      <c r="M127" s="32">
        <f>Data!BR126</f>
        <v>0</v>
      </c>
      <c r="N127" s="41">
        <f>Data!AA126</f>
        <v>38428</v>
      </c>
      <c r="O127" s="255">
        <f>Data!CG126</f>
        <v>118.79999999999998</v>
      </c>
      <c r="P127" s="78">
        <f>Data!CH126</f>
        <v>44.499999999999986</v>
      </c>
      <c r="Q127" s="32">
        <f t="shared" ca="1" si="16"/>
        <v>27902719.106541604</v>
      </c>
      <c r="R127" s="145">
        <f t="shared" ca="1" si="13"/>
        <v>26516411.914315611</v>
      </c>
      <c r="S127" s="32">
        <f t="shared" ca="1" si="14"/>
        <v>95864.020339690149</v>
      </c>
      <c r="T127" s="50">
        <f t="shared" ca="1" si="15"/>
        <v>3.4474959517179992E-3</v>
      </c>
    </row>
    <row r="128" spans="1:20" x14ac:dyDescent="0.2">
      <c r="A128" s="2">
        <v>44348</v>
      </c>
      <c r="B128">
        <f t="shared" si="11"/>
        <v>2021</v>
      </c>
      <c r="C128">
        <f t="shared" si="12"/>
        <v>6</v>
      </c>
      <c r="D128" s="151">
        <f>Data!D127</f>
        <v>35429511.624096349</v>
      </c>
      <c r="E128" s="151">
        <f>Data!E127</f>
        <v>1386307.1922259934</v>
      </c>
      <c r="F128" s="151">
        <f>Data!F127</f>
        <v>36815818.816322342</v>
      </c>
      <c r="G128" s="129">
        <f>Data!AP127</f>
        <v>1.1999999999999993</v>
      </c>
      <c r="H128" s="129">
        <f>Data!AQ127</f>
        <v>176.20000000000005</v>
      </c>
      <c r="I128" s="146">
        <f t="shared" ca="1" si="19"/>
        <v>6.5805263157894842</v>
      </c>
      <c r="J128" s="146">
        <f t="shared" ca="1" si="19"/>
        <v>122.87210526315789</v>
      </c>
      <c r="K128" s="32">
        <f>Data!BG127</f>
        <v>30</v>
      </c>
      <c r="L128" s="32">
        <f>Data!BX127</f>
        <v>0</v>
      </c>
      <c r="M128" s="32">
        <f>Data!BR127</f>
        <v>0</v>
      </c>
      <c r="N128" s="41">
        <f>Data!AA127</f>
        <v>38487</v>
      </c>
      <c r="O128" s="255">
        <f>Data!CG127</f>
        <v>1.1999999999999993</v>
      </c>
      <c r="P128" s="78">
        <f>Data!CH127</f>
        <v>176.20000000000005</v>
      </c>
      <c r="Q128" s="32">
        <f t="shared" ca="1" si="16"/>
        <v>34040040.418299519</v>
      </c>
      <c r="R128" s="145">
        <f t="shared" ca="1" si="13"/>
        <v>32653733.226073526</v>
      </c>
      <c r="S128" s="32">
        <f t="shared" ca="1" si="14"/>
        <v>-2775778.398022823</v>
      </c>
      <c r="T128" s="50">
        <f t="shared" ca="1" si="15"/>
        <v>7.5396351005296069E-2</v>
      </c>
    </row>
    <row r="129" spans="1:23" x14ac:dyDescent="0.2">
      <c r="A129" s="2">
        <v>44378</v>
      </c>
      <c r="B129">
        <f t="shared" si="11"/>
        <v>2021</v>
      </c>
      <c r="C129">
        <f t="shared" si="12"/>
        <v>7</v>
      </c>
      <c r="D129" s="151">
        <f>Data!D128</f>
        <v>37354488.337349385</v>
      </c>
      <c r="E129" s="151">
        <f>Data!E128</f>
        <v>1386307.1922259934</v>
      </c>
      <c r="F129" s="151">
        <f>Data!F128</f>
        <v>38740795.529575378</v>
      </c>
      <c r="G129" s="129">
        <f>Data!AP128</f>
        <v>0</v>
      </c>
      <c r="H129" s="129">
        <f>Data!AQ128</f>
        <v>166.3</v>
      </c>
      <c r="I129" s="146">
        <f t="shared" ca="1" si="19"/>
        <v>0</v>
      </c>
      <c r="J129" s="146">
        <f t="shared" ca="1" si="19"/>
        <v>211.7568421052631</v>
      </c>
      <c r="K129" s="32">
        <f>Data!BG128</f>
        <v>31</v>
      </c>
      <c r="L129" s="32">
        <f>Data!BX128</f>
        <v>0</v>
      </c>
      <c r="M129" s="32">
        <f>Data!BR128</f>
        <v>0</v>
      </c>
      <c r="N129" s="41">
        <f>Data!AA128</f>
        <v>38553</v>
      </c>
      <c r="O129" s="255">
        <f>Data!CG128</f>
        <v>0</v>
      </c>
      <c r="P129" s="78">
        <f>Data!CH128</f>
        <v>166.3</v>
      </c>
      <c r="Q129" s="32">
        <f t="shared" ca="1" si="16"/>
        <v>41146939.447714545</v>
      </c>
      <c r="R129" s="145">
        <f t="shared" ca="1" si="13"/>
        <v>39760632.255488552</v>
      </c>
      <c r="S129" s="32">
        <f t="shared" ca="1" si="14"/>
        <v>2406143.9181391671</v>
      </c>
      <c r="T129" s="50">
        <f t="shared" ca="1" si="15"/>
        <v>6.2108789591124328E-2</v>
      </c>
    </row>
    <row r="130" spans="1:23" x14ac:dyDescent="0.2">
      <c r="A130" s="2">
        <v>44409</v>
      </c>
      <c r="B130">
        <f t="shared" si="11"/>
        <v>2021</v>
      </c>
      <c r="C130">
        <f t="shared" si="12"/>
        <v>8</v>
      </c>
      <c r="D130" s="151">
        <f>Data!D129</f>
        <v>40364094.120481901</v>
      </c>
      <c r="E130" s="151">
        <f>Data!E129</f>
        <v>1386307.1922259934</v>
      </c>
      <c r="F130" s="151">
        <f>Data!F129</f>
        <v>41750401.312707894</v>
      </c>
      <c r="G130" s="129">
        <f>Data!AP129</f>
        <v>0</v>
      </c>
      <c r="H130" s="129">
        <f>Data!AQ129</f>
        <v>241.4</v>
      </c>
      <c r="I130" s="146">
        <f t="shared" ca="1" si="19"/>
        <v>0.34105263157894772</v>
      </c>
      <c r="J130" s="146">
        <f t="shared" ca="1" si="19"/>
        <v>191.39947368421053</v>
      </c>
      <c r="K130" s="32">
        <f>Data!BG129</f>
        <v>31</v>
      </c>
      <c r="L130" s="32">
        <f>Data!BX129</f>
        <v>0</v>
      </c>
      <c r="M130" s="32">
        <f>Data!BR129</f>
        <v>0</v>
      </c>
      <c r="N130" s="41">
        <f>Data!AA129</f>
        <v>38570</v>
      </c>
      <c r="O130" s="255">
        <f>Data!CG129</f>
        <v>0</v>
      </c>
      <c r="P130" s="78">
        <f>Data!CH129</f>
        <v>241.4</v>
      </c>
      <c r="Q130" s="32">
        <f t="shared" ca="1" si="16"/>
        <v>39106728.029091693</v>
      </c>
      <c r="R130" s="145">
        <f t="shared" ca="1" si="13"/>
        <v>37720420.836865701</v>
      </c>
      <c r="S130" s="32">
        <f t="shared" ca="1" si="14"/>
        <v>-2643673.2836162001</v>
      </c>
      <c r="T130" s="50">
        <f t="shared" ca="1" si="15"/>
        <v>6.332090711692212E-2</v>
      </c>
    </row>
    <row r="131" spans="1:23" x14ac:dyDescent="0.2">
      <c r="A131" s="2">
        <v>44440</v>
      </c>
      <c r="B131">
        <f t="shared" si="11"/>
        <v>2021</v>
      </c>
      <c r="C131">
        <f t="shared" si="12"/>
        <v>9</v>
      </c>
      <c r="D131" s="151">
        <f>Data!D130</f>
        <v>30965429.060240969</v>
      </c>
      <c r="E131" s="151">
        <f>Data!E130</f>
        <v>1386307.1922259934</v>
      </c>
      <c r="F131" s="151">
        <f>Data!F130</f>
        <v>32351736.252466962</v>
      </c>
      <c r="G131" s="129">
        <f>Data!AP130</f>
        <v>14.3</v>
      </c>
      <c r="H131" s="129">
        <f>Data!AQ130</f>
        <v>63.599999999999994</v>
      </c>
      <c r="I131" s="146">
        <f t="shared" ref="I131:J134" ca="1" si="21">I143</f>
        <v>26.567368421052606</v>
      </c>
      <c r="J131" s="146">
        <f t="shared" ca="1" si="21"/>
        <v>77.107368421052627</v>
      </c>
      <c r="K131" s="32">
        <f>Data!BG130</f>
        <v>30</v>
      </c>
      <c r="L131" s="32">
        <f>Data!BX130</f>
        <v>1</v>
      </c>
      <c r="M131" s="32">
        <f>Data!BR130</f>
        <v>1</v>
      </c>
      <c r="N131" s="41">
        <f>Data!AA130</f>
        <v>38649</v>
      </c>
      <c r="O131" s="255">
        <f>Data!CG130</f>
        <v>14.3</v>
      </c>
      <c r="P131" s="78">
        <f>Data!CH130</f>
        <v>63.599999999999994</v>
      </c>
      <c r="Q131" s="32">
        <f t="shared" ca="1" si="16"/>
        <v>33173872.778809618</v>
      </c>
      <c r="R131" s="145">
        <f t="shared" ca="1" si="13"/>
        <v>31787565.586583626</v>
      </c>
      <c r="S131" s="32">
        <f t="shared" ca="1" si="14"/>
        <v>822136.52634265646</v>
      </c>
      <c r="T131" s="50">
        <f t="shared" ca="1" si="15"/>
        <v>2.5412439070560393E-2</v>
      </c>
    </row>
    <row r="132" spans="1:23" x14ac:dyDescent="0.2">
      <c r="A132" s="2">
        <v>44470</v>
      </c>
      <c r="B132">
        <f t="shared" ref="B132:B158" si="22">YEAR(A132)</f>
        <v>2021</v>
      </c>
      <c r="C132">
        <f t="shared" ref="C132:C158" si="23">MONTH(A132)</f>
        <v>10</v>
      </c>
      <c r="D132" s="151">
        <f>Data!D131</f>
        <v>24701351.469879605</v>
      </c>
      <c r="E132" s="151">
        <f>Data!E131</f>
        <v>1386307.1922259934</v>
      </c>
      <c r="F132" s="151">
        <f>Data!F131</f>
        <v>26087658.662105598</v>
      </c>
      <c r="G132" s="129">
        <f>Data!AP131</f>
        <v>102.60000000000001</v>
      </c>
      <c r="H132" s="129">
        <f>Data!AQ131</f>
        <v>24.999999999999993</v>
      </c>
      <c r="I132" s="146">
        <f t="shared" ca="1" si="21"/>
        <v>154.52315789473778</v>
      </c>
      <c r="J132" s="146">
        <f t="shared" ca="1" si="21"/>
        <v>10.628421052631595</v>
      </c>
      <c r="K132" s="32">
        <f>Data!BG131</f>
        <v>31</v>
      </c>
      <c r="L132" s="32">
        <f>Data!BX131</f>
        <v>1</v>
      </c>
      <c r="M132" s="32">
        <f>Data!BR131</f>
        <v>0</v>
      </c>
      <c r="N132" s="41">
        <f>Data!AA131</f>
        <v>38774</v>
      </c>
      <c r="O132" s="255">
        <f>Data!CG131</f>
        <v>102.60000000000001</v>
      </c>
      <c r="P132" s="78">
        <f>Data!CH131</f>
        <v>24.999999999999993</v>
      </c>
      <c r="Q132" s="32">
        <f t="shared" ca="1" si="16"/>
        <v>25780494.104718566</v>
      </c>
      <c r="R132" s="145">
        <f t="shared" ref="R132:R158" ca="1" si="24">Q132-E132</f>
        <v>24394186.912492573</v>
      </c>
      <c r="S132" s="32">
        <f t="shared" ref="S132:S158" ca="1" si="25">+Q132-F132</f>
        <v>-307164.55738703161</v>
      </c>
      <c r="T132" s="50">
        <f t="shared" ref="T132:T134" ca="1" si="26">ABS(S132/F132)</f>
        <v>1.1774324456077486E-2</v>
      </c>
    </row>
    <row r="133" spans="1:23" x14ac:dyDescent="0.2">
      <c r="A133" s="2">
        <v>44501</v>
      </c>
      <c r="B133">
        <f t="shared" si="22"/>
        <v>2021</v>
      </c>
      <c r="C133">
        <f t="shared" si="23"/>
        <v>11</v>
      </c>
      <c r="D133" s="151">
        <f>Data!D132</f>
        <v>23015449.214457814</v>
      </c>
      <c r="E133" s="151">
        <f>Data!E132</f>
        <v>1386307.1922259934</v>
      </c>
      <c r="F133" s="151">
        <f>Data!F132</f>
        <v>24401756.406683806</v>
      </c>
      <c r="G133" s="129">
        <f>Data!AP132</f>
        <v>353.7</v>
      </c>
      <c r="H133" s="129">
        <f>Data!AQ132</f>
        <v>0</v>
      </c>
      <c r="I133" s="146">
        <f t="shared" ca="1" si="21"/>
        <v>363.9931578947369</v>
      </c>
      <c r="J133" s="146">
        <f t="shared" ca="1" si="21"/>
        <v>1.8421052631579116E-2</v>
      </c>
      <c r="K133" s="32">
        <f t="shared" ref="K133:K134" si="27">K85</f>
        <v>30</v>
      </c>
      <c r="L133" s="32">
        <f>Data!BX132</f>
        <v>1</v>
      </c>
      <c r="M133" s="32">
        <f>Data!BR132</f>
        <v>0</v>
      </c>
      <c r="N133" s="41">
        <f>Data!AA132</f>
        <v>38781</v>
      </c>
      <c r="O133" s="255">
        <f>Data!CG132</f>
        <v>353.7</v>
      </c>
      <c r="P133" s="78">
        <f>Data!CH132</f>
        <v>0</v>
      </c>
      <c r="Q133" s="32">
        <f t="shared" ca="1" si="16"/>
        <v>24492644.223636776</v>
      </c>
      <c r="R133" s="145">
        <f t="shared" ca="1" si="24"/>
        <v>23106337.031410784</v>
      </c>
      <c r="S133" s="32">
        <f t="shared" ca="1" si="25"/>
        <v>90887.816952969879</v>
      </c>
      <c r="T133" s="50">
        <f t="shared" ca="1" si="26"/>
        <v>3.7246424166448564E-3</v>
      </c>
    </row>
    <row r="134" spans="1:23" x14ac:dyDescent="0.2">
      <c r="A134" s="2">
        <v>44531</v>
      </c>
      <c r="B134">
        <f t="shared" si="22"/>
        <v>2021</v>
      </c>
      <c r="C134">
        <f t="shared" si="23"/>
        <v>12</v>
      </c>
      <c r="D134" s="151">
        <f>Data!D133</f>
        <v>28628265.918072276</v>
      </c>
      <c r="E134" s="151">
        <f>Data!E133</f>
        <v>1386307.1922259934</v>
      </c>
      <c r="F134" s="151">
        <f>Data!F133</f>
        <v>30014573.110298268</v>
      </c>
      <c r="G134" s="129">
        <f>Data!AP133</f>
        <v>443.4</v>
      </c>
      <c r="H134" s="129">
        <f>Data!AQ133</f>
        <v>0</v>
      </c>
      <c r="I134" s="146">
        <f t="shared" ca="1" si="21"/>
        <v>499.7842105263162</v>
      </c>
      <c r="J134" s="146">
        <f t="shared" ca="1" si="21"/>
        <v>0</v>
      </c>
      <c r="K134" s="32">
        <f t="shared" si="27"/>
        <v>31</v>
      </c>
      <c r="L134" s="32">
        <f>Data!BX133</f>
        <v>0</v>
      </c>
      <c r="M134" s="32">
        <f>Data!BR133</f>
        <v>0</v>
      </c>
      <c r="N134" s="41">
        <f>Data!AA133</f>
        <v>38823</v>
      </c>
      <c r="O134" s="255">
        <f>Data!CG133</f>
        <v>443.4</v>
      </c>
      <c r="P134" s="78">
        <f>Data!CH133</f>
        <v>0</v>
      </c>
      <c r="Q134" s="32">
        <f t="shared" ref="Q134" ca="1" si="28">F134+(I134-G134)*$V$19+(J134-H134)*$V$20</f>
        <v>30507100.202576853</v>
      </c>
      <c r="R134" s="145">
        <f t="shared" ca="1" si="24"/>
        <v>29120793.010350861</v>
      </c>
      <c r="S134" s="32">
        <f t="shared" ca="1" si="25"/>
        <v>492527.09227858484</v>
      </c>
      <c r="T134" s="50">
        <f t="shared" ca="1" si="26"/>
        <v>1.6409598446349198E-2</v>
      </c>
      <c r="U134" s="28" t="s">
        <v>52</v>
      </c>
    </row>
    <row r="135" spans="1:23" x14ac:dyDescent="0.2">
      <c r="A135" s="2">
        <v>44562</v>
      </c>
      <c r="B135">
        <f t="shared" si="22"/>
        <v>2022</v>
      </c>
      <c r="C135">
        <f t="shared" si="23"/>
        <v>1</v>
      </c>
      <c r="D135" s="151"/>
      <c r="E135" s="151">
        <f>'Historic CDM'!M16/12</f>
        <v>1388122.4911311602</v>
      </c>
      <c r="F135" s="151"/>
      <c r="G135" s="146">
        <f ca="1">Weather!BU75</f>
        <v>619.82052631578927</v>
      </c>
      <c r="H135" s="146">
        <f ca="1">Weather!BV75</f>
        <v>0</v>
      </c>
      <c r="I135" s="146">
        <f ca="1">G135</f>
        <v>619.82052631578927</v>
      </c>
      <c r="J135" s="146">
        <f t="shared" ref="I135:J157" ca="1" si="29">H135</f>
        <v>0</v>
      </c>
      <c r="K135" s="32">
        <f t="shared" si="20"/>
        <v>31</v>
      </c>
      <c r="L135" s="32">
        <f t="shared" si="20"/>
        <v>0</v>
      </c>
      <c r="M135" s="32">
        <f>M123</f>
        <v>0</v>
      </c>
      <c r="N135" s="147">
        <f>'Rate Class Customer Model'!B60</f>
        <v>38885.5</v>
      </c>
      <c r="O135" s="156">
        <f ca="1">G135*U135</f>
        <v>464.86539473684195</v>
      </c>
      <c r="P135" s="201">
        <f ca="1">H135*U135</f>
        <v>0</v>
      </c>
      <c r="Q135" s="32">
        <f ca="1">$V$18+G135*$V$19+H135*$V$20+K135*$V$21+L135*$V$22+M135*$V$23+N135*$V$24+O135*$V$25+P135*$V$26</f>
        <v>32774214.680204961</v>
      </c>
      <c r="R135" s="145">
        <f t="shared" ca="1" si="24"/>
        <v>31386092.189073801</v>
      </c>
      <c r="S135" s="32">
        <f t="shared" ca="1" si="25"/>
        <v>32774214.680204961</v>
      </c>
      <c r="T135" s="50"/>
      <c r="U135" s="200">
        <f>Residential!S135</f>
        <v>0.75</v>
      </c>
    </row>
    <row r="136" spans="1:23" x14ac:dyDescent="0.2">
      <c r="A136" s="2">
        <v>44593</v>
      </c>
      <c r="B136">
        <f t="shared" si="22"/>
        <v>2022</v>
      </c>
      <c r="C136">
        <f t="shared" si="23"/>
        <v>2</v>
      </c>
      <c r="D136" s="151"/>
      <c r="E136" s="151">
        <f>E135</f>
        <v>1388122.4911311602</v>
      </c>
      <c r="F136" s="151"/>
      <c r="G136" s="146">
        <f ca="1">Weather!BU76</f>
        <v>570.53578947368419</v>
      </c>
      <c r="H136" s="146">
        <f ca="1">Weather!BV76</f>
        <v>0</v>
      </c>
      <c r="I136" s="146">
        <f t="shared" ca="1" si="29"/>
        <v>570.53578947368419</v>
      </c>
      <c r="J136" s="146">
        <f t="shared" ca="1" si="29"/>
        <v>0</v>
      </c>
      <c r="K136" s="32">
        <f t="shared" si="20"/>
        <v>28</v>
      </c>
      <c r="L136" s="32">
        <f t="shared" si="20"/>
        <v>0</v>
      </c>
      <c r="M136" s="32">
        <f t="shared" ref="M136:M158" si="30">M124</f>
        <v>0</v>
      </c>
      <c r="N136" s="147">
        <f>'Rate Class Customer Model'!B61</f>
        <v>38948</v>
      </c>
      <c r="O136" s="156">
        <f t="shared" ref="O136:O158" ca="1" si="31">G136*U136</f>
        <v>427.90184210526314</v>
      </c>
      <c r="P136" s="201">
        <f t="shared" ref="P136:P158" ca="1" si="32">H136*U136</f>
        <v>0</v>
      </c>
      <c r="Q136" s="32">
        <f t="shared" ref="Q136:Q157" ca="1" si="33">$V$18+G136*$V$19+H136*$V$20+K136*$V$21+L136*$V$22+M136*$V$23+N136*$V$24+O136*$V$25+P136*$V$26</f>
        <v>30147781.720364116</v>
      </c>
      <c r="R136" s="145">
        <f t="shared" ca="1" si="24"/>
        <v>28759659.229232956</v>
      </c>
      <c r="S136" s="32">
        <f t="shared" ca="1" si="25"/>
        <v>30147781.720364116</v>
      </c>
      <c r="T136" s="50"/>
      <c r="U136" s="200">
        <f>Residential!S136</f>
        <v>0.75</v>
      </c>
    </row>
    <row r="137" spans="1:23" x14ac:dyDescent="0.2">
      <c r="A137" s="2">
        <v>44621</v>
      </c>
      <c r="B137">
        <f t="shared" si="22"/>
        <v>2022</v>
      </c>
      <c r="C137">
        <f t="shared" si="23"/>
        <v>3</v>
      </c>
      <c r="D137" s="151"/>
      <c r="E137" s="151">
        <f t="shared" ref="E137:E146" si="34">E136</f>
        <v>1388122.4911311602</v>
      </c>
      <c r="F137" s="151"/>
      <c r="G137" s="146">
        <f ca="1">Weather!BU77</f>
        <v>461.49315789473712</v>
      </c>
      <c r="H137" s="146">
        <f ca="1">Weather!BV77</f>
        <v>0.17368421052631611</v>
      </c>
      <c r="I137" s="146">
        <f t="shared" ca="1" si="29"/>
        <v>461.49315789473712</v>
      </c>
      <c r="J137" s="146">
        <f t="shared" ca="1" si="29"/>
        <v>0.17368421052631611</v>
      </c>
      <c r="K137" s="32">
        <f t="shared" si="20"/>
        <v>31</v>
      </c>
      <c r="L137" s="32">
        <f t="shared" si="20"/>
        <v>1</v>
      </c>
      <c r="M137" s="32">
        <f t="shared" si="30"/>
        <v>0</v>
      </c>
      <c r="N137" s="147">
        <f>'Rate Class Customer Model'!B62</f>
        <v>39010.5</v>
      </c>
      <c r="O137" s="156">
        <f t="shared" ca="1" si="31"/>
        <v>346.11986842105284</v>
      </c>
      <c r="P137" s="201">
        <f t="shared" ca="1" si="32"/>
        <v>0.13026315789473708</v>
      </c>
      <c r="Q137" s="32">
        <f t="shared" ca="1" si="33"/>
        <v>28179497.683576301</v>
      </c>
      <c r="R137" s="145">
        <f t="shared" ca="1" si="24"/>
        <v>26791375.19244514</v>
      </c>
      <c r="S137" s="32">
        <f t="shared" ca="1" si="25"/>
        <v>28179497.683576301</v>
      </c>
      <c r="T137" s="50"/>
      <c r="U137" s="200">
        <f>Residential!S137</f>
        <v>0.75</v>
      </c>
    </row>
    <row r="138" spans="1:23" x14ac:dyDescent="0.2">
      <c r="A138" s="2">
        <v>44652</v>
      </c>
      <c r="B138">
        <f t="shared" si="22"/>
        <v>2022</v>
      </c>
      <c r="C138">
        <f t="shared" si="23"/>
        <v>4</v>
      </c>
      <c r="D138" s="151"/>
      <c r="E138" s="151">
        <f t="shared" si="34"/>
        <v>1388122.4911311602</v>
      </c>
      <c r="F138" s="151"/>
      <c r="G138" s="146">
        <f ca="1">Weather!BU78</f>
        <v>285.02368421052643</v>
      </c>
      <c r="H138" s="146">
        <f ca="1">Weather!BV78</f>
        <v>0</v>
      </c>
      <c r="I138" s="146">
        <f t="shared" ca="1" si="29"/>
        <v>285.02368421052643</v>
      </c>
      <c r="J138" s="146">
        <f t="shared" ca="1" si="29"/>
        <v>0</v>
      </c>
      <c r="K138" s="32">
        <f t="shared" si="20"/>
        <v>30</v>
      </c>
      <c r="L138" s="32">
        <f t="shared" si="20"/>
        <v>1</v>
      </c>
      <c r="M138" s="32">
        <f t="shared" si="30"/>
        <v>0</v>
      </c>
      <c r="N138" s="147">
        <f>'Rate Class Customer Model'!B63</f>
        <v>39073</v>
      </c>
      <c r="O138" s="156">
        <f t="shared" ca="1" si="31"/>
        <v>213.76776315789482</v>
      </c>
      <c r="P138" s="201">
        <f t="shared" ca="1" si="32"/>
        <v>0</v>
      </c>
      <c r="Q138" s="32">
        <f t="shared" ca="1" si="33"/>
        <v>25488070.14386832</v>
      </c>
      <c r="R138" s="145">
        <f t="shared" ca="1" si="24"/>
        <v>24099947.652737159</v>
      </c>
      <c r="S138" s="32">
        <f t="shared" ca="1" si="25"/>
        <v>25488070.14386832</v>
      </c>
      <c r="T138" s="50"/>
      <c r="U138" s="200">
        <f>Residential!S138</f>
        <v>0.75</v>
      </c>
    </row>
    <row r="139" spans="1:23" x14ac:dyDescent="0.2">
      <c r="A139" s="2">
        <v>44682</v>
      </c>
      <c r="B139">
        <f t="shared" si="22"/>
        <v>2022</v>
      </c>
      <c r="C139">
        <f t="shared" si="23"/>
        <v>5</v>
      </c>
      <c r="D139" s="151"/>
      <c r="E139" s="151">
        <f t="shared" si="34"/>
        <v>1388122.4911311602</v>
      </c>
      <c r="F139" s="151"/>
      <c r="G139" s="146">
        <f ca="1">Weather!BU79</f>
        <v>92.127894736842109</v>
      </c>
      <c r="H139" s="146">
        <f ca="1">Weather!BV79</f>
        <v>50.712631578947821</v>
      </c>
      <c r="I139" s="146">
        <f t="shared" ca="1" si="29"/>
        <v>92.127894736842109</v>
      </c>
      <c r="J139" s="146">
        <f t="shared" ca="1" si="29"/>
        <v>50.712631578947821</v>
      </c>
      <c r="K139" s="32">
        <f t="shared" si="20"/>
        <v>31</v>
      </c>
      <c r="L139" s="32">
        <f t="shared" si="20"/>
        <v>1</v>
      </c>
      <c r="M139" s="32">
        <f t="shared" si="30"/>
        <v>0</v>
      </c>
      <c r="N139" s="147">
        <f>'Rate Class Customer Model'!B64</f>
        <v>39135.5</v>
      </c>
      <c r="O139" s="156">
        <f t="shared" ca="1" si="31"/>
        <v>69.095921052631581</v>
      </c>
      <c r="P139" s="201">
        <f t="shared" ca="1" si="32"/>
        <v>38.034473684210866</v>
      </c>
      <c r="Q139" s="32">
        <f t="shared" ca="1" si="33"/>
        <v>27639571.683053225</v>
      </c>
      <c r="R139" s="145">
        <f t="shared" ca="1" si="24"/>
        <v>26251449.191922065</v>
      </c>
      <c r="S139" s="32">
        <f t="shared" ca="1" si="25"/>
        <v>27639571.683053225</v>
      </c>
      <c r="T139" s="50"/>
      <c r="U139" s="200">
        <f>Residential!S139</f>
        <v>0.75</v>
      </c>
    </row>
    <row r="140" spans="1:23" x14ac:dyDescent="0.2">
      <c r="A140" s="2">
        <v>44713</v>
      </c>
      <c r="B140">
        <f t="shared" si="22"/>
        <v>2022</v>
      </c>
      <c r="C140">
        <f t="shared" si="23"/>
        <v>6</v>
      </c>
      <c r="D140" s="151"/>
      <c r="E140" s="151">
        <f t="shared" si="34"/>
        <v>1388122.4911311602</v>
      </c>
      <c r="F140" s="151"/>
      <c r="G140" s="146">
        <f ca="1">Weather!BU80</f>
        <v>6.5805263157894842</v>
      </c>
      <c r="H140" s="146">
        <f ca="1">Weather!BV80</f>
        <v>122.87210526315789</v>
      </c>
      <c r="I140" s="146">
        <f t="shared" ca="1" si="29"/>
        <v>6.5805263157894842</v>
      </c>
      <c r="J140" s="146">
        <f t="shared" ca="1" si="29"/>
        <v>122.87210526315789</v>
      </c>
      <c r="K140" s="32">
        <f t="shared" si="20"/>
        <v>30</v>
      </c>
      <c r="L140" s="32">
        <f t="shared" si="20"/>
        <v>0</v>
      </c>
      <c r="M140" s="32">
        <f t="shared" si="30"/>
        <v>0</v>
      </c>
      <c r="N140" s="147">
        <f>'Rate Class Customer Model'!B65</f>
        <v>39198</v>
      </c>
      <c r="O140" s="156">
        <f t="shared" ca="1" si="31"/>
        <v>4.9353947368421132</v>
      </c>
      <c r="P140" s="201">
        <f t="shared" ca="1" si="32"/>
        <v>92.154078947368419</v>
      </c>
      <c r="Q140" s="32">
        <f t="shared" ca="1" si="33"/>
        <v>34019348.036700509</v>
      </c>
      <c r="R140" s="145">
        <f t="shared" ca="1" si="24"/>
        <v>32631225.545569349</v>
      </c>
      <c r="S140" s="32">
        <f t="shared" ca="1" si="25"/>
        <v>34019348.036700509</v>
      </c>
      <c r="T140" s="50"/>
      <c r="U140" s="200">
        <f>Residential!S140</f>
        <v>0.75</v>
      </c>
    </row>
    <row r="141" spans="1:23" x14ac:dyDescent="0.2">
      <c r="A141" s="2">
        <v>44743</v>
      </c>
      <c r="B141">
        <f t="shared" si="22"/>
        <v>2022</v>
      </c>
      <c r="C141">
        <f t="shared" si="23"/>
        <v>7</v>
      </c>
      <c r="D141" s="151"/>
      <c r="E141" s="151">
        <f t="shared" si="34"/>
        <v>1388122.4911311602</v>
      </c>
      <c r="F141" s="151"/>
      <c r="G141" s="146">
        <f ca="1">Weather!BU81</f>
        <v>0</v>
      </c>
      <c r="H141" s="146">
        <f ca="1">Weather!BV81</f>
        <v>211.7568421052631</v>
      </c>
      <c r="I141" s="146">
        <f t="shared" ca="1" si="29"/>
        <v>0</v>
      </c>
      <c r="J141" s="146">
        <f t="shared" ca="1" si="29"/>
        <v>211.7568421052631</v>
      </c>
      <c r="K141" s="32">
        <f t="shared" si="20"/>
        <v>31</v>
      </c>
      <c r="L141" s="32">
        <f t="shared" si="20"/>
        <v>0</v>
      </c>
      <c r="M141" s="32">
        <f t="shared" si="30"/>
        <v>0</v>
      </c>
      <c r="N141" s="147">
        <f>'Rate Class Customer Model'!B66</f>
        <v>39260.5</v>
      </c>
      <c r="O141" s="156">
        <f t="shared" ca="1" si="31"/>
        <v>0</v>
      </c>
      <c r="P141" s="201">
        <f t="shared" ca="1" si="32"/>
        <v>158.81763157894733</v>
      </c>
      <c r="Q141" s="32">
        <f t="shared" ca="1" si="33"/>
        <v>41022362.901857138</v>
      </c>
      <c r="R141" s="145">
        <f t="shared" ca="1" si="24"/>
        <v>39634240.410725981</v>
      </c>
      <c r="S141" s="32">
        <f t="shared" ca="1" si="25"/>
        <v>41022362.901857138</v>
      </c>
      <c r="T141" s="50"/>
      <c r="U141" s="200">
        <f>Residential!S141</f>
        <v>0.75</v>
      </c>
    </row>
    <row r="142" spans="1:23" x14ac:dyDescent="0.2">
      <c r="A142" s="2">
        <v>44774</v>
      </c>
      <c r="B142">
        <f t="shared" si="22"/>
        <v>2022</v>
      </c>
      <c r="C142">
        <f t="shared" si="23"/>
        <v>8</v>
      </c>
      <c r="D142" s="151"/>
      <c r="E142" s="151">
        <f t="shared" si="34"/>
        <v>1388122.4911311602</v>
      </c>
      <c r="F142" s="151"/>
      <c r="G142" s="146">
        <f ca="1">Weather!BU82</f>
        <v>0.34105263157894772</v>
      </c>
      <c r="H142" s="146">
        <f ca="1">Weather!BV82</f>
        <v>191.39947368421053</v>
      </c>
      <c r="I142" s="146">
        <f t="shared" ca="1" si="29"/>
        <v>0.34105263157894772</v>
      </c>
      <c r="J142" s="146">
        <f t="shared" ca="1" si="29"/>
        <v>191.39947368421053</v>
      </c>
      <c r="K142" s="32">
        <f t="shared" ref="K142:L157" si="35">K94</f>
        <v>31</v>
      </c>
      <c r="L142" s="32">
        <f t="shared" si="35"/>
        <v>0</v>
      </c>
      <c r="M142" s="32">
        <f t="shared" si="30"/>
        <v>0</v>
      </c>
      <c r="N142" s="147">
        <f>'Rate Class Customer Model'!B67</f>
        <v>39323</v>
      </c>
      <c r="O142" s="156">
        <f t="shared" ca="1" si="31"/>
        <v>0.25578947368421079</v>
      </c>
      <c r="P142" s="201">
        <f t="shared" ca="1" si="32"/>
        <v>143.5496052631579</v>
      </c>
      <c r="Q142" s="32">
        <f t="shared" ca="1" si="33"/>
        <v>39610682.164080702</v>
      </c>
      <c r="R142" s="145">
        <f t="shared" ca="1" si="24"/>
        <v>38222559.672949545</v>
      </c>
      <c r="S142" s="32">
        <f t="shared" ca="1" si="25"/>
        <v>39610682.164080702</v>
      </c>
      <c r="T142" s="50"/>
      <c r="U142" s="200">
        <f>Residential!S142</f>
        <v>0.75</v>
      </c>
    </row>
    <row r="143" spans="1:23" x14ac:dyDescent="0.2">
      <c r="A143" s="2">
        <v>44805</v>
      </c>
      <c r="B143">
        <f t="shared" si="22"/>
        <v>2022</v>
      </c>
      <c r="C143">
        <f t="shared" si="23"/>
        <v>9</v>
      </c>
      <c r="D143" s="151"/>
      <c r="E143" s="151">
        <f t="shared" si="34"/>
        <v>1388122.4911311602</v>
      </c>
      <c r="F143" s="151"/>
      <c r="G143" s="146">
        <f ca="1">Weather!BU83</f>
        <v>26.567368421052606</v>
      </c>
      <c r="H143" s="146">
        <f ca="1">Weather!BV83</f>
        <v>77.107368421052627</v>
      </c>
      <c r="I143" s="146">
        <f t="shared" ca="1" si="29"/>
        <v>26.567368421052606</v>
      </c>
      <c r="J143" s="146">
        <f t="shared" ca="1" si="29"/>
        <v>77.107368421052627</v>
      </c>
      <c r="K143" s="32">
        <f t="shared" si="35"/>
        <v>30</v>
      </c>
      <c r="L143" s="32">
        <f t="shared" si="35"/>
        <v>1</v>
      </c>
      <c r="M143" s="32">
        <f t="shared" si="30"/>
        <v>1</v>
      </c>
      <c r="N143" s="147">
        <f>'Rate Class Customer Model'!B68</f>
        <v>39385.5</v>
      </c>
      <c r="O143" s="156">
        <f t="shared" ca="1" si="31"/>
        <v>19.925526315789455</v>
      </c>
      <c r="P143" s="201">
        <f t="shared" ca="1" si="32"/>
        <v>57.83052631578947</v>
      </c>
      <c r="Q143" s="32">
        <f t="shared" ca="1" si="33"/>
        <v>29927267.852981258</v>
      </c>
      <c r="R143" s="145">
        <f t="shared" ca="1" si="24"/>
        <v>28539145.361850098</v>
      </c>
      <c r="S143" s="32">
        <f t="shared" ca="1" si="25"/>
        <v>29927267.852981258</v>
      </c>
      <c r="T143" s="50"/>
      <c r="U143" s="200">
        <f>Residential!S143</f>
        <v>0.75</v>
      </c>
    </row>
    <row r="144" spans="1:23" x14ac:dyDescent="0.2">
      <c r="A144" s="2">
        <v>44835</v>
      </c>
      <c r="B144">
        <f t="shared" si="22"/>
        <v>2022</v>
      </c>
      <c r="C144">
        <f t="shared" si="23"/>
        <v>10</v>
      </c>
      <c r="D144" s="151"/>
      <c r="E144" s="151">
        <f t="shared" si="34"/>
        <v>1388122.4911311602</v>
      </c>
      <c r="F144" s="151"/>
      <c r="G144" s="146">
        <f ca="1">Weather!BU84</f>
        <v>154.52315789473778</v>
      </c>
      <c r="H144" s="146">
        <f ca="1">Weather!BV84</f>
        <v>10.628421052631595</v>
      </c>
      <c r="I144" s="146">
        <f t="shared" ca="1" si="29"/>
        <v>154.52315789473778</v>
      </c>
      <c r="J144" s="146">
        <f t="shared" ca="1" si="29"/>
        <v>10.628421052631595</v>
      </c>
      <c r="K144" s="32">
        <f t="shared" si="35"/>
        <v>31</v>
      </c>
      <c r="L144" s="32">
        <f t="shared" si="35"/>
        <v>1</v>
      </c>
      <c r="M144" s="32">
        <f t="shared" si="30"/>
        <v>0</v>
      </c>
      <c r="N144" s="147">
        <f>'Rate Class Customer Model'!B69</f>
        <v>39448</v>
      </c>
      <c r="O144" s="156">
        <f t="shared" ca="1" si="31"/>
        <v>115.89236842105333</v>
      </c>
      <c r="P144" s="201">
        <f t="shared" ca="1" si="32"/>
        <v>7.9713157894736959</v>
      </c>
      <c r="Q144" s="32">
        <f t="shared" ca="1" si="33"/>
        <v>25676460.822325412</v>
      </c>
      <c r="R144" s="145">
        <f t="shared" ca="1" si="24"/>
        <v>24288338.331194252</v>
      </c>
      <c r="S144" s="32">
        <f t="shared" ca="1" si="25"/>
        <v>25676460.822325412</v>
      </c>
      <c r="T144" s="50"/>
      <c r="U144" s="200">
        <f>Residential!S144</f>
        <v>0.75</v>
      </c>
      <c r="V144" s="322"/>
      <c r="W144" s="323"/>
    </row>
    <row r="145" spans="1:23" x14ac:dyDescent="0.2">
      <c r="A145" s="2">
        <v>44866</v>
      </c>
      <c r="B145">
        <f t="shared" si="22"/>
        <v>2022</v>
      </c>
      <c r="C145">
        <f t="shared" si="23"/>
        <v>11</v>
      </c>
      <c r="D145" s="151"/>
      <c r="E145" s="151">
        <f t="shared" si="34"/>
        <v>1388122.4911311602</v>
      </c>
      <c r="F145" s="151"/>
      <c r="G145" s="146">
        <f ca="1">Weather!BU85</f>
        <v>363.9931578947369</v>
      </c>
      <c r="H145" s="146">
        <f ca="1">Weather!BV85</f>
        <v>1.8421052631579116E-2</v>
      </c>
      <c r="I145" s="146">
        <f t="shared" ca="1" si="29"/>
        <v>363.9931578947369</v>
      </c>
      <c r="J145" s="146">
        <f t="shared" ca="1" si="29"/>
        <v>1.8421052631579116E-2</v>
      </c>
      <c r="K145" s="32">
        <f t="shared" si="35"/>
        <v>30</v>
      </c>
      <c r="L145" s="32">
        <f t="shared" si="35"/>
        <v>1</v>
      </c>
      <c r="M145" s="32">
        <f t="shared" si="30"/>
        <v>0</v>
      </c>
      <c r="N145" s="147">
        <f>'Rate Class Customer Model'!B70</f>
        <v>39510.5</v>
      </c>
      <c r="O145" s="156">
        <f t="shared" ca="1" si="31"/>
        <v>272.99486842105267</v>
      </c>
      <c r="P145" s="201">
        <f t="shared" ca="1" si="32"/>
        <v>1.3815789473684337E-2</v>
      </c>
      <c r="Q145" s="32">
        <f t="shared" ca="1" si="33"/>
        <v>26648889.063794751</v>
      </c>
      <c r="R145" s="145">
        <f t="shared" ca="1" si="24"/>
        <v>25260766.57266359</v>
      </c>
      <c r="S145" s="32">
        <f t="shared" ca="1" si="25"/>
        <v>26648889.063794751</v>
      </c>
      <c r="T145" s="50"/>
      <c r="U145" s="200">
        <f>Residential!S145</f>
        <v>0.75</v>
      </c>
      <c r="V145" s="322"/>
      <c r="W145" s="323"/>
    </row>
    <row r="146" spans="1:23" x14ac:dyDescent="0.2">
      <c r="A146" s="2">
        <v>44896</v>
      </c>
      <c r="B146">
        <f t="shared" si="22"/>
        <v>2022</v>
      </c>
      <c r="C146">
        <f t="shared" si="23"/>
        <v>12</v>
      </c>
      <c r="D146" s="151"/>
      <c r="E146" s="151">
        <f t="shared" si="34"/>
        <v>1388122.4911311602</v>
      </c>
      <c r="F146" s="151"/>
      <c r="G146" s="146">
        <f ca="1">Weather!BU86</f>
        <v>499.7842105263162</v>
      </c>
      <c r="H146" s="146">
        <f ca="1">Weather!BV86</f>
        <v>0</v>
      </c>
      <c r="I146" s="146">
        <f t="shared" ca="1" si="29"/>
        <v>499.7842105263162</v>
      </c>
      <c r="J146" s="146">
        <f t="shared" ca="1" si="29"/>
        <v>0</v>
      </c>
      <c r="K146" s="32">
        <f t="shared" si="35"/>
        <v>31</v>
      </c>
      <c r="L146" s="32">
        <f t="shared" si="35"/>
        <v>0</v>
      </c>
      <c r="M146" s="32">
        <f t="shared" si="30"/>
        <v>0</v>
      </c>
      <c r="N146" s="147">
        <f>'Rate Class Customer Model'!B71</f>
        <v>39573</v>
      </c>
      <c r="O146" s="156">
        <f t="shared" ca="1" si="31"/>
        <v>374.83815789473715</v>
      </c>
      <c r="P146" s="201">
        <f t="shared" ca="1" si="32"/>
        <v>0</v>
      </c>
      <c r="Q146" s="32">
        <f t="shared" ca="1" si="33"/>
        <v>31807691.286188524</v>
      </c>
      <c r="R146" s="145">
        <f t="shared" ca="1" si="24"/>
        <v>30419568.795057364</v>
      </c>
      <c r="S146" s="32">
        <f t="shared" ca="1" si="25"/>
        <v>31807691.286188524</v>
      </c>
      <c r="T146" s="50"/>
      <c r="U146" s="200">
        <f>Residential!S146</f>
        <v>0.75</v>
      </c>
      <c r="V146" s="322"/>
      <c r="W146" s="323"/>
    </row>
    <row r="147" spans="1:23" ht="12.75" customHeight="1" x14ac:dyDescent="0.2">
      <c r="A147" s="2">
        <v>44927</v>
      </c>
      <c r="B147">
        <f t="shared" si="22"/>
        <v>2023</v>
      </c>
      <c r="C147">
        <f t="shared" si="23"/>
        <v>1</v>
      </c>
      <c r="D147" s="151"/>
      <c r="E147" s="151">
        <f>'Historic CDM'!M17/12</f>
        <v>1381601.9762917485</v>
      </c>
      <c r="G147" s="146">
        <f ca="1">Weather!BU61</f>
        <v>617.95248120300766</v>
      </c>
      <c r="H147" s="146">
        <f ca="1">Weather!BV61</f>
        <v>0</v>
      </c>
      <c r="I147" s="146">
        <f t="shared" ca="1" si="29"/>
        <v>617.95248120300766</v>
      </c>
      <c r="J147" s="146">
        <f t="shared" ca="1" si="29"/>
        <v>0</v>
      </c>
      <c r="K147" s="32">
        <f t="shared" si="35"/>
        <v>31</v>
      </c>
      <c r="L147" s="32">
        <f t="shared" si="35"/>
        <v>0</v>
      </c>
      <c r="M147" s="32">
        <f t="shared" si="30"/>
        <v>0</v>
      </c>
      <c r="N147" s="147">
        <f>'Rate Class Customer Model'!B72</f>
        <v>39652.166666666664</v>
      </c>
      <c r="O147" s="156">
        <f t="shared" ca="1" si="31"/>
        <v>308.97624060150383</v>
      </c>
      <c r="P147" s="201">
        <f t="shared" ca="1" si="32"/>
        <v>0</v>
      </c>
      <c r="Q147" s="32">
        <f ca="1">$V$18+G147*$V$19+H147*$V$20+K147*$V$21+L147*$V$22+M147*$V$23+N147*$V$24+O147*$V$25+P147*$V$26</f>
        <v>32650511.369835313</v>
      </c>
      <c r="R147" s="145">
        <f t="shared" ca="1" si="24"/>
        <v>31268909.393543564</v>
      </c>
      <c r="S147" s="32">
        <f t="shared" ca="1" si="25"/>
        <v>32650511.369835313</v>
      </c>
      <c r="T147" s="50"/>
      <c r="U147" s="200">
        <f>Residential!S147</f>
        <v>0.5</v>
      </c>
      <c r="V147" s="29"/>
      <c r="W147" s="41"/>
    </row>
    <row r="148" spans="1:23" x14ac:dyDescent="0.2">
      <c r="A148" s="2">
        <v>44958</v>
      </c>
      <c r="B148">
        <f t="shared" si="22"/>
        <v>2023</v>
      </c>
      <c r="C148">
        <f t="shared" si="23"/>
        <v>2</v>
      </c>
      <c r="D148" s="151"/>
      <c r="E148" s="151">
        <f>E147</f>
        <v>1381601.9762917485</v>
      </c>
      <c r="G148" s="146">
        <f ca="1">Weather!BU62</f>
        <v>569.95157894736826</v>
      </c>
      <c r="H148" s="146">
        <f ca="1">Weather!BV62</f>
        <v>0</v>
      </c>
      <c r="I148" s="146">
        <f t="shared" ca="1" si="29"/>
        <v>569.95157894736826</v>
      </c>
      <c r="J148" s="146">
        <f t="shared" ca="1" si="29"/>
        <v>0</v>
      </c>
      <c r="K148" s="32">
        <f t="shared" si="35"/>
        <v>28</v>
      </c>
      <c r="L148" s="32">
        <f t="shared" si="35"/>
        <v>0</v>
      </c>
      <c r="M148" s="32">
        <f t="shared" si="30"/>
        <v>0</v>
      </c>
      <c r="N148" s="147">
        <f>'Rate Class Customer Model'!B73</f>
        <v>39731.333333333328</v>
      </c>
      <c r="O148" s="156">
        <f t="shared" ca="1" si="31"/>
        <v>284.97578947368413</v>
      </c>
      <c r="P148" s="201">
        <f t="shared" ca="1" si="32"/>
        <v>0</v>
      </c>
      <c r="Q148" s="32">
        <f t="shared" ca="1" si="33"/>
        <v>30091550.091240484</v>
      </c>
      <c r="R148" s="145">
        <f t="shared" ca="1" si="24"/>
        <v>28709948.114948735</v>
      </c>
      <c r="S148" s="32">
        <f t="shared" ca="1" si="25"/>
        <v>30091550.091240484</v>
      </c>
      <c r="T148" s="50"/>
      <c r="U148" s="200">
        <f>Residential!S148</f>
        <v>0.5</v>
      </c>
      <c r="V148" s="29"/>
      <c r="W148" s="41"/>
    </row>
    <row r="149" spans="1:23" x14ac:dyDescent="0.2">
      <c r="A149" s="2">
        <v>44986</v>
      </c>
      <c r="B149">
        <f t="shared" si="22"/>
        <v>2023</v>
      </c>
      <c r="C149">
        <f t="shared" si="23"/>
        <v>3</v>
      </c>
      <c r="D149" s="151"/>
      <c r="E149" s="151">
        <f t="shared" ref="E149:E158" si="36">E148</f>
        <v>1381601.9762917485</v>
      </c>
      <c r="G149" s="146">
        <f ca="1">Weather!BU63</f>
        <v>460.13060150375986</v>
      </c>
      <c r="H149" s="146">
        <f ca="1">Weather!BV63</f>
        <v>0.17593984962406051</v>
      </c>
      <c r="I149" s="146">
        <f t="shared" ca="1" si="29"/>
        <v>460.13060150375986</v>
      </c>
      <c r="J149" s="146">
        <f t="shared" ca="1" si="29"/>
        <v>0.17593984962406051</v>
      </c>
      <c r="K149" s="32">
        <f t="shared" si="35"/>
        <v>31</v>
      </c>
      <c r="L149" s="32">
        <f t="shared" si="35"/>
        <v>1</v>
      </c>
      <c r="M149" s="32">
        <f t="shared" si="30"/>
        <v>0</v>
      </c>
      <c r="N149" s="147">
        <f>'Rate Class Customer Model'!B74</f>
        <v>39810.499999999993</v>
      </c>
      <c r="O149" s="156">
        <f t="shared" ca="1" si="31"/>
        <v>230.06530075187993</v>
      </c>
      <c r="P149" s="201">
        <f t="shared" ca="1" si="32"/>
        <v>8.7969924812030253E-2</v>
      </c>
      <c r="Q149" s="32">
        <f t="shared" ca="1" si="33"/>
        <v>28221641.171264298</v>
      </c>
      <c r="R149" s="145">
        <f t="shared" ca="1" si="24"/>
        <v>26840039.194972549</v>
      </c>
      <c r="S149" s="32">
        <f t="shared" ca="1" si="25"/>
        <v>28221641.171264298</v>
      </c>
      <c r="T149" s="50"/>
      <c r="U149" s="200">
        <f>Residential!S149</f>
        <v>0.5</v>
      </c>
      <c r="V149" s="29"/>
      <c r="W149" s="41"/>
    </row>
    <row r="150" spans="1:23" x14ac:dyDescent="0.2">
      <c r="A150" s="2">
        <v>45017</v>
      </c>
      <c r="B150">
        <f t="shared" si="22"/>
        <v>2023</v>
      </c>
      <c r="C150">
        <f t="shared" si="23"/>
        <v>4</v>
      </c>
      <c r="D150" s="151"/>
      <c r="E150" s="151">
        <f t="shared" si="36"/>
        <v>1381601.9762917485</v>
      </c>
      <c r="G150" s="146">
        <f ca="1">Weather!BU64</f>
        <v>286.53165413533861</v>
      </c>
      <c r="H150" s="146">
        <f ca="1">Weather!BV64</f>
        <v>0</v>
      </c>
      <c r="I150" s="146">
        <f t="shared" ca="1" si="29"/>
        <v>286.53165413533861</v>
      </c>
      <c r="J150" s="146">
        <f t="shared" ca="1" si="29"/>
        <v>0</v>
      </c>
      <c r="K150" s="32">
        <f t="shared" si="35"/>
        <v>30</v>
      </c>
      <c r="L150" s="32">
        <f t="shared" si="35"/>
        <v>1</v>
      </c>
      <c r="M150" s="32">
        <f t="shared" si="30"/>
        <v>0</v>
      </c>
      <c r="N150" s="147">
        <f>'Rate Class Customer Model'!B75</f>
        <v>39889.666666666657</v>
      </c>
      <c r="O150" s="156">
        <f t="shared" ca="1" si="31"/>
        <v>143.26582706766931</v>
      </c>
      <c r="P150" s="201">
        <f t="shared" ca="1" si="32"/>
        <v>0</v>
      </c>
      <c r="Q150" s="32">
        <f t="shared" ca="1" si="33"/>
        <v>25729237.245011818</v>
      </c>
      <c r="R150" s="145">
        <f t="shared" ca="1" si="24"/>
        <v>24347635.268720068</v>
      </c>
      <c r="S150" s="32">
        <f t="shared" ca="1" si="25"/>
        <v>25729237.245011818</v>
      </c>
      <c r="T150" s="50"/>
      <c r="U150" s="200">
        <f>Residential!S150</f>
        <v>0.5</v>
      </c>
      <c r="V150" s="29"/>
      <c r="W150" s="41"/>
    </row>
    <row r="151" spans="1:23" x14ac:dyDescent="0.2">
      <c r="A151" s="2">
        <v>45047</v>
      </c>
      <c r="B151">
        <f t="shared" si="22"/>
        <v>2023</v>
      </c>
      <c r="C151">
        <f t="shared" si="23"/>
        <v>5</v>
      </c>
      <c r="D151" s="151"/>
      <c r="E151" s="151">
        <f t="shared" si="36"/>
        <v>1381601.9762917485</v>
      </c>
      <c r="G151" s="146">
        <f ca="1">Weather!BU65</f>
        <v>91.11721804511285</v>
      </c>
      <c r="H151" s="146">
        <f ca="1">Weather!BV65</f>
        <v>52.289548872180603</v>
      </c>
      <c r="I151" s="146">
        <f t="shared" ca="1" si="29"/>
        <v>91.11721804511285</v>
      </c>
      <c r="J151" s="146">
        <f t="shared" ca="1" si="29"/>
        <v>52.289548872180603</v>
      </c>
      <c r="K151" s="32">
        <f t="shared" si="35"/>
        <v>31</v>
      </c>
      <c r="L151" s="32">
        <f t="shared" si="35"/>
        <v>1</v>
      </c>
      <c r="M151" s="32">
        <f t="shared" si="30"/>
        <v>0</v>
      </c>
      <c r="N151" s="147">
        <f>'Rate Class Customer Model'!B76</f>
        <v>39968.833333333321</v>
      </c>
      <c r="O151" s="156">
        <f t="shared" ca="1" si="31"/>
        <v>45.558609022556425</v>
      </c>
      <c r="P151" s="201">
        <f t="shared" ca="1" si="32"/>
        <v>26.144774436090302</v>
      </c>
      <c r="Q151" s="32">
        <f t="shared" ca="1" si="33"/>
        <v>27828435.29739584</v>
      </c>
      <c r="R151" s="145">
        <f t="shared" ca="1" si="24"/>
        <v>26446833.321104091</v>
      </c>
      <c r="S151" s="32">
        <f t="shared" ca="1" si="25"/>
        <v>27828435.29739584</v>
      </c>
      <c r="T151" s="50"/>
      <c r="U151" s="200">
        <f>Residential!S151</f>
        <v>0.5</v>
      </c>
      <c r="V151" s="29"/>
      <c r="W151" s="41"/>
    </row>
    <row r="152" spans="1:23" x14ac:dyDescent="0.2">
      <c r="A152" s="2">
        <v>45078</v>
      </c>
      <c r="B152">
        <f t="shared" si="22"/>
        <v>2023</v>
      </c>
      <c r="C152">
        <f t="shared" si="23"/>
        <v>6</v>
      </c>
      <c r="D152" s="151"/>
      <c r="E152" s="151">
        <f t="shared" si="36"/>
        <v>1381601.9762917485</v>
      </c>
      <c r="G152" s="146">
        <f ca="1">Weather!BU66</f>
        <v>6.265338345864734</v>
      </c>
      <c r="H152" s="146">
        <f ca="1">Weather!BV66</f>
        <v>123.5956390977442</v>
      </c>
      <c r="I152" s="146">
        <f t="shared" ca="1" si="29"/>
        <v>6.265338345864734</v>
      </c>
      <c r="J152" s="146">
        <f t="shared" ca="1" si="29"/>
        <v>123.5956390977442</v>
      </c>
      <c r="K152" s="32">
        <f t="shared" si="35"/>
        <v>30</v>
      </c>
      <c r="L152" s="32">
        <f t="shared" si="35"/>
        <v>0</v>
      </c>
      <c r="M152" s="32">
        <f t="shared" si="30"/>
        <v>0</v>
      </c>
      <c r="N152" s="147">
        <f>'Rate Class Customer Model'!B77</f>
        <v>40047.999999999985</v>
      </c>
      <c r="O152" s="156">
        <f t="shared" ca="1" si="31"/>
        <v>3.132669172932367</v>
      </c>
      <c r="P152" s="201">
        <f t="shared" ca="1" si="32"/>
        <v>61.797819548872098</v>
      </c>
      <c r="Q152" s="32">
        <f t="shared" ca="1" si="33"/>
        <v>33803493.981726155</v>
      </c>
      <c r="R152" s="145">
        <f t="shared" ca="1" si="24"/>
        <v>32421892.005434405</v>
      </c>
      <c r="S152" s="32">
        <f t="shared" ca="1" si="25"/>
        <v>33803493.981726155</v>
      </c>
      <c r="T152" s="50"/>
      <c r="U152" s="200">
        <f>Residential!S152</f>
        <v>0.5</v>
      </c>
      <c r="V152" s="29"/>
      <c r="W152" s="41"/>
    </row>
    <row r="153" spans="1:23" x14ac:dyDescent="0.2">
      <c r="A153" s="2">
        <v>45108</v>
      </c>
      <c r="B153">
        <f t="shared" si="22"/>
        <v>2023</v>
      </c>
      <c r="C153">
        <f t="shared" si="23"/>
        <v>7</v>
      </c>
      <c r="D153" s="151"/>
      <c r="E153" s="151">
        <f t="shared" si="36"/>
        <v>1381601.9762917485</v>
      </c>
      <c r="G153" s="146">
        <f ca="1">Weather!BU67</f>
        <v>0</v>
      </c>
      <c r="H153" s="146">
        <f ca="1">Weather!BV67</f>
        <v>212.61368421052634</v>
      </c>
      <c r="I153" s="146">
        <f t="shared" ca="1" si="29"/>
        <v>0</v>
      </c>
      <c r="J153" s="146">
        <f t="shared" ca="1" si="29"/>
        <v>212.61368421052634</v>
      </c>
      <c r="K153" s="32">
        <f t="shared" si="35"/>
        <v>31</v>
      </c>
      <c r="L153" s="32">
        <f t="shared" si="35"/>
        <v>0</v>
      </c>
      <c r="M153" s="32">
        <f t="shared" si="30"/>
        <v>0</v>
      </c>
      <c r="N153" s="147">
        <f>'Rate Class Customer Model'!B78</f>
        <v>40127.16666666665</v>
      </c>
      <c r="O153" s="156">
        <f t="shared" ca="1" si="31"/>
        <v>0</v>
      </c>
      <c r="P153" s="201">
        <f t="shared" ca="1" si="32"/>
        <v>106.30684210526317</v>
      </c>
      <c r="Q153" s="32">
        <f t="shared" ca="1" si="33"/>
        <v>40288748.009600185</v>
      </c>
      <c r="R153" s="145">
        <f t="shared" ca="1" si="24"/>
        <v>38907146.033308439</v>
      </c>
      <c r="S153" s="32">
        <f t="shared" ca="1" si="25"/>
        <v>40288748.009600185</v>
      </c>
      <c r="T153" s="50"/>
      <c r="U153" s="200">
        <f>Residential!S153</f>
        <v>0.5</v>
      </c>
      <c r="V153" s="29"/>
      <c r="W153" s="41"/>
    </row>
    <row r="154" spans="1:23" x14ac:dyDescent="0.2">
      <c r="A154" s="2">
        <v>45139</v>
      </c>
      <c r="B154">
        <f t="shared" si="22"/>
        <v>2023</v>
      </c>
      <c r="C154">
        <f t="shared" si="23"/>
        <v>8</v>
      </c>
      <c r="D154" s="151"/>
      <c r="E154" s="151">
        <f t="shared" si="36"/>
        <v>1381601.9762917485</v>
      </c>
      <c r="G154" s="146">
        <f ca="1">Weather!BU68</f>
        <v>0.34210526315789513</v>
      </c>
      <c r="H154" s="146">
        <f ca="1">Weather!BV68</f>
        <v>192.90609022556418</v>
      </c>
      <c r="I154" s="146">
        <f t="shared" ca="1" si="29"/>
        <v>0.34210526315789513</v>
      </c>
      <c r="J154" s="146">
        <f t="shared" ca="1" si="29"/>
        <v>192.90609022556418</v>
      </c>
      <c r="K154" s="32">
        <f t="shared" si="35"/>
        <v>31</v>
      </c>
      <c r="L154" s="32">
        <f t="shared" si="35"/>
        <v>0</v>
      </c>
      <c r="M154" s="32">
        <f t="shared" si="30"/>
        <v>0</v>
      </c>
      <c r="N154" s="147">
        <f>'Rate Class Customer Model'!B79</f>
        <v>40206.333333333314</v>
      </c>
      <c r="O154" s="156">
        <f t="shared" ca="1" si="31"/>
        <v>0.17105263157894757</v>
      </c>
      <c r="P154" s="201">
        <f t="shared" ca="1" si="32"/>
        <v>96.453045112782092</v>
      </c>
      <c r="Q154" s="32">
        <f t="shared" ca="1" si="33"/>
        <v>39053881.241862476</v>
      </c>
      <c r="R154" s="145">
        <f t="shared" ca="1" si="24"/>
        <v>37672279.26557073</v>
      </c>
      <c r="S154" s="32">
        <f t="shared" ca="1" si="25"/>
        <v>39053881.241862476</v>
      </c>
      <c r="T154" s="50"/>
      <c r="U154" s="200">
        <f>Residential!S154</f>
        <v>0.5</v>
      </c>
      <c r="V154" s="29"/>
      <c r="W154" s="41"/>
    </row>
    <row r="155" spans="1:23" x14ac:dyDescent="0.2">
      <c r="A155" s="2">
        <v>45170</v>
      </c>
      <c r="B155">
        <f t="shared" si="22"/>
        <v>2023</v>
      </c>
      <c r="C155">
        <f t="shared" si="23"/>
        <v>9</v>
      </c>
      <c r="D155" s="151"/>
      <c r="E155" s="151">
        <f t="shared" si="36"/>
        <v>1381601.9762917485</v>
      </c>
      <c r="G155" s="146">
        <f ca="1">Weather!BU69</f>
        <v>26.689022556390967</v>
      </c>
      <c r="H155" s="146">
        <f ca="1">Weather!BV69</f>
        <v>77.126165413533826</v>
      </c>
      <c r="I155" s="146">
        <f t="shared" ca="1" si="29"/>
        <v>26.689022556390967</v>
      </c>
      <c r="J155" s="146">
        <f t="shared" ca="1" si="29"/>
        <v>77.126165413533826</v>
      </c>
      <c r="K155" s="32">
        <f t="shared" si="35"/>
        <v>30</v>
      </c>
      <c r="L155" s="32">
        <f t="shared" si="35"/>
        <v>1</v>
      </c>
      <c r="M155" s="32">
        <f t="shared" si="30"/>
        <v>1</v>
      </c>
      <c r="N155" s="147">
        <f>'Rate Class Customer Model'!B80</f>
        <v>40285.499999999978</v>
      </c>
      <c r="O155" s="156">
        <f t="shared" ca="1" si="31"/>
        <v>13.344511278195483</v>
      </c>
      <c r="P155" s="201">
        <f t="shared" ca="1" si="32"/>
        <v>38.563082706766913</v>
      </c>
      <c r="Q155" s="32">
        <f t="shared" ca="1" si="33"/>
        <v>29962432.903113857</v>
      </c>
      <c r="R155" s="145">
        <f t="shared" ca="1" si="24"/>
        <v>28580830.926822107</v>
      </c>
      <c r="S155" s="32">
        <f t="shared" ca="1" si="25"/>
        <v>29962432.903113857</v>
      </c>
      <c r="T155" s="50"/>
      <c r="U155" s="200">
        <f>Residential!S155</f>
        <v>0.5</v>
      </c>
      <c r="V155" s="29"/>
      <c r="W155" s="41"/>
    </row>
    <row r="156" spans="1:23" x14ac:dyDescent="0.2">
      <c r="A156" s="2">
        <v>45200</v>
      </c>
      <c r="B156">
        <f t="shared" si="22"/>
        <v>2023</v>
      </c>
      <c r="C156">
        <f t="shared" si="23"/>
        <v>10</v>
      </c>
      <c r="D156" s="151"/>
      <c r="E156" s="151">
        <f t="shared" si="36"/>
        <v>1381601.9762917485</v>
      </c>
      <c r="G156" s="146">
        <f ca="1">Weather!BU70</f>
        <v>152.11488721804562</v>
      </c>
      <c r="H156" s="146">
        <f ca="1">Weather!BV70</f>
        <v>10.695413533834582</v>
      </c>
      <c r="I156" s="146">
        <f t="shared" ca="1" si="29"/>
        <v>152.11488721804562</v>
      </c>
      <c r="J156" s="146">
        <f t="shared" ca="1" si="29"/>
        <v>10.695413533834582</v>
      </c>
      <c r="K156" s="32">
        <f t="shared" si="35"/>
        <v>31</v>
      </c>
      <c r="L156" s="32">
        <f t="shared" si="35"/>
        <v>1</v>
      </c>
      <c r="M156" s="32">
        <f t="shared" si="30"/>
        <v>0</v>
      </c>
      <c r="N156" s="147">
        <f>'Rate Class Customer Model'!B81</f>
        <v>40364.666666666642</v>
      </c>
      <c r="O156" s="156">
        <f t="shared" ca="1" si="31"/>
        <v>76.057443609022812</v>
      </c>
      <c r="P156" s="201">
        <f t="shared" ca="1" si="32"/>
        <v>5.3477067669172911</v>
      </c>
      <c r="Q156" s="32">
        <f t="shared" ca="1" si="33"/>
        <v>25991296.876553174</v>
      </c>
      <c r="R156" s="145">
        <f t="shared" ca="1" si="24"/>
        <v>24609694.900261424</v>
      </c>
      <c r="S156" s="32">
        <f t="shared" ca="1" si="25"/>
        <v>25991296.876553174</v>
      </c>
      <c r="T156" s="50"/>
      <c r="U156" s="200">
        <f>Residential!S156</f>
        <v>0.5</v>
      </c>
      <c r="V156" s="29"/>
      <c r="W156" s="41"/>
    </row>
    <row r="157" spans="1:23" x14ac:dyDescent="0.2">
      <c r="A157" s="2">
        <v>45231</v>
      </c>
      <c r="B157">
        <f t="shared" si="22"/>
        <v>2023</v>
      </c>
      <c r="C157">
        <f t="shared" si="23"/>
        <v>11</v>
      </c>
      <c r="D157" s="151"/>
      <c r="E157" s="151">
        <f t="shared" si="36"/>
        <v>1381601.9762917485</v>
      </c>
      <c r="G157" s="146">
        <f ca="1">Weather!BU71</f>
        <v>364.95345864661681</v>
      </c>
      <c r="H157" s="146">
        <f ca="1">Weather!BV71</f>
        <v>1.9699248120300883E-2</v>
      </c>
      <c r="I157" s="146">
        <f t="shared" ca="1" si="29"/>
        <v>364.95345864661681</v>
      </c>
      <c r="J157" s="146">
        <f t="shared" ca="1" si="29"/>
        <v>1.9699248120300883E-2</v>
      </c>
      <c r="K157" s="32">
        <f t="shared" si="35"/>
        <v>30</v>
      </c>
      <c r="L157" s="32">
        <f t="shared" si="35"/>
        <v>1</v>
      </c>
      <c r="M157" s="32">
        <f t="shared" si="30"/>
        <v>0</v>
      </c>
      <c r="N157" s="147">
        <f>'Rate Class Customer Model'!B82</f>
        <v>40443.833333333307</v>
      </c>
      <c r="O157" s="156">
        <f t="shared" ca="1" si="31"/>
        <v>182.4767293233084</v>
      </c>
      <c r="P157" s="201">
        <f t="shared" ca="1" si="32"/>
        <v>9.8496240601504415E-3</v>
      </c>
      <c r="Q157" s="32">
        <f t="shared" ca="1" si="33"/>
        <v>26882180.53964676</v>
      </c>
      <c r="R157" s="145">
        <f t="shared" ca="1" si="24"/>
        <v>25500578.56335501</v>
      </c>
      <c r="S157" s="32">
        <f t="shared" ca="1" si="25"/>
        <v>26882180.53964676</v>
      </c>
      <c r="T157" s="50"/>
      <c r="U157" s="200">
        <f>Residential!S157</f>
        <v>0.5</v>
      </c>
      <c r="V157" s="29"/>
    </row>
    <row r="158" spans="1:23" x14ac:dyDescent="0.2">
      <c r="A158" s="2">
        <v>45261</v>
      </c>
      <c r="B158">
        <f t="shared" si="22"/>
        <v>2023</v>
      </c>
      <c r="C158">
        <f t="shared" si="23"/>
        <v>12</v>
      </c>
      <c r="D158" s="151"/>
      <c r="E158" s="151">
        <f t="shared" si="36"/>
        <v>1381601.9762917485</v>
      </c>
      <c r="G158" s="146">
        <f ca="1">Weather!BU72</f>
        <v>496.76127819548856</v>
      </c>
      <c r="H158" s="146">
        <f ca="1">Weather!BV72</f>
        <v>0</v>
      </c>
      <c r="I158" s="146">
        <f ca="1">G158</f>
        <v>496.76127819548856</v>
      </c>
      <c r="J158" s="146">
        <f ca="1">H158</f>
        <v>0</v>
      </c>
      <c r="K158" s="32">
        <f t="shared" ref="K158:L158" si="37">K110</f>
        <v>31</v>
      </c>
      <c r="L158" s="32">
        <f t="shared" si="37"/>
        <v>0</v>
      </c>
      <c r="M158" s="32">
        <f t="shared" si="30"/>
        <v>0</v>
      </c>
      <c r="N158" s="147">
        <f>'Rate Class Customer Model'!B83</f>
        <v>40522.999999999971</v>
      </c>
      <c r="O158" s="156">
        <f t="shared" ca="1" si="31"/>
        <v>248.38063909774428</v>
      </c>
      <c r="P158" s="201">
        <f t="shared" ca="1" si="32"/>
        <v>0</v>
      </c>
      <c r="Q158" s="32">
        <f ca="1">$V$18+G158*$V$19+H158*$V$20+K158*$V$21+L158*$V$22+M158*$V$23+N158*$V$24+O158*$V$25+P158*$V$26</f>
        <v>31887250.505942084</v>
      </c>
      <c r="R158" s="145">
        <f t="shared" ca="1" si="24"/>
        <v>30505648.529650334</v>
      </c>
      <c r="S158" s="32">
        <f t="shared" ca="1" si="25"/>
        <v>31887250.505942084</v>
      </c>
      <c r="T158" s="50"/>
      <c r="U158" s="200">
        <f>Residential!S158</f>
        <v>0.5</v>
      </c>
      <c r="V158" s="29"/>
    </row>
    <row r="159" spans="1:23" x14ac:dyDescent="0.2">
      <c r="A159" s="2"/>
      <c r="B159" s="2"/>
      <c r="C159" s="2"/>
      <c r="D159" s="2"/>
      <c r="E159" s="2"/>
      <c r="G159" s="52"/>
      <c r="H159" s="52"/>
      <c r="I159" s="52"/>
      <c r="J159" s="52"/>
      <c r="K159" s="32"/>
      <c r="L159" s="32"/>
      <c r="M159" s="32"/>
      <c r="N159" s="59"/>
      <c r="O159" s="32"/>
      <c r="P159" s="32"/>
      <c r="Q159" s="32"/>
      <c r="R159" s="50"/>
      <c r="S159" s="32"/>
      <c r="T159" s="50"/>
    </row>
    <row r="160" spans="1:23" x14ac:dyDescent="0.2">
      <c r="A160" s="2"/>
      <c r="B160" s="2"/>
      <c r="C160" s="2"/>
      <c r="D160" s="2"/>
      <c r="E160" s="2"/>
      <c r="G160" s="52"/>
      <c r="H160" s="52"/>
      <c r="I160" s="52"/>
      <c r="J160" s="52"/>
      <c r="K160" s="32"/>
      <c r="L160" s="32"/>
      <c r="M160" s="32"/>
      <c r="N160" s="59"/>
      <c r="O160" s="32"/>
      <c r="P160" s="32"/>
      <c r="Q160" s="32"/>
      <c r="R160" s="50"/>
      <c r="S160" s="32"/>
      <c r="T160" s="50"/>
    </row>
    <row r="161" spans="1:35" x14ac:dyDescent="0.2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32"/>
      <c r="M161" s="32"/>
      <c r="N161" s="59"/>
      <c r="O161" s="32"/>
      <c r="P161" s="32"/>
      <c r="Q161" s="32"/>
      <c r="R161" s="50"/>
      <c r="S161" s="32"/>
      <c r="T161" s="50"/>
    </row>
    <row r="162" spans="1:35" x14ac:dyDescent="0.2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32"/>
      <c r="M162" s="32"/>
      <c r="N162" s="59"/>
      <c r="O162" s="32"/>
      <c r="P162" s="32"/>
      <c r="Q162" s="32"/>
      <c r="R162" s="50"/>
      <c r="S162" s="32"/>
      <c r="T162" s="50"/>
    </row>
    <row r="163" spans="1:35" x14ac:dyDescent="0.2">
      <c r="A163" s="2"/>
      <c r="B163" s="2"/>
      <c r="C163" s="2"/>
      <c r="D163" s="2"/>
      <c r="E163" s="2"/>
      <c r="G163" s="52"/>
      <c r="H163" s="52"/>
      <c r="I163" s="52"/>
      <c r="J163" s="28"/>
      <c r="K163" s="28"/>
      <c r="Q163" s="26"/>
    </row>
    <row r="164" spans="1:35" x14ac:dyDescent="0.2">
      <c r="A164" s="2"/>
      <c r="B164" s="2"/>
      <c r="C164" s="2"/>
      <c r="D164" s="2"/>
      <c r="E164" s="2"/>
    </row>
    <row r="165" spans="1:35" x14ac:dyDescent="0.2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Q165" s="80" t="s">
        <v>289</v>
      </c>
      <c r="R165" s="80" t="s">
        <v>270</v>
      </c>
      <c r="S165" s="80" t="s">
        <v>290</v>
      </c>
      <c r="T165" s="260" t="s">
        <v>337</v>
      </c>
      <c r="U165" s="260" t="s">
        <v>338</v>
      </c>
    </row>
    <row r="166" spans="1:35" x14ac:dyDescent="0.2">
      <c r="A166" s="11">
        <v>2011</v>
      </c>
      <c r="B166" s="11"/>
      <c r="C166" s="11"/>
      <c r="D166" s="41">
        <f>SUMIF(B:B,A166,D:D)</f>
        <v>268725506.51999998</v>
      </c>
      <c r="E166" s="41">
        <f>SUMIF(B:B,A166,E:E)</f>
        <v>278492.94390389865</v>
      </c>
      <c r="F166" s="5">
        <f>SUMIF(B:B,A166,F:F)</f>
        <v>269003999.46390384</v>
      </c>
      <c r="Q166" s="5">
        <f t="shared" ref="Q166:Q177" ca="1" si="38">SUMIF(B:B,A166,Q:Q)</f>
        <v>263653523.5570195</v>
      </c>
      <c r="R166" s="57">
        <f>'Historic CDM'!M5</f>
        <v>278492.9439038987</v>
      </c>
      <c r="S166" s="57">
        <f ca="1">SUMIF(B:B,A166,R:R)</f>
        <v>263375030.61311558</v>
      </c>
      <c r="T166" s="4"/>
    </row>
    <row r="167" spans="1:35" x14ac:dyDescent="0.2">
      <c r="A167" s="11">
        <f>A166+1</f>
        <v>2012</v>
      </c>
      <c r="B167" s="11"/>
      <c r="C167" s="11"/>
      <c r="D167" s="41">
        <f t="shared" ref="D167:D175" si="39">SUMIF(B:B,A167,D:D)</f>
        <v>281220954.64999998</v>
      </c>
      <c r="E167" s="41">
        <f t="shared" ref="E167:E176" si="40">SUMIF(B:B,A167,E:E)</f>
        <v>721831.67732693173</v>
      </c>
      <c r="F167" s="5">
        <f t="shared" ref="F167:F176" si="41">SUMIF(B:B,A167,F:F)</f>
        <v>281942786.32732689</v>
      </c>
      <c r="Q167" s="5">
        <f t="shared" ca="1" si="38"/>
        <v>282812188.75603855</v>
      </c>
      <c r="R167" s="57">
        <f>'Historic CDM'!M6</f>
        <v>721831.67732693185</v>
      </c>
      <c r="S167" s="57">
        <f t="shared" ref="S167:S178" ca="1" si="42">SUMIF(B:B,A167,R:R)</f>
        <v>282090357.07871163</v>
      </c>
      <c r="T167" s="4"/>
    </row>
    <row r="168" spans="1:35" x14ac:dyDescent="0.2">
      <c r="A168" s="11">
        <f t="shared" ref="A168:A178" si="43">A167+1</f>
        <v>2013</v>
      </c>
      <c r="B168" s="11"/>
      <c r="C168" s="11"/>
      <c r="D168" s="41">
        <f t="shared" si="39"/>
        <v>287291133.52999997</v>
      </c>
      <c r="E168" s="41">
        <f t="shared" si="40"/>
        <v>1069944.6183750697</v>
      </c>
      <c r="F168" s="5">
        <f t="shared" si="41"/>
        <v>288361078.14837503</v>
      </c>
      <c r="Q168" s="5">
        <f t="shared" ca="1" si="38"/>
        <v>293077208.45282483</v>
      </c>
      <c r="R168" s="57">
        <f>'Historic CDM'!M7</f>
        <v>1069944.6183750697</v>
      </c>
      <c r="S168" s="57">
        <f t="shared" ca="1" si="42"/>
        <v>292007263.83444977</v>
      </c>
      <c r="T168" s="4"/>
    </row>
    <row r="169" spans="1:35" x14ac:dyDescent="0.2">
      <c r="A169" s="11">
        <f t="shared" si="43"/>
        <v>2014</v>
      </c>
      <c r="D169" s="41">
        <f t="shared" si="39"/>
        <v>290591982.63</v>
      </c>
      <c r="E169" s="41">
        <f t="shared" si="40"/>
        <v>2046448.2872741346</v>
      </c>
      <c r="F169" s="5">
        <f t="shared" si="41"/>
        <v>292638430.91727418</v>
      </c>
      <c r="Q169" s="5">
        <f t="shared" ca="1" si="38"/>
        <v>298513238.86036646</v>
      </c>
      <c r="R169" s="57">
        <f>'Historic CDM'!M8</f>
        <v>2046448.2872741348</v>
      </c>
      <c r="S169" s="57">
        <f t="shared" ca="1" si="42"/>
        <v>296466790.57309228</v>
      </c>
      <c r="T169" s="4"/>
    </row>
    <row r="170" spans="1:35" x14ac:dyDescent="0.2">
      <c r="A170" s="11">
        <f t="shared" si="43"/>
        <v>2015</v>
      </c>
      <c r="B170" s="11"/>
      <c r="C170" s="11"/>
      <c r="D170" s="41">
        <f t="shared" si="39"/>
        <v>295940879.87469882</v>
      </c>
      <c r="E170" s="41">
        <f t="shared" si="40"/>
        <v>3804024.9288133155</v>
      </c>
      <c r="F170" s="5">
        <f t="shared" si="41"/>
        <v>299744904.8035121</v>
      </c>
      <c r="Q170" s="5">
        <f t="shared" ca="1" si="38"/>
        <v>302531150.53117192</v>
      </c>
      <c r="R170" s="57">
        <f>'Historic CDM'!M9</f>
        <v>3804024.9288133159</v>
      </c>
      <c r="S170" s="57">
        <f t="shared" ca="1" si="42"/>
        <v>298727125.60235864</v>
      </c>
      <c r="T170" s="4"/>
      <c r="AG170" s="39"/>
      <c r="AH170" s="39"/>
      <c r="AI170" s="39"/>
    </row>
    <row r="171" spans="1:35" x14ac:dyDescent="0.2">
      <c r="A171" s="11">
        <f t="shared" si="43"/>
        <v>2016</v>
      </c>
      <c r="D171" s="41">
        <f t="shared" si="39"/>
        <v>310749015.99036139</v>
      </c>
      <c r="E171" s="41">
        <f t="shared" si="40"/>
        <v>6041275.5090756081</v>
      </c>
      <c r="F171" s="5">
        <f t="shared" si="41"/>
        <v>316790291.49943697</v>
      </c>
      <c r="Q171" s="5">
        <f t="shared" ca="1" si="38"/>
        <v>309883263.93706638</v>
      </c>
      <c r="R171" s="57">
        <f>'Historic CDM'!M10</f>
        <v>6041275.5090756072</v>
      </c>
      <c r="S171" s="57">
        <f t="shared" ca="1" si="42"/>
        <v>303841988.42799079</v>
      </c>
      <c r="T171" s="4"/>
    </row>
    <row r="172" spans="1:35" x14ac:dyDescent="0.2">
      <c r="A172" s="11">
        <f t="shared" si="43"/>
        <v>2017</v>
      </c>
      <c r="B172" s="11"/>
      <c r="C172" s="11"/>
      <c r="D172" s="41">
        <f t="shared" si="39"/>
        <v>294253405.64819276</v>
      </c>
      <c r="E172" s="41">
        <f t="shared" si="40"/>
        <v>11501759.853604494</v>
      </c>
      <c r="F172" s="5">
        <f t="shared" si="41"/>
        <v>305755165.50179738</v>
      </c>
      <c r="Q172" s="5">
        <f t="shared" ca="1" si="38"/>
        <v>311680498.48255396</v>
      </c>
      <c r="R172" s="57">
        <f>'Historic CDM'!M11</f>
        <v>11501759.853604492</v>
      </c>
      <c r="S172" s="57">
        <f t="shared" ca="1" si="42"/>
        <v>300178738.62894946</v>
      </c>
      <c r="T172" s="4"/>
    </row>
    <row r="173" spans="1:35" x14ac:dyDescent="0.2">
      <c r="A173" s="11">
        <f t="shared" si="43"/>
        <v>2018</v>
      </c>
      <c r="D173" s="41">
        <f t="shared" si="39"/>
        <v>323623192.28915668</v>
      </c>
      <c r="E173" s="41">
        <f t="shared" si="40"/>
        <v>15382195.680825928</v>
      </c>
      <c r="F173" s="5">
        <f t="shared" si="41"/>
        <v>339005387.96998256</v>
      </c>
      <c r="Q173" s="5">
        <f t="shared" ca="1" si="38"/>
        <v>332209066.25019044</v>
      </c>
      <c r="R173" s="57">
        <f>'Historic CDM'!M12</f>
        <v>15382195.680825928</v>
      </c>
      <c r="S173" s="57">
        <f t="shared" ca="1" si="42"/>
        <v>316826870.56936449</v>
      </c>
      <c r="T173" s="4"/>
    </row>
    <row r="174" spans="1:35" x14ac:dyDescent="0.2">
      <c r="A174" s="11">
        <f t="shared" si="43"/>
        <v>2019</v>
      </c>
      <c r="B174" s="11"/>
      <c r="C174" s="11"/>
      <c r="D174" s="41">
        <f t="shared" si="39"/>
        <v>316413176.16385555</v>
      </c>
      <c r="E174" s="41">
        <f t="shared" si="40"/>
        <v>16904286.956643324</v>
      </c>
      <c r="F174" s="5">
        <f t="shared" si="41"/>
        <v>333317463.12049884</v>
      </c>
      <c r="Q174" s="5">
        <f t="shared" ca="1" si="38"/>
        <v>336932189.55822664</v>
      </c>
      <c r="R174" s="57">
        <f>'Historic CDM'!M13</f>
        <v>16904286.956643321</v>
      </c>
      <c r="S174" s="57">
        <f t="shared" ca="1" si="42"/>
        <v>320027902.6015833</v>
      </c>
      <c r="T174" s="4"/>
    </row>
    <row r="175" spans="1:35" x14ac:dyDescent="0.2">
      <c r="A175" s="11">
        <f t="shared" si="43"/>
        <v>2020</v>
      </c>
      <c r="D175" s="41">
        <f t="shared" si="39"/>
        <v>353805930.95903623</v>
      </c>
      <c r="E175" s="41">
        <f t="shared" si="40"/>
        <v>16711723.878813386</v>
      </c>
      <c r="F175" s="5">
        <f t="shared" si="41"/>
        <v>370517654.83784956</v>
      </c>
      <c r="Q175" s="5">
        <f t="shared" ca="1" si="38"/>
        <v>369001279.61904097</v>
      </c>
      <c r="R175" s="57">
        <f>'Historic CDM'!M14</f>
        <v>16711723.878813386</v>
      </c>
      <c r="S175" s="57">
        <f t="shared" ca="1" si="42"/>
        <v>352289555.74022758</v>
      </c>
      <c r="T175" s="4"/>
      <c r="U175" s="5"/>
    </row>
    <row r="176" spans="1:35" x14ac:dyDescent="0.2">
      <c r="A176" s="11">
        <f t="shared" si="43"/>
        <v>2021</v>
      </c>
      <c r="B176" s="11"/>
      <c r="C176" s="11"/>
      <c r="D176" s="41">
        <f>SUMIF(B:B,A176,D:D)</f>
        <v>360408160.45301205</v>
      </c>
      <c r="E176" s="41">
        <f t="shared" si="40"/>
        <v>16635686.306711918</v>
      </c>
      <c r="F176" s="5">
        <f t="shared" si="41"/>
        <v>377043846.75972396</v>
      </c>
      <c r="Q176" s="5">
        <f t="shared" ca="1" si="38"/>
        <v>376282845.9204675</v>
      </c>
      <c r="R176" s="57">
        <f>'Historic CDM'!M15</f>
        <v>16635686.30671192</v>
      </c>
      <c r="S176" s="57">
        <f t="shared" ca="1" si="42"/>
        <v>359647159.61375552</v>
      </c>
      <c r="T176" s="4"/>
      <c r="U176" s="5"/>
    </row>
    <row r="177" spans="1:35" x14ac:dyDescent="0.2">
      <c r="A177" s="11">
        <f t="shared" si="43"/>
        <v>2022</v>
      </c>
      <c r="B177" s="11"/>
      <c r="C177" s="11"/>
      <c r="D177" s="41"/>
      <c r="E177" s="41"/>
      <c r="Q177" s="5">
        <f t="shared" ca="1" si="38"/>
        <v>372941838.03899521</v>
      </c>
      <c r="R177" s="57">
        <f>'Historic CDM'!M16</f>
        <v>16657469.893573921</v>
      </c>
      <c r="S177" s="57">
        <f t="shared" ca="1" si="42"/>
        <v>356284368.14542127</v>
      </c>
      <c r="T177" s="29">
        <f>'Rate Class Energy Model'!$C$20</f>
        <v>1186506.8036179999</v>
      </c>
      <c r="U177" s="62">
        <f ca="1">S177-T177</f>
        <v>355097861.34180325</v>
      </c>
    </row>
    <row r="178" spans="1:35" x14ac:dyDescent="0.2">
      <c r="A178" s="11">
        <f t="shared" si="43"/>
        <v>2023</v>
      </c>
      <c r="D178" s="41"/>
      <c r="E178" s="41"/>
      <c r="L178" s="43"/>
      <c r="M178" s="43"/>
      <c r="N178" s="54"/>
      <c r="O178" s="43"/>
      <c r="P178" s="43"/>
      <c r="Q178" s="5">
        <f ca="1">SUMIF(B:B,A178,Q:Q)</f>
        <v>372390659.2331925</v>
      </c>
      <c r="R178" s="57">
        <f>'Historic CDM'!M17</f>
        <v>16579223.715500981</v>
      </c>
      <c r="S178" s="57">
        <f t="shared" ca="1" si="42"/>
        <v>355811435.51769143</v>
      </c>
      <c r="T178" s="29">
        <f>'Rate Class Energy Model'!$C$20</f>
        <v>1186506.8036179999</v>
      </c>
      <c r="U178" s="62">
        <f ca="1">S178-T178</f>
        <v>354624928.71407342</v>
      </c>
    </row>
    <row r="179" spans="1:35" x14ac:dyDescent="0.2">
      <c r="AG179" s="39"/>
      <c r="AH179" s="39"/>
      <c r="AI179" s="39"/>
    </row>
    <row r="190" spans="1:35" x14ac:dyDescent="0.2">
      <c r="AG190" s="39"/>
      <c r="AH190" s="39"/>
      <c r="AI190" s="39"/>
    </row>
  </sheetData>
  <mergeCells count="3">
    <mergeCell ref="A1:F1"/>
    <mergeCell ref="V144:V146"/>
    <mergeCell ref="W144:W146"/>
  </mergeCells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20" max="1048575" man="1"/>
    <brk id="30" max="222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2EF57-9398-4C13-A418-F9FEB47253C4}">
  <sheetPr>
    <tabColor theme="9" tint="0.79998168889431442"/>
  </sheetPr>
  <dimension ref="A1:AW195"/>
  <sheetViews>
    <sheetView zoomScale="80" zoomScaleNormal="80" workbookViewId="0">
      <pane xSplit="1" ySplit="2" topLeftCell="I3" activePane="bottomRight" state="frozen"/>
      <selection activeCell="V159" sqref="V159"/>
      <selection pane="topRight" activeCell="V159" sqref="V159"/>
      <selection pane="bottomLeft" activeCell="V159" sqref="V159"/>
      <selection pane="bottomRight" activeCell="T13" sqref="T13"/>
    </sheetView>
  </sheetViews>
  <sheetFormatPr defaultRowHeight="12.75" x14ac:dyDescent="0.2"/>
  <cols>
    <col min="1" max="3" width="11.85546875" customWidth="1"/>
    <col min="4" max="4" width="14.85546875" customWidth="1"/>
    <col min="5" max="5" width="11.85546875" customWidth="1"/>
    <col min="6" max="6" width="13" style="5" bestFit="1" customWidth="1"/>
    <col min="7" max="7" width="10.85546875" style="1" customWidth="1"/>
    <col min="8" max="10" width="11.85546875" style="1" customWidth="1"/>
    <col min="11" max="11" width="8" style="1" customWidth="1"/>
    <col min="12" max="12" width="13.5703125" style="57" bestFit="1" customWidth="1"/>
    <col min="13" max="13" width="10.140625" style="1" customWidth="1"/>
    <col min="14" max="14" width="14.7109375" style="1" customWidth="1"/>
    <col min="15" max="15" width="16" style="1" bestFit="1" customWidth="1"/>
    <col min="16" max="16" width="16" style="1" customWidth="1"/>
    <col min="17" max="17" width="15.140625" style="1" bestFit="1" customWidth="1"/>
    <col min="18" max="18" width="14.42578125" style="1" customWidth="1"/>
    <col min="19" max="19" width="22.42578125" bestFit="1" customWidth="1"/>
    <col min="20" max="20" width="13" customWidth="1"/>
    <col min="21" max="21" width="18.85546875" bestFit="1" customWidth="1"/>
    <col min="22" max="22" width="13.7109375" bestFit="1" customWidth="1"/>
    <col min="23" max="23" width="13" bestFit="1" customWidth="1"/>
    <col min="24" max="24" width="14.85546875" bestFit="1" customWidth="1"/>
    <col min="25" max="27" width="13.7109375" bestFit="1" customWidth="1"/>
    <col min="28" max="29" width="13" bestFit="1" customWidth="1"/>
    <col min="30" max="30" width="12.28515625" bestFit="1" customWidth="1"/>
    <col min="31" max="32" width="12.28515625" style="5" bestFit="1" customWidth="1"/>
    <col min="33" max="39" width="12.7109375" style="5" customWidth="1"/>
    <col min="40" max="49" width="12.7109375" customWidth="1"/>
  </cols>
  <sheetData>
    <row r="1" spans="1:45" ht="20.25" customHeight="1" x14ac:dyDescent="0.25">
      <c r="A1" s="321" t="s">
        <v>343</v>
      </c>
      <c r="B1" s="321"/>
      <c r="C1" s="321"/>
      <c r="D1" s="63"/>
      <c r="E1" s="63"/>
      <c r="F1" s="63"/>
      <c r="G1" s="64"/>
      <c r="L1" s="1"/>
    </row>
    <row r="2" spans="1:45" ht="42" customHeight="1" x14ac:dyDescent="0.2">
      <c r="D2" s="151" t="str">
        <f>Data!G1</f>
        <v>GSlt50_kWh</v>
      </c>
      <c r="E2" s="151" t="str">
        <f>Data!H1</f>
        <v>GSlt50_CDM</v>
      </c>
      <c r="F2" s="151" t="str">
        <f>Data!I1</f>
        <v>GSlt50_NoCDM</v>
      </c>
      <c r="G2" s="129" t="str">
        <f>Data!AR1</f>
        <v>HDD14</v>
      </c>
      <c r="H2" s="129" t="str">
        <f>Data!AS1</f>
        <v>CDD14</v>
      </c>
      <c r="I2" s="129" t="str">
        <f>G2&amp;"Norm"</f>
        <v>HDD14Norm</v>
      </c>
      <c r="J2" s="129" t="str">
        <f>H2&amp;"Norm"</f>
        <v>CDD14Norm</v>
      </c>
      <c r="K2" s="8" t="s">
        <v>291</v>
      </c>
      <c r="L2" s="8" t="s">
        <v>274</v>
      </c>
      <c r="M2" s="8" t="s">
        <v>36</v>
      </c>
      <c r="N2" s="139" t="str">
        <f>Data!BZ1</f>
        <v>COVID_AM</v>
      </c>
      <c r="O2" s="8" t="s">
        <v>275</v>
      </c>
      <c r="P2" s="8" t="s">
        <v>290</v>
      </c>
      <c r="Q2" s="8" t="s">
        <v>277</v>
      </c>
      <c r="R2" s="8" t="s">
        <v>278</v>
      </c>
      <c r="AE2" s="7"/>
      <c r="AF2" s="7"/>
      <c r="AG2" s="7"/>
    </row>
    <row r="3" spans="1:45" ht="12.75" customHeight="1" x14ac:dyDescent="0.2">
      <c r="A3" s="2">
        <v>40544</v>
      </c>
      <c r="B3">
        <f>YEAR(A3)</f>
        <v>2011</v>
      </c>
      <c r="C3">
        <f>MONTH(A3)</f>
        <v>1</v>
      </c>
      <c r="D3" s="151">
        <f>Data!G2</f>
        <v>6855369.9400000023</v>
      </c>
      <c r="E3" s="151">
        <f>Data!H2</f>
        <v>9467.620679902544</v>
      </c>
      <c r="F3" s="151">
        <f>Data!I2</f>
        <v>6864837.5606799051</v>
      </c>
      <c r="G3" s="129">
        <f>Data!AR2</f>
        <v>651.30000000000007</v>
      </c>
      <c r="H3" s="129">
        <f>Data!AS2</f>
        <v>0</v>
      </c>
      <c r="I3" s="129">
        <f t="shared" ref="I3:J18" ca="1" si="0">I15</f>
        <v>557.82052631578927</v>
      </c>
      <c r="J3" s="129">
        <f t="shared" ca="1" si="0"/>
        <v>0</v>
      </c>
      <c r="K3" s="32">
        <f>Data!BW2</f>
        <v>0</v>
      </c>
      <c r="L3" s="32">
        <f>Data!AB2</f>
        <v>2283</v>
      </c>
      <c r="M3" s="32">
        <f>Data!BI2</f>
        <v>1</v>
      </c>
      <c r="N3" s="140">
        <f>Data!BZ2</f>
        <v>0</v>
      </c>
      <c r="O3" s="32">
        <f ca="1">F3+(I3-G3)*$T$20+(J3-H3)*$T$21</f>
        <v>6543237.5882792342</v>
      </c>
      <c r="P3" s="32">
        <f t="shared" ref="P3:P66" ca="1" si="1">O3-E3</f>
        <v>6533769.9675993314</v>
      </c>
      <c r="Q3" s="33">
        <f t="shared" ref="Q3:Q66" ca="1" si="2">+O3-F3</f>
        <v>-321599.97240067087</v>
      </c>
      <c r="R3" s="50">
        <f t="shared" ref="R3:R66" ca="1" si="3">ABS(Q3/F3)</f>
        <v>4.6847426404189971E-2</v>
      </c>
      <c r="AE3"/>
      <c r="AF3" s="39"/>
      <c r="AG3" s="66"/>
      <c r="AH3" s="51"/>
      <c r="AI3" s="74"/>
      <c r="AJ3" s="74"/>
      <c r="AK3" s="204"/>
      <c r="AL3" s="74"/>
      <c r="AM3" s="74"/>
      <c r="AN3" s="197"/>
      <c r="AO3" s="204"/>
      <c r="AP3" s="68"/>
      <c r="AQ3" s="68"/>
      <c r="AR3" s="5"/>
    </row>
    <row r="4" spans="1:45" x14ac:dyDescent="0.2">
      <c r="A4" s="2">
        <v>40575</v>
      </c>
      <c r="B4">
        <f t="shared" ref="B4:B67" si="4">YEAR(A4)</f>
        <v>2011</v>
      </c>
      <c r="C4">
        <f t="shared" ref="C4:C67" si="5">MONTH(A4)</f>
        <v>2</v>
      </c>
      <c r="D4" s="151">
        <f>Data!G3</f>
        <v>7477521.3800000027</v>
      </c>
      <c r="E4" s="151">
        <f>Data!H3</f>
        <v>9467.620679902544</v>
      </c>
      <c r="F4" s="151">
        <f>Data!I3</f>
        <v>7486989.0006799055</v>
      </c>
      <c r="G4" s="129">
        <f>Data!AR3</f>
        <v>542.20000000000016</v>
      </c>
      <c r="H4" s="129">
        <f>Data!AS3</f>
        <v>0</v>
      </c>
      <c r="I4" s="129">
        <f t="shared" ca="1" si="0"/>
        <v>513.95684210526292</v>
      </c>
      <c r="J4" s="129">
        <f t="shared" ca="1" si="0"/>
        <v>0</v>
      </c>
      <c r="K4" s="32">
        <f>Data!BW3</f>
        <v>0</v>
      </c>
      <c r="L4" s="32">
        <f>Data!AB3</f>
        <v>2302</v>
      </c>
      <c r="M4" s="32">
        <f>Data!BI3</f>
        <v>2</v>
      </c>
      <c r="N4" s="140">
        <f>Data!BZ3</f>
        <v>0</v>
      </c>
      <c r="O4" s="32">
        <f t="shared" ref="O4:O67" ca="1" si="6">F4+(I4-G4)*$T$20+(J4-H4)*$T$21</f>
        <v>7389823.2974353712</v>
      </c>
      <c r="P4" s="32">
        <f t="shared" ca="1" si="1"/>
        <v>7380355.6767554684</v>
      </c>
      <c r="Q4" s="33">
        <f t="shared" ca="1" si="2"/>
        <v>-97165.703244534321</v>
      </c>
      <c r="R4" s="50">
        <f t="shared" ca="1" si="3"/>
        <v>1.2977941230541483E-2</v>
      </c>
      <c r="AE4"/>
      <c r="AF4" s="39"/>
      <c r="AG4" s="51"/>
      <c r="AH4" s="74"/>
      <c r="AI4" s="74"/>
      <c r="AJ4" s="74"/>
      <c r="AK4" s="197"/>
      <c r="AL4" s="208"/>
      <c r="AM4" s="74"/>
      <c r="AN4" s="197"/>
      <c r="AO4" s="197"/>
      <c r="AP4" s="68"/>
      <c r="AQ4" s="68"/>
      <c r="AR4" s="5"/>
    </row>
    <row r="5" spans="1:45" x14ac:dyDescent="0.2">
      <c r="A5" s="2">
        <v>40603</v>
      </c>
      <c r="B5">
        <f t="shared" si="4"/>
        <v>2011</v>
      </c>
      <c r="C5">
        <f t="shared" si="5"/>
        <v>3</v>
      </c>
      <c r="D5" s="151">
        <f>Data!G4</f>
        <v>7152568.5900000026</v>
      </c>
      <c r="E5" s="151">
        <f>Data!H4</f>
        <v>9467.620679902544</v>
      </c>
      <c r="F5" s="151">
        <f>Data!I4</f>
        <v>7162036.2106799055</v>
      </c>
      <c r="G5" s="129">
        <f>Data!AR4</f>
        <v>448.8</v>
      </c>
      <c r="H5" s="129">
        <f>Data!AS4</f>
        <v>0</v>
      </c>
      <c r="I5" s="129">
        <f t="shared" ca="1" si="0"/>
        <v>400.06210526315817</v>
      </c>
      <c r="J5" s="129">
        <f t="shared" ca="1" si="0"/>
        <v>0.74263157894736409</v>
      </c>
      <c r="K5" s="32">
        <f>Data!BW4</f>
        <v>0</v>
      </c>
      <c r="L5" s="32">
        <f>Data!AB4</f>
        <v>2305</v>
      </c>
      <c r="M5" s="32">
        <f>Data!BI4</f>
        <v>3</v>
      </c>
      <c r="N5" s="140">
        <f>Data!BZ4</f>
        <v>0</v>
      </c>
      <c r="O5" s="32">
        <f t="shared" ca="1" si="6"/>
        <v>6998049.7554191547</v>
      </c>
      <c r="P5" s="32">
        <f t="shared" ca="1" si="1"/>
        <v>6988582.1347392518</v>
      </c>
      <c r="Q5" s="33">
        <f t="shared" ca="1" si="2"/>
        <v>-163986.45526075084</v>
      </c>
      <c r="R5" s="50">
        <f t="shared" ca="1" si="3"/>
        <v>2.2896624707959036E-2</v>
      </c>
      <c r="AE5"/>
      <c r="AF5" s="51"/>
      <c r="AG5" s="51"/>
      <c r="AH5" s="74"/>
      <c r="AI5" s="74"/>
      <c r="AJ5" s="74"/>
      <c r="AK5" s="197"/>
      <c r="AL5" s="208"/>
      <c r="AM5" s="74"/>
      <c r="AN5" s="197"/>
      <c r="AO5" s="197"/>
      <c r="AP5" s="67"/>
      <c r="AQ5" s="68"/>
      <c r="AR5" s="5"/>
    </row>
    <row r="6" spans="1:45" ht="12.75" customHeight="1" x14ac:dyDescent="0.2">
      <c r="A6" s="2">
        <v>40634</v>
      </c>
      <c r="B6">
        <f t="shared" si="4"/>
        <v>2011</v>
      </c>
      <c r="C6">
        <f t="shared" si="5"/>
        <v>4</v>
      </c>
      <c r="D6" s="151">
        <f>Data!G5</f>
        <v>6467080.2400000058</v>
      </c>
      <c r="E6" s="151">
        <f>Data!H5</f>
        <v>9467.620679902544</v>
      </c>
      <c r="F6" s="151">
        <f>Data!I5</f>
        <v>6476547.8606799087</v>
      </c>
      <c r="G6" s="129">
        <f>Data!AR5</f>
        <v>213.6</v>
      </c>
      <c r="H6" s="129">
        <f>Data!AS5</f>
        <v>1.3000000000000007</v>
      </c>
      <c r="I6" s="129">
        <f t="shared" ca="1" si="0"/>
        <v>225.72052631578936</v>
      </c>
      <c r="J6" s="129">
        <f t="shared" ca="1" si="0"/>
        <v>0</v>
      </c>
      <c r="K6" s="32">
        <f>Data!BW5</f>
        <v>0</v>
      </c>
      <c r="L6" s="32">
        <f>Data!AB5</f>
        <v>2308</v>
      </c>
      <c r="M6" s="32">
        <f>Data!BI5</f>
        <v>4</v>
      </c>
      <c r="N6" s="140">
        <f>Data!BZ5</f>
        <v>0</v>
      </c>
      <c r="O6" s="32">
        <f t="shared" ca="1" si="6"/>
        <v>6511790.742667567</v>
      </c>
      <c r="P6" s="32">
        <f t="shared" ca="1" si="1"/>
        <v>6502323.1219876641</v>
      </c>
      <c r="Q6" s="33">
        <f t="shared" ca="1" si="2"/>
        <v>35242.881987658329</v>
      </c>
      <c r="R6" s="50">
        <f t="shared" ca="1" si="3"/>
        <v>5.4416153089245495E-3</v>
      </c>
      <c r="AE6"/>
      <c r="AG6" s="74"/>
      <c r="AH6" s="69"/>
      <c r="AJ6" s="39"/>
      <c r="AL6" s="209"/>
      <c r="AM6" s="209"/>
      <c r="AN6" s="5"/>
      <c r="AO6" s="5"/>
      <c r="AP6" s="5"/>
      <c r="AQ6" s="5"/>
      <c r="AR6" s="5"/>
      <c r="AS6" s="28"/>
    </row>
    <row r="7" spans="1:45" x14ac:dyDescent="0.2">
      <c r="A7" s="2">
        <v>40664</v>
      </c>
      <c r="B7">
        <f t="shared" si="4"/>
        <v>2011</v>
      </c>
      <c r="C7">
        <f t="shared" si="5"/>
        <v>5</v>
      </c>
      <c r="D7" s="151">
        <f>Data!G6</f>
        <v>6394046.8700000048</v>
      </c>
      <c r="E7" s="151">
        <f>Data!H6</f>
        <v>9467.620679902544</v>
      </c>
      <c r="F7" s="151">
        <f>Data!I6</f>
        <v>6403514.4906799076</v>
      </c>
      <c r="G7" s="129">
        <f>Data!AR6</f>
        <v>50.8</v>
      </c>
      <c r="H7" s="129">
        <f>Data!AS6</f>
        <v>53.7</v>
      </c>
      <c r="I7" s="129">
        <f t="shared" ca="1" si="0"/>
        <v>59.688947368421054</v>
      </c>
      <c r="J7" s="129">
        <f t="shared" ca="1" si="0"/>
        <v>80.273684210525971</v>
      </c>
      <c r="K7" s="32">
        <f>Data!BW6</f>
        <v>0</v>
      </c>
      <c r="L7" s="32">
        <f>Data!AB6</f>
        <v>2306</v>
      </c>
      <c r="M7" s="32">
        <f>Data!BI6</f>
        <v>5</v>
      </c>
      <c r="N7" s="140">
        <f>Data!BZ6</f>
        <v>0</v>
      </c>
      <c r="O7" s="32">
        <f t="shared" ca="1" si="6"/>
        <v>6566058.1250005635</v>
      </c>
      <c r="P7" s="32">
        <f t="shared" ca="1" si="1"/>
        <v>6556590.5043206606</v>
      </c>
      <c r="Q7" s="33">
        <f t="shared" ca="1" si="2"/>
        <v>162543.63432065584</v>
      </c>
      <c r="R7" s="50">
        <f t="shared" ca="1" si="3"/>
        <v>2.5383503786433597E-2</v>
      </c>
      <c r="AE7"/>
      <c r="AG7" s="74"/>
      <c r="AH7" s="69"/>
      <c r="AI7" s="39"/>
      <c r="AJ7" s="39"/>
      <c r="AL7" s="209"/>
      <c r="AM7" s="209"/>
      <c r="AN7" s="5"/>
      <c r="AO7" s="5"/>
      <c r="AP7" s="5"/>
      <c r="AQ7" s="5"/>
      <c r="AR7" s="5"/>
      <c r="AS7" s="28"/>
    </row>
    <row r="8" spans="1:45" x14ac:dyDescent="0.2">
      <c r="A8" s="2">
        <v>40695</v>
      </c>
      <c r="B8">
        <f t="shared" si="4"/>
        <v>2011</v>
      </c>
      <c r="C8">
        <f t="shared" si="5"/>
        <v>6</v>
      </c>
      <c r="D8" s="151">
        <f>Data!G7</f>
        <v>6868428.5200000014</v>
      </c>
      <c r="E8" s="151">
        <f>Data!H7</f>
        <v>9467.620679902544</v>
      </c>
      <c r="F8" s="151">
        <f>Data!I7</f>
        <v>6877896.1406799043</v>
      </c>
      <c r="G8" s="129">
        <f>Data!AR7</f>
        <v>0</v>
      </c>
      <c r="H8" s="129">
        <f>Data!AS7</f>
        <v>153.20000000000002</v>
      </c>
      <c r="I8" s="129">
        <f t="shared" ca="1" si="0"/>
        <v>1.08894736842106</v>
      </c>
      <c r="J8" s="129">
        <f t="shared" ca="1" si="0"/>
        <v>177.38052631578967</v>
      </c>
      <c r="K8" s="32">
        <f>Data!BW7</f>
        <v>0</v>
      </c>
      <c r="L8" s="32">
        <f>Data!AB7</f>
        <v>2316</v>
      </c>
      <c r="M8" s="32">
        <f>Data!BI7</f>
        <v>6</v>
      </c>
      <c r="N8" s="140">
        <f>Data!BZ7</f>
        <v>0</v>
      </c>
      <c r="O8" s="32">
        <f t="shared" ca="1" si="6"/>
        <v>7001720.9963253755</v>
      </c>
      <c r="P8" s="32">
        <f t="shared" ca="1" si="1"/>
        <v>6992253.3756454727</v>
      </c>
      <c r="Q8" s="33">
        <f t="shared" ca="1" si="2"/>
        <v>123824.85564547125</v>
      </c>
      <c r="R8" s="50">
        <f t="shared" ca="1" si="3"/>
        <v>1.8003304079149809E-2</v>
      </c>
      <c r="AE8"/>
      <c r="AG8" s="74"/>
      <c r="AH8" s="69"/>
      <c r="AI8" s="39"/>
      <c r="AJ8" s="39"/>
      <c r="AL8" s="209"/>
      <c r="AM8" s="209"/>
      <c r="AN8" s="5"/>
      <c r="AO8" s="5"/>
      <c r="AP8" s="5"/>
      <c r="AQ8" s="5"/>
      <c r="AR8" s="5"/>
      <c r="AS8" s="28"/>
    </row>
    <row r="9" spans="1:45" x14ac:dyDescent="0.2">
      <c r="A9" s="2">
        <v>40725</v>
      </c>
      <c r="B9">
        <f t="shared" si="4"/>
        <v>2011</v>
      </c>
      <c r="C9">
        <f t="shared" si="5"/>
        <v>7</v>
      </c>
      <c r="D9" s="151">
        <f>Data!G8</f>
        <v>7225446.5600000024</v>
      </c>
      <c r="E9" s="151">
        <f>Data!H8</f>
        <v>9467.620679902544</v>
      </c>
      <c r="F9" s="151">
        <f>Data!I8</f>
        <v>7234914.1806799052</v>
      </c>
      <c r="G9" s="129">
        <f>Data!AR8</f>
        <v>0</v>
      </c>
      <c r="H9" s="129">
        <f>Data!AS8</f>
        <v>322.29999999999995</v>
      </c>
      <c r="I9" s="129">
        <f t="shared" ca="1" si="0"/>
        <v>0</v>
      </c>
      <c r="J9" s="129">
        <f t="shared" ca="1" si="0"/>
        <v>273.7568421052631</v>
      </c>
      <c r="K9" s="32">
        <f>Data!BW8</f>
        <v>0</v>
      </c>
      <c r="L9" s="32">
        <f>Data!AB8</f>
        <v>2335</v>
      </c>
      <c r="M9" s="32">
        <f>Data!BI8</f>
        <v>7</v>
      </c>
      <c r="N9" s="140">
        <f>Data!BZ8</f>
        <v>0</v>
      </c>
      <c r="O9" s="32">
        <f t="shared" ca="1" si="6"/>
        <v>6993852.8199318228</v>
      </c>
      <c r="P9" s="32">
        <f t="shared" ca="1" si="1"/>
        <v>6984385.19925192</v>
      </c>
      <c r="Q9" s="33">
        <f t="shared" ca="1" si="2"/>
        <v>-241061.3607480824</v>
      </c>
      <c r="R9" s="50">
        <f t="shared" ca="1" si="3"/>
        <v>3.3319173486786063E-2</v>
      </c>
      <c r="AE9"/>
      <c r="AG9" s="74"/>
      <c r="AH9" s="69"/>
      <c r="AI9" s="39"/>
      <c r="AJ9" s="39"/>
      <c r="AL9" s="209"/>
      <c r="AM9" s="209"/>
      <c r="AN9" s="5"/>
      <c r="AO9" s="5"/>
      <c r="AP9" s="5"/>
      <c r="AQ9" s="5"/>
      <c r="AR9" s="5"/>
      <c r="AS9" s="28"/>
    </row>
    <row r="10" spans="1:45" x14ac:dyDescent="0.2">
      <c r="A10" s="2">
        <v>40756</v>
      </c>
      <c r="B10">
        <f t="shared" si="4"/>
        <v>2011</v>
      </c>
      <c r="C10">
        <f t="shared" si="5"/>
        <v>8</v>
      </c>
      <c r="D10" s="151">
        <f>Data!G9</f>
        <v>7335384.9100000048</v>
      </c>
      <c r="E10" s="151">
        <f>Data!H9</f>
        <v>9467.620679902544</v>
      </c>
      <c r="F10" s="151">
        <f>Data!I9</f>
        <v>7344852.5306799076</v>
      </c>
      <c r="G10" s="129">
        <f>Data!AR9</f>
        <v>0</v>
      </c>
      <c r="H10" s="129">
        <f>Data!AS9</f>
        <v>246.19999999999996</v>
      </c>
      <c r="I10" s="129">
        <f t="shared" ca="1" si="0"/>
        <v>0</v>
      </c>
      <c r="J10" s="129">
        <f t="shared" ca="1" si="0"/>
        <v>253.05789473684217</v>
      </c>
      <c r="K10" s="32">
        <f>Data!BW9</f>
        <v>0</v>
      </c>
      <c r="L10" s="32">
        <f>Data!AB9</f>
        <v>2354</v>
      </c>
      <c r="M10" s="32">
        <f>Data!BI9</f>
        <v>8</v>
      </c>
      <c r="N10" s="140">
        <f>Data!BZ9</f>
        <v>0</v>
      </c>
      <c r="O10" s="32">
        <f t="shared" ca="1" si="6"/>
        <v>7378908.2763055861</v>
      </c>
      <c r="P10" s="32">
        <f t="shared" ca="1" si="1"/>
        <v>7369440.6556256833</v>
      </c>
      <c r="Q10" s="33">
        <f t="shared" ca="1" si="2"/>
        <v>34055.74562567845</v>
      </c>
      <c r="R10" s="50">
        <f t="shared" ca="1" si="3"/>
        <v>4.6366820141623636E-3</v>
      </c>
      <c r="AE10"/>
      <c r="AG10" s="74"/>
      <c r="AH10" s="69"/>
      <c r="AI10" s="39"/>
      <c r="AJ10" s="39"/>
      <c r="AL10" s="209"/>
      <c r="AM10" s="209"/>
      <c r="AN10" s="5"/>
      <c r="AO10" s="5"/>
      <c r="AP10" s="5"/>
      <c r="AQ10" s="5"/>
      <c r="AR10" s="5"/>
      <c r="AS10" s="28"/>
    </row>
    <row r="11" spans="1:45" x14ac:dyDescent="0.2">
      <c r="A11" s="2">
        <v>40787</v>
      </c>
      <c r="B11">
        <f t="shared" si="4"/>
        <v>2011</v>
      </c>
      <c r="C11">
        <f t="shared" si="5"/>
        <v>9</v>
      </c>
      <c r="D11" s="151">
        <f>Data!G10</f>
        <v>6365381.4099999992</v>
      </c>
      <c r="E11" s="151">
        <f>Data!H10</f>
        <v>9467.620679902544</v>
      </c>
      <c r="F11" s="151">
        <f>Data!I10</f>
        <v>6374849.0306799021</v>
      </c>
      <c r="G11" s="129">
        <f>Data!AR10</f>
        <v>9</v>
      </c>
      <c r="H11" s="129">
        <f>Data!AS10</f>
        <v>120.3</v>
      </c>
      <c r="I11" s="129">
        <f t="shared" ca="1" si="0"/>
        <v>9.9542105263157907</v>
      </c>
      <c r="J11" s="129">
        <f t="shared" ca="1" si="0"/>
        <v>120.49421052631581</v>
      </c>
      <c r="K11" s="32">
        <f>Data!BW10</f>
        <v>1</v>
      </c>
      <c r="L11" s="32">
        <f>Data!AB10</f>
        <v>2360</v>
      </c>
      <c r="M11" s="32">
        <f>Data!BI10</f>
        <v>9</v>
      </c>
      <c r="N11" s="140">
        <f>Data!BZ10</f>
        <v>0</v>
      </c>
      <c r="O11" s="32">
        <f t="shared" ca="1" si="6"/>
        <v>6379096.260696969</v>
      </c>
      <c r="P11" s="32">
        <f t="shared" ca="1" si="1"/>
        <v>6369628.6400170662</v>
      </c>
      <c r="Q11" s="33">
        <f t="shared" ca="1" si="2"/>
        <v>4247.2300170669332</v>
      </c>
      <c r="R11" s="50">
        <f t="shared" ca="1" si="3"/>
        <v>6.6624793726510409E-4</v>
      </c>
      <c r="AE11"/>
      <c r="AG11" s="74"/>
      <c r="AH11" s="69"/>
      <c r="AI11" s="39"/>
      <c r="AJ11" s="39"/>
      <c r="AL11" s="209"/>
      <c r="AM11" s="209"/>
      <c r="AN11" s="5"/>
      <c r="AO11" s="5"/>
      <c r="AP11" s="5"/>
      <c r="AQ11" s="5"/>
      <c r="AR11" s="5"/>
      <c r="AS11" s="28"/>
    </row>
    <row r="12" spans="1:45" ht="13.5" customHeight="1" x14ac:dyDescent="0.2">
      <c r="A12" s="2">
        <v>40817</v>
      </c>
      <c r="B12">
        <f t="shared" si="4"/>
        <v>2011</v>
      </c>
      <c r="C12">
        <f t="shared" si="5"/>
        <v>10</v>
      </c>
      <c r="D12" s="151">
        <f>Data!G11</f>
        <v>6187538.6099999947</v>
      </c>
      <c r="E12" s="151">
        <f>Data!H11</f>
        <v>9467.620679902544</v>
      </c>
      <c r="F12" s="151">
        <f>Data!I11</f>
        <v>6197006.2306798976</v>
      </c>
      <c r="G12" s="129">
        <f>Data!AR11</f>
        <v>131.60000000000002</v>
      </c>
      <c r="H12" s="129">
        <f>Data!AS11</f>
        <v>22.599999999999994</v>
      </c>
      <c r="I12" s="129">
        <f t="shared" ca="1" si="0"/>
        <v>107.70315789473716</v>
      </c>
      <c r="J12" s="129">
        <f t="shared" ca="1" si="0"/>
        <v>25.808421052631616</v>
      </c>
      <c r="K12" s="32">
        <f>Data!BW11</f>
        <v>1</v>
      </c>
      <c r="L12" s="32">
        <f>Data!AB11</f>
        <v>2364</v>
      </c>
      <c r="M12" s="32">
        <f>Data!BI11</f>
        <v>10</v>
      </c>
      <c r="N12" s="140">
        <f>Data!BZ11</f>
        <v>0</v>
      </c>
      <c r="O12" s="32">
        <f t="shared" ca="1" si="6"/>
        <v>6130726.032824954</v>
      </c>
      <c r="P12" s="32">
        <f t="shared" ca="1" si="1"/>
        <v>6121258.4121450512</v>
      </c>
      <c r="Q12" s="33">
        <f t="shared" ca="1" si="2"/>
        <v>-66280.197854943573</v>
      </c>
      <c r="R12" s="50">
        <f t="shared" ca="1" si="3"/>
        <v>1.0695518995415262E-2</v>
      </c>
      <c r="AE12"/>
      <c r="AG12" s="74"/>
      <c r="AH12" s="69"/>
      <c r="AI12" s="39"/>
      <c r="AJ12" s="39"/>
      <c r="AL12" s="209"/>
      <c r="AM12" s="209"/>
      <c r="AN12" s="5"/>
      <c r="AO12" s="5"/>
      <c r="AP12" s="5"/>
      <c r="AQ12" s="5"/>
      <c r="AR12" s="5"/>
      <c r="AS12" s="28"/>
    </row>
    <row r="13" spans="1:45" x14ac:dyDescent="0.2">
      <c r="A13" s="2">
        <v>40848</v>
      </c>
      <c r="B13">
        <f t="shared" si="4"/>
        <v>2011</v>
      </c>
      <c r="C13">
        <f t="shared" si="5"/>
        <v>11</v>
      </c>
      <c r="D13" s="151">
        <f>Data!G12</f>
        <v>6503187.4399999985</v>
      </c>
      <c r="E13" s="151">
        <f>Data!H12</f>
        <v>9467.620679902544</v>
      </c>
      <c r="F13" s="151">
        <f>Data!I12</f>
        <v>6512655.0606799014</v>
      </c>
      <c r="G13" s="129">
        <f>Data!AR12</f>
        <v>221.90000000000003</v>
      </c>
      <c r="H13" s="129">
        <f>Data!AS12</f>
        <v>0</v>
      </c>
      <c r="I13" s="129">
        <f t="shared" ca="1" si="0"/>
        <v>305.31105263157906</v>
      </c>
      <c r="J13" s="129">
        <f t="shared" ca="1" si="0"/>
        <v>1.3363157894737014</v>
      </c>
      <c r="K13" s="32">
        <f>Data!BW12</f>
        <v>1</v>
      </c>
      <c r="L13" s="32">
        <f>Data!AB12</f>
        <v>2368</v>
      </c>
      <c r="M13" s="32">
        <f>Data!BI12</f>
        <v>11</v>
      </c>
      <c r="N13" s="140">
        <f>Data!BZ12</f>
        <v>0</v>
      </c>
      <c r="O13" s="32">
        <f t="shared" ca="1" si="6"/>
        <v>6806252.4058159189</v>
      </c>
      <c r="P13" s="32">
        <f t="shared" ca="1" si="1"/>
        <v>6796784.7851360161</v>
      </c>
      <c r="Q13" s="33">
        <f t="shared" ca="1" si="2"/>
        <v>293597.34513601754</v>
      </c>
      <c r="R13" s="50">
        <f t="shared" ca="1" si="3"/>
        <v>4.508105256619669E-2</v>
      </c>
      <c r="S13" s="149"/>
      <c r="T13" t="s">
        <v>356</v>
      </c>
      <c r="U13" s="149"/>
      <c r="V13" s="149"/>
      <c r="W13" s="149"/>
      <c r="X13" s="149"/>
      <c r="Y13" s="315" t="s">
        <v>349</v>
      </c>
      <c r="AE13"/>
      <c r="AG13" s="74"/>
      <c r="AH13" s="69"/>
      <c r="AI13" s="39"/>
      <c r="AJ13" s="39"/>
      <c r="AL13" s="209"/>
      <c r="AM13" s="209"/>
      <c r="AN13" s="5"/>
      <c r="AO13" s="5"/>
      <c r="AP13" s="5"/>
      <c r="AQ13" s="5"/>
      <c r="AR13" s="5"/>
      <c r="AS13" s="28"/>
    </row>
    <row r="14" spans="1:45" ht="13.5" customHeight="1" x14ac:dyDescent="0.2">
      <c r="A14" s="2">
        <v>40878</v>
      </c>
      <c r="B14">
        <f t="shared" si="4"/>
        <v>2011</v>
      </c>
      <c r="C14">
        <f t="shared" si="5"/>
        <v>12</v>
      </c>
      <c r="D14" s="151">
        <f>Data!G13</f>
        <v>8506879.0700000003</v>
      </c>
      <c r="E14" s="151">
        <f>Data!H13</f>
        <v>9467.620679902544</v>
      </c>
      <c r="F14" s="151">
        <f>Data!I13</f>
        <v>8516346.6906799022</v>
      </c>
      <c r="G14" s="129">
        <f>Data!AR13</f>
        <v>410</v>
      </c>
      <c r="H14" s="129">
        <f>Data!AS13</f>
        <v>0</v>
      </c>
      <c r="I14" s="129">
        <f t="shared" ca="1" si="0"/>
        <v>437.78421052631529</v>
      </c>
      <c r="J14" s="129">
        <f t="shared" ca="1" si="0"/>
        <v>0</v>
      </c>
      <c r="K14" s="32">
        <f>Data!BW13</f>
        <v>0</v>
      </c>
      <c r="L14" s="32">
        <f>Data!AB13</f>
        <v>2374</v>
      </c>
      <c r="M14" s="32">
        <f>Data!BI13</f>
        <v>12</v>
      </c>
      <c r="N14" s="140">
        <f>Data!BZ13</f>
        <v>0</v>
      </c>
      <c r="O14" s="32">
        <f t="shared" ca="1" si="6"/>
        <v>8611933.4648269489</v>
      </c>
      <c r="P14" s="32">
        <f t="shared" ca="1" si="1"/>
        <v>8602465.844147047</v>
      </c>
      <c r="Q14" s="33">
        <f t="shared" ca="1" si="2"/>
        <v>95586.77414704673</v>
      </c>
      <c r="R14" s="50">
        <f t="shared" ca="1" si="3"/>
        <v>1.1223917674893948E-2</v>
      </c>
      <c r="S14" t="s">
        <v>352</v>
      </c>
      <c r="Y14" s="315" t="s">
        <v>292</v>
      </c>
      <c r="Z14" s="315"/>
      <c r="AA14" s="315"/>
      <c r="AB14" s="315"/>
      <c r="AC14" s="315"/>
      <c r="AE14"/>
      <c r="AG14" s="74"/>
      <c r="AH14" s="69"/>
      <c r="AI14" s="39"/>
      <c r="AJ14" s="39"/>
      <c r="AL14" s="209"/>
      <c r="AM14" s="209"/>
      <c r="AN14" s="5"/>
      <c r="AO14" s="5"/>
      <c r="AP14" s="5"/>
      <c r="AQ14" s="5"/>
      <c r="AR14" s="5"/>
      <c r="AS14" s="28"/>
    </row>
    <row r="15" spans="1:45" x14ac:dyDescent="0.2">
      <c r="A15" s="2">
        <v>40909</v>
      </c>
      <c r="B15">
        <f t="shared" si="4"/>
        <v>2012</v>
      </c>
      <c r="C15">
        <f t="shared" si="5"/>
        <v>1</v>
      </c>
      <c r="D15" s="151">
        <f>Data!G14</f>
        <v>6542070.0699999975</v>
      </c>
      <c r="E15" s="151">
        <f>Data!H14</f>
        <v>32139.174490377161</v>
      </c>
      <c r="F15" s="151">
        <f>Data!I14</f>
        <v>6574209.2444903748</v>
      </c>
      <c r="G15" s="129">
        <f>Data!AR14</f>
        <v>487.1</v>
      </c>
      <c r="H15" s="129">
        <f>Data!AS14</f>
        <v>0</v>
      </c>
      <c r="I15" s="129">
        <f t="shared" ca="1" si="0"/>
        <v>557.82052631578927</v>
      </c>
      <c r="J15" s="129">
        <f t="shared" ca="1" si="0"/>
        <v>0</v>
      </c>
      <c r="K15" s="32">
        <f>Data!BW14</f>
        <v>0</v>
      </c>
      <c r="L15" s="32">
        <f>Data!AB14</f>
        <v>2381</v>
      </c>
      <c r="M15" s="32">
        <f>Data!BI14</f>
        <v>13</v>
      </c>
      <c r="N15" s="140">
        <f>Data!BZ14</f>
        <v>0</v>
      </c>
      <c r="O15" s="32">
        <f t="shared" ca="1" si="6"/>
        <v>6817510.9920820519</v>
      </c>
      <c r="P15" s="32">
        <f t="shared" ca="1" si="1"/>
        <v>6785371.8175916746</v>
      </c>
      <c r="Q15" s="33">
        <f t="shared" ca="1" si="2"/>
        <v>243301.74759167712</v>
      </c>
      <c r="R15" s="50">
        <f t="shared" ca="1" si="3"/>
        <v>3.7008518978245204E-2</v>
      </c>
      <c r="S15" t="s">
        <v>293</v>
      </c>
      <c r="Y15" s="315" t="s">
        <v>293</v>
      </c>
      <c r="Z15" s="315"/>
      <c r="AA15" s="315"/>
      <c r="AB15" s="315"/>
      <c r="AC15" s="315"/>
      <c r="AE15"/>
      <c r="AG15" s="74"/>
      <c r="AH15" s="69"/>
      <c r="AI15" s="39"/>
      <c r="AJ15" s="39"/>
      <c r="AL15" s="209"/>
      <c r="AM15" s="209"/>
      <c r="AN15" s="5"/>
      <c r="AO15" s="5"/>
      <c r="AP15" s="5"/>
      <c r="AQ15" s="5"/>
      <c r="AR15" s="5"/>
      <c r="AS15" s="28"/>
    </row>
    <row r="16" spans="1:45" x14ac:dyDescent="0.2">
      <c r="A16" s="2">
        <v>40940</v>
      </c>
      <c r="B16">
        <f t="shared" si="4"/>
        <v>2012</v>
      </c>
      <c r="C16">
        <f t="shared" si="5"/>
        <v>2</v>
      </c>
      <c r="D16" s="151">
        <f>Data!G15</f>
        <v>7307980.3799999999</v>
      </c>
      <c r="E16" s="151">
        <f>Data!H15</f>
        <v>32139.174490377161</v>
      </c>
      <c r="F16" s="151">
        <f>Data!I15</f>
        <v>7340119.5544903772</v>
      </c>
      <c r="G16" s="129">
        <f>Data!AR15</f>
        <v>415.70000000000005</v>
      </c>
      <c r="H16" s="129">
        <f>Data!AS15</f>
        <v>0</v>
      </c>
      <c r="I16" s="129">
        <f t="shared" ca="1" si="0"/>
        <v>513.95684210526292</v>
      </c>
      <c r="J16" s="129">
        <f t="shared" ca="1" si="0"/>
        <v>0</v>
      </c>
      <c r="K16" s="32">
        <f>Data!BW15</f>
        <v>0</v>
      </c>
      <c r="L16" s="32">
        <f>Data!AB15</f>
        <v>2385</v>
      </c>
      <c r="M16" s="32">
        <f>Data!BI15</f>
        <v>14</v>
      </c>
      <c r="N16" s="140">
        <f>Data!BZ15</f>
        <v>0</v>
      </c>
      <c r="O16" s="32">
        <f t="shared" ca="1" si="6"/>
        <v>7678155.2372326395</v>
      </c>
      <c r="P16" s="32">
        <f t="shared" ca="1" si="1"/>
        <v>7646016.0627422621</v>
      </c>
      <c r="Q16" s="33">
        <f t="shared" ca="1" si="2"/>
        <v>338035.68274226226</v>
      </c>
      <c r="R16" s="50">
        <f t="shared" ca="1" si="3"/>
        <v>4.6053157613143533E-2</v>
      </c>
      <c r="S16" t="s">
        <v>353</v>
      </c>
      <c r="Y16" s="315" t="s">
        <v>294</v>
      </c>
      <c r="Z16" s="315"/>
      <c r="AA16" s="315"/>
      <c r="AB16" s="315"/>
      <c r="AC16" s="315"/>
      <c r="AE16"/>
      <c r="AG16" s="74"/>
      <c r="AH16" s="69"/>
      <c r="AI16" s="39"/>
      <c r="AJ16" s="39"/>
      <c r="AL16" s="209"/>
      <c r="AM16" s="209"/>
      <c r="AN16" s="5"/>
      <c r="AO16" s="5"/>
      <c r="AP16" s="5"/>
      <c r="AQ16" s="5"/>
      <c r="AR16" s="35"/>
      <c r="AS16" s="28"/>
    </row>
    <row r="17" spans="1:46" x14ac:dyDescent="0.2">
      <c r="A17" s="2">
        <v>40969</v>
      </c>
      <c r="B17">
        <f t="shared" si="4"/>
        <v>2012</v>
      </c>
      <c r="C17">
        <f t="shared" si="5"/>
        <v>3</v>
      </c>
      <c r="D17" s="151">
        <f>Data!G16</f>
        <v>6926363.8199999947</v>
      </c>
      <c r="E17" s="151">
        <f>Data!H16</f>
        <v>32139.174490377161</v>
      </c>
      <c r="F17" s="151">
        <f>Data!I16</f>
        <v>6958502.994490372</v>
      </c>
      <c r="G17" s="129">
        <f>Data!AR16</f>
        <v>236.3</v>
      </c>
      <c r="H17" s="129">
        <f>Data!AS16</f>
        <v>11.1</v>
      </c>
      <c r="I17" s="129">
        <f t="shared" ca="1" si="0"/>
        <v>400.06210526315817</v>
      </c>
      <c r="J17" s="129">
        <f t="shared" ca="1" si="0"/>
        <v>0.74263157894736409</v>
      </c>
      <c r="K17" s="32">
        <f>Data!BW16</f>
        <v>0</v>
      </c>
      <c r="L17" s="32">
        <f>Data!AB16</f>
        <v>2391</v>
      </c>
      <c r="M17" s="32">
        <f>Data!BI16</f>
        <v>15</v>
      </c>
      <c r="N17" s="140">
        <f>Data!BZ16</f>
        <v>0</v>
      </c>
      <c r="O17" s="32">
        <f t="shared" ca="1" si="6"/>
        <v>7470464.3669580501</v>
      </c>
      <c r="P17" s="32">
        <f t="shared" ca="1" si="1"/>
        <v>7438325.1924676728</v>
      </c>
      <c r="Q17" s="33">
        <f t="shared" ca="1" si="2"/>
        <v>511961.37246767804</v>
      </c>
      <c r="R17" s="50">
        <f t="shared" ca="1" si="3"/>
        <v>7.3573493159813347E-2</v>
      </c>
      <c r="Y17" s="315"/>
      <c r="Z17" s="315"/>
      <c r="AA17" s="315"/>
      <c r="AB17" s="315"/>
      <c r="AC17" s="315"/>
      <c r="AE17"/>
      <c r="AG17" s="74"/>
      <c r="AH17" s="69"/>
      <c r="AI17" s="39"/>
      <c r="AJ17" s="39"/>
      <c r="AL17" s="209"/>
      <c r="AM17" s="209"/>
      <c r="AN17" s="5"/>
      <c r="AO17" s="5"/>
      <c r="AP17" s="5"/>
      <c r="AQ17" s="5"/>
      <c r="AR17" s="5"/>
      <c r="AS17" s="28"/>
    </row>
    <row r="18" spans="1:46" x14ac:dyDescent="0.2">
      <c r="A18" s="2">
        <v>41000</v>
      </c>
      <c r="B18">
        <f t="shared" si="4"/>
        <v>2012</v>
      </c>
      <c r="C18">
        <f t="shared" si="5"/>
        <v>4</v>
      </c>
      <c r="D18" s="151">
        <f>Data!G17</f>
        <v>6496796.9000000078</v>
      </c>
      <c r="E18" s="151">
        <f>Data!H17</f>
        <v>32139.174490377161</v>
      </c>
      <c r="F18" s="151">
        <f>Data!I17</f>
        <v>6528936.0744903851</v>
      </c>
      <c r="G18" s="129">
        <f>Data!AR17</f>
        <v>206.9</v>
      </c>
      <c r="H18" s="129">
        <f>Data!AS17</f>
        <v>5.1999999999999975</v>
      </c>
      <c r="I18" s="129">
        <f t="shared" ca="1" si="0"/>
        <v>225.72052631578936</v>
      </c>
      <c r="J18" s="129">
        <f t="shared" ca="1" si="0"/>
        <v>0</v>
      </c>
      <c r="K18" s="32">
        <f>Data!BW17</f>
        <v>0</v>
      </c>
      <c r="L18" s="32">
        <f>Data!AB17</f>
        <v>2398</v>
      </c>
      <c r="M18" s="32">
        <f>Data!BI17</f>
        <v>16</v>
      </c>
      <c r="N18" s="140">
        <f>Data!BZ17</f>
        <v>0</v>
      </c>
      <c r="O18" s="32">
        <f t="shared" ca="1" si="6"/>
        <v>6567862.0667220345</v>
      </c>
      <c r="P18" s="32">
        <f t="shared" ca="1" si="1"/>
        <v>6535722.8922316572</v>
      </c>
      <c r="Q18" s="33">
        <f t="shared" ca="1" si="2"/>
        <v>38925.992231649347</v>
      </c>
      <c r="R18" s="50">
        <f t="shared" ca="1" si="3"/>
        <v>5.9620728075037415E-3</v>
      </c>
      <c r="S18" s="149"/>
      <c r="T18" s="149" t="s">
        <v>135</v>
      </c>
      <c r="U18" s="149" t="s">
        <v>136</v>
      </c>
      <c r="V18" t="s">
        <v>137</v>
      </c>
      <c r="W18" t="s">
        <v>138</v>
      </c>
      <c r="X18" s="149"/>
      <c r="Y18" s="149"/>
      <c r="Z18" s="149" t="s">
        <v>135</v>
      </c>
      <c r="AA18" s="149" t="s">
        <v>136</v>
      </c>
      <c r="AB18" s="315" t="s">
        <v>137</v>
      </c>
      <c r="AC18" s="315" t="s">
        <v>138</v>
      </c>
      <c r="AE18"/>
      <c r="AF18" s="51"/>
      <c r="AG18" s="69"/>
      <c r="AH18" s="70"/>
      <c r="AI18" s="39"/>
      <c r="AL18" s="60"/>
      <c r="AM18" s="71"/>
      <c r="AN18" s="71"/>
      <c r="AO18" s="71"/>
      <c r="AP18" s="5"/>
      <c r="AQ18" s="5"/>
      <c r="AS18" s="28"/>
    </row>
    <row r="19" spans="1:46" x14ac:dyDescent="0.2">
      <c r="A19" s="2">
        <v>41030</v>
      </c>
      <c r="B19">
        <f t="shared" si="4"/>
        <v>2012</v>
      </c>
      <c r="C19">
        <f t="shared" si="5"/>
        <v>5</v>
      </c>
      <c r="D19" s="151">
        <f>Data!G18</f>
        <v>6393894.2299999967</v>
      </c>
      <c r="E19" s="151">
        <f>Data!H18</f>
        <v>32139.174490377161</v>
      </c>
      <c r="F19" s="151">
        <f>Data!I18</f>
        <v>6426033.404490374</v>
      </c>
      <c r="G19" s="129">
        <f>Data!AR18</f>
        <v>21.499999999999996</v>
      </c>
      <c r="H19" s="129">
        <f>Data!AS18</f>
        <v>101.5</v>
      </c>
      <c r="I19" s="129">
        <f t="shared" ref="I19:J34" ca="1" si="7">I31</f>
        <v>59.688947368421054</v>
      </c>
      <c r="J19" s="129">
        <f t="shared" ca="1" si="7"/>
        <v>80.273684210525971</v>
      </c>
      <c r="K19" s="32">
        <f>Data!BW18</f>
        <v>0</v>
      </c>
      <c r="L19" s="32">
        <f>Data!AB18</f>
        <v>2400</v>
      </c>
      <c r="M19" s="32">
        <f>Data!BI18</f>
        <v>17</v>
      </c>
      <c r="N19" s="140">
        <f>Data!BZ18</f>
        <v>0</v>
      </c>
      <c r="O19" s="32">
        <f t="shared" ca="1" si="6"/>
        <v>6452007.7253680844</v>
      </c>
      <c r="P19" s="32">
        <f t="shared" ca="1" si="1"/>
        <v>6419868.5508777071</v>
      </c>
      <c r="Q19" s="33">
        <f t="shared" ca="1" si="2"/>
        <v>25974.320877710357</v>
      </c>
      <c r="R19" s="50">
        <f t="shared" ca="1" si="3"/>
        <v>4.0420457291056189E-3</v>
      </c>
      <c r="S19" t="s">
        <v>139</v>
      </c>
      <c r="T19">
        <v>-6099081.5551802199</v>
      </c>
      <c r="U19">
        <v>2782470.7393203801</v>
      </c>
      <c r="V19">
        <v>-2.1919661073129202</v>
      </c>
      <c r="W19" s="130">
        <v>3.02344359271896E-2</v>
      </c>
      <c r="Y19" s="315" t="s">
        <v>139</v>
      </c>
      <c r="Z19" s="315">
        <v>-5916373.9028787296</v>
      </c>
      <c r="AA19" s="315">
        <v>2782065.71442588</v>
      </c>
      <c r="AB19" s="315">
        <v>-2.1266118453638501</v>
      </c>
      <c r="AC19" s="316">
        <v>3.54180658453924E-2</v>
      </c>
      <c r="AE19"/>
      <c r="AF19" s="74"/>
      <c r="AG19" s="69"/>
      <c r="AH19" s="51"/>
      <c r="AI19" s="77"/>
      <c r="AJ19" s="77"/>
      <c r="AK19" s="1"/>
      <c r="AN19" s="5"/>
      <c r="AO19" s="5"/>
      <c r="AP19" s="5"/>
      <c r="AQ19" s="5"/>
    </row>
    <row r="20" spans="1:46" ht="16.5" customHeight="1" x14ac:dyDescent="0.2">
      <c r="A20" s="2">
        <v>41061</v>
      </c>
      <c r="B20">
        <f t="shared" si="4"/>
        <v>2012</v>
      </c>
      <c r="C20">
        <f t="shared" si="5"/>
        <v>6</v>
      </c>
      <c r="D20" s="151">
        <f>Data!G19</f>
        <v>6938947.9299999932</v>
      </c>
      <c r="E20" s="151">
        <f>Data!H19</f>
        <v>32139.174490377161</v>
      </c>
      <c r="F20" s="151">
        <f>Data!I19</f>
        <v>6971087.1044903705</v>
      </c>
      <c r="G20" s="129">
        <f>Data!AR19</f>
        <v>1.0999999999999996</v>
      </c>
      <c r="H20" s="129">
        <f>Data!AS19</f>
        <v>199.5</v>
      </c>
      <c r="I20" s="129">
        <f t="shared" ca="1" si="7"/>
        <v>1.08894736842106</v>
      </c>
      <c r="J20" s="129">
        <f t="shared" ca="1" si="7"/>
        <v>177.38052631578967</v>
      </c>
      <c r="K20" s="32">
        <f>Data!BW19</f>
        <v>0</v>
      </c>
      <c r="L20" s="32">
        <f>Data!AB19</f>
        <v>2403</v>
      </c>
      <c r="M20" s="32">
        <f>Data!BI19</f>
        <v>18</v>
      </c>
      <c r="N20" s="140">
        <f>Data!BZ19</f>
        <v>0</v>
      </c>
      <c r="O20" s="32">
        <f t="shared" ca="1" si="6"/>
        <v>6861205.5785623109</v>
      </c>
      <c r="P20" s="32">
        <f t="shared" ca="1" si="1"/>
        <v>6829066.4040719336</v>
      </c>
      <c r="Q20" s="33">
        <f t="shared" ca="1" si="2"/>
        <v>-109881.52592805959</v>
      </c>
      <c r="R20" s="50">
        <f t="shared" ca="1" si="3"/>
        <v>1.576246635295667E-2</v>
      </c>
      <c r="S20" t="s">
        <v>115</v>
      </c>
      <c r="T20">
        <v>3440.3271619509601</v>
      </c>
      <c r="U20">
        <v>284.828163773168</v>
      </c>
      <c r="V20">
        <v>12.0786059790449</v>
      </c>
      <c r="W20" s="130">
        <v>9.7984551684840799E-23</v>
      </c>
      <c r="Y20" s="315" t="s">
        <v>115</v>
      </c>
      <c r="Z20" s="315">
        <v>3439.9854526525301</v>
      </c>
      <c r="AA20" s="315">
        <v>284.78100360020699</v>
      </c>
      <c r="AB20" s="315">
        <v>12.0794063127953</v>
      </c>
      <c r="AC20" s="316">
        <v>9.7545551048802706E-23</v>
      </c>
      <c r="AE20"/>
      <c r="AF20" s="74"/>
      <c r="AG20" s="212"/>
      <c r="AH20" s="212"/>
      <c r="AI20" s="39"/>
      <c r="AK20" s="1"/>
      <c r="AN20" s="5"/>
      <c r="AO20" s="5"/>
      <c r="AP20" s="5"/>
      <c r="AQ20" s="5"/>
    </row>
    <row r="21" spans="1:46" x14ac:dyDescent="0.2">
      <c r="A21" s="2">
        <v>41091</v>
      </c>
      <c r="B21">
        <f t="shared" si="4"/>
        <v>2012</v>
      </c>
      <c r="C21">
        <f t="shared" si="5"/>
        <v>7</v>
      </c>
      <c r="D21" s="151">
        <f>Data!G20</f>
        <v>7684381.6799999978</v>
      </c>
      <c r="E21" s="151">
        <f>Data!H20</f>
        <v>32139.174490377161</v>
      </c>
      <c r="F21" s="151">
        <f>Data!I20</f>
        <v>7716520.8544903751</v>
      </c>
      <c r="G21" s="129">
        <f>Data!AR20</f>
        <v>0</v>
      </c>
      <c r="H21" s="129">
        <f>Data!AS20</f>
        <v>319.39999999999998</v>
      </c>
      <c r="I21" s="129">
        <f t="shared" ca="1" si="7"/>
        <v>0</v>
      </c>
      <c r="J21" s="129">
        <f t="shared" ca="1" si="7"/>
        <v>273.7568421052631</v>
      </c>
      <c r="K21" s="32">
        <f>Data!BW20</f>
        <v>0</v>
      </c>
      <c r="L21" s="32">
        <f>Data!AB20</f>
        <v>2401</v>
      </c>
      <c r="M21" s="32">
        <f>Data!BI20</f>
        <v>19</v>
      </c>
      <c r="N21" s="140">
        <f>Data!BZ20</f>
        <v>0</v>
      </c>
      <c r="O21" s="32">
        <f t="shared" ca="1" si="6"/>
        <v>7489860.6570882238</v>
      </c>
      <c r="P21" s="32">
        <f t="shared" ca="1" si="1"/>
        <v>7457721.4825978465</v>
      </c>
      <c r="Q21" s="33">
        <f t="shared" ca="1" si="2"/>
        <v>-226660.1974021513</v>
      </c>
      <c r="R21" s="50">
        <f t="shared" ca="1" si="3"/>
        <v>2.9373366790067554E-2</v>
      </c>
      <c r="S21" t="s">
        <v>116</v>
      </c>
      <c r="T21">
        <v>4965.9183951487103</v>
      </c>
      <c r="U21">
        <v>609.19005431629603</v>
      </c>
      <c r="V21">
        <v>8.1516734555393402</v>
      </c>
      <c r="W21" s="130">
        <v>3.19616687257932E-13</v>
      </c>
      <c r="Y21" s="315" t="s">
        <v>116</v>
      </c>
      <c r="Z21" s="315">
        <v>4964.6694516031102</v>
      </c>
      <c r="AA21" s="315">
        <v>609.08805613857805</v>
      </c>
      <c r="AB21" s="315">
        <v>8.1509880247488606</v>
      </c>
      <c r="AC21" s="316">
        <v>3.2080165827579198E-13</v>
      </c>
      <c r="AE21"/>
      <c r="AF21" s="51"/>
      <c r="AG21" s="69"/>
      <c r="AH21" s="51"/>
      <c r="AI21" s="39"/>
      <c r="AK21" s="1"/>
      <c r="AN21" s="5"/>
      <c r="AO21" s="5"/>
      <c r="AP21" s="5"/>
      <c r="AQ21" s="5"/>
    </row>
    <row r="22" spans="1:46" x14ac:dyDescent="0.2">
      <c r="A22" s="2">
        <v>41122</v>
      </c>
      <c r="B22">
        <f t="shared" si="4"/>
        <v>2012</v>
      </c>
      <c r="C22">
        <f t="shared" si="5"/>
        <v>8</v>
      </c>
      <c r="D22" s="151">
        <f>Data!G21</f>
        <v>7811739.2400000021</v>
      </c>
      <c r="E22" s="151">
        <f>Data!H21</f>
        <v>32139.174490377161</v>
      </c>
      <c r="F22" s="151">
        <f>Data!I21</f>
        <v>7843878.4144903794</v>
      </c>
      <c r="G22" s="129">
        <f>Data!AR21</f>
        <v>0</v>
      </c>
      <c r="H22" s="129">
        <f>Data!AS21</f>
        <v>234.09999999999997</v>
      </c>
      <c r="I22" s="129">
        <f t="shared" ca="1" si="7"/>
        <v>0</v>
      </c>
      <c r="J22" s="129">
        <f t="shared" ca="1" si="7"/>
        <v>253.05789473684217</v>
      </c>
      <c r="K22" s="32">
        <f>Data!BW21</f>
        <v>0</v>
      </c>
      <c r="L22" s="32">
        <f>Data!AB21</f>
        <v>2402</v>
      </c>
      <c r="M22" s="32">
        <f>Data!BI21</f>
        <v>20</v>
      </c>
      <c r="N22" s="140">
        <f>Data!BZ21</f>
        <v>0</v>
      </c>
      <c r="O22" s="32">
        <f t="shared" ca="1" si="6"/>
        <v>7938021.7726973575</v>
      </c>
      <c r="P22" s="32">
        <f t="shared" ca="1" si="1"/>
        <v>7905882.5982069802</v>
      </c>
      <c r="Q22" s="33">
        <f t="shared" ca="1" si="2"/>
        <v>94143.358206978068</v>
      </c>
      <c r="R22" s="50">
        <f t="shared" ca="1" si="3"/>
        <v>1.2002143994616547E-2</v>
      </c>
      <c r="S22" t="s">
        <v>50</v>
      </c>
      <c r="T22">
        <v>-287241.91419102502</v>
      </c>
      <c r="U22">
        <v>97613.616855249202</v>
      </c>
      <c r="V22">
        <v>-2.9426418510541801</v>
      </c>
      <c r="W22">
        <v>3.8799705432143298E-3</v>
      </c>
      <c r="Y22" s="315" t="s">
        <v>50</v>
      </c>
      <c r="Z22" s="315">
        <v>-287027.88525663299</v>
      </c>
      <c r="AA22" s="315">
        <v>97597.718799890194</v>
      </c>
      <c r="AB22" s="315">
        <v>-2.9409282182623699</v>
      </c>
      <c r="AC22" s="315">
        <v>3.9000816786556101E-3</v>
      </c>
      <c r="AE22"/>
      <c r="AF22" s="51"/>
      <c r="AG22" s="69"/>
      <c r="AH22" s="51"/>
      <c r="AI22" s="39"/>
      <c r="AK22" s="72"/>
      <c r="AL22" s="72"/>
      <c r="AM22" s="72"/>
      <c r="AN22" s="72"/>
      <c r="AO22" s="72"/>
      <c r="AP22" s="72"/>
      <c r="AQ22" s="5"/>
    </row>
    <row r="23" spans="1:46" x14ac:dyDescent="0.2">
      <c r="A23" s="2">
        <v>41153</v>
      </c>
      <c r="B23">
        <f t="shared" si="4"/>
        <v>2012</v>
      </c>
      <c r="C23">
        <f t="shared" si="5"/>
        <v>9</v>
      </c>
      <c r="D23" s="151">
        <f>Data!G22</f>
        <v>6409326.7700000005</v>
      </c>
      <c r="E23" s="151">
        <f>Data!H22</f>
        <v>32139.174490377161</v>
      </c>
      <c r="F23" s="151">
        <f>Data!I22</f>
        <v>6441465.9444903778</v>
      </c>
      <c r="G23" s="129">
        <f>Data!AR22</f>
        <v>21.500000000000004</v>
      </c>
      <c r="H23" s="129">
        <f>Data!AS22</f>
        <v>92.09999999999998</v>
      </c>
      <c r="I23" s="129">
        <f t="shared" ca="1" si="7"/>
        <v>9.9542105263157907</v>
      </c>
      <c r="J23" s="129">
        <f t="shared" ca="1" si="7"/>
        <v>120.49421052631581</v>
      </c>
      <c r="K23" s="32">
        <f>Data!BW22</f>
        <v>1</v>
      </c>
      <c r="L23" s="32">
        <f>Data!AB22</f>
        <v>2404</v>
      </c>
      <c r="M23" s="32">
        <f>Data!BI22</f>
        <v>21</v>
      </c>
      <c r="N23" s="140">
        <f>Data!BZ22</f>
        <v>0</v>
      </c>
      <c r="O23" s="32">
        <f t="shared" ca="1" si="6"/>
        <v>6542747.9837262519</v>
      </c>
      <c r="P23" s="32">
        <f t="shared" ca="1" si="1"/>
        <v>6510608.8092358746</v>
      </c>
      <c r="Q23" s="33">
        <f t="shared" ca="1" si="2"/>
        <v>101282.03923587408</v>
      </c>
      <c r="R23" s="50">
        <f t="shared" ca="1" si="3"/>
        <v>1.5723445580350281E-2</v>
      </c>
      <c r="S23" t="s">
        <v>27</v>
      </c>
      <c r="T23">
        <v>5173.3477246432603</v>
      </c>
      <c r="U23">
        <v>1194.64060921499</v>
      </c>
      <c r="V23">
        <v>4.3304636429886099</v>
      </c>
      <c r="W23" s="130">
        <v>3.02214640267163E-5</v>
      </c>
      <c r="Y23" s="315" t="s">
        <v>27</v>
      </c>
      <c r="Z23" s="315">
        <v>5095.3693580959898</v>
      </c>
      <c r="AA23" s="315">
        <v>1194.4667212147699</v>
      </c>
      <c r="AB23" s="315">
        <v>4.2658110666440399</v>
      </c>
      <c r="AC23" s="316">
        <v>3.89573467034949E-5</v>
      </c>
      <c r="AE23"/>
      <c r="AF23" s="51"/>
      <c r="AG23" s="69"/>
      <c r="AH23" s="51"/>
      <c r="AI23" s="39"/>
      <c r="AK23" s="72"/>
      <c r="AL23" s="72"/>
      <c r="AM23" s="72"/>
      <c r="AN23" s="72"/>
      <c r="AO23" s="72"/>
      <c r="AP23" s="72"/>
      <c r="AQ23" s="5"/>
    </row>
    <row r="24" spans="1:46" x14ac:dyDescent="0.2">
      <c r="A24" s="2">
        <v>41183</v>
      </c>
      <c r="B24">
        <f t="shared" si="4"/>
        <v>2012</v>
      </c>
      <c r="C24">
        <f t="shared" si="5"/>
        <v>10</v>
      </c>
      <c r="D24" s="151">
        <f>Data!G23</f>
        <v>6318161.7399999937</v>
      </c>
      <c r="E24" s="151">
        <f>Data!H23</f>
        <v>32139.174490377161</v>
      </c>
      <c r="F24" s="151">
        <f>Data!I23</f>
        <v>6350300.914490371</v>
      </c>
      <c r="G24" s="129">
        <f>Data!AR23</f>
        <v>130.50000000000003</v>
      </c>
      <c r="H24" s="129">
        <f>Data!AS23</f>
        <v>13.1</v>
      </c>
      <c r="I24" s="129">
        <f t="shared" ca="1" si="7"/>
        <v>107.70315789473716</v>
      </c>
      <c r="J24" s="129">
        <f t="shared" ca="1" si="7"/>
        <v>25.808421052631616</v>
      </c>
      <c r="K24" s="32">
        <f>Data!BW23</f>
        <v>1</v>
      </c>
      <c r="L24" s="32">
        <f>Data!AB23</f>
        <v>2413</v>
      </c>
      <c r="M24" s="32">
        <f>Data!BI23</f>
        <v>22</v>
      </c>
      <c r="N24" s="140">
        <f>Data!BZ23</f>
        <v>0</v>
      </c>
      <c r="O24" s="32">
        <f t="shared" ca="1" si="6"/>
        <v>6334981.3012674861</v>
      </c>
      <c r="P24" s="32">
        <f t="shared" ca="1" si="1"/>
        <v>6302842.1267771088</v>
      </c>
      <c r="Q24" s="33">
        <f t="shared" ca="1" si="2"/>
        <v>-15319.613222884946</v>
      </c>
      <c r="R24" s="50">
        <f t="shared" ca="1" si="3"/>
        <v>2.4124231952422975E-3</v>
      </c>
      <c r="S24" t="s">
        <v>36</v>
      </c>
      <c r="T24">
        <v>-12954.2092742026</v>
      </c>
      <c r="U24">
        <v>4812.4176390859202</v>
      </c>
      <c r="V24">
        <v>-2.6918298131463101</v>
      </c>
      <c r="W24" s="130">
        <v>8.0796885829575796E-3</v>
      </c>
      <c r="Y24" s="315" t="s">
        <v>36</v>
      </c>
      <c r="Z24" s="315">
        <v>-12670.260980515101</v>
      </c>
      <c r="AA24" s="315">
        <v>4811.7199068321797</v>
      </c>
      <c r="AB24" s="315">
        <v>-2.63320833835829</v>
      </c>
      <c r="AC24" s="316">
        <v>9.5258154177304492E-3</v>
      </c>
      <c r="AE24"/>
      <c r="AF24" s="51"/>
      <c r="AG24" s="69"/>
      <c r="AH24" s="51"/>
      <c r="AI24" s="39"/>
      <c r="AK24" s="204"/>
      <c r="AL24" s="204"/>
      <c r="AM24" s="204"/>
      <c r="AN24" s="67"/>
      <c r="AO24" s="67"/>
      <c r="AP24" s="67"/>
      <c r="AQ24" s="5"/>
    </row>
    <row r="25" spans="1:46" x14ac:dyDescent="0.2">
      <c r="A25" s="2">
        <v>41214</v>
      </c>
      <c r="B25">
        <f t="shared" si="4"/>
        <v>2012</v>
      </c>
      <c r="C25">
        <f t="shared" si="5"/>
        <v>11</v>
      </c>
      <c r="D25" s="151">
        <f>Data!G24</f>
        <v>6992291.2000000067</v>
      </c>
      <c r="E25" s="151">
        <f>Data!H24</f>
        <v>32139.174490377161</v>
      </c>
      <c r="F25" s="151">
        <f>Data!I24</f>
        <v>7024430.374490384</v>
      </c>
      <c r="G25" s="129">
        <f>Data!AR24</f>
        <v>313.99999999999994</v>
      </c>
      <c r="H25" s="129">
        <f>Data!AS24</f>
        <v>0</v>
      </c>
      <c r="I25" s="129">
        <f t="shared" ca="1" si="7"/>
        <v>305.31105263157906</v>
      </c>
      <c r="J25" s="129">
        <f t="shared" ca="1" si="7"/>
        <v>1.3363157894737014</v>
      </c>
      <c r="K25" s="32">
        <f>Data!BW24</f>
        <v>1</v>
      </c>
      <c r="L25" s="32">
        <f>Data!AB24</f>
        <v>2417</v>
      </c>
      <c r="M25" s="32">
        <f>Data!BI24</f>
        <v>23</v>
      </c>
      <c r="N25" s="140">
        <f>Data!BZ24</f>
        <v>0</v>
      </c>
      <c r="O25" s="32">
        <f t="shared" ca="1" si="6"/>
        <v>7001173.5880107181</v>
      </c>
      <c r="P25" s="32">
        <f t="shared" ca="1" si="1"/>
        <v>6969034.4135203408</v>
      </c>
      <c r="Q25" s="33">
        <f t="shared" ca="1" si="2"/>
        <v>-23256.786479665898</v>
      </c>
      <c r="R25" s="50">
        <f t="shared" ca="1" si="3"/>
        <v>3.310843049156588E-3</v>
      </c>
      <c r="S25" t="s">
        <v>53</v>
      </c>
      <c r="T25">
        <v>-668163.50917892903</v>
      </c>
      <c r="U25">
        <v>213311.81132094099</v>
      </c>
      <c r="V25">
        <v>-3.1323324528599801</v>
      </c>
      <c r="W25">
        <v>2.16039676437865E-3</v>
      </c>
      <c r="Y25" s="315" t="s">
        <v>53</v>
      </c>
      <c r="Z25" s="315">
        <v>-677886.28139511496</v>
      </c>
      <c r="AA25" s="315">
        <v>213280.44147183499</v>
      </c>
      <c r="AB25" s="315">
        <v>-3.1783799616929902</v>
      </c>
      <c r="AC25" s="315">
        <v>1.86680283319016E-3</v>
      </c>
      <c r="AE25" s="2"/>
      <c r="AF25" s="51"/>
      <c r="AG25" s="69"/>
      <c r="AH25" s="73"/>
      <c r="AI25" s="2"/>
      <c r="AJ25" s="39"/>
      <c r="AM25" s="2"/>
      <c r="AN25" s="74"/>
      <c r="AO25" s="74"/>
      <c r="AP25" s="74"/>
      <c r="AQ25" s="2"/>
      <c r="AR25" s="74"/>
      <c r="AS25" s="74"/>
      <c r="AT25" s="5"/>
    </row>
    <row r="26" spans="1:46" x14ac:dyDescent="0.2">
      <c r="A26" s="2">
        <v>41244</v>
      </c>
      <c r="B26">
        <f t="shared" si="4"/>
        <v>2012</v>
      </c>
      <c r="C26">
        <f t="shared" si="5"/>
        <v>12</v>
      </c>
      <c r="D26" s="151">
        <f>Data!G25</f>
        <v>8346319.1100000069</v>
      </c>
      <c r="E26" s="151">
        <f>Data!H25</f>
        <v>32139.174490377161</v>
      </c>
      <c r="F26" s="151">
        <f>Data!I25</f>
        <v>8378458.2844903842</v>
      </c>
      <c r="G26" s="129">
        <f>Data!AR25</f>
        <v>409.50000000000006</v>
      </c>
      <c r="H26" s="129">
        <f>Data!AS25</f>
        <v>0</v>
      </c>
      <c r="I26" s="129">
        <f t="shared" ca="1" si="7"/>
        <v>437.78421052631529</v>
      </c>
      <c r="J26" s="129">
        <f t="shared" ca="1" si="7"/>
        <v>0</v>
      </c>
      <c r="K26" s="32">
        <f>Data!BW25</f>
        <v>0</v>
      </c>
      <c r="L26" s="32">
        <f>Data!AB25</f>
        <v>2425</v>
      </c>
      <c r="M26" s="32">
        <f>Data!BI25</f>
        <v>24</v>
      </c>
      <c r="N26" s="140">
        <f>Data!BZ25</f>
        <v>0</v>
      </c>
      <c r="O26" s="32">
        <f t="shared" ca="1" si="6"/>
        <v>8475765.2222184055</v>
      </c>
      <c r="P26" s="32">
        <f t="shared" ca="1" si="1"/>
        <v>8443626.0477280281</v>
      </c>
      <c r="Q26" s="32">
        <f t="shared" ca="1" si="2"/>
        <v>97306.937728021294</v>
      </c>
      <c r="R26" s="50">
        <f t="shared" ca="1" si="3"/>
        <v>1.1613943093581916E-2</v>
      </c>
      <c r="Y26" s="315"/>
      <c r="Z26" s="315"/>
      <c r="AA26" s="315"/>
      <c r="AB26" s="315"/>
      <c r="AC26" s="315"/>
      <c r="AE26" s="2"/>
      <c r="AF26" s="51"/>
      <c r="AG26" s="69"/>
      <c r="AH26" s="73"/>
      <c r="AI26" s="2"/>
      <c r="AJ26" s="39"/>
      <c r="AM26" s="2"/>
      <c r="AN26" s="74"/>
      <c r="AO26" s="74"/>
      <c r="AP26" s="74"/>
      <c r="AQ26" s="2"/>
      <c r="AR26" s="74"/>
      <c r="AS26" s="74"/>
      <c r="AT26" s="5"/>
    </row>
    <row r="27" spans="1:46" x14ac:dyDescent="0.2">
      <c r="A27" s="2">
        <v>41275</v>
      </c>
      <c r="B27">
        <f t="shared" si="4"/>
        <v>2013</v>
      </c>
      <c r="C27">
        <f t="shared" si="5"/>
        <v>1</v>
      </c>
      <c r="D27" s="151">
        <f>Data!G26</f>
        <v>6992984.0799999973</v>
      </c>
      <c r="E27" s="151">
        <f>Data!H26</f>
        <v>64448.148935414909</v>
      </c>
      <c r="F27" s="151">
        <f>Data!I26</f>
        <v>7057432.2289354121</v>
      </c>
      <c r="G27" s="129">
        <f>Data!AR26</f>
        <v>500.50000000000006</v>
      </c>
      <c r="H27" s="129">
        <f>Data!AS26</f>
        <v>0</v>
      </c>
      <c r="I27" s="129">
        <f t="shared" ca="1" si="7"/>
        <v>557.82052631578927</v>
      </c>
      <c r="J27" s="129">
        <f t="shared" ca="1" si="7"/>
        <v>0</v>
      </c>
      <c r="K27" s="32">
        <f>Data!BW26</f>
        <v>0</v>
      </c>
      <c r="L27" s="32">
        <f>Data!AB26</f>
        <v>2432</v>
      </c>
      <c r="M27" s="32">
        <f>Data!BI26</f>
        <v>25</v>
      </c>
      <c r="N27" s="140">
        <f>Data!BZ26</f>
        <v>0</v>
      </c>
      <c r="O27" s="32">
        <f t="shared" ca="1" si="6"/>
        <v>7254633.5925569469</v>
      </c>
      <c r="P27" s="32">
        <f t="shared" ca="1" si="1"/>
        <v>7190185.4436215321</v>
      </c>
      <c r="Q27" s="32">
        <f t="shared" ca="1" si="2"/>
        <v>197201.36362153478</v>
      </c>
      <c r="R27" s="50">
        <f t="shared" ca="1" si="3"/>
        <v>2.7942367312152269E-2</v>
      </c>
      <c r="S27" t="s">
        <v>140</v>
      </c>
      <c r="Y27" s="315" t="s">
        <v>140</v>
      </c>
      <c r="Z27" s="315"/>
      <c r="AA27" s="315"/>
      <c r="AB27" s="315"/>
      <c r="AC27" s="315"/>
      <c r="AE27" s="2"/>
      <c r="AF27" s="51"/>
      <c r="AG27" s="213"/>
      <c r="AH27" s="73"/>
      <c r="AI27" s="2"/>
      <c r="AJ27" s="39"/>
      <c r="AM27" s="2"/>
      <c r="AN27" s="74"/>
      <c r="AO27" s="5"/>
      <c r="AP27" s="5"/>
      <c r="AQ27" s="2"/>
      <c r="AR27" s="74"/>
      <c r="AS27" s="5"/>
      <c r="AT27" s="5"/>
    </row>
    <row r="28" spans="1:46" x14ac:dyDescent="0.2">
      <c r="A28" s="2">
        <v>41306</v>
      </c>
      <c r="B28">
        <f t="shared" si="4"/>
        <v>2013</v>
      </c>
      <c r="C28">
        <f t="shared" si="5"/>
        <v>2</v>
      </c>
      <c r="D28" s="151">
        <f>Data!G27</f>
        <v>7528794.9500000002</v>
      </c>
      <c r="E28" s="151">
        <f>Data!H27</f>
        <v>64448.148935414909</v>
      </c>
      <c r="F28" s="151">
        <f>Data!I27</f>
        <v>7593243.098935415</v>
      </c>
      <c r="G28" s="129">
        <f>Data!AR27</f>
        <v>519.49999999999989</v>
      </c>
      <c r="H28" s="129">
        <f>Data!AS27</f>
        <v>0</v>
      </c>
      <c r="I28" s="129">
        <f t="shared" ca="1" si="7"/>
        <v>513.95684210526292</v>
      </c>
      <c r="J28" s="129">
        <f t="shared" ca="1" si="7"/>
        <v>0</v>
      </c>
      <c r="K28" s="32">
        <f>Data!BW27</f>
        <v>0</v>
      </c>
      <c r="L28" s="32">
        <f>Data!AB27</f>
        <v>2441</v>
      </c>
      <c r="M28" s="32">
        <f>Data!BI27</f>
        <v>26</v>
      </c>
      <c r="N28" s="140">
        <f>Data!BZ27</f>
        <v>0</v>
      </c>
      <c r="O28" s="32">
        <f t="shared" ca="1" si="6"/>
        <v>7574172.8222671682</v>
      </c>
      <c r="P28" s="32">
        <f t="shared" ca="1" si="1"/>
        <v>7509724.6733317534</v>
      </c>
      <c r="Q28" s="32">
        <f t="shared" ca="1" si="2"/>
        <v>-19070.276668246835</v>
      </c>
      <c r="R28" s="50">
        <f t="shared" ca="1" si="3"/>
        <v>2.5114798011564412E-3</v>
      </c>
      <c r="S28" t="s">
        <v>141</v>
      </c>
      <c r="T28">
        <v>7441081.56000668</v>
      </c>
      <c r="U28" t="s">
        <v>142</v>
      </c>
      <c r="V28">
        <v>773534.21791930497</v>
      </c>
      <c r="Y28" s="315" t="s">
        <v>141</v>
      </c>
      <c r="Z28" s="315">
        <v>7439770.1888907803</v>
      </c>
      <c r="AA28" s="315" t="s">
        <v>142</v>
      </c>
      <c r="AB28" s="315">
        <v>772806.71759679995</v>
      </c>
      <c r="AC28" s="315"/>
      <c r="AE28" s="2"/>
      <c r="AF28" s="51"/>
      <c r="AG28" s="69"/>
      <c r="AH28" s="73"/>
      <c r="AI28" s="2"/>
      <c r="AJ28" s="39"/>
      <c r="AM28" s="2"/>
      <c r="AN28" s="74"/>
      <c r="AO28" s="5"/>
      <c r="AP28" s="5"/>
      <c r="AQ28" s="2"/>
      <c r="AR28" s="74"/>
      <c r="AS28" s="5"/>
      <c r="AT28" s="5"/>
    </row>
    <row r="29" spans="1:46" x14ac:dyDescent="0.2">
      <c r="A29" s="2">
        <v>41334</v>
      </c>
      <c r="B29">
        <f t="shared" si="4"/>
        <v>2013</v>
      </c>
      <c r="C29">
        <f t="shared" si="5"/>
        <v>3</v>
      </c>
      <c r="D29" s="151">
        <f>Data!G28</f>
        <v>7671019.2299999977</v>
      </c>
      <c r="E29" s="151">
        <f>Data!H28</f>
        <v>64448.148935414909</v>
      </c>
      <c r="F29" s="151">
        <f>Data!I28</f>
        <v>7735467.3789354125</v>
      </c>
      <c r="G29" s="129">
        <f>Data!AR28</f>
        <v>430.8</v>
      </c>
      <c r="H29" s="129">
        <f>Data!AS28</f>
        <v>0</v>
      </c>
      <c r="I29" s="129">
        <f t="shared" ca="1" si="7"/>
        <v>400.06210526315817</v>
      </c>
      <c r="J29" s="129">
        <f t="shared" ca="1" si="7"/>
        <v>0.74263157894736409</v>
      </c>
      <c r="K29" s="32">
        <f>Data!BW28</f>
        <v>0</v>
      </c>
      <c r="L29" s="32">
        <f>Data!AB28</f>
        <v>2459</v>
      </c>
      <c r="M29" s="32">
        <f>Data!BI28</f>
        <v>27</v>
      </c>
      <c r="N29" s="140">
        <f>Data!BZ28</f>
        <v>0</v>
      </c>
      <c r="O29" s="32">
        <f t="shared" ca="1" si="6"/>
        <v>7633406.8125897786</v>
      </c>
      <c r="P29" s="32">
        <f t="shared" ca="1" si="1"/>
        <v>7568958.6636543637</v>
      </c>
      <c r="Q29" s="32">
        <f t="shared" ca="1" si="2"/>
        <v>-102060.56634563394</v>
      </c>
      <c r="R29" s="50">
        <f t="shared" ca="1" si="3"/>
        <v>1.3193846130559204E-2</v>
      </c>
      <c r="S29" t="s">
        <v>143</v>
      </c>
      <c r="T29">
        <v>24391432500431</v>
      </c>
      <c r="U29" t="s">
        <v>144</v>
      </c>
      <c r="V29">
        <v>441736.867380852</v>
      </c>
      <c r="Y29" s="315" t="s">
        <v>143</v>
      </c>
      <c r="Z29" s="315">
        <v>24381832010483</v>
      </c>
      <c r="AA29" s="315" t="s">
        <v>144</v>
      </c>
      <c r="AB29" s="315">
        <v>441649.92480907799</v>
      </c>
      <c r="AC29" s="315"/>
      <c r="AE29" s="2"/>
      <c r="AF29" s="51"/>
      <c r="AG29" s="69"/>
      <c r="AH29" s="73"/>
      <c r="AI29" s="2"/>
      <c r="AJ29" s="39"/>
      <c r="AM29" s="2"/>
      <c r="AN29" s="74"/>
      <c r="AO29" s="5"/>
      <c r="AP29" s="5"/>
      <c r="AQ29" s="2"/>
      <c r="AR29" s="74"/>
      <c r="AS29" s="5"/>
      <c r="AT29" s="5"/>
    </row>
    <row r="30" spans="1:46" x14ac:dyDescent="0.2">
      <c r="A30" s="2">
        <v>41365</v>
      </c>
      <c r="B30">
        <f t="shared" si="4"/>
        <v>2013</v>
      </c>
      <c r="C30">
        <f t="shared" si="5"/>
        <v>4</v>
      </c>
      <c r="D30" s="151">
        <f>Data!G29</f>
        <v>6871568.5999999996</v>
      </c>
      <c r="E30" s="151">
        <f>Data!H29</f>
        <v>64448.148935414909</v>
      </c>
      <c r="F30" s="151">
        <f>Data!I29</f>
        <v>6936016.7489354145</v>
      </c>
      <c r="G30" s="129">
        <f>Data!AR29</f>
        <v>239.99999999999997</v>
      </c>
      <c r="H30" s="129">
        <f>Data!AS29</f>
        <v>1.4000000000000004</v>
      </c>
      <c r="I30" s="129">
        <f t="shared" ca="1" si="7"/>
        <v>225.72052631578936</v>
      </c>
      <c r="J30" s="129">
        <f t="shared" ca="1" si="7"/>
        <v>0</v>
      </c>
      <c r="K30" s="32">
        <f>Data!BW29</f>
        <v>0</v>
      </c>
      <c r="L30" s="32">
        <f>Data!AB29</f>
        <v>2464</v>
      </c>
      <c r="M30" s="32">
        <f>Data!BI29</f>
        <v>28</v>
      </c>
      <c r="N30" s="140">
        <f>Data!BZ29</f>
        <v>0</v>
      </c>
      <c r="O30" s="32">
        <f t="shared" ca="1" si="6"/>
        <v>6879938.4020080529</v>
      </c>
      <c r="P30" s="32">
        <f t="shared" ca="1" si="1"/>
        <v>6815490.2530726381</v>
      </c>
      <c r="Q30" s="32">
        <f t="shared" ca="1" si="2"/>
        <v>-56078.346927361563</v>
      </c>
      <c r="R30" s="50">
        <f t="shared" ca="1" si="3"/>
        <v>8.085093931753962E-3</v>
      </c>
      <c r="S30" t="s">
        <v>145</v>
      </c>
      <c r="T30">
        <v>0.68886490704106995</v>
      </c>
      <c r="U30" t="s">
        <v>146</v>
      </c>
      <c r="V30" s="130">
        <v>0.67393042257904101</v>
      </c>
      <c r="Y30" s="315" t="s">
        <v>145</v>
      </c>
      <c r="Z30" s="315">
        <v>0.688401738845417</v>
      </c>
      <c r="AA30" s="315" t="s">
        <v>146</v>
      </c>
      <c r="AB30" s="316">
        <v>0.67344502230999703</v>
      </c>
      <c r="AC30" s="315"/>
      <c r="AE30" s="2"/>
      <c r="AF30" s="51"/>
      <c r="AG30" s="213"/>
      <c r="AH30" s="73"/>
      <c r="AI30" s="2"/>
      <c r="AJ30" s="39"/>
      <c r="AM30" s="2"/>
      <c r="AN30" s="74"/>
      <c r="AO30" s="5"/>
      <c r="AP30" s="5"/>
      <c r="AQ30" s="2"/>
      <c r="AR30" s="74"/>
      <c r="AS30" s="5"/>
      <c r="AT30" s="5"/>
    </row>
    <row r="31" spans="1:46" x14ac:dyDescent="0.2">
      <c r="A31" s="2">
        <v>41395</v>
      </c>
      <c r="B31">
        <f t="shared" si="4"/>
        <v>2013</v>
      </c>
      <c r="C31">
        <f t="shared" si="5"/>
        <v>5</v>
      </c>
      <c r="D31" s="151">
        <f>Data!G30</f>
        <v>6873417.9000000032</v>
      </c>
      <c r="E31" s="151">
        <f>Data!H30</f>
        <v>64448.148935414909</v>
      </c>
      <c r="F31" s="151">
        <f>Data!I30</f>
        <v>6937866.048935418</v>
      </c>
      <c r="G31" s="129">
        <f>Data!AR30</f>
        <v>45.1</v>
      </c>
      <c r="H31" s="129">
        <f>Data!AS30</f>
        <v>83.1</v>
      </c>
      <c r="I31" s="129">
        <f t="shared" ca="1" si="7"/>
        <v>59.688947368421054</v>
      </c>
      <c r="J31" s="129">
        <f t="shared" ca="1" si="7"/>
        <v>80.273684210525971</v>
      </c>
      <c r="K31" s="32">
        <f>Data!BW30</f>
        <v>0</v>
      </c>
      <c r="L31" s="32">
        <f>Data!AB30</f>
        <v>2462</v>
      </c>
      <c r="M31" s="32">
        <f>Data!BI30</f>
        <v>29</v>
      </c>
      <c r="N31" s="140">
        <f>Data!BZ30</f>
        <v>0</v>
      </c>
      <c r="O31" s="32">
        <f t="shared" ca="1" si="6"/>
        <v>6974021.547261822</v>
      </c>
      <c r="P31" s="32">
        <f t="shared" ca="1" si="1"/>
        <v>6909573.3983264072</v>
      </c>
      <c r="Q31" s="32">
        <f t="shared" ca="1" si="2"/>
        <v>36155.49832640402</v>
      </c>
      <c r="R31" s="50">
        <f t="shared" ca="1" si="3"/>
        <v>5.2113283928207155E-3</v>
      </c>
      <c r="S31" t="s">
        <v>295</v>
      </c>
      <c r="T31">
        <v>53.341621055279397</v>
      </c>
      <c r="U31" t="s">
        <v>148</v>
      </c>
      <c r="V31" s="130">
        <v>3.6442249671427301E-32</v>
      </c>
      <c r="Y31" s="315" t="s">
        <v>295</v>
      </c>
      <c r="Z31" s="315">
        <v>53.218325624543901</v>
      </c>
      <c r="AA31" s="315" t="s">
        <v>148</v>
      </c>
      <c r="AB31" s="316">
        <v>4.0383923664712798E-32</v>
      </c>
      <c r="AC31" s="315"/>
      <c r="AE31" s="2"/>
      <c r="AF31" s="51"/>
      <c r="AG31" s="69"/>
      <c r="AH31" s="73"/>
      <c r="AI31" s="2"/>
      <c r="AJ31" s="39"/>
      <c r="AM31" s="2"/>
      <c r="AN31" s="74"/>
      <c r="AO31" s="5"/>
      <c r="AP31" s="5"/>
      <c r="AQ31" s="2"/>
      <c r="AR31" s="74"/>
      <c r="AS31" s="5"/>
      <c r="AT31" s="5"/>
    </row>
    <row r="32" spans="1:46" x14ac:dyDescent="0.2">
      <c r="A32" s="2">
        <v>41426</v>
      </c>
      <c r="B32">
        <f t="shared" si="4"/>
        <v>2013</v>
      </c>
      <c r="C32">
        <f t="shared" si="5"/>
        <v>6</v>
      </c>
      <c r="D32" s="151">
        <f>Data!G31</f>
        <v>6715915.2699999977</v>
      </c>
      <c r="E32" s="151">
        <f>Data!H31</f>
        <v>64448.148935414909</v>
      </c>
      <c r="F32" s="151">
        <f>Data!I31</f>
        <v>6780363.4189354125</v>
      </c>
      <c r="G32" s="129">
        <f>Data!AR31</f>
        <v>2.5999999999999996</v>
      </c>
      <c r="H32" s="129">
        <f>Data!AS31</f>
        <v>149.19999999999999</v>
      </c>
      <c r="I32" s="129">
        <f t="shared" ca="1" si="7"/>
        <v>1.08894736842106</v>
      </c>
      <c r="J32" s="129">
        <f t="shared" ca="1" si="7"/>
        <v>177.38052631578967</v>
      </c>
      <c r="K32" s="32">
        <f>Data!BW31</f>
        <v>0</v>
      </c>
      <c r="L32" s="32">
        <f>Data!AB31</f>
        <v>2453</v>
      </c>
      <c r="M32" s="32">
        <f>Data!BI31</f>
        <v>30</v>
      </c>
      <c r="N32" s="140">
        <f>Data!BZ31</f>
        <v>0</v>
      </c>
      <c r="O32" s="32">
        <f t="shared" ca="1" si="6"/>
        <v>6915107.0975404065</v>
      </c>
      <c r="P32" s="32">
        <f t="shared" ca="1" si="1"/>
        <v>6850658.9486049917</v>
      </c>
      <c r="Q32" s="32">
        <f t="shared" ca="1" si="2"/>
        <v>134743.67860499397</v>
      </c>
      <c r="R32" s="50">
        <f t="shared" ca="1" si="3"/>
        <v>1.9872633704072183E-2</v>
      </c>
      <c r="S32" t="s">
        <v>149</v>
      </c>
      <c r="T32">
        <v>-2.53867192764826E-3</v>
      </c>
      <c r="U32" t="s">
        <v>150</v>
      </c>
      <c r="V32">
        <v>1.9581784596908201</v>
      </c>
      <c r="Y32" s="315" t="s">
        <v>149</v>
      </c>
      <c r="Z32" s="315">
        <v>-2.50123868159357E-3</v>
      </c>
      <c r="AA32" s="315" t="s">
        <v>150</v>
      </c>
      <c r="AB32" s="315">
        <v>1.9576675850104199</v>
      </c>
      <c r="AC32" s="315"/>
      <c r="AE32" s="2"/>
      <c r="AF32" s="51"/>
      <c r="AG32" s="69"/>
      <c r="AH32" s="73"/>
      <c r="AI32" s="2"/>
      <c r="AJ32" s="39"/>
      <c r="AM32" s="2"/>
      <c r="AN32" s="74"/>
      <c r="AO32" s="5"/>
      <c r="AP32" s="5"/>
      <c r="AQ32" s="2"/>
      <c r="AR32" s="74"/>
      <c r="AS32" s="5"/>
      <c r="AT32" s="5"/>
    </row>
    <row r="33" spans="1:49" x14ac:dyDescent="0.2">
      <c r="A33" s="2">
        <v>41456</v>
      </c>
      <c r="B33">
        <f t="shared" si="4"/>
        <v>2013</v>
      </c>
      <c r="C33">
        <f t="shared" si="5"/>
        <v>7</v>
      </c>
      <c r="D33" s="151">
        <f>Data!G32</f>
        <v>7529495.0199999996</v>
      </c>
      <c r="E33" s="151">
        <f>Data!H32</f>
        <v>64448.148935414909</v>
      </c>
      <c r="F33" s="151">
        <f>Data!I32</f>
        <v>7593943.1689354144</v>
      </c>
      <c r="G33" s="129">
        <f>Data!AR32</f>
        <v>0</v>
      </c>
      <c r="H33" s="129">
        <f>Data!AS32</f>
        <v>257.30000000000007</v>
      </c>
      <c r="I33" s="129">
        <f t="shared" ca="1" si="7"/>
        <v>0</v>
      </c>
      <c r="J33" s="129">
        <f t="shared" ca="1" si="7"/>
        <v>273.7568421052631</v>
      </c>
      <c r="K33" s="32">
        <f>Data!BW32</f>
        <v>0</v>
      </c>
      <c r="L33" s="32">
        <f>Data!AB32</f>
        <v>2456</v>
      </c>
      <c r="M33" s="32">
        <f>Data!BI32</f>
        <v>31</v>
      </c>
      <c r="N33" s="140">
        <f>Data!BZ32</f>
        <v>0</v>
      </c>
      <c r="O33" s="32">
        <f t="shared" ca="1" si="6"/>
        <v>7675666.5038719978</v>
      </c>
      <c r="P33" s="32">
        <f t="shared" ca="1" si="1"/>
        <v>7611218.354936583</v>
      </c>
      <c r="Q33" s="32">
        <f t="shared" ca="1" si="2"/>
        <v>81723.334936583415</v>
      </c>
      <c r="R33" s="50">
        <f t="shared" ca="1" si="3"/>
        <v>1.0761646896554285E-2</v>
      </c>
      <c r="W33" s="130"/>
      <c r="AC33" s="130"/>
      <c r="AE33" s="2"/>
      <c r="AF33" s="51"/>
      <c r="AG33" s="213"/>
      <c r="AH33" s="73"/>
      <c r="AI33" s="2"/>
      <c r="AJ33" s="39"/>
      <c r="AM33" s="2"/>
      <c r="AN33" s="74"/>
      <c r="AO33" s="5"/>
      <c r="AP33" s="5"/>
      <c r="AQ33" s="2"/>
      <c r="AR33" s="74"/>
      <c r="AS33" s="5"/>
      <c r="AT33" s="5"/>
    </row>
    <row r="34" spans="1:49" x14ac:dyDescent="0.2">
      <c r="A34" s="2">
        <v>41487</v>
      </c>
      <c r="B34">
        <f t="shared" si="4"/>
        <v>2013</v>
      </c>
      <c r="C34">
        <f t="shared" si="5"/>
        <v>8</v>
      </c>
      <c r="D34" s="151">
        <f>Data!G33</f>
        <v>7547300.5200000023</v>
      </c>
      <c r="E34" s="151">
        <f>Data!H33</f>
        <v>64448.148935414909</v>
      </c>
      <c r="F34" s="151">
        <f>Data!I33</f>
        <v>7611748.6689354172</v>
      </c>
      <c r="G34" s="129">
        <f>Data!AR33</f>
        <v>0</v>
      </c>
      <c r="H34" s="129">
        <f>Data!AS33</f>
        <v>213.4</v>
      </c>
      <c r="I34" s="129">
        <f t="shared" ca="1" si="7"/>
        <v>0</v>
      </c>
      <c r="J34" s="129">
        <f t="shared" ca="1" si="7"/>
        <v>253.05789473684217</v>
      </c>
      <c r="K34" s="32">
        <f>Data!BW33</f>
        <v>0</v>
      </c>
      <c r="L34" s="32">
        <f>Data!AB33</f>
        <v>2459</v>
      </c>
      <c r="M34" s="32">
        <f>Data!BI33</f>
        <v>32</v>
      </c>
      <c r="N34" s="140">
        <f>Data!BZ33</f>
        <v>0</v>
      </c>
      <c r="O34" s="32">
        <f t="shared" ca="1" si="6"/>
        <v>7808686.5379219726</v>
      </c>
      <c r="P34" s="32">
        <f t="shared" ca="1" si="1"/>
        <v>7744238.3889865577</v>
      </c>
      <c r="Q34" s="32">
        <f t="shared" ca="1" si="2"/>
        <v>196937.86898655538</v>
      </c>
      <c r="R34" s="50">
        <f t="shared" ca="1" si="3"/>
        <v>2.5872881193553545E-2</v>
      </c>
      <c r="W34" s="130"/>
      <c r="AC34" s="130"/>
      <c r="AE34" s="2"/>
      <c r="AF34" s="51"/>
      <c r="AG34" s="69"/>
      <c r="AH34" s="73"/>
      <c r="AI34" s="2"/>
      <c r="AJ34" s="39"/>
      <c r="AM34" s="2"/>
      <c r="AN34" s="74"/>
      <c r="AO34" s="5"/>
      <c r="AP34" s="5"/>
      <c r="AQ34" s="2"/>
      <c r="AR34" s="74"/>
      <c r="AS34" s="5"/>
      <c r="AT34" s="5"/>
    </row>
    <row r="35" spans="1:49" x14ac:dyDescent="0.2">
      <c r="A35" s="2">
        <v>41518</v>
      </c>
      <c r="B35">
        <f t="shared" si="4"/>
        <v>2013</v>
      </c>
      <c r="C35">
        <f t="shared" si="5"/>
        <v>9</v>
      </c>
      <c r="D35" s="151">
        <f>Data!G34</f>
        <v>6186232.4199999981</v>
      </c>
      <c r="E35" s="151">
        <f>Data!H34</f>
        <v>64448.148935414909</v>
      </c>
      <c r="F35" s="151">
        <f>Data!I34</f>
        <v>6250680.5689354129</v>
      </c>
      <c r="G35" s="129">
        <f>Data!AR34</f>
        <v>22.099999999999998</v>
      </c>
      <c r="H35" s="129">
        <f>Data!AS34</f>
        <v>80.200000000000017</v>
      </c>
      <c r="I35" s="129">
        <f t="shared" ref="I35:J50" ca="1" si="8">I47</f>
        <v>9.9542105263157907</v>
      </c>
      <c r="J35" s="129">
        <f t="shared" ca="1" si="8"/>
        <v>120.49421052631581</v>
      </c>
      <c r="K35" s="32">
        <f>Data!BW34</f>
        <v>1</v>
      </c>
      <c r="L35" s="32">
        <f>Data!AB34</f>
        <v>2460</v>
      </c>
      <c r="M35" s="32">
        <f>Data!BI34</f>
        <v>33</v>
      </c>
      <c r="N35" s="140">
        <f>Data!BZ34</f>
        <v>0</v>
      </c>
      <c r="O35" s="32">
        <f t="shared" ca="1" si="6"/>
        <v>6408992.8407763857</v>
      </c>
      <c r="P35" s="32">
        <f t="shared" ca="1" si="1"/>
        <v>6344544.6918409709</v>
      </c>
      <c r="Q35" s="32">
        <f t="shared" ca="1" si="2"/>
        <v>158312.27184097283</v>
      </c>
      <c r="R35" s="50">
        <f t="shared" ca="1" si="3"/>
        <v>2.5327205589060497E-2</v>
      </c>
      <c r="W35" s="130"/>
      <c r="AC35" s="130"/>
      <c r="AE35" s="2"/>
      <c r="AF35" s="51"/>
      <c r="AG35" s="69"/>
      <c r="AH35" s="73"/>
      <c r="AI35" s="2"/>
      <c r="AJ35" s="39"/>
      <c r="AM35" s="2"/>
      <c r="AN35" s="74"/>
      <c r="AO35" s="5"/>
      <c r="AP35" s="5"/>
      <c r="AQ35" s="2"/>
      <c r="AR35" s="74"/>
      <c r="AS35" s="39"/>
      <c r="AT35" s="5"/>
    </row>
    <row r="36" spans="1:49" x14ac:dyDescent="0.2">
      <c r="A36" s="2">
        <v>41548</v>
      </c>
      <c r="B36">
        <f t="shared" si="4"/>
        <v>2013</v>
      </c>
      <c r="C36">
        <f t="shared" si="5"/>
        <v>10</v>
      </c>
      <c r="D36" s="151">
        <f>Data!G35</f>
        <v>6762438.1099999994</v>
      </c>
      <c r="E36" s="151">
        <f>Data!H35</f>
        <v>64448.148935414909</v>
      </c>
      <c r="F36" s="151">
        <f>Data!I35</f>
        <v>6826886.2589354143</v>
      </c>
      <c r="G36" s="129">
        <f>Data!AR35</f>
        <v>115.4</v>
      </c>
      <c r="H36" s="129">
        <f>Data!AS35</f>
        <v>16.100000000000001</v>
      </c>
      <c r="I36" s="129">
        <f t="shared" ca="1" si="8"/>
        <v>107.70315789473716</v>
      </c>
      <c r="J36" s="129">
        <f t="shared" ca="1" si="8"/>
        <v>25.808421052631616</v>
      </c>
      <c r="K36" s="32">
        <f>Data!BW35</f>
        <v>1</v>
      </c>
      <c r="L36" s="32">
        <f>Data!AB35</f>
        <v>2463</v>
      </c>
      <c r="M36" s="32">
        <f>Data!BI35</f>
        <v>34</v>
      </c>
      <c r="N36" s="140">
        <f>Data!BZ35</f>
        <v>0</v>
      </c>
      <c r="O36" s="32">
        <f t="shared" ca="1" si="6"/>
        <v>6848617.8306725435</v>
      </c>
      <c r="P36" s="32">
        <f t="shared" ca="1" si="1"/>
        <v>6784169.6817371286</v>
      </c>
      <c r="Q36" s="32">
        <f t="shared" ca="1" si="2"/>
        <v>21731.571737129241</v>
      </c>
      <c r="R36" s="50">
        <f t="shared" ca="1" si="3"/>
        <v>3.1832333091364653E-3</v>
      </c>
      <c r="AE36" s="2"/>
      <c r="AF36" s="51"/>
      <c r="AH36" s="73"/>
      <c r="AI36" s="2"/>
      <c r="AJ36" s="39"/>
      <c r="AM36" s="2"/>
      <c r="AN36" s="74"/>
      <c r="AO36" s="5"/>
      <c r="AP36" s="5"/>
      <c r="AQ36" s="2"/>
      <c r="AR36" s="74"/>
      <c r="AS36" s="5"/>
      <c r="AT36" s="5"/>
    </row>
    <row r="37" spans="1:49" x14ac:dyDescent="0.2">
      <c r="A37" s="2">
        <v>41579</v>
      </c>
      <c r="B37">
        <f t="shared" si="4"/>
        <v>2013</v>
      </c>
      <c r="C37">
        <f t="shared" si="5"/>
        <v>11</v>
      </c>
      <c r="D37" s="151">
        <f>Data!G36</f>
        <v>6874649.0500000017</v>
      </c>
      <c r="E37" s="151">
        <f>Data!H36</f>
        <v>64448.148935414909</v>
      </c>
      <c r="F37" s="151">
        <f>Data!I36</f>
        <v>6939097.1989354165</v>
      </c>
      <c r="G37" s="129">
        <f>Data!AR36</f>
        <v>358.20000000000005</v>
      </c>
      <c r="H37" s="129">
        <f>Data!AS36</f>
        <v>0</v>
      </c>
      <c r="I37" s="129">
        <f t="shared" ca="1" si="8"/>
        <v>305.31105263157906</v>
      </c>
      <c r="J37" s="129">
        <f t="shared" ca="1" si="8"/>
        <v>1.3363157894737014</v>
      </c>
      <c r="K37" s="32">
        <f>Data!BW36</f>
        <v>1</v>
      </c>
      <c r="L37" s="32">
        <f>Data!AB36</f>
        <v>2472</v>
      </c>
      <c r="M37" s="32">
        <f>Data!BI36</f>
        <v>35</v>
      </c>
      <c r="N37" s="140">
        <f>Data!BZ36</f>
        <v>0</v>
      </c>
      <c r="O37" s="32">
        <f t="shared" ca="1" si="6"/>
        <v>6763777.9518975178</v>
      </c>
      <c r="P37" s="32">
        <f t="shared" ca="1" si="1"/>
        <v>6699329.8029621029</v>
      </c>
      <c r="Q37" s="32">
        <f t="shared" ca="1" si="2"/>
        <v>-175319.24703789875</v>
      </c>
      <c r="R37" s="50">
        <f t="shared" ca="1" si="3"/>
        <v>2.5265426036227868E-2</v>
      </c>
      <c r="AE37" s="2"/>
      <c r="AI37" s="2"/>
      <c r="AM37" s="2"/>
      <c r="AN37" s="76"/>
      <c r="AO37" s="5"/>
      <c r="AP37" s="5"/>
      <c r="AQ37" s="2"/>
      <c r="AR37" s="76"/>
      <c r="AS37" s="71"/>
      <c r="AT37" s="5"/>
      <c r="AU37" s="29"/>
      <c r="AV37" s="29"/>
    </row>
    <row r="38" spans="1:49" x14ac:dyDescent="0.2">
      <c r="A38" s="2">
        <v>41609</v>
      </c>
      <c r="B38">
        <f t="shared" si="4"/>
        <v>2013</v>
      </c>
      <c r="C38">
        <f t="shared" si="5"/>
        <v>12</v>
      </c>
      <c r="D38" s="151">
        <f>Data!G37</f>
        <v>9468067.9800000042</v>
      </c>
      <c r="E38" s="151">
        <f>Data!H37</f>
        <v>64448.148935414909</v>
      </c>
      <c r="F38" s="151">
        <f>Data!I37</f>
        <v>9532516.128935419</v>
      </c>
      <c r="G38" s="129">
        <f>Data!AR37</f>
        <v>563.9</v>
      </c>
      <c r="H38" s="129">
        <f>Data!AS37</f>
        <v>0</v>
      </c>
      <c r="I38" s="129">
        <f t="shared" ca="1" si="8"/>
        <v>437.78421052631529</v>
      </c>
      <c r="J38" s="129">
        <f t="shared" ca="1" si="8"/>
        <v>0</v>
      </c>
      <c r="K38" s="32">
        <f>Data!BW37</f>
        <v>0</v>
      </c>
      <c r="L38" s="32">
        <f>Data!AB37</f>
        <v>2477</v>
      </c>
      <c r="M38" s="32">
        <f>Data!BI37</f>
        <v>36</v>
      </c>
      <c r="N38" s="140">
        <f>Data!BZ37</f>
        <v>0</v>
      </c>
      <c r="O38" s="32">
        <f t="shared" ca="1" si="6"/>
        <v>9098636.552858213</v>
      </c>
      <c r="P38" s="32">
        <f t="shared" ca="1" si="1"/>
        <v>9034188.4039227981</v>
      </c>
      <c r="Q38" s="32">
        <f t="shared" ca="1" si="2"/>
        <v>-433879.57607720606</v>
      </c>
      <c r="R38" s="50">
        <f t="shared" ca="1" si="3"/>
        <v>4.5515745287877239E-2</v>
      </c>
      <c r="AE38" s="2"/>
      <c r="AI38" s="2"/>
      <c r="AM38" s="2"/>
      <c r="AN38" s="76"/>
      <c r="AO38" s="5"/>
      <c r="AP38" s="5"/>
      <c r="AQ38" s="2"/>
      <c r="AR38" s="76"/>
      <c r="AS38" s="5"/>
      <c r="AT38" s="5"/>
      <c r="AU38" s="29"/>
      <c r="AV38" s="29"/>
    </row>
    <row r="39" spans="1:49" x14ac:dyDescent="0.2">
      <c r="A39" s="2">
        <v>41640</v>
      </c>
      <c r="B39">
        <f t="shared" si="4"/>
        <v>2014</v>
      </c>
      <c r="C39">
        <f t="shared" si="5"/>
        <v>1</v>
      </c>
      <c r="D39" s="151">
        <f>Data!G38</f>
        <v>7382347.2899999991</v>
      </c>
      <c r="E39" s="151">
        <f>Data!H38</f>
        <v>105551.56172052656</v>
      </c>
      <c r="F39" s="151">
        <f>Data!I38</f>
        <v>7487898.8517205259</v>
      </c>
      <c r="G39" s="129">
        <f>Data!AR38</f>
        <v>701.9000000000002</v>
      </c>
      <c r="H39" s="129">
        <f>Data!AS38</f>
        <v>0</v>
      </c>
      <c r="I39" s="129">
        <f t="shared" ca="1" si="8"/>
        <v>557.82052631578927</v>
      </c>
      <c r="J39" s="129">
        <f t="shared" ca="1" si="8"/>
        <v>0</v>
      </c>
      <c r="K39" s="32">
        <f>Data!BW38</f>
        <v>0</v>
      </c>
      <c r="L39" s="32">
        <f>Data!AB38</f>
        <v>2482</v>
      </c>
      <c r="M39" s="32">
        <f>Data!BI38</f>
        <v>37</v>
      </c>
      <c r="N39" s="140">
        <f>Data!BZ38</f>
        <v>0</v>
      </c>
      <c r="O39" s="32">
        <f t="shared" ca="1" si="6"/>
        <v>6992218.3249251368</v>
      </c>
      <c r="P39" s="32">
        <f t="shared" ca="1" si="1"/>
        <v>6886666.76320461</v>
      </c>
      <c r="Q39" s="32">
        <f t="shared" ca="1" si="2"/>
        <v>-495680.52679538913</v>
      </c>
      <c r="R39" s="50">
        <f t="shared" ca="1" si="3"/>
        <v>6.6197545748296865E-2</v>
      </c>
      <c r="W39" s="130"/>
      <c r="AC39" s="130"/>
      <c r="AE39" s="2"/>
      <c r="AI39" s="2"/>
      <c r="AM39" s="2"/>
      <c r="AN39" s="76"/>
      <c r="AO39" s="5"/>
      <c r="AP39" s="5"/>
      <c r="AQ39" s="2"/>
      <c r="AR39" s="76"/>
      <c r="AS39" s="5"/>
      <c r="AT39" s="5"/>
      <c r="AU39" s="29"/>
      <c r="AV39" s="29"/>
    </row>
    <row r="40" spans="1:49" x14ac:dyDescent="0.2">
      <c r="A40" s="2">
        <v>41671</v>
      </c>
      <c r="B40">
        <f t="shared" si="4"/>
        <v>2014</v>
      </c>
      <c r="C40">
        <f t="shared" si="5"/>
        <v>2</v>
      </c>
      <c r="D40" s="151">
        <f>Data!G39</f>
        <v>8397444.3799999971</v>
      </c>
      <c r="E40" s="151">
        <f>Data!H39</f>
        <v>105551.56172052656</v>
      </c>
      <c r="F40" s="151">
        <f>Data!I39</f>
        <v>8502995.9417205229</v>
      </c>
      <c r="G40" s="129">
        <f>Data!AR39</f>
        <v>625.09999999999991</v>
      </c>
      <c r="H40" s="129">
        <f>Data!AS39</f>
        <v>0</v>
      </c>
      <c r="I40" s="129">
        <f t="shared" ca="1" si="8"/>
        <v>513.95684210526292</v>
      </c>
      <c r="J40" s="129">
        <f t="shared" ca="1" si="8"/>
        <v>0</v>
      </c>
      <c r="K40" s="32">
        <f>Data!BW39</f>
        <v>0</v>
      </c>
      <c r="L40" s="32">
        <f>Data!AB39</f>
        <v>2488</v>
      </c>
      <c r="M40" s="32">
        <f>Data!BI39</f>
        <v>38</v>
      </c>
      <c r="N40" s="140">
        <f>Data!BZ39</f>
        <v>0</v>
      </c>
      <c r="O40" s="32">
        <f t="shared" ca="1" si="6"/>
        <v>8120627.1167502552</v>
      </c>
      <c r="P40" s="32">
        <f t="shared" ca="1" si="1"/>
        <v>8015075.5550297284</v>
      </c>
      <c r="Q40" s="32">
        <f t="shared" ca="1" si="2"/>
        <v>-382368.82497026771</v>
      </c>
      <c r="R40" s="50">
        <f t="shared" ca="1" si="3"/>
        <v>4.496871780146916E-2</v>
      </c>
      <c r="V40" s="130"/>
      <c r="W40" s="130"/>
      <c r="AE40" s="2"/>
      <c r="AI40" s="2"/>
      <c r="AM40" s="2"/>
      <c r="AN40" s="76"/>
      <c r="AO40" s="5"/>
      <c r="AP40" s="5"/>
      <c r="AQ40" s="2"/>
      <c r="AR40" s="76"/>
      <c r="AS40" s="5"/>
      <c r="AT40" s="5"/>
      <c r="AU40" s="29"/>
      <c r="AV40" s="29"/>
    </row>
    <row r="41" spans="1:49" x14ac:dyDescent="0.2">
      <c r="A41" s="2">
        <v>41699</v>
      </c>
      <c r="B41">
        <f t="shared" si="4"/>
        <v>2014</v>
      </c>
      <c r="C41">
        <f t="shared" si="5"/>
        <v>3</v>
      </c>
      <c r="D41" s="151">
        <f>Data!G40</f>
        <v>8130248.8600000041</v>
      </c>
      <c r="E41" s="151">
        <f>Data!H40</f>
        <v>105551.56172052656</v>
      </c>
      <c r="F41" s="151">
        <f>Data!I40</f>
        <v>8235800.4217205308</v>
      </c>
      <c r="G41" s="129">
        <f>Data!AR40</f>
        <v>566.6</v>
      </c>
      <c r="H41" s="129">
        <f>Data!AS40</f>
        <v>0</v>
      </c>
      <c r="I41" s="129">
        <f t="shared" ca="1" si="8"/>
        <v>400.06210526315817</v>
      </c>
      <c r="J41" s="129">
        <f t="shared" ca="1" si="8"/>
        <v>0.74263157894736409</v>
      </c>
      <c r="K41" s="32">
        <f>Data!BW40</f>
        <v>0</v>
      </c>
      <c r="L41" s="32">
        <f>Data!AB40</f>
        <v>2489</v>
      </c>
      <c r="M41" s="32">
        <f>Data!BI40</f>
        <v>39</v>
      </c>
      <c r="N41" s="140">
        <f>Data!BZ40</f>
        <v>0</v>
      </c>
      <c r="O41" s="32">
        <f t="shared" ca="1" si="6"/>
        <v>7666543.426781957</v>
      </c>
      <c r="P41" s="32">
        <f t="shared" ca="1" si="1"/>
        <v>7560991.8650614303</v>
      </c>
      <c r="Q41" s="32">
        <f t="shared" ca="1" si="2"/>
        <v>-569256.9949385738</v>
      </c>
      <c r="R41" s="50">
        <f t="shared" ca="1" si="3"/>
        <v>6.911981420011766E-2</v>
      </c>
      <c r="W41" s="130"/>
      <c r="AE41" s="2"/>
      <c r="AI41" s="2"/>
      <c r="AM41" s="2"/>
      <c r="AN41" s="76"/>
      <c r="AO41" s="5"/>
      <c r="AP41" s="5"/>
      <c r="AQ41" s="2"/>
      <c r="AR41" s="76"/>
      <c r="AS41" s="5"/>
      <c r="AT41" s="5"/>
      <c r="AU41" s="29"/>
      <c r="AV41" s="29"/>
    </row>
    <row r="42" spans="1:49" x14ac:dyDescent="0.2">
      <c r="A42" s="2">
        <v>41730</v>
      </c>
      <c r="B42">
        <f t="shared" si="4"/>
        <v>2014</v>
      </c>
      <c r="C42">
        <f t="shared" si="5"/>
        <v>4</v>
      </c>
      <c r="D42" s="151">
        <f>Data!G41</f>
        <v>7475909.6799999997</v>
      </c>
      <c r="E42" s="151">
        <f>Data!H41</f>
        <v>105551.56172052656</v>
      </c>
      <c r="F42" s="151">
        <f>Data!I41</f>
        <v>7581461.2417205265</v>
      </c>
      <c r="G42" s="129">
        <f>Data!AR41</f>
        <v>236.89999999999995</v>
      </c>
      <c r="H42" s="129">
        <f>Data!AS41</f>
        <v>0</v>
      </c>
      <c r="I42" s="129">
        <f t="shared" ca="1" si="8"/>
        <v>225.72052631578936</v>
      </c>
      <c r="J42" s="129">
        <f t="shared" ca="1" si="8"/>
        <v>0</v>
      </c>
      <c r="K42" s="32">
        <f>Data!BW41</f>
        <v>0</v>
      </c>
      <c r="L42" s="32">
        <f>Data!AB41</f>
        <v>2491</v>
      </c>
      <c r="M42" s="32">
        <f>Data!BI41</f>
        <v>40</v>
      </c>
      <c r="N42" s="140">
        <f>Data!BZ41</f>
        <v>0</v>
      </c>
      <c r="O42" s="32">
        <f t="shared" ca="1" si="6"/>
        <v>7543000.1947484212</v>
      </c>
      <c r="P42" s="32">
        <f t="shared" ca="1" si="1"/>
        <v>7437448.6330278944</v>
      </c>
      <c r="Q42" s="32">
        <f t="shared" ca="1" si="2"/>
        <v>-38461.04697210528</v>
      </c>
      <c r="R42" s="50">
        <f t="shared" ca="1" si="3"/>
        <v>5.0730387910519715E-3</v>
      </c>
      <c r="W42" s="130"/>
      <c r="AE42" s="2"/>
      <c r="AI42" s="2"/>
      <c r="AM42" s="2"/>
      <c r="AN42" s="76"/>
      <c r="AO42" s="5"/>
      <c r="AP42" s="5"/>
      <c r="AQ42" s="2"/>
      <c r="AR42" s="76"/>
      <c r="AS42" s="5"/>
      <c r="AT42" s="5"/>
      <c r="AU42" s="29"/>
      <c r="AV42" s="29"/>
    </row>
    <row r="43" spans="1:49" x14ac:dyDescent="0.2">
      <c r="A43" s="2">
        <v>41760</v>
      </c>
      <c r="B43">
        <f t="shared" si="4"/>
        <v>2014</v>
      </c>
      <c r="C43">
        <f t="shared" si="5"/>
        <v>5</v>
      </c>
      <c r="D43" s="151">
        <f>Data!G42</f>
        <v>6796663.4799999958</v>
      </c>
      <c r="E43" s="151">
        <f>Data!H42</f>
        <v>105551.56172052656</v>
      </c>
      <c r="F43" s="151">
        <f>Data!I42</f>
        <v>6902215.0417205226</v>
      </c>
      <c r="G43" s="129">
        <f>Data!AR42</f>
        <v>46.599999999999994</v>
      </c>
      <c r="H43" s="129">
        <f>Data!AS42</f>
        <v>50.400000000000006</v>
      </c>
      <c r="I43" s="129">
        <f t="shared" ca="1" si="8"/>
        <v>59.688947368421054</v>
      </c>
      <c r="J43" s="129">
        <f t="shared" ca="1" si="8"/>
        <v>80.273684210525971</v>
      </c>
      <c r="K43" s="32">
        <f>Data!BW42</f>
        <v>0</v>
      </c>
      <c r="L43" s="32">
        <f>Data!AB42</f>
        <v>2495</v>
      </c>
      <c r="M43" s="32">
        <f>Data!BI42</f>
        <v>41</v>
      </c>
      <c r="N43" s="140">
        <f>Data!BZ42</f>
        <v>0</v>
      </c>
      <c r="O43" s="32">
        <f t="shared" ca="1" si="6"/>
        <v>7095595.5808253633</v>
      </c>
      <c r="P43" s="32">
        <f t="shared" ca="1" si="1"/>
        <v>6990044.0191048365</v>
      </c>
      <c r="Q43" s="32">
        <f t="shared" ca="1" si="2"/>
        <v>193380.53910484072</v>
      </c>
      <c r="R43" s="50">
        <f t="shared" ca="1" si="3"/>
        <v>2.8017171000316522E-2</v>
      </c>
      <c r="Z43" s="130"/>
      <c r="AE43" s="2"/>
      <c r="AI43" s="2"/>
      <c r="AM43" s="2"/>
      <c r="AN43" s="76"/>
      <c r="AO43" s="5"/>
      <c r="AP43" s="5"/>
      <c r="AQ43" s="2"/>
      <c r="AR43" s="76"/>
      <c r="AS43" s="5"/>
      <c r="AT43" s="5"/>
      <c r="AU43" s="29"/>
      <c r="AV43" s="29"/>
    </row>
    <row r="44" spans="1:49" x14ac:dyDescent="0.2">
      <c r="A44" s="2">
        <v>41791</v>
      </c>
      <c r="B44">
        <f t="shared" si="4"/>
        <v>2014</v>
      </c>
      <c r="C44">
        <f t="shared" si="5"/>
        <v>6</v>
      </c>
      <c r="D44" s="151">
        <f>Data!G43</f>
        <v>6448751.459999999</v>
      </c>
      <c r="E44" s="151">
        <f>Data!H43</f>
        <v>105551.56172052656</v>
      </c>
      <c r="F44" s="151">
        <f>Data!I43</f>
        <v>6554303.0217205258</v>
      </c>
      <c r="G44" s="129">
        <f>Data!AR43</f>
        <v>0</v>
      </c>
      <c r="H44" s="129">
        <f>Data!AS43</f>
        <v>174</v>
      </c>
      <c r="I44" s="129">
        <f t="shared" ca="1" si="8"/>
        <v>1.08894736842106</v>
      </c>
      <c r="J44" s="129">
        <f t="shared" ca="1" si="8"/>
        <v>177.38052631578967</v>
      </c>
      <c r="K44" s="32">
        <f>Data!BW43</f>
        <v>0</v>
      </c>
      <c r="L44" s="32">
        <f>Data!AB43</f>
        <v>2502</v>
      </c>
      <c r="M44" s="32">
        <f>Data!BI43</f>
        <v>42</v>
      </c>
      <c r="N44" s="140">
        <f>Data!BZ43</f>
        <v>0</v>
      </c>
      <c r="O44" s="32">
        <f t="shared" ca="1" si="6"/>
        <v>6574836.7747469041</v>
      </c>
      <c r="P44" s="32">
        <f t="shared" ca="1" si="1"/>
        <v>6469285.2130263774</v>
      </c>
      <c r="Q44" s="32">
        <f t="shared" ca="1" si="2"/>
        <v>20533.753026378341</v>
      </c>
      <c r="R44" s="50">
        <f t="shared" ca="1" si="3"/>
        <v>3.1328659902251765E-3</v>
      </c>
      <c r="W44" s="130"/>
      <c r="AB44" s="130"/>
      <c r="AE44" s="2"/>
      <c r="AI44" s="2"/>
      <c r="AM44" s="2"/>
      <c r="AN44" s="76"/>
      <c r="AO44" s="5"/>
      <c r="AP44" s="5"/>
      <c r="AQ44" s="2"/>
      <c r="AR44" s="76"/>
      <c r="AS44" s="5"/>
      <c r="AT44" s="5"/>
      <c r="AU44" s="29"/>
      <c r="AV44" s="29"/>
    </row>
    <row r="45" spans="1:49" x14ac:dyDescent="0.2">
      <c r="A45" s="2">
        <v>41821</v>
      </c>
      <c r="B45">
        <f t="shared" si="4"/>
        <v>2014</v>
      </c>
      <c r="C45">
        <f t="shared" si="5"/>
        <v>7</v>
      </c>
      <c r="D45" s="151">
        <f>Data!G44</f>
        <v>7390493.370000002</v>
      </c>
      <c r="E45" s="151">
        <f>Data!H44</f>
        <v>105551.56172052656</v>
      </c>
      <c r="F45" s="151">
        <f>Data!I44</f>
        <v>7496044.9317205288</v>
      </c>
      <c r="G45" s="129">
        <f>Data!AR44</f>
        <v>0</v>
      </c>
      <c r="H45" s="129">
        <f>Data!AS44</f>
        <v>190.99999999999997</v>
      </c>
      <c r="I45" s="129">
        <f t="shared" ca="1" si="8"/>
        <v>0</v>
      </c>
      <c r="J45" s="129">
        <f t="shared" ca="1" si="8"/>
        <v>273.7568421052631</v>
      </c>
      <c r="K45" s="32">
        <f>Data!BW44</f>
        <v>0</v>
      </c>
      <c r="L45" s="32">
        <f>Data!AB44</f>
        <v>2512</v>
      </c>
      <c r="M45" s="32">
        <f>Data!BI44</f>
        <v>43</v>
      </c>
      <c r="N45" s="140">
        <f>Data!BZ44</f>
        <v>0</v>
      </c>
      <c r="O45" s="32">
        <f t="shared" ca="1" si="6"/>
        <v>7907008.6562554725</v>
      </c>
      <c r="P45" s="32">
        <f t="shared" ca="1" si="1"/>
        <v>7801457.0945349457</v>
      </c>
      <c r="Q45" s="32">
        <f t="shared" ca="1" si="2"/>
        <v>410963.7245349437</v>
      </c>
      <c r="R45" s="50">
        <f t="shared" ca="1" si="3"/>
        <v>5.4824074332304906E-2</v>
      </c>
      <c r="T45" s="130"/>
      <c r="W45" s="130"/>
      <c r="AB45" s="130"/>
      <c r="AE45" s="2"/>
      <c r="AI45" s="2"/>
      <c r="AM45" s="2"/>
      <c r="AN45" s="76"/>
      <c r="AO45" s="5"/>
      <c r="AP45" s="5"/>
      <c r="AQ45" s="2"/>
      <c r="AR45" s="76"/>
      <c r="AS45" s="5"/>
      <c r="AT45" s="5"/>
      <c r="AU45" s="29"/>
      <c r="AV45" s="29"/>
    </row>
    <row r="46" spans="1:49" x14ac:dyDescent="0.2">
      <c r="A46" s="2">
        <v>41852</v>
      </c>
      <c r="B46">
        <f t="shared" si="4"/>
        <v>2014</v>
      </c>
      <c r="C46">
        <f t="shared" si="5"/>
        <v>8</v>
      </c>
      <c r="D46" s="151">
        <f>Data!G45</f>
        <v>6944132.1800000006</v>
      </c>
      <c r="E46" s="151">
        <f>Data!H45</f>
        <v>105551.56172052656</v>
      </c>
      <c r="F46" s="151">
        <f>Data!I45</f>
        <v>7049683.7417205274</v>
      </c>
      <c r="G46" s="129">
        <f>Data!AR45</f>
        <v>0</v>
      </c>
      <c r="H46" s="129">
        <f>Data!AS45</f>
        <v>197</v>
      </c>
      <c r="I46" s="129">
        <f t="shared" ca="1" si="8"/>
        <v>0</v>
      </c>
      <c r="J46" s="129">
        <f t="shared" ca="1" si="8"/>
        <v>253.05789473684217</v>
      </c>
      <c r="K46" s="32">
        <f>Data!BW45</f>
        <v>0</v>
      </c>
      <c r="L46" s="32">
        <f>Data!AB45</f>
        <v>2521</v>
      </c>
      <c r="M46" s="32">
        <f>Data!BI45</f>
        <v>44</v>
      </c>
      <c r="N46" s="140">
        <f>Data!BZ45</f>
        <v>0</v>
      </c>
      <c r="O46" s="32">
        <f t="shared" ca="1" si="6"/>
        <v>7328062.6723875217</v>
      </c>
      <c r="P46" s="32">
        <f t="shared" ca="1" si="1"/>
        <v>7222511.1106669949</v>
      </c>
      <c r="Q46" s="32">
        <f t="shared" ca="1" si="2"/>
        <v>278378.9306669943</v>
      </c>
      <c r="R46" s="50">
        <f t="shared" ca="1" si="3"/>
        <v>3.9488144555978884E-2</v>
      </c>
      <c r="V46" s="130"/>
      <c r="W46" s="130"/>
      <c r="AE46" s="2"/>
      <c r="AI46" s="2"/>
      <c r="AM46" s="2"/>
      <c r="AN46" s="76"/>
      <c r="AO46" s="5"/>
      <c r="AP46" s="5"/>
      <c r="AQ46" s="2"/>
      <c r="AR46" s="76"/>
      <c r="AS46" s="5"/>
      <c r="AT46" s="5"/>
      <c r="AU46" s="29"/>
      <c r="AV46" s="29"/>
      <c r="AW46" s="29"/>
    </row>
    <row r="47" spans="1:49" x14ac:dyDescent="0.2">
      <c r="A47" s="2">
        <v>41883</v>
      </c>
      <c r="B47">
        <f t="shared" si="4"/>
        <v>2014</v>
      </c>
      <c r="C47">
        <f t="shared" si="5"/>
        <v>9</v>
      </c>
      <c r="D47" s="151">
        <f>Data!G46</f>
        <v>6510451.410000002</v>
      </c>
      <c r="E47" s="151">
        <f>Data!H46</f>
        <v>105551.56172052656</v>
      </c>
      <c r="F47" s="151">
        <f>Data!I46</f>
        <v>6616002.9717205288</v>
      </c>
      <c r="G47" s="129">
        <f>Data!AR46</f>
        <v>20.5</v>
      </c>
      <c r="H47" s="129">
        <f>Data!AS46</f>
        <v>100.89999999999998</v>
      </c>
      <c r="I47" s="129">
        <f t="shared" ca="1" si="8"/>
        <v>9.9542105263157907</v>
      </c>
      <c r="J47" s="129">
        <f t="shared" ca="1" si="8"/>
        <v>120.49421052631581</v>
      </c>
      <c r="K47" s="32">
        <f>Data!BW46</f>
        <v>1</v>
      </c>
      <c r="L47" s="32">
        <f>Data!AB46</f>
        <v>2528</v>
      </c>
      <c r="M47" s="32">
        <f>Data!BI46</f>
        <v>45</v>
      </c>
      <c r="N47" s="140">
        <f>Data!BZ46</f>
        <v>0</v>
      </c>
      <c r="O47" s="32">
        <f t="shared" ca="1" si="6"/>
        <v>6677025.256241045</v>
      </c>
      <c r="P47" s="32">
        <f t="shared" ca="1" si="1"/>
        <v>6571473.6945205182</v>
      </c>
      <c r="Q47" s="32">
        <f t="shared" ca="1" si="2"/>
        <v>61022.284520516172</v>
      </c>
      <c r="R47" s="50">
        <f t="shared" ca="1" si="3"/>
        <v>9.2234366854655418E-3</v>
      </c>
      <c r="AE47" s="2"/>
      <c r="AI47" s="2"/>
      <c r="AM47" s="2"/>
      <c r="AN47" s="76"/>
      <c r="AO47" s="5"/>
      <c r="AP47" s="5"/>
      <c r="AQ47" s="2"/>
      <c r="AR47" s="76"/>
      <c r="AS47" s="5"/>
      <c r="AT47" s="5"/>
      <c r="AU47" s="29"/>
      <c r="AV47" s="29"/>
    </row>
    <row r="48" spans="1:49" x14ac:dyDescent="0.2">
      <c r="A48" s="2">
        <v>41913</v>
      </c>
      <c r="B48">
        <f t="shared" si="4"/>
        <v>2014</v>
      </c>
      <c r="C48">
        <f t="shared" si="5"/>
        <v>10</v>
      </c>
      <c r="D48" s="151">
        <f>Data!G47</f>
        <v>6792373.7300000032</v>
      </c>
      <c r="E48" s="151">
        <f>Data!H47</f>
        <v>105551.56172052656</v>
      </c>
      <c r="F48" s="151">
        <f>Data!I47</f>
        <v>6897925.29172053</v>
      </c>
      <c r="G48" s="129">
        <f>Data!AR47</f>
        <v>117.8</v>
      </c>
      <c r="H48" s="129">
        <f>Data!AS47</f>
        <v>18.800000000000004</v>
      </c>
      <c r="I48" s="129">
        <f t="shared" ca="1" si="8"/>
        <v>107.70315789473716</v>
      </c>
      <c r="J48" s="129">
        <f t="shared" ca="1" si="8"/>
        <v>25.808421052631616</v>
      </c>
      <c r="K48" s="32">
        <f>Data!BW47</f>
        <v>1</v>
      </c>
      <c r="L48" s="32">
        <f>Data!AB47</f>
        <v>2530</v>
      </c>
      <c r="M48" s="32">
        <f>Data!BI47</f>
        <v>46</v>
      </c>
      <c r="N48" s="140">
        <f>Data!BZ47</f>
        <v>0</v>
      </c>
      <c r="O48" s="32">
        <f t="shared" ca="1" si="6"/>
        <v>6897992.0986020751</v>
      </c>
      <c r="P48" s="32">
        <f t="shared" ca="1" si="1"/>
        <v>6792440.5368815484</v>
      </c>
      <c r="Q48" s="32">
        <f t="shared" ca="1" si="2"/>
        <v>66.806881545111537</v>
      </c>
      <c r="R48" s="50">
        <f t="shared" ca="1" si="3"/>
        <v>9.6850688750280864E-6</v>
      </c>
      <c r="AE48" s="2"/>
      <c r="AI48" s="2"/>
      <c r="AM48" s="2"/>
      <c r="AN48" s="76"/>
      <c r="AO48" s="5"/>
      <c r="AP48" s="5"/>
      <c r="AQ48" s="2"/>
      <c r="AR48" s="76"/>
      <c r="AS48" s="5"/>
      <c r="AT48" s="5"/>
      <c r="AU48" s="29"/>
      <c r="AV48" s="29"/>
    </row>
    <row r="49" spans="1:48" x14ac:dyDescent="0.2">
      <c r="A49" s="2">
        <v>41944</v>
      </c>
      <c r="B49">
        <f t="shared" si="4"/>
        <v>2014</v>
      </c>
      <c r="C49">
        <f t="shared" si="5"/>
        <v>11</v>
      </c>
      <c r="D49" s="151">
        <f>Data!G48</f>
        <v>7187665.7199999969</v>
      </c>
      <c r="E49" s="151">
        <f>Data!H48</f>
        <v>105551.56172052656</v>
      </c>
      <c r="F49" s="151">
        <f>Data!I48</f>
        <v>7293217.2817205237</v>
      </c>
      <c r="G49" s="129">
        <f>Data!AR48</f>
        <v>362.10000000000008</v>
      </c>
      <c r="H49" s="129">
        <f>Data!AS48</f>
        <v>0</v>
      </c>
      <c r="I49" s="129">
        <f t="shared" ca="1" si="8"/>
        <v>305.31105263157906</v>
      </c>
      <c r="J49" s="129">
        <f t="shared" ca="1" si="8"/>
        <v>1.3363157894737014</v>
      </c>
      <c r="K49" s="32">
        <f>Data!BW48</f>
        <v>1</v>
      </c>
      <c r="L49" s="32">
        <f>Data!AB48</f>
        <v>2539</v>
      </c>
      <c r="M49" s="32">
        <f>Data!BI48</f>
        <v>47</v>
      </c>
      <c r="N49" s="140">
        <f>Data!BZ48</f>
        <v>0</v>
      </c>
      <c r="O49" s="32">
        <f t="shared" ca="1" si="6"/>
        <v>7104480.7587510161</v>
      </c>
      <c r="P49" s="32">
        <f t="shared" ca="1" si="1"/>
        <v>6998929.1970304893</v>
      </c>
      <c r="Q49" s="32">
        <f t="shared" ca="1" si="2"/>
        <v>-188736.52296950761</v>
      </c>
      <c r="R49" s="50">
        <f t="shared" ca="1" si="3"/>
        <v>2.5878362823846004E-2</v>
      </c>
      <c r="AE49" s="2"/>
      <c r="AI49" s="2"/>
      <c r="AM49" s="2"/>
      <c r="AN49" s="76"/>
      <c r="AO49" s="5"/>
      <c r="AP49" s="5"/>
      <c r="AQ49" s="2"/>
      <c r="AR49" s="76"/>
      <c r="AS49" s="5"/>
      <c r="AT49" s="5"/>
      <c r="AU49" s="29"/>
      <c r="AV49" s="29"/>
    </row>
    <row r="50" spans="1:48" x14ac:dyDescent="0.2">
      <c r="A50" s="2">
        <v>41974</v>
      </c>
      <c r="B50">
        <f t="shared" si="4"/>
        <v>2014</v>
      </c>
      <c r="C50">
        <f t="shared" si="5"/>
        <v>12</v>
      </c>
      <c r="D50" s="151">
        <f>Data!G49</f>
        <v>8927945.1699999962</v>
      </c>
      <c r="E50" s="151">
        <f>Data!H49</f>
        <v>105551.56172052656</v>
      </c>
      <c r="F50" s="151">
        <f>Data!I49</f>
        <v>9033496.731720522</v>
      </c>
      <c r="G50" s="129">
        <f>Data!AR49</f>
        <v>433.30000000000007</v>
      </c>
      <c r="H50" s="129">
        <f>Data!AS49</f>
        <v>0</v>
      </c>
      <c r="I50" s="129">
        <f t="shared" ca="1" si="8"/>
        <v>437.78421052631529</v>
      </c>
      <c r="J50" s="129">
        <f t="shared" ca="1" si="8"/>
        <v>0</v>
      </c>
      <c r="K50" s="32">
        <f>Data!BW49</f>
        <v>0</v>
      </c>
      <c r="L50" s="32">
        <f>Data!AB49</f>
        <v>2544</v>
      </c>
      <c r="M50" s="32">
        <f>Data!BI49</f>
        <v>48</v>
      </c>
      <c r="N50" s="140">
        <f>Data!BZ49</f>
        <v>0</v>
      </c>
      <c r="O50" s="32">
        <f t="shared" ca="1" si="6"/>
        <v>9048923.8829941116</v>
      </c>
      <c r="P50" s="32">
        <f t="shared" ca="1" si="1"/>
        <v>8943372.3212735858</v>
      </c>
      <c r="Q50" s="32">
        <f t="shared" ca="1" si="2"/>
        <v>15427.151273589581</v>
      </c>
      <c r="R50" s="50">
        <f t="shared" ca="1" si="3"/>
        <v>1.7077718331837291E-3</v>
      </c>
      <c r="AE50" s="2"/>
      <c r="AI50" s="2"/>
      <c r="AM50" s="2"/>
      <c r="AN50" s="76"/>
      <c r="AO50" s="5"/>
      <c r="AP50" s="5"/>
      <c r="AQ50" s="2"/>
      <c r="AR50" s="76"/>
      <c r="AS50" s="5"/>
      <c r="AT50" s="5"/>
      <c r="AU50" s="29"/>
      <c r="AV50" s="29"/>
    </row>
    <row r="51" spans="1:48" x14ac:dyDescent="0.2">
      <c r="A51" s="2">
        <v>42005</v>
      </c>
      <c r="B51">
        <f t="shared" si="4"/>
        <v>2015</v>
      </c>
      <c r="C51">
        <f t="shared" si="5"/>
        <v>1</v>
      </c>
      <c r="D51" s="151">
        <f>Data!G50</f>
        <v>8967430.3132530134</v>
      </c>
      <c r="E51" s="151">
        <f>Data!H50</f>
        <v>194937.46716045527</v>
      </c>
      <c r="F51" s="151">
        <f>Data!I50</f>
        <v>9162367.7804134693</v>
      </c>
      <c r="G51" s="129">
        <f>Data!AR50</f>
        <v>668.39999999999986</v>
      </c>
      <c r="H51" s="129">
        <f>Data!AS50</f>
        <v>0</v>
      </c>
      <c r="I51" s="129">
        <f t="shared" ref="I51:J66" ca="1" si="9">I63</f>
        <v>557.82052631578927</v>
      </c>
      <c r="J51" s="129">
        <f t="shared" ca="1" si="9"/>
        <v>0</v>
      </c>
      <c r="K51" s="32">
        <f>Data!BW50</f>
        <v>0</v>
      </c>
      <c r="L51" s="32">
        <f>Data!AB50</f>
        <v>2548</v>
      </c>
      <c r="M51" s="32">
        <f>Data!BI50</f>
        <v>49</v>
      </c>
      <c r="N51" s="140">
        <f>Data!BZ50</f>
        <v>0</v>
      </c>
      <c r="O51" s="32">
        <f t="shared" ca="1" si="6"/>
        <v>8781938.2135434374</v>
      </c>
      <c r="P51" s="32">
        <f t="shared" ca="1" si="1"/>
        <v>8587000.7463829815</v>
      </c>
      <c r="Q51" s="32">
        <f t="shared" ca="1" si="2"/>
        <v>-380429.56687003188</v>
      </c>
      <c r="R51" s="50">
        <f t="shared" ca="1" si="3"/>
        <v>4.152087931716536E-2</v>
      </c>
      <c r="V51" s="130"/>
      <c r="AE51" s="2"/>
      <c r="AI51" s="2"/>
      <c r="AM51" s="2"/>
      <c r="AN51" s="76"/>
      <c r="AO51" s="5"/>
      <c r="AP51" s="5"/>
      <c r="AQ51" s="2"/>
      <c r="AR51" s="76"/>
      <c r="AS51" s="5"/>
      <c r="AT51" s="5"/>
      <c r="AU51" s="29"/>
      <c r="AV51" s="29"/>
    </row>
    <row r="52" spans="1:48" x14ac:dyDescent="0.2">
      <c r="A52" s="2">
        <v>42036</v>
      </c>
      <c r="B52">
        <f t="shared" si="4"/>
        <v>2015</v>
      </c>
      <c r="C52">
        <f t="shared" si="5"/>
        <v>2</v>
      </c>
      <c r="D52" s="151">
        <f>Data!G51</f>
        <v>8632890.5734939743</v>
      </c>
      <c r="E52" s="151">
        <f>Data!H51</f>
        <v>194937.46716045527</v>
      </c>
      <c r="F52" s="151">
        <f>Data!I51</f>
        <v>8827828.0406544302</v>
      </c>
      <c r="G52" s="129">
        <f>Data!AR51</f>
        <v>744.79999999999984</v>
      </c>
      <c r="H52" s="129">
        <f>Data!AS51</f>
        <v>0</v>
      </c>
      <c r="I52" s="129">
        <f t="shared" ca="1" si="9"/>
        <v>513.95684210526292</v>
      </c>
      <c r="J52" s="129">
        <f t="shared" ca="1" si="9"/>
        <v>0</v>
      </c>
      <c r="K52" s="32">
        <f>Data!BW51</f>
        <v>0</v>
      </c>
      <c r="L52" s="32">
        <f>Data!AB51</f>
        <v>2555</v>
      </c>
      <c r="M52" s="32">
        <f>Data!BI51</f>
        <v>50</v>
      </c>
      <c r="N52" s="140">
        <f>Data!BZ51</f>
        <v>0</v>
      </c>
      <c r="O52" s="32">
        <f t="shared" ca="1" si="6"/>
        <v>8033652.0543986326</v>
      </c>
      <c r="P52" s="32">
        <f t="shared" ca="1" si="1"/>
        <v>7838714.5872381777</v>
      </c>
      <c r="Q52" s="32">
        <f t="shared" ca="1" si="2"/>
        <v>-794175.98625579756</v>
      </c>
      <c r="R52" s="50">
        <f t="shared" ca="1" si="3"/>
        <v>8.9962783891848808E-2</v>
      </c>
      <c r="V52" s="130"/>
      <c r="AE52" s="2"/>
      <c r="AI52" s="2"/>
      <c r="AM52" s="2"/>
      <c r="AN52" s="76"/>
      <c r="AO52" s="5"/>
      <c r="AP52" s="5"/>
      <c r="AQ52" s="2"/>
      <c r="AR52" s="76"/>
      <c r="AS52" s="5"/>
      <c r="AT52" s="5"/>
      <c r="AU52" s="29"/>
      <c r="AV52" s="29"/>
    </row>
    <row r="53" spans="1:48" x14ac:dyDescent="0.2">
      <c r="A53" s="2">
        <v>42064</v>
      </c>
      <c r="B53">
        <f t="shared" si="4"/>
        <v>2015</v>
      </c>
      <c r="C53">
        <f t="shared" si="5"/>
        <v>3</v>
      </c>
      <c r="D53" s="151">
        <f>Data!G52</f>
        <v>8240875.3638554187</v>
      </c>
      <c r="E53" s="151">
        <f>Data!H52</f>
        <v>194937.46716045527</v>
      </c>
      <c r="F53" s="151">
        <f>Data!I52</f>
        <v>8435812.8310158737</v>
      </c>
      <c r="G53" s="129">
        <f>Data!AR52</f>
        <v>491.5</v>
      </c>
      <c r="H53" s="129">
        <f>Data!AS52</f>
        <v>0</v>
      </c>
      <c r="I53" s="129">
        <f t="shared" ca="1" si="9"/>
        <v>400.06210526315817</v>
      </c>
      <c r="J53" s="129">
        <f t="shared" ca="1" si="9"/>
        <v>0.74263157894736409</v>
      </c>
      <c r="K53" s="32">
        <f>Data!BW52</f>
        <v>0</v>
      </c>
      <c r="L53" s="32">
        <f>Data!AB52</f>
        <v>2553</v>
      </c>
      <c r="M53" s="32">
        <f>Data!BI52</f>
        <v>51</v>
      </c>
      <c r="N53" s="140">
        <f>Data!BZ52</f>
        <v>0</v>
      </c>
      <c r="O53" s="32">
        <f t="shared" ca="1" si="6"/>
        <v>8124924.4059398165</v>
      </c>
      <c r="P53" s="32">
        <f t="shared" ca="1" si="1"/>
        <v>7929986.9387793615</v>
      </c>
      <c r="Q53" s="32">
        <f t="shared" ca="1" si="2"/>
        <v>-310888.4250760572</v>
      </c>
      <c r="R53" s="50">
        <f t="shared" ca="1" si="3"/>
        <v>3.6853404799714932E-2</v>
      </c>
      <c r="AE53" s="2"/>
      <c r="AI53" s="2"/>
      <c r="AM53" s="2"/>
      <c r="AN53" s="76"/>
      <c r="AO53" s="5"/>
      <c r="AP53" s="5"/>
      <c r="AQ53" s="2"/>
      <c r="AR53" s="76"/>
      <c r="AS53" s="5"/>
      <c r="AT53" s="5"/>
      <c r="AU53" s="29"/>
      <c r="AV53" s="29"/>
    </row>
    <row r="54" spans="1:48" x14ac:dyDescent="0.2">
      <c r="A54" s="2">
        <v>42095</v>
      </c>
      <c r="B54">
        <f t="shared" si="4"/>
        <v>2015</v>
      </c>
      <c r="C54">
        <f t="shared" si="5"/>
        <v>4</v>
      </c>
      <c r="D54" s="151">
        <f>Data!G53</f>
        <v>7175293.9469879493</v>
      </c>
      <c r="E54" s="151">
        <f>Data!H53</f>
        <v>194937.46716045527</v>
      </c>
      <c r="F54" s="151">
        <f>Data!I53</f>
        <v>7370231.4141484043</v>
      </c>
      <c r="G54" s="129">
        <f>Data!AR53</f>
        <v>195.89999999999998</v>
      </c>
      <c r="H54" s="129">
        <f>Data!AS53</f>
        <v>2.1999999999999993</v>
      </c>
      <c r="I54" s="129">
        <f t="shared" ca="1" si="9"/>
        <v>225.72052631578936</v>
      </c>
      <c r="J54" s="129">
        <f t="shared" ca="1" si="9"/>
        <v>0</v>
      </c>
      <c r="K54" s="32">
        <f>Data!BW53</f>
        <v>0</v>
      </c>
      <c r="L54" s="32">
        <f>Data!AB53</f>
        <v>2549</v>
      </c>
      <c r="M54" s="32">
        <f>Data!BI53</f>
        <v>52</v>
      </c>
      <c r="N54" s="140">
        <f>Data!BZ53</f>
        <v>0</v>
      </c>
      <c r="O54" s="32">
        <f t="shared" ca="1" si="6"/>
        <v>7461898.7603469603</v>
      </c>
      <c r="P54" s="32">
        <f t="shared" ca="1" si="1"/>
        <v>7266961.2931865053</v>
      </c>
      <c r="Q54" s="32">
        <f t="shared" ca="1" si="2"/>
        <v>91667.346198556013</v>
      </c>
      <c r="R54" s="50">
        <f t="shared" ca="1" si="3"/>
        <v>1.2437512616304701E-2</v>
      </c>
      <c r="AE54" s="2"/>
      <c r="AI54" s="2"/>
      <c r="AM54" s="2"/>
      <c r="AN54" s="76"/>
      <c r="AO54" s="5"/>
      <c r="AP54" s="5"/>
      <c r="AQ54" s="2"/>
      <c r="AR54" s="76"/>
      <c r="AS54" s="5"/>
      <c r="AT54" s="5"/>
      <c r="AU54" s="29"/>
      <c r="AV54" s="29"/>
    </row>
    <row r="55" spans="1:48" x14ac:dyDescent="0.2">
      <c r="A55" s="2">
        <v>42125</v>
      </c>
      <c r="B55">
        <f t="shared" si="4"/>
        <v>2015</v>
      </c>
      <c r="C55">
        <f t="shared" si="5"/>
        <v>5</v>
      </c>
      <c r="D55" s="151">
        <f>Data!G54</f>
        <v>6882245.3012048155</v>
      </c>
      <c r="E55" s="151">
        <f>Data!H54</f>
        <v>194937.46716045527</v>
      </c>
      <c r="F55" s="151">
        <f>Data!I54</f>
        <v>7077182.7683652705</v>
      </c>
      <c r="G55" s="129">
        <f>Data!AR54</f>
        <v>31.1</v>
      </c>
      <c r="H55" s="129">
        <f>Data!AS54</f>
        <v>99.9</v>
      </c>
      <c r="I55" s="129">
        <f t="shared" ca="1" si="9"/>
        <v>59.688947368421054</v>
      </c>
      <c r="J55" s="129">
        <f t="shared" ca="1" si="9"/>
        <v>80.273684210525971</v>
      </c>
      <c r="K55" s="32">
        <f>Data!BW54</f>
        <v>0</v>
      </c>
      <c r="L55" s="32">
        <f>Data!AB54</f>
        <v>2546</v>
      </c>
      <c r="M55" s="32">
        <f>Data!BI54</f>
        <v>53</v>
      </c>
      <c r="N55" s="140">
        <f>Data!BZ54</f>
        <v>0</v>
      </c>
      <c r="O55" s="32">
        <f t="shared" ca="1" si="6"/>
        <v>7078075.4179204889</v>
      </c>
      <c r="P55" s="32">
        <f t="shared" ca="1" si="1"/>
        <v>6883137.9507600339</v>
      </c>
      <c r="Q55" s="32">
        <f t="shared" ca="1" si="2"/>
        <v>892.64955521840602</v>
      </c>
      <c r="R55" s="50">
        <f t="shared" ca="1" si="3"/>
        <v>1.2613063480690573E-4</v>
      </c>
      <c r="AE55" s="2"/>
      <c r="AI55" s="2"/>
      <c r="AM55" s="2"/>
      <c r="AN55" s="76"/>
      <c r="AO55" s="5"/>
      <c r="AP55" s="5"/>
      <c r="AQ55" s="2"/>
      <c r="AR55" s="76"/>
      <c r="AS55" s="5"/>
      <c r="AT55" s="5"/>
      <c r="AU55" s="29"/>
      <c r="AV55" s="29"/>
    </row>
    <row r="56" spans="1:48" x14ac:dyDescent="0.2">
      <c r="A56" s="2">
        <v>42156</v>
      </c>
      <c r="B56">
        <f t="shared" si="4"/>
        <v>2015</v>
      </c>
      <c r="C56">
        <f t="shared" si="5"/>
        <v>6</v>
      </c>
      <c r="D56" s="151">
        <f>Data!G55</f>
        <v>6719082.4385542162</v>
      </c>
      <c r="E56" s="151">
        <f>Data!H55</f>
        <v>194937.46716045527</v>
      </c>
      <c r="F56" s="151">
        <f>Data!I55</f>
        <v>6914019.9057146711</v>
      </c>
      <c r="G56" s="129">
        <f>Data!AR55</f>
        <v>2.9999999999999982</v>
      </c>
      <c r="H56" s="129">
        <f>Data!AS55</f>
        <v>121.5</v>
      </c>
      <c r="I56" s="129">
        <f t="shared" ca="1" si="9"/>
        <v>1.08894736842106</v>
      </c>
      <c r="J56" s="129">
        <f t="shared" ca="1" si="9"/>
        <v>177.38052631578967</v>
      </c>
      <c r="K56" s="32">
        <f>Data!BW55</f>
        <v>0</v>
      </c>
      <c r="L56" s="32">
        <f>Data!AB55</f>
        <v>2547</v>
      </c>
      <c r="M56" s="32">
        <f>Data!BI55</f>
        <v>54</v>
      </c>
      <c r="N56" s="140">
        <f>Data!BZ55</f>
        <v>0</v>
      </c>
      <c r="O56" s="32">
        <f t="shared" ca="1" si="6"/>
        <v>7184943.393000504</v>
      </c>
      <c r="P56" s="32">
        <f t="shared" ca="1" si="1"/>
        <v>6990005.9258400491</v>
      </c>
      <c r="Q56" s="32">
        <f t="shared" ca="1" si="2"/>
        <v>270923.48728583287</v>
      </c>
      <c r="R56" s="50">
        <f t="shared" ca="1" si="3"/>
        <v>3.9184655378545478E-2</v>
      </c>
      <c r="AE56" s="2"/>
      <c r="AI56" s="2"/>
      <c r="AM56" s="2"/>
      <c r="AN56" s="76"/>
      <c r="AO56" s="5"/>
      <c r="AP56" s="5"/>
      <c r="AQ56" s="2"/>
      <c r="AR56" s="76"/>
      <c r="AS56" s="5"/>
      <c r="AT56" s="5"/>
      <c r="AU56" s="29"/>
      <c r="AV56" s="29"/>
    </row>
    <row r="57" spans="1:48" x14ac:dyDescent="0.2">
      <c r="A57" s="2">
        <v>42186</v>
      </c>
      <c r="B57">
        <f t="shared" si="4"/>
        <v>2015</v>
      </c>
      <c r="C57">
        <f t="shared" si="5"/>
        <v>7</v>
      </c>
      <c r="D57" s="151">
        <f>Data!G56</f>
        <v>7642373.2048192788</v>
      </c>
      <c r="E57" s="151">
        <f>Data!H56</f>
        <v>194937.46716045527</v>
      </c>
      <c r="F57" s="151">
        <f>Data!I56</f>
        <v>7837310.6719797337</v>
      </c>
      <c r="G57" s="129">
        <f>Data!AR56</f>
        <v>0</v>
      </c>
      <c r="H57" s="129">
        <f>Data!AS56</f>
        <v>234.3</v>
      </c>
      <c r="I57" s="129">
        <f t="shared" ca="1" si="9"/>
        <v>0</v>
      </c>
      <c r="J57" s="129">
        <f t="shared" ca="1" si="9"/>
        <v>273.7568421052631</v>
      </c>
      <c r="K57" s="32">
        <f>Data!BW56</f>
        <v>0</v>
      </c>
      <c r="L57" s="32">
        <f>Data!AB56</f>
        <v>2538</v>
      </c>
      <c r="M57" s="32">
        <f>Data!BI56</f>
        <v>55</v>
      </c>
      <c r="N57" s="140">
        <f>Data!BZ56</f>
        <v>0</v>
      </c>
      <c r="O57" s="32">
        <f t="shared" ca="1" si="6"/>
        <v>8033250.1300047375</v>
      </c>
      <c r="P57" s="32">
        <f t="shared" ca="1" si="1"/>
        <v>7838312.6628442826</v>
      </c>
      <c r="Q57" s="32">
        <f t="shared" ca="1" si="2"/>
        <v>195939.45802500378</v>
      </c>
      <c r="R57" s="50">
        <f t="shared" ca="1" si="3"/>
        <v>2.500085376550586E-2</v>
      </c>
      <c r="AE57" s="2"/>
      <c r="AI57" s="2"/>
      <c r="AM57" s="2"/>
      <c r="AN57" s="76"/>
      <c r="AO57" s="5"/>
      <c r="AP57" s="5"/>
      <c r="AQ57" s="2"/>
      <c r="AR57" s="76"/>
      <c r="AS57" s="5"/>
      <c r="AT57" s="5"/>
      <c r="AU57" s="29"/>
      <c r="AV57" s="29"/>
    </row>
    <row r="58" spans="1:48" x14ac:dyDescent="0.2">
      <c r="A58" s="2">
        <v>42217</v>
      </c>
      <c r="B58">
        <f t="shared" si="4"/>
        <v>2015</v>
      </c>
      <c r="C58">
        <f t="shared" si="5"/>
        <v>8</v>
      </c>
      <c r="D58" s="151">
        <f>Data!G57</f>
        <v>7190501.1855421662</v>
      </c>
      <c r="E58" s="151">
        <f>Data!H57</f>
        <v>194937.46716045527</v>
      </c>
      <c r="F58" s="151">
        <f>Data!I57</f>
        <v>7385438.6527026212</v>
      </c>
      <c r="G58" s="129">
        <f>Data!AR57</f>
        <v>0</v>
      </c>
      <c r="H58" s="129">
        <f>Data!AS57</f>
        <v>208.20000000000002</v>
      </c>
      <c r="I58" s="129">
        <f t="shared" ca="1" si="9"/>
        <v>0</v>
      </c>
      <c r="J58" s="129">
        <f t="shared" ca="1" si="9"/>
        <v>253.05789473684217</v>
      </c>
      <c r="K58" s="32">
        <f>Data!BW57</f>
        <v>0</v>
      </c>
      <c r="L58" s="32">
        <f>Data!AB57</f>
        <v>2537</v>
      </c>
      <c r="M58" s="32">
        <f>Data!BI57</f>
        <v>56</v>
      </c>
      <c r="N58" s="140">
        <f>Data!BZ57</f>
        <v>0</v>
      </c>
      <c r="O58" s="32">
        <f t="shared" ca="1" si="6"/>
        <v>7608199.2973439498</v>
      </c>
      <c r="P58" s="32">
        <f t="shared" ca="1" si="1"/>
        <v>7413261.8301834948</v>
      </c>
      <c r="Q58" s="32">
        <f t="shared" ca="1" si="2"/>
        <v>222760.6446413286</v>
      </c>
      <c r="R58" s="50">
        <f t="shared" ca="1" si="3"/>
        <v>3.0162141359039218E-2</v>
      </c>
      <c r="AE58" s="2"/>
      <c r="AI58" s="2"/>
      <c r="AM58" s="2"/>
      <c r="AN58" s="76"/>
      <c r="AO58" s="5"/>
      <c r="AP58" s="5"/>
      <c r="AQ58" s="2"/>
      <c r="AR58" s="76"/>
      <c r="AS58" s="5"/>
      <c r="AT58" s="5"/>
      <c r="AU58" s="29"/>
      <c r="AV58" s="29"/>
    </row>
    <row r="59" spans="1:48" x14ac:dyDescent="0.2">
      <c r="A59" s="2">
        <v>42248</v>
      </c>
      <c r="B59">
        <f t="shared" si="4"/>
        <v>2015</v>
      </c>
      <c r="C59">
        <f t="shared" si="5"/>
        <v>9</v>
      </c>
      <c r="D59" s="151">
        <f>Data!G58</f>
        <v>7066672.2313253004</v>
      </c>
      <c r="E59" s="151">
        <f>Data!H58</f>
        <v>194937.46716045527</v>
      </c>
      <c r="F59" s="151">
        <f>Data!I58</f>
        <v>7261609.6984857554</v>
      </c>
      <c r="G59" s="129">
        <f>Data!AR58</f>
        <v>3.2999999999999989</v>
      </c>
      <c r="H59" s="129">
        <f>Data!AS58</f>
        <v>174.09999999999997</v>
      </c>
      <c r="I59" s="129">
        <f t="shared" ca="1" si="9"/>
        <v>9.9542105263157907</v>
      </c>
      <c r="J59" s="129">
        <f t="shared" ca="1" si="9"/>
        <v>120.49421052631581</v>
      </c>
      <c r="K59" s="32">
        <f>Data!BW58</f>
        <v>1</v>
      </c>
      <c r="L59" s="32">
        <f>Data!AB58</f>
        <v>2544</v>
      </c>
      <c r="M59" s="32">
        <f>Data!BI58</f>
        <v>57</v>
      </c>
      <c r="N59" s="140">
        <f>Data!BZ58</f>
        <v>0</v>
      </c>
      <c r="O59" s="32">
        <f t="shared" ca="1" si="6"/>
        <v>7018300.3836669419</v>
      </c>
      <c r="P59" s="32">
        <f t="shared" ca="1" si="1"/>
        <v>6823362.9165064869</v>
      </c>
      <c r="Q59" s="32">
        <f t="shared" ca="1" si="2"/>
        <v>-243309.31481881347</v>
      </c>
      <c r="R59" s="50">
        <f t="shared" ca="1" si="3"/>
        <v>3.3506250669125076E-2</v>
      </c>
      <c r="AE59" s="2"/>
      <c r="AI59" s="2"/>
      <c r="AM59" s="2"/>
      <c r="AN59" s="76"/>
      <c r="AO59" s="5"/>
      <c r="AP59" s="5"/>
      <c r="AQ59" s="2"/>
      <c r="AR59" s="76"/>
      <c r="AS59" s="5"/>
      <c r="AT59" s="5"/>
      <c r="AU59" s="29"/>
      <c r="AV59" s="29"/>
    </row>
    <row r="60" spans="1:48" x14ac:dyDescent="0.2">
      <c r="A60" s="2">
        <v>42278</v>
      </c>
      <c r="B60">
        <f t="shared" si="4"/>
        <v>2015</v>
      </c>
      <c r="C60">
        <f t="shared" si="5"/>
        <v>10</v>
      </c>
      <c r="D60" s="151">
        <f>Data!G59</f>
        <v>6796226.5349397603</v>
      </c>
      <c r="E60" s="151">
        <f>Data!H59</f>
        <v>194937.46716045527</v>
      </c>
      <c r="F60" s="151">
        <f>Data!I59</f>
        <v>6991164.0021002153</v>
      </c>
      <c r="G60" s="129">
        <f>Data!AR59</f>
        <v>135.30000000000001</v>
      </c>
      <c r="H60" s="129">
        <f>Data!AS59</f>
        <v>9.4999999999999982</v>
      </c>
      <c r="I60" s="129">
        <f t="shared" ca="1" si="9"/>
        <v>107.70315789473716</v>
      </c>
      <c r="J60" s="129">
        <f t="shared" ca="1" si="9"/>
        <v>25.808421052631616</v>
      </c>
      <c r="K60" s="32">
        <f>Data!BW59</f>
        <v>1</v>
      </c>
      <c r="L60" s="32">
        <f>Data!AB59</f>
        <v>2557</v>
      </c>
      <c r="M60" s="32">
        <f>Data!BI59</f>
        <v>58</v>
      </c>
      <c r="N60" s="140">
        <f>Data!BZ59</f>
        <v>0</v>
      </c>
      <c r="O60" s="32">
        <f t="shared" ca="1" si="6"/>
        <v>6977208.1247225013</v>
      </c>
      <c r="P60" s="32">
        <f t="shared" ca="1" si="1"/>
        <v>6782270.6575620463</v>
      </c>
      <c r="Q60" s="32">
        <f t="shared" ca="1" si="2"/>
        <v>-13955.87737771403</v>
      </c>
      <c r="R60" s="50">
        <f t="shared" ca="1" si="3"/>
        <v>1.9962165632964046E-3</v>
      </c>
      <c r="AE60" s="2"/>
      <c r="AI60" s="2"/>
      <c r="AM60" s="2"/>
      <c r="AN60" s="76"/>
      <c r="AO60" s="5"/>
      <c r="AP60" s="5"/>
      <c r="AQ60" s="2"/>
      <c r="AR60" s="76"/>
      <c r="AS60" s="5"/>
      <c r="AT60" s="5"/>
      <c r="AU60" s="29"/>
      <c r="AV60" s="29"/>
    </row>
    <row r="61" spans="1:48" x14ac:dyDescent="0.2">
      <c r="A61" s="2">
        <v>42309</v>
      </c>
      <c r="B61">
        <f t="shared" si="4"/>
        <v>2015</v>
      </c>
      <c r="C61">
        <f t="shared" si="5"/>
        <v>11</v>
      </c>
      <c r="D61" s="151">
        <f>Data!G60</f>
        <v>6323671.9614457851</v>
      </c>
      <c r="E61" s="151">
        <f>Data!H60</f>
        <v>194937.46716045527</v>
      </c>
      <c r="F61" s="151">
        <f>Data!I60</f>
        <v>6518609.4286062401</v>
      </c>
      <c r="G61" s="129">
        <f>Data!AR60</f>
        <v>227.2</v>
      </c>
      <c r="H61" s="129">
        <f>Data!AS60</f>
        <v>2.1999999999999993</v>
      </c>
      <c r="I61" s="129">
        <f t="shared" ca="1" si="9"/>
        <v>305.31105263157906</v>
      </c>
      <c r="J61" s="129">
        <f t="shared" ca="1" si="9"/>
        <v>1.3363157894737014</v>
      </c>
      <c r="K61" s="32">
        <f>Data!BW60</f>
        <v>1</v>
      </c>
      <c r="L61" s="32">
        <f>Data!AB60</f>
        <v>2574</v>
      </c>
      <c r="M61" s="32">
        <f>Data!BI60</f>
        <v>59</v>
      </c>
      <c r="N61" s="140">
        <f>Data!BZ60</f>
        <v>0</v>
      </c>
      <c r="O61" s="32">
        <f t="shared" ca="1" si="6"/>
        <v>6783048.0193145908</v>
      </c>
      <c r="P61" s="32">
        <f t="shared" ca="1" si="1"/>
        <v>6588110.5521541359</v>
      </c>
      <c r="Q61" s="32">
        <f t="shared" ca="1" si="2"/>
        <v>264438.59070835076</v>
      </c>
      <c r="R61" s="50">
        <f t="shared" ca="1" si="3"/>
        <v>4.056671804079709E-2</v>
      </c>
      <c r="AE61" s="2"/>
      <c r="AN61" s="5"/>
      <c r="AO61" s="5"/>
      <c r="AP61" s="5"/>
      <c r="AQ61" s="5"/>
      <c r="AR61" s="5"/>
      <c r="AS61" s="5"/>
      <c r="AU61" s="29"/>
      <c r="AV61" s="29"/>
    </row>
    <row r="62" spans="1:48" x14ac:dyDescent="0.2">
      <c r="A62" s="2">
        <v>42339</v>
      </c>
      <c r="B62">
        <f t="shared" si="4"/>
        <v>2015</v>
      </c>
      <c r="C62">
        <f t="shared" si="5"/>
        <v>12</v>
      </c>
      <c r="D62" s="151">
        <f>Data!G61</f>
        <v>6695925.5710843336</v>
      </c>
      <c r="E62" s="151">
        <f>Data!H61</f>
        <v>194937.46716045527</v>
      </c>
      <c r="F62" s="151">
        <f>Data!I61</f>
        <v>6890863.0382447885</v>
      </c>
      <c r="G62" s="129">
        <f>Data!AR61</f>
        <v>305.7</v>
      </c>
      <c r="H62" s="129">
        <f>Data!AS61</f>
        <v>0</v>
      </c>
      <c r="I62" s="129">
        <f t="shared" ca="1" si="9"/>
        <v>437.78421052631529</v>
      </c>
      <c r="J62" s="129">
        <f t="shared" ca="1" si="9"/>
        <v>0</v>
      </c>
      <c r="K62" s="32">
        <f>Data!BW61</f>
        <v>0</v>
      </c>
      <c r="L62" s="32">
        <f>Data!AB61</f>
        <v>2574</v>
      </c>
      <c r="M62" s="32">
        <f>Data!BI61</f>
        <v>60</v>
      </c>
      <c r="N62" s="140">
        <f>Data!BZ61</f>
        <v>0</v>
      </c>
      <c r="O62" s="32">
        <f t="shared" ca="1" si="6"/>
        <v>7345275.9353833199</v>
      </c>
      <c r="P62" s="32">
        <f t="shared" ca="1" si="1"/>
        <v>7150338.4682228649</v>
      </c>
      <c r="Q62" s="32">
        <f t="shared" ca="1" si="2"/>
        <v>454412.89713853132</v>
      </c>
      <c r="R62" s="50">
        <f t="shared" ca="1" si="3"/>
        <v>6.5944264835406954E-2</v>
      </c>
      <c r="AE62" s="2"/>
      <c r="AN62" s="5"/>
      <c r="AO62" s="5"/>
      <c r="AP62" s="5"/>
      <c r="AQ62" s="5"/>
      <c r="AR62" s="5"/>
    </row>
    <row r="63" spans="1:48" x14ac:dyDescent="0.2">
      <c r="A63" s="2">
        <v>42370</v>
      </c>
      <c r="B63">
        <f t="shared" si="4"/>
        <v>2016</v>
      </c>
      <c r="C63">
        <f t="shared" si="5"/>
        <v>1</v>
      </c>
      <c r="D63" s="151">
        <f>Data!G62</f>
        <v>8357389.1277108472</v>
      </c>
      <c r="E63" s="151">
        <f>Data!H62</f>
        <v>331866.97414415696</v>
      </c>
      <c r="F63" s="151">
        <f>Data!I62</f>
        <v>8689256.1018550042</v>
      </c>
      <c r="G63" s="129">
        <f>Data!AR62</f>
        <v>546.4</v>
      </c>
      <c r="H63" s="129">
        <f>Data!AS62</f>
        <v>0</v>
      </c>
      <c r="I63" s="129">
        <f t="shared" ca="1" si="9"/>
        <v>557.82052631578927</v>
      </c>
      <c r="J63" s="129">
        <f t="shared" ca="1" si="9"/>
        <v>0</v>
      </c>
      <c r="K63" s="32">
        <f>Data!BW62</f>
        <v>0</v>
      </c>
      <c r="L63" s="32">
        <f>Data!AB62</f>
        <v>2571</v>
      </c>
      <c r="M63" s="32">
        <f>Data!BI62</f>
        <v>61</v>
      </c>
      <c r="N63" s="140">
        <f>Data!BZ62</f>
        <v>0</v>
      </c>
      <c r="O63" s="32">
        <f t="shared" ca="1" si="6"/>
        <v>8728546.4487429895</v>
      </c>
      <c r="P63" s="32">
        <f t="shared" ca="1" si="1"/>
        <v>8396679.4745988324</v>
      </c>
      <c r="Q63" s="32">
        <f t="shared" ca="1" si="2"/>
        <v>39290.346887985244</v>
      </c>
      <c r="R63" s="50">
        <f t="shared" ca="1" si="3"/>
        <v>4.5217158324516917E-3</v>
      </c>
    </row>
    <row r="64" spans="1:48" x14ac:dyDescent="0.2">
      <c r="A64" s="2">
        <v>42401</v>
      </c>
      <c r="B64">
        <f t="shared" si="4"/>
        <v>2016</v>
      </c>
      <c r="C64">
        <f t="shared" si="5"/>
        <v>2</v>
      </c>
      <c r="D64" s="151">
        <f>Data!G63</f>
        <v>8192805.8506024061</v>
      </c>
      <c r="E64" s="151">
        <f>Data!H63</f>
        <v>331866.97414415696</v>
      </c>
      <c r="F64" s="151">
        <f>Data!I63</f>
        <v>8524672.8247465622</v>
      </c>
      <c r="G64" s="129">
        <f>Data!AR63</f>
        <v>472.40000000000009</v>
      </c>
      <c r="H64" s="129">
        <f>Data!AS63</f>
        <v>0</v>
      </c>
      <c r="I64" s="129">
        <f t="shared" ca="1" si="9"/>
        <v>513.95684210526292</v>
      </c>
      <c r="J64" s="129">
        <f t="shared" ca="1" si="9"/>
        <v>0</v>
      </c>
      <c r="K64" s="32">
        <f>Data!BW63</f>
        <v>0</v>
      </c>
      <c r="L64" s="32">
        <f>Data!AB63</f>
        <v>2577</v>
      </c>
      <c r="M64" s="32">
        <f>Data!BI63</f>
        <v>62</v>
      </c>
      <c r="N64" s="140">
        <f>Data!BZ63</f>
        <v>0</v>
      </c>
      <c r="O64" s="32">
        <f t="shared" ca="1" si="6"/>
        <v>8667641.9574062061</v>
      </c>
      <c r="P64" s="32">
        <f t="shared" ca="1" si="1"/>
        <v>8335774.983262049</v>
      </c>
      <c r="Q64" s="32">
        <f t="shared" ca="1" si="2"/>
        <v>142969.13265964389</v>
      </c>
      <c r="R64" s="50">
        <f t="shared" ca="1" si="3"/>
        <v>1.6771216397257375E-2</v>
      </c>
    </row>
    <row r="65" spans="1:18" x14ac:dyDescent="0.2">
      <c r="A65" s="2">
        <v>42430</v>
      </c>
      <c r="B65">
        <f t="shared" si="4"/>
        <v>2016</v>
      </c>
      <c r="C65">
        <f t="shared" si="5"/>
        <v>3</v>
      </c>
      <c r="D65" s="151">
        <f>Data!G64</f>
        <v>7702210.1783132562</v>
      </c>
      <c r="E65" s="151">
        <f>Data!H64</f>
        <v>331866.97414415696</v>
      </c>
      <c r="F65" s="151">
        <f>Data!I64</f>
        <v>8034077.1524574133</v>
      </c>
      <c r="G65" s="129">
        <f>Data!AR64</f>
        <v>352.09999999999985</v>
      </c>
      <c r="H65" s="129">
        <f>Data!AS64</f>
        <v>0</v>
      </c>
      <c r="I65" s="129">
        <f t="shared" ca="1" si="9"/>
        <v>400.06210526315817</v>
      </c>
      <c r="J65" s="129">
        <f t="shared" ca="1" si="9"/>
        <v>0.74263157894736409</v>
      </c>
      <c r="K65" s="32">
        <f>Data!BW64</f>
        <v>0</v>
      </c>
      <c r="L65" s="32">
        <f>Data!AB64</f>
        <v>2605</v>
      </c>
      <c r="M65" s="32">
        <f>Data!BI64</f>
        <v>63</v>
      </c>
      <c r="N65" s="140">
        <f>Data!BZ64</f>
        <v>0</v>
      </c>
      <c r="O65" s="32">
        <f t="shared" ca="1" si="6"/>
        <v>8202770.3337573204</v>
      </c>
      <c r="P65" s="32">
        <f t="shared" ca="1" si="1"/>
        <v>7870903.3596131634</v>
      </c>
      <c r="Q65" s="32">
        <f t="shared" ca="1" si="2"/>
        <v>168693.18129990716</v>
      </c>
      <c r="R65" s="50">
        <f t="shared" ca="1" si="3"/>
        <v>2.0997207034327316E-2</v>
      </c>
    </row>
    <row r="66" spans="1:18" x14ac:dyDescent="0.2">
      <c r="A66" s="2">
        <v>42461</v>
      </c>
      <c r="B66">
        <f t="shared" si="4"/>
        <v>2016</v>
      </c>
      <c r="C66">
        <f t="shared" si="5"/>
        <v>4</v>
      </c>
      <c r="D66" s="151">
        <f>Data!G65</f>
        <v>7574603.3349397629</v>
      </c>
      <c r="E66" s="151">
        <f>Data!H65</f>
        <v>331866.97414415696</v>
      </c>
      <c r="F66" s="151">
        <f>Data!I65</f>
        <v>7906470.30908392</v>
      </c>
      <c r="G66" s="129">
        <f>Data!AR65</f>
        <v>277.10000000000008</v>
      </c>
      <c r="H66" s="129">
        <f>Data!AS65</f>
        <v>2.3000000000000007</v>
      </c>
      <c r="I66" s="129">
        <f t="shared" ca="1" si="9"/>
        <v>225.72052631578936</v>
      </c>
      <c r="J66" s="129">
        <f t="shared" ca="1" si="9"/>
        <v>0</v>
      </c>
      <c r="K66" s="32">
        <f>Data!BW65</f>
        <v>0</v>
      </c>
      <c r="L66" s="32">
        <f>Data!AB65</f>
        <v>2601</v>
      </c>
      <c r="M66" s="32">
        <f>Data!BI65</f>
        <v>64</v>
      </c>
      <c r="N66" s="140">
        <f>Data!BZ65</f>
        <v>0</v>
      </c>
      <c r="O66" s="32">
        <f t="shared" ca="1" si="6"/>
        <v>7718286.4978925427</v>
      </c>
      <c r="P66" s="32">
        <f t="shared" ca="1" si="1"/>
        <v>7386419.5237483857</v>
      </c>
      <c r="Q66" s="32">
        <f t="shared" ca="1" si="2"/>
        <v>-188183.81119137723</v>
      </c>
      <c r="R66" s="50">
        <f t="shared" ca="1" si="3"/>
        <v>2.3801241746923232E-2</v>
      </c>
    </row>
    <row r="67" spans="1:18" x14ac:dyDescent="0.2">
      <c r="A67" s="2">
        <v>42491</v>
      </c>
      <c r="B67">
        <f t="shared" si="4"/>
        <v>2016</v>
      </c>
      <c r="C67">
        <f t="shared" si="5"/>
        <v>5</v>
      </c>
      <c r="D67" s="151">
        <f>Data!G66</f>
        <v>6410930.6313253017</v>
      </c>
      <c r="E67" s="151">
        <f>Data!H66</f>
        <v>331866.97414415696</v>
      </c>
      <c r="F67" s="151">
        <f>Data!I66</f>
        <v>6742797.6054694587</v>
      </c>
      <c r="G67" s="129">
        <f>Data!AR66</f>
        <v>66.599999999999994</v>
      </c>
      <c r="H67" s="129">
        <f>Data!AS66</f>
        <v>85</v>
      </c>
      <c r="I67" s="129">
        <f t="shared" ref="I67:J82" ca="1" si="10">I79</f>
        <v>59.688947368421054</v>
      </c>
      <c r="J67" s="129">
        <f t="shared" ca="1" si="10"/>
        <v>80.273684210525971</v>
      </c>
      <c r="K67" s="32">
        <f>Data!BW66</f>
        <v>0</v>
      </c>
      <c r="L67" s="32">
        <f>Data!AB66</f>
        <v>2598</v>
      </c>
      <c r="M67" s="32">
        <f>Data!BI66</f>
        <v>65</v>
      </c>
      <c r="N67" s="140">
        <f>Data!BZ66</f>
        <v>0</v>
      </c>
      <c r="O67" s="32">
        <f t="shared" ca="1" si="6"/>
        <v>6695550.824863134</v>
      </c>
      <c r="P67" s="32">
        <f t="shared" ref="P67:P130" ca="1" si="11">O67-E67</f>
        <v>6363683.8507189769</v>
      </c>
      <c r="Q67" s="32">
        <f t="shared" ref="Q67:Q130" ca="1" si="12">+O67-F67</f>
        <v>-47246.780606324784</v>
      </c>
      <c r="R67" s="50">
        <f t="shared" ref="R67:R130" ca="1" si="13">ABS(Q67/F67)</f>
        <v>7.0069996714717184E-3</v>
      </c>
    </row>
    <row r="68" spans="1:18" x14ac:dyDescent="0.2">
      <c r="A68" s="2">
        <v>42522</v>
      </c>
      <c r="B68">
        <f t="shared" ref="B68:B131" si="14">YEAR(A68)</f>
        <v>2016</v>
      </c>
      <c r="C68">
        <f t="shared" ref="C68:C131" si="15">MONTH(A68)</f>
        <v>6</v>
      </c>
      <c r="D68" s="151">
        <f>Data!G67</f>
        <v>7343347.5469879536</v>
      </c>
      <c r="E68" s="151">
        <f>Data!H67</f>
        <v>331866.97414415696</v>
      </c>
      <c r="F68" s="151">
        <f>Data!I67</f>
        <v>7675214.5211321106</v>
      </c>
      <c r="G68" s="129">
        <f>Data!AR67</f>
        <v>3.0999999999999996</v>
      </c>
      <c r="H68" s="129">
        <f>Data!AS67</f>
        <v>182.6</v>
      </c>
      <c r="I68" s="129">
        <f t="shared" ca="1" si="10"/>
        <v>1.08894736842106</v>
      </c>
      <c r="J68" s="129">
        <f t="shared" ca="1" si="10"/>
        <v>177.38052631578967</v>
      </c>
      <c r="K68" s="32">
        <f>Data!BW67</f>
        <v>0</v>
      </c>
      <c r="L68" s="32">
        <f>Data!AB67</f>
        <v>2602</v>
      </c>
      <c r="M68" s="32">
        <f>Data!BI67</f>
        <v>66</v>
      </c>
      <c r="N68" s="140">
        <f>Data!BZ67</f>
        <v>0</v>
      </c>
      <c r="O68" s="32">
        <f t="shared" ref="O68:O131" ca="1" si="16">F68+(I68-G68)*$T$20+(J68-H68)*$T$21</f>
        <v>7642376.3617581623</v>
      </c>
      <c r="P68" s="32">
        <f t="shared" ca="1" si="11"/>
        <v>7310509.3876140052</v>
      </c>
      <c r="Q68" s="32">
        <f t="shared" ca="1" si="12"/>
        <v>-32838.159373948351</v>
      </c>
      <c r="R68" s="50">
        <f t="shared" ca="1" si="13"/>
        <v>4.2784679546786991E-3</v>
      </c>
    </row>
    <row r="69" spans="1:18" x14ac:dyDescent="0.2">
      <c r="A69" s="2">
        <v>42552</v>
      </c>
      <c r="B69">
        <f t="shared" si="14"/>
        <v>2016</v>
      </c>
      <c r="C69">
        <f t="shared" si="15"/>
        <v>7</v>
      </c>
      <c r="D69" s="151">
        <f>Data!G68</f>
        <v>7871478.3710843381</v>
      </c>
      <c r="E69" s="151">
        <f>Data!H68</f>
        <v>331866.97414415696</v>
      </c>
      <c r="F69" s="151">
        <f>Data!I68</f>
        <v>8203345.3452284951</v>
      </c>
      <c r="G69" s="129">
        <f>Data!AR68</f>
        <v>0</v>
      </c>
      <c r="H69" s="129">
        <f>Data!AS68</f>
        <v>300.89999999999998</v>
      </c>
      <c r="I69" s="129">
        <f t="shared" ca="1" si="10"/>
        <v>0</v>
      </c>
      <c r="J69" s="129">
        <f t="shared" ca="1" si="10"/>
        <v>273.7568421052631</v>
      </c>
      <c r="K69" s="32">
        <f>Data!BW68</f>
        <v>0</v>
      </c>
      <c r="L69" s="32">
        <f>Data!AB68</f>
        <v>2606</v>
      </c>
      <c r="M69" s="32">
        <f>Data!BI68</f>
        <v>67</v>
      </c>
      <c r="N69" s="140">
        <f>Data!BZ68</f>
        <v>0</v>
      </c>
      <c r="O69" s="32">
        <f t="shared" ca="1" si="16"/>
        <v>8068554.6381365955</v>
      </c>
      <c r="P69" s="32">
        <f t="shared" ca="1" si="11"/>
        <v>7736687.6639924385</v>
      </c>
      <c r="Q69" s="32">
        <f t="shared" ca="1" si="12"/>
        <v>-134790.70709189959</v>
      </c>
      <c r="R69" s="50">
        <f t="shared" ca="1" si="13"/>
        <v>1.6431187694700807E-2</v>
      </c>
    </row>
    <row r="70" spans="1:18" x14ac:dyDescent="0.2">
      <c r="A70" s="2">
        <v>42583</v>
      </c>
      <c r="B70">
        <f t="shared" si="14"/>
        <v>2016</v>
      </c>
      <c r="C70">
        <f t="shared" si="15"/>
        <v>8</v>
      </c>
      <c r="D70" s="151">
        <f>Data!G69</f>
        <v>7755227.0457831379</v>
      </c>
      <c r="E70" s="151">
        <f>Data!H69</f>
        <v>331866.97414415696</v>
      </c>
      <c r="F70" s="151">
        <f>Data!I69</f>
        <v>8087094.0199272949</v>
      </c>
      <c r="G70" s="129">
        <f>Data!AR69</f>
        <v>0</v>
      </c>
      <c r="H70" s="129">
        <f>Data!AS69</f>
        <v>319.40000000000003</v>
      </c>
      <c r="I70" s="129">
        <f t="shared" ca="1" si="10"/>
        <v>0</v>
      </c>
      <c r="J70" s="129">
        <f t="shared" ca="1" si="10"/>
        <v>253.05789473684217</v>
      </c>
      <c r="K70" s="32">
        <f>Data!BW69</f>
        <v>0</v>
      </c>
      <c r="L70" s="32">
        <f>Data!AB69</f>
        <v>2607</v>
      </c>
      <c r="M70" s="32">
        <f>Data!BI69</f>
        <v>68</v>
      </c>
      <c r="N70" s="140">
        <f>Data!BZ69</f>
        <v>0</v>
      </c>
      <c r="O70" s="32">
        <f t="shared" ca="1" si="16"/>
        <v>7757644.5390280876</v>
      </c>
      <c r="P70" s="32">
        <f t="shared" ca="1" si="11"/>
        <v>7425777.5648839306</v>
      </c>
      <c r="Q70" s="32">
        <f t="shared" ca="1" si="12"/>
        <v>-329449.48089920729</v>
      </c>
      <c r="R70" s="50">
        <f t="shared" ca="1" si="13"/>
        <v>4.0737684029320723E-2</v>
      </c>
    </row>
    <row r="71" spans="1:18" x14ac:dyDescent="0.2">
      <c r="A71" s="2">
        <v>42614</v>
      </c>
      <c r="B71">
        <f t="shared" si="14"/>
        <v>2016</v>
      </c>
      <c r="C71">
        <f t="shared" si="15"/>
        <v>9</v>
      </c>
      <c r="D71" s="151">
        <f>Data!G70</f>
        <v>7032991.7686746987</v>
      </c>
      <c r="E71" s="151">
        <f>Data!H70</f>
        <v>331866.97414415696</v>
      </c>
      <c r="F71" s="151">
        <f>Data!I70</f>
        <v>7364858.7428188557</v>
      </c>
      <c r="G71" s="129">
        <f>Data!AR70</f>
        <v>1.2999999999999989</v>
      </c>
      <c r="H71" s="129">
        <f>Data!AS70</f>
        <v>164.79999999999998</v>
      </c>
      <c r="I71" s="129">
        <f t="shared" ca="1" si="10"/>
        <v>9.9542105263157907</v>
      </c>
      <c r="J71" s="129">
        <f t="shared" ca="1" si="10"/>
        <v>120.49421052631581</v>
      </c>
      <c r="K71" s="32">
        <f>Data!BW70</f>
        <v>1</v>
      </c>
      <c r="L71" s="32">
        <f>Data!AB70</f>
        <v>2608</v>
      </c>
      <c r="M71" s="32">
        <f>Data!BI70</f>
        <v>69</v>
      </c>
      <c r="N71" s="140">
        <f>Data!BZ70</f>
        <v>0</v>
      </c>
      <c r="O71" s="32">
        <f t="shared" ca="1" si="16"/>
        <v>7174613.1233988274</v>
      </c>
      <c r="P71" s="32">
        <f t="shared" ca="1" si="11"/>
        <v>6842746.1492546704</v>
      </c>
      <c r="Q71" s="32">
        <f t="shared" ca="1" si="12"/>
        <v>-190245.61942002829</v>
      </c>
      <c r="R71" s="50">
        <f t="shared" ca="1" si="13"/>
        <v>2.5831536769870607E-2</v>
      </c>
    </row>
    <row r="72" spans="1:18" x14ac:dyDescent="0.2">
      <c r="A72" s="2">
        <v>42644</v>
      </c>
      <c r="B72">
        <f t="shared" si="14"/>
        <v>2016</v>
      </c>
      <c r="C72">
        <f t="shared" si="15"/>
        <v>10</v>
      </c>
      <c r="D72" s="151">
        <f>Data!G71</f>
        <v>6150053.96626506</v>
      </c>
      <c r="E72" s="151">
        <f>Data!H71</f>
        <v>331866.97414415696</v>
      </c>
      <c r="F72" s="151">
        <f>Data!I71</f>
        <v>6481920.940409217</v>
      </c>
      <c r="G72" s="129">
        <f>Data!AR71</f>
        <v>105.89999999999999</v>
      </c>
      <c r="H72" s="129">
        <f>Data!AS71</f>
        <v>39.800000000000004</v>
      </c>
      <c r="I72" s="129">
        <f t="shared" ca="1" si="10"/>
        <v>107.70315789473716</v>
      </c>
      <c r="J72" s="129">
        <f t="shared" ca="1" si="10"/>
        <v>25.808421052631616</v>
      </c>
      <c r="K72" s="32">
        <f>Data!BW71</f>
        <v>1</v>
      </c>
      <c r="L72" s="32">
        <f>Data!AB71</f>
        <v>2614</v>
      </c>
      <c r="M72" s="32">
        <f>Data!BI71</f>
        <v>70</v>
      </c>
      <c r="N72" s="140">
        <f>Data!BZ71</f>
        <v>0</v>
      </c>
      <c r="O72" s="32">
        <f t="shared" ca="1" si="16"/>
        <v>6418643.3542198548</v>
      </c>
      <c r="P72" s="32">
        <f t="shared" ca="1" si="11"/>
        <v>6086776.3800756978</v>
      </c>
      <c r="Q72" s="32">
        <f t="shared" ca="1" si="12"/>
        <v>-63277.58618936222</v>
      </c>
      <c r="R72" s="50">
        <f t="shared" ca="1" si="13"/>
        <v>9.7621656868538374E-3</v>
      </c>
    </row>
    <row r="73" spans="1:18" x14ac:dyDescent="0.2">
      <c r="A73" s="2">
        <v>42675</v>
      </c>
      <c r="B73">
        <f t="shared" si="14"/>
        <v>2016</v>
      </c>
      <c r="C73">
        <f t="shared" si="15"/>
        <v>11</v>
      </c>
      <c r="D73" s="151">
        <f>Data!G72</f>
        <v>6266723.7204819247</v>
      </c>
      <c r="E73" s="151">
        <f>Data!H72</f>
        <v>331866.97414415696</v>
      </c>
      <c r="F73" s="151">
        <f>Data!I72</f>
        <v>6598590.6946260817</v>
      </c>
      <c r="G73" s="129">
        <f>Data!AR72</f>
        <v>218.89999999999995</v>
      </c>
      <c r="H73" s="129">
        <f>Data!AS72</f>
        <v>1.0999999999999996</v>
      </c>
      <c r="I73" s="129">
        <f t="shared" ca="1" si="10"/>
        <v>305.31105263157906</v>
      </c>
      <c r="J73" s="129">
        <f t="shared" ca="1" si="10"/>
        <v>1.3363157894737014</v>
      </c>
      <c r="K73" s="32">
        <f>Data!BW72</f>
        <v>1</v>
      </c>
      <c r="L73" s="32">
        <f>Data!AB72</f>
        <v>2621</v>
      </c>
      <c r="M73" s="32">
        <f>Data!BI72</f>
        <v>71</v>
      </c>
      <c r="N73" s="140">
        <f>Data!BZ72</f>
        <v>0</v>
      </c>
      <c r="O73" s="32">
        <f t="shared" ca="1" si="16"/>
        <v>6897046.511013289</v>
      </c>
      <c r="P73" s="32">
        <f t="shared" ca="1" si="11"/>
        <v>6565179.536869132</v>
      </c>
      <c r="Q73" s="32">
        <f t="shared" ca="1" si="12"/>
        <v>298455.81638720725</v>
      </c>
      <c r="R73" s="50">
        <f t="shared" ca="1" si="13"/>
        <v>4.5230236303377754E-2</v>
      </c>
    </row>
    <row r="74" spans="1:18" x14ac:dyDescent="0.2">
      <c r="A74" s="2">
        <v>42705</v>
      </c>
      <c r="B74">
        <f t="shared" si="14"/>
        <v>2016</v>
      </c>
      <c r="C74">
        <f t="shared" si="15"/>
        <v>12</v>
      </c>
      <c r="D74" s="151">
        <f>Data!G73</f>
        <v>8092166.8722891547</v>
      </c>
      <c r="E74" s="151">
        <f>Data!H73</f>
        <v>331866.97414415696</v>
      </c>
      <c r="F74" s="151">
        <f>Data!I73</f>
        <v>8424033.8464333117</v>
      </c>
      <c r="G74" s="129">
        <f>Data!AR73</f>
        <v>483.99999999999989</v>
      </c>
      <c r="H74" s="129">
        <f>Data!AS73</f>
        <v>0</v>
      </c>
      <c r="I74" s="129">
        <f t="shared" ca="1" si="10"/>
        <v>437.78421052631529</v>
      </c>
      <c r="J74" s="129">
        <f t="shared" ca="1" si="10"/>
        <v>0</v>
      </c>
      <c r="K74" s="32">
        <f>Data!BW73</f>
        <v>0</v>
      </c>
      <c r="L74" s="32">
        <f>Data!AB73</f>
        <v>2625</v>
      </c>
      <c r="M74" s="32">
        <f>Data!BI73</f>
        <v>72</v>
      </c>
      <c r="N74" s="140">
        <f>Data!BZ73</f>
        <v>0</v>
      </c>
      <c r="O74" s="32">
        <f t="shared" ca="1" si="16"/>
        <v>8265036.410595987</v>
      </c>
      <c r="P74" s="32">
        <f t="shared" ca="1" si="11"/>
        <v>7933169.43645183</v>
      </c>
      <c r="Q74" s="32">
        <f t="shared" ca="1" si="12"/>
        <v>-158997.43583732471</v>
      </c>
      <c r="R74" s="50">
        <f t="shared" ca="1" si="13"/>
        <v>1.8874263652756254E-2</v>
      </c>
    </row>
    <row r="75" spans="1:18" x14ac:dyDescent="0.2">
      <c r="A75" s="2">
        <v>42736</v>
      </c>
      <c r="B75">
        <f t="shared" si="14"/>
        <v>2017</v>
      </c>
      <c r="C75">
        <f t="shared" si="15"/>
        <v>1</v>
      </c>
      <c r="D75" s="151">
        <f>Data!G74</f>
        <v>8536456.1253012065</v>
      </c>
      <c r="E75" s="151">
        <f>Data!H74</f>
        <v>425326.81217228295</v>
      </c>
      <c r="F75" s="151">
        <f>Data!I74</f>
        <v>8961782.937473489</v>
      </c>
      <c r="G75" s="129">
        <f>Data!AR74</f>
        <v>484.9</v>
      </c>
      <c r="H75" s="129">
        <f>Data!AS74</f>
        <v>0</v>
      </c>
      <c r="I75" s="129">
        <f t="shared" ca="1" si="10"/>
        <v>557.82052631578927</v>
      </c>
      <c r="J75" s="129">
        <f t="shared" ca="1" si="10"/>
        <v>0</v>
      </c>
      <c r="K75" s="32">
        <f>Data!BW74</f>
        <v>0</v>
      </c>
      <c r="L75" s="32">
        <f>Data!AB74</f>
        <v>2632</v>
      </c>
      <c r="M75" s="32">
        <f>Data!BI74</f>
        <v>73</v>
      </c>
      <c r="N75" s="140">
        <f>Data!BZ74</f>
        <v>0</v>
      </c>
      <c r="O75" s="32">
        <f t="shared" ca="1" si="16"/>
        <v>9212653.4048214592</v>
      </c>
      <c r="P75" s="32">
        <f t="shared" ca="1" si="11"/>
        <v>8787326.5926491767</v>
      </c>
      <c r="Q75" s="32">
        <f t="shared" ca="1" si="12"/>
        <v>250870.46734797023</v>
      </c>
      <c r="R75" s="50">
        <f t="shared" ca="1" si="13"/>
        <v>2.7993365728482572E-2</v>
      </c>
    </row>
    <row r="76" spans="1:18" x14ac:dyDescent="0.2">
      <c r="A76" s="2">
        <v>42767</v>
      </c>
      <c r="B76">
        <f t="shared" si="14"/>
        <v>2017</v>
      </c>
      <c r="C76">
        <f t="shared" si="15"/>
        <v>2</v>
      </c>
      <c r="D76" s="151">
        <f>Data!G75</f>
        <v>7050356.7518072287</v>
      </c>
      <c r="E76" s="151">
        <f>Data!H75</f>
        <v>425326.81217228295</v>
      </c>
      <c r="F76" s="151">
        <f>Data!I75</f>
        <v>7475683.5639795121</v>
      </c>
      <c r="G76" s="129">
        <f>Data!AR75</f>
        <v>398.4</v>
      </c>
      <c r="H76" s="129">
        <f>Data!AS75</f>
        <v>0</v>
      </c>
      <c r="I76" s="129">
        <f t="shared" ca="1" si="10"/>
        <v>513.95684210526292</v>
      </c>
      <c r="J76" s="129">
        <f t="shared" ca="1" si="10"/>
        <v>0</v>
      </c>
      <c r="K76" s="32">
        <f>Data!BW75</f>
        <v>0</v>
      </c>
      <c r="L76" s="32">
        <f>Data!AB75</f>
        <v>2632</v>
      </c>
      <c r="M76" s="32">
        <f>Data!BI75</f>
        <v>74</v>
      </c>
      <c r="N76" s="140">
        <f>Data!BZ75</f>
        <v>0</v>
      </c>
      <c r="O76" s="32">
        <f t="shared" ca="1" si="16"/>
        <v>7873236.9066235265</v>
      </c>
      <c r="P76" s="32">
        <f t="shared" ca="1" si="11"/>
        <v>7447910.0944512431</v>
      </c>
      <c r="Q76" s="32">
        <f t="shared" ca="1" si="12"/>
        <v>397553.3426440144</v>
      </c>
      <c r="R76" s="50">
        <f t="shared" ca="1" si="13"/>
        <v>5.3179530572905337E-2</v>
      </c>
    </row>
    <row r="77" spans="1:18" x14ac:dyDescent="0.2">
      <c r="A77" s="2">
        <v>42795</v>
      </c>
      <c r="B77">
        <f t="shared" si="14"/>
        <v>2017</v>
      </c>
      <c r="C77">
        <f t="shared" si="15"/>
        <v>3</v>
      </c>
      <c r="D77" s="151">
        <f>Data!G76</f>
        <v>7960777.1951807197</v>
      </c>
      <c r="E77" s="151">
        <f>Data!H76</f>
        <v>425326.81217228295</v>
      </c>
      <c r="F77" s="151">
        <f>Data!I76</f>
        <v>8386104.0073530022</v>
      </c>
      <c r="G77" s="129">
        <f>Data!AR76</f>
        <v>450</v>
      </c>
      <c r="H77" s="129">
        <f>Data!AS76</f>
        <v>0</v>
      </c>
      <c r="I77" s="129">
        <f t="shared" ca="1" si="10"/>
        <v>400.06210526315817</v>
      </c>
      <c r="J77" s="129">
        <f t="shared" ca="1" si="10"/>
        <v>0.74263157894736409</v>
      </c>
      <c r="K77" s="32">
        <f>Data!BW76</f>
        <v>0</v>
      </c>
      <c r="L77" s="32">
        <f>Data!AB76</f>
        <v>2641</v>
      </c>
      <c r="M77" s="32">
        <f>Data!BI76</f>
        <v>75</v>
      </c>
      <c r="N77" s="140">
        <f>Data!BZ76</f>
        <v>0</v>
      </c>
      <c r="O77" s="32">
        <f t="shared" ca="1" si="16"/>
        <v>8217989.1594979102</v>
      </c>
      <c r="P77" s="32">
        <f t="shared" ca="1" si="11"/>
        <v>7792662.3473256268</v>
      </c>
      <c r="Q77" s="32">
        <f t="shared" ca="1" si="12"/>
        <v>-168114.84785509203</v>
      </c>
      <c r="R77" s="50">
        <f t="shared" ca="1" si="13"/>
        <v>2.0046835539803416E-2</v>
      </c>
    </row>
    <row r="78" spans="1:18" x14ac:dyDescent="0.2">
      <c r="A78" s="2">
        <v>42826</v>
      </c>
      <c r="B78">
        <f t="shared" si="14"/>
        <v>2017</v>
      </c>
      <c r="C78">
        <f t="shared" si="15"/>
        <v>4</v>
      </c>
      <c r="D78" s="151">
        <f>Data!G77</f>
        <v>6536291.9132530158</v>
      </c>
      <c r="E78" s="151">
        <f>Data!H77</f>
        <v>425326.81217228295</v>
      </c>
      <c r="F78" s="151">
        <f>Data!I77</f>
        <v>6961618.7254252993</v>
      </c>
      <c r="G78" s="129">
        <f>Data!AR77</f>
        <v>145.9</v>
      </c>
      <c r="H78" s="129">
        <f>Data!AS77</f>
        <v>8.3999999999999986</v>
      </c>
      <c r="I78" s="129">
        <f t="shared" ca="1" si="10"/>
        <v>225.72052631578936</v>
      </c>
      <c r="J78" s="129">
        <f t="shared" ca="1" si="10"/>
        <v>0</v>
      </c>
      <c r="K78" s="32">
        <f>Data!BW77</f>
        <v>0</v>
      </c>
      <c r="L78" s="32">
        <f>Data!AB77</f>
        <v>2638</v>
      </c>
      <c r="M78" s="32">
        <f>Data!BI77</f>
        <v>76</v>
      </c>
      <c r="N78" s="140">
        <f>Data!BZ77</f>
        <v>0</v>
      </c>
      <c r="O78" s="32">
        <f t="shared" ca="1" si="16"/>
        <v>7194513.7356714811</v>
      </c>
      <c r="P78" s="32">
        <f t="shared" ca="1" si="11"/>
        <v>6769186.9234991986</v>
      </c>
      <c r="Q78" s="32">
        <f t="shared" ca="1" si="12"/>
        <v>232895.01024618186</v>
      </c>
      <c r="R78" s="50">
        <f t="shared" ca="1" si="13"/>
        <v>3.3454146145005068E-2</v>
      </c>
    </row>
    <row r="79" spans="1:18" x14ac:dyDescent="0.2">
      <c r="A79" s="2">
        <v>42856</v>
      </c>
      <c r="B79">
        <f t="shared" si="14"/>
        <v>2017</v>
      </c>
      <c r="C79">
        <f t="shared" si="15"/>
        <v>5</v>
      </c>
      <c r="D79" s="151">
        <f>Data!G78</f>
        <v>6062612.0385542186</v>
      </c>
      <c r="E79" s="151">
        <f>Data!H78</f>
        <v>425326.81217228295</v>
      </c>
      <c r="F79" s="151">
        <f>Data!I78</f>
        <v>6487938.850726502</v>
      </c>
      <c r="G79" s="129">
        <f>Data!AR78</f>
        <v>82.59999999999998</v>
      </c>
      <c r="H79" s="129">
        <f>Data!AS78</f>
        <v>38.6</v>
      </c>
      <c r="I79" s="129">
        <f t="shared" ca="1" si="10"/>
        <v>59.688947368421054</v>
      </c>
      <c r="J79" s="129">
        <f t="shared" ca="1" si="10"/>
        <v>80.273684210525971</v>
      </c>
      <c r="K79" s="32">
        <f>Data!BW78</f>
        <v>0</v>
      </c>
      <c r="L79" s="32">
        <f>Data!AB78</f>
        <v>2624</v>
      </c>
      <c r="M79" s="32">
        <f>Data!BI78</f>
        <v>77</v>
      </c>
      <c r="N79" s="140">
        <f>Data!BZ78</f>
        <v>0</v>
      </c>
      <c r="O79" s="32">
        <f t="shared" ca="1" si="16"/>
        <v>6616065.4490638627</v>
      </c>
      <c r="P79" s="32">
        <f t="shared" ca="1" si="11"/>
        <v>6190738.6368915793</v>
      </c>
      <c r="Q79" s="32">
        <f t="shared" ca="1" si="12"/>
        <v>128126.59833736066</v>
      </c>
      <c r="R79" s="50">
        <f t="shared" ca="1" si="13"/>
        <v>1.9748428782280121E-2</v>
      </c>
    </row>
    <row r="80" spans="1:18" x14ac:dyDescent="0.2">
      <c r="A80" s="2">
        <v>42887</v>
      </c>
      <c r="B80">
        <f t="shared" si="14"/>
        <v>2017</v>
      </c>
      <c r="C80">
        <f t="shared" si="15"/>
        <v>6</v>
      </c>
      <c r="D80" s="151">
        <f>Data!G79</f>
        <v>6670926.1301204795</v>
      </c>
      <c r="E80" s="151">
        <f>Data!H79</f>
        <v>425326.81217228295</v>
      </c>
      <c r="F80" s="151">
        <f>Data!I79</f>
        <v>7096252.9422927629</v>
      </c>
      <c r="G80" s="129">
        <f>Data!AR79</f>
        <v>0.70000000000000107</v>
      </c>
      <c r="H80" s="129">
        <f>Data!AS79</f>
        <v>162.19999999999999</v>
      </c>
      <c r="I80" s="129">
        <f t="shared" ca="1" si="10"/>
        <v>1.08894736842106</v>
      </c>
      <c r="J80" s="129">
        <f t="shared" ca="1" si="10"/>
        <v>177.38052631578967</v>
      </c>
      <c r="K80" s="32">
        <f>Data!BW79</f>
        <v>0</v>
      </c>
      <c r="L80" s="32">
        <f>Data!AB79</f>
        <v>2633</v>
      </c>
      <c r="M80" s="32">
        <f>Data!BI79</f>
        <v>78</v>
      </c>
      <c r="N80" s="140">
        <f>Data!BZ79</f>
        <v>0</v>
      </c>
      <c r="O80" s="32">
        <f t="shared" ca="1" si="16"/>
        <v>7172976.3033685302</v>
      </c>
      <c r="P80" s="32">
        <f t="shared" ca="1" si="11"/>
        <v>6747649.4911962468</v>
      </c>
      <c r="Q80" s="32">
        <f t="shared" ca="1" si="12"/>
        <v>76723.361075767316</v>
      </c>
      <c r="R80" s="50">
        <f t="shared" ca="1" si="13"/>
        <v>1.0811813177980996E-2</v>
      </c>
    </row>
    <row r="81" spans="1:32" x14ac:dyDescent="0.2">
      <c r="A81" s="2">
        <v>42917</v>
      </c>
      <c r="B81">
        <f t="shared" si="14"/>
        <v>2017</v>
      </c>
      <c r="C81">
        <f t="shared" si="15"/>
        <v>7</v>
      </c>
      <c r="D81" s="151">
        <f>Data!G80</f>
        <v>6544660.1638554176</v>
      </c>
      <c r="E81" s="151">
        <f>Data!H80</f>
        <v>425326.81217228295</v>
      </c>
      <c r="F81" s="151">
        <f>Data!I80</f>
        <v>6969986.9760277011</v>
      </c>
      <c r="G81" s="129">
        <f>Data!AR80</f>
        <v>0</v>
      </c>
      <c r="H81" s="129">
        <f>Data!AS80</f>
        <v>240.50000000000009</v>
      </c>
      <c r="I81" s="129">
        <f t="shared" ca="1" si="10"/>
        <v>0</v>
      </c>
      <c r="J81" s="129">
        <f t="shared" ca="1" si="10"/>
        <v>273.7568421052631</v>
      </c>
      <c r="K81" s="32">
        <f>Data!BW80</f>
        <v>0</v>
      </c>
      <c r="L81" s="32">
        <f>Data!AB80</f>
        <v>2648</v>
      </c>
      <c r="M81" s="32">
        <f>Data!BI80</f>
        <v>79</v>
      </c>
      <c r="N81" s="140">
        <f>Data!BZ80</f>
        <v>0</v>
      </c>
      <c r="O81" s="32">
        <f t="shared" ca="1" si="16"/>
        <v>7135137.740002783</v>
      </c>
      <c r="P81" s="32">
        <f t="shared" ca="1" si="11"/>
        <v>6709810.9278305005</v>
      </c>
      <c r="Q81" s="32">
        <f t="shared" ca="1" si="12"/>
        <v>165150.76397508197</v>
      </c>
      <c r="R81" s="50">
        <f t="shared" ca="1" si="13"/>
        <v>2.3694558475230297E-2</v>
      </c>
    </row>
    <row r="82" spans="1:32" x14ac:dyDescent="0.2">
      <c r="A82" s="2">
        <v>42948</v>
      </c>
      <c r="B82">
        <f t="shared" si="14"/>
        <v>2017</v>
      </c>
      <c r="C82">
        <f t="shared" si="15"/>
        <v>8</v>
      </c>
      <c r="D82" s="151">
        <f>Data!G81</f>
        <v>7044220.3084337329</v>
      </c>
      <c r="E82" s="151">
        <f>Data!H81</f>
        <v>425326.81217228295</v>
      </c>
      <c r="F82" s="151">
        <f>Data!I81</f>
        <v>7469547.1206060164</v>
      </c>
      <c r="G82" s="129">
        <f>Data!AR81</f>
        <v>0</v>
      </c>
      <c r="H82" s="129">
        <f>Data!AS81</f>
        <v>187.60000000000002</v>
      </c>
      <c r="I82" s="129">
        <f t="shared" ca="1" si="10"/>
        <v>0</v>
      </c>
      <c r="J82" s="129">
        <f t="shared" ca="1" si="10"/>
        <v>253.05789473684217</v>
      </c>
      <c r="K82" s="32">
        <f>Data!BW81</f>
        <v>0</v>
      </c>
      <c r="L82" s="32">
        <f>Data!AB81</f>
        <v>2658</v>
      </c>
      <c r="M82" s="32">
        <f>Data!BI81</f>
        <v>80</v>
      </c>
      <c r="N82" s="140">
        <f>Data!BZ81</f>
        <v>0</v>
      </c>
      <c r="O82" s="32">
        <f t="shared" ca="1" si="16"/>
        <v>7794605.6841874085</v>
      </c>
      <c r="P82" s="32">
        <f t="shared" ca="1" si="11"/>
        <v>7369278.872015126</v>
      </c>
      <c r="Q82" s="32">
        <f t="shared" ca="1" si="12"/>
        <v>325058.56358139217</v>
      </c>
      <c r="R82" s="50">
        <f t="shared" ca="1" si="13"/>
        <v>4.351784095245384E-2</v>
      </c>
      <c r="AE82"/>
      <c r="AF82"/>
    </row>
    <row r="83" spans="1:32" x14ac:dyDescent="0.2">
      <c r="A83" s="2">
        <v>42979</v>
      </c>
      <c r="B83">
        <f t="shared" si="14"/>
        <v>2017</v>
      </c>
      <c r="C83">
        <f t="shared" si="15"/>
        <v>9</v>
      </c>
      <c r="D83" s="151">
        <f>Data!G82</f>
        <v>6545898.053012046</v>
      </c>
      <c r="E83" s="151">
        <f>Data!H82</f>
        <v>425326.81217228295</v>
      </c>
      <c r="F83" s="151">
        <f>Data!I82</f>
        <v>6971224.8651843295</v>
      </c>
      <c r="G83" s="129">
        <f>Data!AR82</f>
        <v>7.7000000000000011</v>
      </c>
      <c r="H83" s="129">
        <f>Data!AS82</f>
        <v>150.10000000000002</v>
      </c>
      <c r="I83" s="129">
        <f t="shared" ref="I83:J98" ca="1" si="17">I95</f>
        <v>9.9542105263157907</v>
      </c>
      <c r="J83" s="129">
        <f t="shared" ca="1" si="17"/>
        <v>120.49421052631581</v>
      </c>
      <c r="K83" s="32">
        <f>Data!BW82</f>
        <v>1</v>
      </c>
      <c r="L83" s="32">
        <f>Data!AB82</f>
        <v>2656</v>
      </c>
      <c r="M83" s="32">
        <f>Data!BI82</f>
        <v>81</v>
      </c>
      <c r="N83" s="140">
        <f>Data!BZ82</f>
        <v>0</v>
      </c>
      <c r="O83" s="32">
        <f t="shared" ca="1" si="16"/>
        <v>6831960.1523365006</v>
      </c>
      <c r="P83" s="32">
        <f t="shared" ca="1" si="11"/>
        <v>6406633.3401642181</v>
      </c>
      <c r="Q83" s="32">
        <f t="shared" ca="1" si="12"/>
        <v>-139264.71284782887</v>
      </c>
      <c r="R83" s="50">
        <f t="shared" ca="1" si="13"/>
        <v>1.9977079428802287E-2</v>
      </c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</row>
    <row r="84" spans="1:32" x14ac:dyDescent="0.2">
      <c r="A84" s="2">
        <v>43009</v>
      </c>
      <c r="B84">
        <f t="shared" si="14"/>
        <v>2017</v>
      </c>
      <c r="C84">
        <f t="shared" si="15"/>
        <v>10</v>
      </c>
      <c r="D84" s="151">
        <f>Data!G83</f>
        <v>5870284.5879518026</v>
      </c>
      <c r="E84" s="151">
        <f>Data!H83</f>
        <v>425326.81217228295</v>
      </c>
      <c r="F84" s="151">
        <f>Data!I83</f>
        <v>6295611.4001240861</v>
      </c>
      <c r="G84" s="129">
        <f>Data!AR83</f>
        <v>70.000000000000014</v>
      </c>
      <c r="H84" s="129">
        <f>Data!AS83</f>
        <v>48.1</v>
      </c>
      <c r="I84" s="129">
        <f t="shared" ca="1" si="17"/>
        <v>107.70315789473716</v>
      </c>
      <c r="J84" s="129">
        <f t="shared" ca="1" si="17"/>
        <v>25.808421052631616</v>
      </c>
      <c r="K84" s="32">
        <f>Data!BW83</f>
        <v>1</v>
      </c>
      <c r="L84" s="32">
        <f>Data!AB83</f>
        <v>2655</v>
      </c>
      <c r="M84" s="32">
        <f>Data!BI83</f>
        <v>82</v>
      </c>
      <c r="N84" s="140">
        <f>Data!BZ83</f>
        <v>0</v>
      </c>
      <c r="O84" s="32">
        <f t="shared" ca="1" si="16"/>
        <v>6314624.4363690298</v>
      </c>
      <c r="P84" s="32">
        <f t="shared" ca="1" si="11"/>
        <v>5889297.6241967473</v>
      </c>
      <c r="Q84" s="32">
        <f t="shared" ca="1" si="12"/>
        <v>19013.036244943738</v>
      </c>
      <c r="R84" s="50">
        <f t="shared" ca="1" si="13"/>
        <v>3.0200460346979153E-3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</row>
    <row r="85" spans="1:32" x14ac:dyDescent="0.2">
      <c r="A85" s="2">
        <v>43040</v>
      </c>
      <c r="B85">
        <f t="shared" si="14"/>
        <v>2017</v>
      </c>
      <c r="C85">
        <f t="shared" si="15"/>
        <v>11</v>
      </c>
      <c r="D85" s="151">
        <f>Data!G84</f>
        <v>6629922.1975903567</v>
      </c>
      <c r="E85" s="151">
        <f>Data!H84</f>
        <v>425326.81217228295</v>
      </c>
      <c r="F85" s="151">
        <f>Data!I84</f>
        <v>7055249.0097626392</v>
      </c>
      <c r="G85" s="129">
        <f>Data!AR84</f>
        <v>309.40000000000003</v>
      </c>
      <c r="H85" s="129">
        <f>Data!AS84</f>
        <v>0</v>
      </c>
      <c r="I85" s="129">
        <f t="shared" ca="1" si="17"/>
        <v>305.31105263157906</v>
      </c>
      <c r="J85" s="129">
        <f t="shared" ca="1" si="17"/>
        <v>1.3363157894737014</v>
      </c>
      <c r="K85" s="32">
        <f>Data!BW84</f>
        <v>1</v>
      </c>
      <c r="L85" s="32">
        <f>Data!AB84</f>
        <v>2671</v>
      </c>
      <c r="M85" s="32">
        <f>Data!BI84</f>
        <v>83</v>
      </c>
      <c r="N85" s="140">
        <f>Data!BZ84</f>
        <v>0</v>
      </c>
      <c r="O85" s="32">
        <f t="shared" ca="1" si="16"/>
        <v>7047817.7282279469</v>
      </c>
      <c r="P85" s="32">
        <f t="shared" ca="1" si="11"/>
        <v>6622490.9160556644</v>
      </c>
      <c r="Q85" s="32">
        <f t="shared" ca="1" si="12"/>
        <v>-7431.2815346922725</v>
      </c>
      <c r="R85" s="50">
        <f t="shared" ca="1" si="13"/>
        <v>1.0532982640880997E-3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</row>
    <row r="86" spans="1:32" x14ac:dyDescent="0.2">
      <c r="A86" s="2">
        <v>43070</v>
      </c>
      <c r="B86">
        <f t="shared" si="14"/>
        <v>2017</v>
      </c>
      <c r="C86">
        <f t="shared" si="15"/>
        <v>12</v>
      </c>
      <c r="D86" s="151">
        <f>Data!G85</f>
        <v>7447066.4385542134</v>
      </c>
      <c r="E86" s="151">
        <f>Data!H85</f>
        <v>425326.81217228295</v>
      </c>
      <c r="F86" s="151">
        <f>Data!I85</f>
        <v>7872393.2507264968</v>
      </c>
      <c r="G86" s="129">
        <f>Data!AR85</f>
        <v>594.49999999999989</v>
      </c>
      <c r="H86" s="129">
        <f>Data!AS85</f>
        <v>0</v>
      </c>
      <c r="I86" s="129">
        <f t="shared" ca="1" si="17"/>
        <v>437.78421052631529</v>
      </c>
      <c r="J86" s="129">
        <f t="shared" ca="1" si="17"/>
        <v>0</v>
      </c>
      <c r="K86" s="32">
        <f>Data!BW85</f>
        <v>0</v>
      </c>
      <c r="L86" s="32">
        <f>Data!AB85</f>
        <v>2668</v>
      </c>
      <c r="M86" s="32">
        <f>Data!BI85</f>
        <v>84</v>
      </c>
      <c r="N86" s="140">
        <f>Data!BZ85</f>
        <v>0</v>
      </c>
      <c r="O86" s="32">
        <f t="shared" ca="1" si="16"/>
        <v>7333239.6634935914</v>
      </c>
      <c r="P86" s="32">
        <f t="shared" ca="1" si="11"/>
        <v>6907912.8513213079</v>
      </c>
      <c r="Q86" s="32">
        <f t="shared" ca="1" si="12"/>
        <v>-539153.58723290544</v>
      </c>
      <c r="R86" s="50">
        <f t="shared" ca="1" si="13"/>
        <v>6.8486617736372629E-2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</row>
    <row r="87" spans="1:32" x14ac:dyDescent="0.2">
      <c r="A87" s="2">
        <v>43101</v>
      </c>
      <c r="B87">
        <f t="shared" si="14"/>
        <v>2018</v>
      </c>
      <c r="C87">
        <f t="shared" si="15"/>
        <v>1</v>
      </c>
      <c r="D87" s="151">
        <f>Data!G86</f>
        <v>8456682.110843366</v>
      </c>
      <c r="E87" s="151">
        <f>Data!H86</f>
        <v>516993.78053170216</v>
      </c>
      <c r="F87" s="151">
        <f>Data!I86</f>
        <v>8973675.8913750686</v>
      </c>
      <c r="G87" s="129">
        <f>Data!AR86</f>
        <v>608.29999999999984</v>
      </c>
      <c r="H87" s="129">
        <f>Data!AS86</f>
        <v>0</v>
      </c>
      <c r="I87" s="129">
        <f t="shared" ca="1" si="17"/>
        <v>557.82052631578927</v>
      </c>
      <c r="J87" s="129">
        <f t="shared" ca="1" si="17"/>
        <v>0</v>
      </c>
      <c r="K87" s="32">
        <f>Data!BW86</f>
        <v>0</v>
      </c>
      <c r="L87" s="32">
        <f>Data!AB86</f>
        <v>2666</v>
      </c>
      <c r="M87" s="32">
        <f>Data!BI86</f>
        <v>85</v>
      </c>
      <c r="N87" s="140">
        <f>Data!BZ86</f>
        <v>0</v>
      </c>
      <c r="O87" s="32">
        <f t="shared" ca="1" si="16"/>
        <v>8800009.9869382903</v>
      </c>
      <c r="P87" s="32">
        <f t="shared" ca="1" si="11"/>
        <v>8283016.2064065877</v>
      </c>
      <c r="Q87" s="32">
        <f t="shared" ca="1" si="12"/>
        <v>-173665.90443677828</v>
      </c>
      <c r="R87" s="50">
        <f t="shared" ca="1" si="13"/>
        <v>1.9352816676128787E-2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</row>
    <row r="88" spans="1:32" x14ac:dyDescent="0.2">
      <c r="A88" s="2">
        <v>43132</v>
      </c>
      <c r="B88">
        <f t="shared" si="14"/>
        <v>2018</v>
      </c>
      <c r="C88">
        <f t="shared" si="15"/>
        <v>2</v>
      </c>
      <c r="D88" s="151">
        <f>Data!G87</f>
        <v>7043598.3132530134</v>
      </c>
      <c r="E88" s="151">
        <f>Data!H87</f>
        <v>516993.78053170216</v>
      </c>
      <c r="F88" s="151">
        <f>Data!I87</f>
        <v>7560592.093784716</v>
      </c>
      <c r="G88" s="129">
        <f>Data!AR87</f>
        <v>443.00000000000011</v>
      </c>
      <c r="H88" s="129">
        <f>Data!AS87</f>
        <v>0</v>
      </c>
      <c r="I88" s="129">
        <f t="shared" ca="1" si="17"/>
        <v>513.95684210526292</v>
      </c>
      <c r="J88" s="129">
        <f t="shared" ca="1" si="17"/>
        <v>0</v>
      </c>
      <c r="K88" s="32">
        <f>Data!BW87</f>
        <v>0</v>
      </c>
      <c r="L88" s="32">
        <f>Data!AB87</f>
        <v>2673</v>
      </c>
      <c r="M88" s="32">
        <f>Data!BI87</f>
        <v>86</v>
      </c>
      <c r="N88" s="140">
        <f>Data!BZ87</f>
        <v>0</v>
      </c>
      <c r="O88" s="32">
        <f t="shared" ca="1" si="16"/>
        <v>7804706.8450057171</v>
      </c>
      <c r="P88" s="32">
        <f t="shared" ca="1" si="11"/>
        <v>7287713.0644740146</v>
      </c>
      <c r="Q88" s="32">
        <f t="shared" ca="1" si="12"/>
        <v>244114.75122100115</v>
      </c>
      <c r="R88" s="50">
        <f t="shared" ca="1" si="13"/>
        <v>3.2287782252090926E-2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</row>
    <row r="89" spans="1:32" x14ac:dyDescent="0.2">
      <c r="A89" s="2">
        <v>43160</v>
      </c>
      <c r="B89">
        <f t="shared" si="14"/>
        <v>2018</v>
      </c>
      <c r="C89">
        <f t="shared" si="15"/>
        <v>3</v>
      </c>
      <c r="D89" s="151">
        <f>Data!G88</f>
        <v>7715573.493975902</v>
      </c>
      <c r="E89" s="151">
        <f>Data!H88</f>
        <v>516993.78053170216</v>
      </c>
      <c r="F89" s="151">
        <f>Data!I88</f>
        <v>8232567.2745076045</v>
      </c>
      <c r="G89" s="129">
        <f>Data!AR88</f>
        <v>430</v>
      </c>
      <c r="H89" s="129">
        <f>Data!AS88</f>
        <v>0</v>
      </c>
      <c r="I89" s="129">
        <f t="shared" ca="1" si="17"/>
        <v>400.06210526315817</v>
      </c>
      <c r="J89" s="129">
        <f t="shared" ca="1" si="17"/>
        <v>0.74263157894736409</v>
      </c>
      <c r="K89" s="32">
        <f>Data!BW88</f>
        <v>0</v>
      </c>
      <c r="L89" s="32">
        <f>Data!AB88</f>
        <v>2677</v>
      </c>
      <c r="M89" s="32">
        <f>Data!BI88</f>
        <v>87</v>
      </c>
      <c r="N89" s="140">
        <f>Data!BZ88</f>
        <v>0</v>
      </c>
      <c r="O89" s="32">
        <f t="shared" ca="1" si="16"/>
        <v>8133258.9698915314</v>
      </c>
      <c r="P89" s="32">
        <f t="shared" ca="1" si="11"/>
        <v>7616265.1893598288</v>
      </c>
      <c r="Q89" s="32">
        <f t="shared" ca="1" si="12"/>
        <v>-99308.304616073146</v>
      </c>
      <c r="R89" s="50">
        <f t="shared" ca="1" si="13"/>
        <v>1.2062859774445371E-2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</row>
    <row r="90" spans="1:32" x14ac:dyDescent="0.2">
      <c r="A90" s="2">
        <v>43191</v>
      </c>
      <c r="B90">
        <f t="shared" si="14"/>
        <v>2018</v>
      </c>
      <c r="C90">
        <f t="shared" si="15"/>
        <v>4</v>
      </c>
      <c r="D90" s="151">
        <f>Data!G89</f>
        <v>6658362.8048192756</v>
      </c>
      <c r="E90" s="151">
        <f>Data!H89</f>
        <v>516993.78053170216</v>
      </c>
      <c r="F90" s="151">
        <f>Data!I89</f>
        <v>7175356.5853509782</v>
      </c>
      <c r="G90" s="129">
        <f>Data!AR89</f>
        <v>317.2</v>
      </c>
      <c r="H90" s="129">
        <f>Data!AS89</f>
        <v>0</v>
      </c>
      <c r="I90" s="129">
        <f t="shared" ca="1" si="17"/>
        <v>225.72052631578936</v>
      </c>
      <c r="J90" s="129">
        <f t="shared" ca="1" si="17"/>
        <v>0</v>
      </c>
      <c r="K90" s="32">
        <f>Data!BW89</f>
        <v>0</v>
      </c>
      <c r="L90" s="32">
        <f>Data!AB89</f>
        <v>2679</v>
      </c>
      <c r="M90" s="32">
        <f>Data!BI89</f>
        <v>88</v>
      </c>
      <c r="N90" s="140">
        <f>Data!BZ89</f>
        <v>0</v>
      </c>
      <c r="O90" s="32">
        <f t="shared" ca="1" si="16"/>
        <v>6860637.2672742102</v>
      </c>
      <c r="P90" s="32">
        <f t="shared" ca="1" si="11"/>
        <v>6343643.4867425077</v>
      </c>
      <c r="Q90" s="32">
        <f t="shared" ca="1" si="12"/>
        <v>-314719.31807676796</v>
      </c>
      <c r="R90" s="50">
        <f t="shared" ca="1" si="13"/>
        <v>4.3861139768202009E-2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</row>
    <row r="91" spans="1:32" x14ac:dyDescent="0.2">
      <c r="A91" s="2">
        <v>43221</v>
      </c>
      <c r="B91">
        <f t="shared" si="14"/>
        <v>2018</v>
      </c>
      <c r="C91">
        <f t="shared" si="15"/>
        <v>5</v>
      </c>
      <c r="D91" s="151">
        <f>Data!G90</f>
        <v>6587285.6771084294</v>
      </c>
      <c r="E91" s="151">
        <f>Data!H90</f>
        <v>516993.78053170216</v>
      </c>
      <c r="F91" s="151">
        <f>Data!I90</f>
        <v>7104279.4576401319</v>
      </c>
      <c r="G91" s="129">
        <f>Data!AR90</f>
        <v>15</v>
      </c>
      <c r="H91" s="129">
        <f>Data!AS90</f>
        <v>107.10000000000001</v>
      </c>
      <c r="I91" s="129">
        <f t="shared" ca="1" si="17"/>
        <v>59.688947368421054</v>
      </c>
      <c r="J91" s="129">
        <f t="shared" ca="1" si="17"/>
        <v>80.273684210525971</v>
      </c>
      <c r="K91" s="32">
        <f>Data!BW90</f>
        <v>0</v>
      </c>
      <c r="L91" s="32">
        <f>Data!AB90</f>
        <v>2673</v>
      </c>
      <c r="M91" s="32">
        <f>Data!BI90</f>
        <v>89</v>
      </c>
      <c r="N91" s="140">
        <f>Data!BZ90</f>
        <v>0</v>
      </c>
      <c r="O91" s="32">
        <f t="shared" ca="1" si="16"/>
        <v>7124806.7620576909</v>
      </c>
      <c r="P91" s="32">
        <f t="shared" ca="1" si="11"/>
        <v>6607812.9815259883</v>
      </c>
      <c r="Q91" s="32">
        <f t="shared" ca="1" si="12"/>
        <v>20527.304417558946</v>
      </c>
      <c r="R91" s="50">
        <f t="shared" ca="1" si="13"/>
        <v>2.8894280609250717E-3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</row>
    <row r="92" spans="1:32" x14ac:dyDescent="0.2">
      <c r="A92" s="2">
        <v>43252</v>
      </c>
      <c r="B92">
        <f t="shared" si="14"/>
        <v>2018</v>
      </c>
      <c r="C92">
        <f t="shared" si="15"/>
        <v>6</v>
      </c>
      <c r="D92" s="151">
        <f>Data!G91</f>
        <v>7073215.3156626513</v>
      </c>
      <c r="E92" s="151">
        <f>Data!H91</f>
        <v>516993.78053170216</v>
      </c>
      <c r="F92" s="151">
        <f>Data!I91</f>
        <v>7590209.0961943539</v>
      </c>
      <c r="G92" s="129">
        <f>Data!AR91</f>
        <v>1.6999999999999993</v>
      </c>
      <c r="H92" s="129">
        <f>Data!AS91</f>
        <v>167.39999999999998</v>
      </c>
      <c r="I92" s="129">
        <f t="shared" ca="1" si="17"/>
        <v>1.08894736842106</v>
      </c>
      <c r="J92" s="129">
        <f t="shared" ca="1" si="17"/>
        <v>177.38052631578967</v>
      </c>
      <c r="K92" s="32">
        <f>Data!BW91</f>
        <v>0</v>
      </c>
      <c r="L92" s="32">
        <f>Data!AB91</f>
        <v>2677</v>
      </c>
      <c r="M92" s="32">
        <f>Data!BI91</f>
        <v>90</v>
      </c>
      <c r="N92" s="140">
        <f>Data!BZ91</f>
        <v>0</v>
      </c>
      <c r="O92" s="32">
        <f t="shared" ca="1" si="16"/>
        <v>7637669.354453397</v>
      </c>
      <c r="P92" s="32">
        <f t="shared" ca="1" si="11"/>
        <v>7120675.5739216944</v>
      </c>
      <c r="Q92" s="32">
        <f t="shared" ca="1" si="12"/>
        <v>47460.258259043097</v>
      </c>
      <c r="R92" s="50">
        <f t="shared" ca="1" si="13"/>
        <v>6.2528261945825891E-3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spans="1:32" x14ac:dyDescent="0.2">
      <c r="A93" s="2">
        <v>43282</v>
      </c>
      <c r="B93">
        <f t="shared" si="14"/>
        <v>2018</v>
      </c>
      <c r="C93">
        <f t="shared" si="15"/>
        <v>7</v>
      </c>
      <c r="D93" s="151">
        <f>Data!G92</f>
        <v>7168019.7397590335</v>
      </c>
      <c r="E93" s="151">
        <f>Data!H92</f>
        <v>516993.78053170216</v>
      </c>
      <c r="F93" s="151">
        <f>Data!I92</f>
        <v>7685013.5202907361</v>
      </c>
      <c r="G93" s="129">
        <f>Data!AR92</f>
        <v>0</v>
      </c>
      <c r="H93" s="129">
        <f>Data!AS92</f>
        <v>291.79999999999995</v>
      </c>
      <c r="I93" s="129">
        <f t="shared" ca="1" si="17"/>
        <v>0</v>
      </c>
      <c r="J93" s="129">
        <f t="shared" ca="1" si="17"/>
        <v>273.7568421052631</v>
      </c>
      <c r="K93" s="32">
        <f>Data!BW92</f>
        <v>0</v>
      </c>
      <c r="L93" s="32">
        <f>Data!AB92</f>
        <v>2686</v>
      </c>
      <c r="M93" s="32">
        <f>Data!BI92</f>
        <v>91</v>
      </c>
      <c r="N93" s="140">
        <f>Data!BZ92</f>
        <v>0</v>
      </c>
      <c r="O93" s="32">
        <f t="shared" ca="1" si="16"/>
        <v>7595412.6705946894</v>
      </c>
      <c r="P93" s="32">
        <f t="shared" ca="1" si="11"/>
        <v>7078418.8900629869</v>
      </c>
      <c r="Q93" s="32">
        <f t="shared" ca="1" si="12"/>
        <v>-89600.849696046673</v>
      </c>
      <c r="R93" s="50">
        <f t="shared" ca="1" si="13"/>
        <v>1.1659166175761904E-2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 x14ac:dyDescent="0.2">
      <c r="A94" s="2">
        <v>43313</v>
      </c>
      <c r="B94">
        <f t="shared" si="14"/>
        <v>2018</v>
      </c>
      <c r="C94">
        <f t="shared" si="15"/>
        <v>8</v>
      </c>
      <c r="D94" s="151">
        <f>Data!G93</f>
        <v>7788838.81445783</v>
      </c>
      <c r="E94" s="151">
        <f>Data!H93</f>
        <v>516993.78053170216</v>
      </c>
      <c r="F94" s="151">
        <f>Data!I93</f>
        <v>8305832.5949895326</v>
      </c>
      <c r="G94" s="129">
        <f>Data!AR93</f>
        <v>0</v>
      </c>
      <c r="H94" s="129">
        <f>Data!AS93</f>
        <v>285.2</v>
      </c>
      <c r="I94" s="129">
        <f t="shared" ca="1" si="17"/>
        <v>0</v>
      </c>
      <c r="J94" s="129">
        <f t="shared" ca="1" si="17"/>
        <v>253.05789473684217</v>
      </c>
      <c r="K94" s="32">
        <f>Data!BW93</f>
        <v>0</v>
      </c>
      <c r="L94" s="32">
        <f>Data!AB93</f>
        <v>2693</v>
      </c>
      <c r="M94" s="32">
        <f>Data!BI93</f>
        <v>92</v>
      </c>
      <c r="N94" s="140">
        <f>Data!BZ93</f>
        <v>0</v>
      </c>
      <c r="O94" s="32">
        <f t="shared" ca="1" si="16"/>
        <v>8146217.5232044114</v>
      </c>
      <c r="P94" s="32">
        <f t="shared" ca="1" si="11"/>
        <v>7629223.7426727088</v>
      </c>
      <c r="Q94" s="32">
        <f t="shared" ca="1" si="12"/>
        <v>-159615.07178512122</v>
      </c>
      <c r="R94" s="50">
        <f t="shared" ca="1" si="13"/>
        <v>1.9217227166534578E-2</v>
      </c>
    </row>
    <row r="95" spans="1:32" x14ac:dyDescent="0.2">
      <c r="A95" s="2">
        <v>43344</v>
      </c>
      <c r="B95">
        <f t="shared" si="14"/>
        <v>2018</v>
      </c>
      <c r="C95">
        <f t="shared" si="15"/>
        <v>9</v>
      </c>
      <c r="D95" s="151">
        <f>Data!G94</f>
        <v>6718606.6602409622</v>
      </c>
      <c r="E95" s="151">
        <f>Data!H94</f>
        <v>516993.78053170216</v>
      </c>
      <c r="F95" s="151">
        <f>Data!I94</f>
        <v>7235600.4407726647</v>
      </c>
      <c r="G95" s="129">
        <f>Data!AR94</f>
        <v>8.7000000000000011</v>
      </c>
      <c r="H95" s="129">
        <f>Data!AS94</f>
        <v>158.5</v>
      </c>
      <c r="I95" s="129">
        <f t="shared" ca="1" si="17"/>
        <v>9.9542105263157907</v>
      </c>
      <c r="J95" s="129">
        <f t="shared" ca="1" si="17"/>
        <v>120.49421052631581</v>
      </c>
      <c r="K95" s="32">
        <f>Data!BW94</f>
        <v>1</v>
      </c>
      <c r="L95" s="32">
        <f>Data!AB94</f>
        <v>2702</v>
      </c>
      <c r="M95" s="32">
        <f>Data!BI94</f>
        <v>93</v>
      </c>
      <c r="N95" s="140">
        <f>Data!BZ94</f>
        <v>0</v>
      </c>
      <c r="O95" s="32">
        <f t="shared" ca="1" si="16"/>
        <v>7051181.6862436356</v>
      </c>
      <c r="P95" s="32">
        <f t="shared" ca="1" si="11"/>
        <v>6534187.905711933</v>
      </c>
      <c r="Q95" s="32">
        <f t="shared" ca="1" si="12"/>
        <v>-184418.75452902913</v>
      </c>
      <c r="R95" s="50">
        <f t="shared" ca="1" si="13"/>
        <v>2.5487691870024774E-2</v>
      </c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</row>
    <row r="96" spans="1:32" x14ac:dyDescent="0.2">
      <c r="A96" s="2">
        <v>43374</v>
      </c>
      <c r="B96">
        <f t="shared" si="14"/>
        <v>2018</v>
      </c>
      <c r="C96">
        <f t="shared" si="15"/>
        <v>10</v>
      </c>
      <c r="D96" s="151">
        <f>Data!G95</f>
        <v>6341396.2313253004</v>
      </c>
      <c r="E96" s="151">
        <f>Data!H95</f>
        <v>516993.78053170216</v>
      </c>
      <c r="F96" s="151">
        <f>Data!I95</f>
        <v>6858390.011857003</v>
      </c>
      <c r="G96" s="129">
        <f>Data!AR95</f>
        <v>175.3</v>
      </c>
      <c r="H96" s="129">
        <f>Data!AS95</f>
        <v>18.100000000000001</v>
      </c>
      <c r="I96" s="129">
        <f t="shared" ca="1" si="17"/>
        <v>107.70315789473716</v>
      </c>
      <c r="J96" s="129">
        <f t="shared" ca="1" si="17"/>
        <v>25.808421052631616</v>
      </c>
      <c r="K96" s="32">
        <f>Data!BW95</f>
        <v>1</v>
      </c>
      <c r="L96" s="32">
        <f>Data!AB95</f>
        <v>2700</v>
      </c>
      <c r="M96" s="32">
        <f>Data!BI95</f>
        <v>94</v>
      </c>
      <c r="N96" s="140">
        <f>Data!BZ95</f>
        <v>0</v>
      </c>
      <c r="O96" s="32">
        <f t="shared" ca="1" si="16"/>
        <v>6664114.1498029716</v>
      </c>
      <c r="P96" s="32">
        <f t="shared" ca="1" si="11"/>
        <v>6147120.3692712691</v>
      </c>
      <c r="Q96" s="32">
        <f t="shared" ca="1" si="12"/>
        <v>-194275.86205403134</v>
      </c>
      <c r="R96" s="50">
        <f t="shared" ca="1" si="13"/>
        <v>2.8326744573895776E-2</v>
      </c>
    </row>
    <row r="97" spans="1:39" x14ac:dyDescent="0.2">
      <c r="A97" s="2">
        <v>43405</v>
      </c>
      <c r="B97">
        <f t="shared" si="14"/>
        <v>2018</v>
      </c>
      <c r="C97">
        <f t="shared" si="15"/>
        <v>11</v>
      </c>
      <c r="D97" s="151">
        <f>Data!G96</f>
        <v>6327373.6674698787</v>
      </c>
      <c r="E97" s="151">
        <f>Data!H96</f>
        <v>516993.78053170216</v>
      </c>
      <c r="F97" s="151">
        <f>Data!I96</f>
        <v>6844367.4480015812</v>
      </c>
      <c r="G97" s="129">
        <f>Data!AR96</f>
        <v>374.10000000000008</v>
      </c>
      <c r="H97" s="129">
        <f>Data!AS96</f>
        <v>0</v>
      </c>
      <c r="I97" s="129">
        <f t="shared" ca="1" si="17"/>
        <v>305.31105263157906</v>
      </c>
      <c r="J97" s="129">
        <f t="shared" ca="1" si="17"/>
        <v>1.3363157894737014</v>
      </c>
      <c r="K97" s="32">
        <f>Data!BW96</f>
        <v>1</v>
      </c>
      <c r="L97" s="32">
        <f>Data!AB96</f>
        <v>2703</v>
      </c>
      <c r="M97" s="32">
        <f>Data!BI96</f>
        <v>95</v>
      </c>
      <c r="N97" s="140">
        <f>Data!BZ96</f>
        <v>0</v>
      </c>
      <c r="O97" s="32">
        <f t="shared" ca="1" si="16"/>
        <v>6614346.9990886617</v>
      </c>
      <c r="P97" s="32">
        <f t="shared" ca="1" si="11"/>
        <v>6097353.2185569592</v>
      </c>
      <c r="Q97" s="32">
        <f t="shared" ca="1" si="12"/>
        <v>-230020.4489129195</v>
      </c>
      <c r="R97" s="50">
        <f t="shared" ca="1" si="13"/>
        <v>3.3607261833974285E-2</v>
      </c>
    </row>
    <row r="98" spans="1:39" x14ac:dyDescent="0.2">
      <c r="A98" s="2">
        <v>43435</v>
      </c>
      <c r="B98">
        <f t="shared" si="14"/>
        <v>2018</v>
      </c>
      <c r="C98">
        <f t="shared" si="15"/>
        <v>12</v>
      </c>
      <c r="D98" s="151">
        <f>Data!G97</f>
        <v>8214792.0096385563</v>
      </c>
      <c r="E98" s="151">
        <f>Data!H97</f>
        <v>516993.78053170216</v>
      </c>
      <c r="F98" s="151">
        <f>Data!I97</f>
        <v>8731785.7901702579</v>
      </c>
      <c r="G98" s="129">
        <f>Data!AR97</f>
        <v>439.59999999999997</v>
      </c>
      <c r="H98" s="129">
        <f>Data!AS97</f>
        <v>0</v>
      </c>
      <c r="I98" s="129">
        <f t="shared" ca="1" si="17"/>
        <v>437.78421052631529</v>
      </c>
      <c r="J98" s="129">
        <f t="shared" ca="1" si="17"/>
        <v>0</v>
      </c>
      <c r="K98" s="32">
        <f>Data!BW97</f>
        <v>0</v>
      </c>
      <c r="L98" s="32">
        <f>Data!AB97</f>
        <v>2702</v>
      </c>
      <c r="M98" s="32">
        <f>Data!BI97</f>
        <v>96</v>
      </c>
      <c r="N98" s="140">
        <f>Data!BZ97</f>
        <v>0</v>
      </c>
      <c r="O98" s="32">
        <f t="shared" ca="1" si="16"/>
        <v>8725538.8803235553</v>
      </c>
      <c r="P98" s="32">
        <f t="shared" ca="1" si="11"/>
        <v>8208545.0997918528</v>
      </c>
      <c r="Q98" s="32">
        <f t="shared" ca="1" si="12"/>
        <v>-6246.9098467025906</v>
      </c>
      <c r="R98" s="50">
        <f t="shared" ca="1" si="13"/>
        <v>7.1542179306952329E-4</v>
      </c>
    </row>
    <row r="99" spans="1:39" s="9" customFormat="1" x14ac:dyDescent="0.2">
      <c r="A99" s="2">
        <v>43466</v>
      </c>
      <c r="B99">
        <f t="shared" si="14"/>
        <v>2019</v>
      </c>
      <c r="C99">
        <f t="shared" si="15"/>
        <v>1</v>
      </c>
      <c r="D99" s="151">
        <f>Data!G98</f>
        <v>8493510.5734939743</v>
      </c>
      <c r="E99" s="151">
        <f>Data!H98</f>
        <v>606940.22447486676</v>
      </c>
      <c r="F99" s="151">
        <f>Data!I98</f>
        <v>9100450.7979688402</v>
      </c>
      <c r="G99" s="129">
        <f>Data!AR98</f>
        <v>640.5</v>
      </c>
      <c r="H99" s="129">
        <f>Data!AS98</f>
        <v>0</v>
      </c>
      <c r="I99" s="129">
        <f t="shared" ref="I99:J114" ca="1" si="18">I111</f>
        <v>557.82052631578927</v>
      </c>
      <c r="J99" s="129">
        <f t="shared" ca="1" si="18"/>
        <v>0</v>
      </c>
      <c r="K99" s="32">
        <f>Data!BW98</f>
        <v>0</v>
      </c>
      <c r="L99" s="32">
        <f>Data!AB98</f>
        <v>2692</v>
      </c>
      <c r="M99" s="32">
        <f>Data!BI98</f>
        <v>97</v>
      </c>
      <c r="N99" s="140">
        <f>Data!BZ98</f>
        <v>0</v>
      </c>
      <c r="O99" s="32">
        <f t="shared" ca="1" si="16"/>
        <v>8816006.3589172401</v>
      </c>
      <c r="P99" s="32">
        <f t="shared" ca="1" si="11"/>
        <v>8209066.1344423732</v>
      </c>
      <c r="Q99" s="32">
        <f t="shared" ca="1" si="12"/>
        <v>-284444.43905160017</v>
      </c>
      <c r="R99" s="50">
        <f t="shared" ca="1" si="13"/>
        <v>3.1256082293756947E-2</v>
      </c>
      <c r="S99"/>
      <c r="T99"/>
      <c r="U99"/>
      <c r="V99"/>
      <c r="W99"/>
      <c r="X99"/>
      <c r="Y99"/>
      <c r="Z99"/>
      <c r="AA99"/>
      <c r="AB99"/>
      <c r="AC99"/>
      <c r="AD99"/>
      <c r="AE99" s="39"/>
      <c r="AF99" s="39"/>
      <c r="AG99" s="39"/>
      <c r="AH99" s="39"/>
      <c r="AI99" s="39"/>
      <c r="AJ99" s="39"/>
      <c r="AK99" s="39"/>
      <c r="AL99" s="39"/>
      <c r="AM99" s="39"/>
    </row>
    <row r="100" spans="1:39" x14ac:dyDescent="0.2">
      <c r="A100" s="2">
        <v>43497</v>
      </c>
      <c r="B100">
        <f t="shared" si="14"/>
        <v>2019</v>
      </c>
      <c r="C100">
        <f t="shared" si="15"/>
        <v>2</v>
      </c>
      <c r="D100" s="151">
        <f>Data!G99</f>
        <v>7650394.8433734914</v>
      </c>
      <c r="E100" s="151">
        <f>Data!H99</f>
        <v>606940.22447486676</v>
      </c>
      <c r="F100" s="151">
        <f>Data!I99</f>
        <v>8257335.0678483583</v>
      </c>
      <c r="G100" s="129">
        <f>Data!AR99</f>
        <v>509.70000000000005</v>
      </c>
      <c r="H100" s="129">
        <f>Data!AS99</f>
        <v>0</v>
      </c>
      <c r="I100" s="129">
        <f t="shared" ca="1" si="18"/>
        <v>513.95684210526292</v>
      </c>
      <c r="J100" s="129">
        <f t="shared" ca="1" si="18"/>
        <v>0</v>
      </c>
      <c r="K100" s="32">
        <f>Data!BW99</f>
        <v>0</v>
      </c>
      <c r="L100" s="32">
        <f>Data!AB99</f>
        <v>2696</v>
      </c>
      <c r="M100" s="32">
        <f>Data!BI99</f>
        <v>98</v>
      </c>
      <c r="N100" s="140">
        <f>Data!BZ99</f>
        <v>0</v>
      </c>
      <c r="O100" s="32">
        <f t="shared" ca="1" si="16"/>
        <v>8271979.9973672302</v>
      </c>
      <c r="P100" s="32">
        <f t="shared" ca="1" si="11"/>
        <v>7665039.7728923634</v>
      </c>
      <c r="Q100" s="32">
        <f t="shared" ca="1" si="12"/>
        <v>14644.929518871941</v>
      </c>
      <c r="R100" s="50">
        <f t="shared" ca="1" si="13"/>
        <v>1.7735660959060512E-3</v>
      </c>
    </row>
    <row r="101" spans="1:39" x14ac:dyDescent="0.2">
      <c r="A101" s="2">
        <v>43525</v>
      </c>
      <c r="B101">
        <f t="shared" si="14"/>
        <v>2019</v>
      </c>
      <c r="C101">
        <f t="shared" si="15"/>
        <v>3</v>
      </c>
      <c r="D101" s="151">
        <f>Data!G100</f>
        <v>7603009.9566265009</v>
      </c>
      <c r="E101" s="151">
        <f>Data!H100</f>
        <v>606940.22447486676</v>
      </c>
      <c r="F101" s="151">
        <f>Data!I100</f>
        <v>8209950.1811013678</v>
      </c>
      <c r="G101" s="129">
        <f>Data!AR100</f>
        <v>469.9</v>
      </c>
      <c r="H101" s="129">
        <f>Data!AS100</f>
        <v>0</v>
      </c>
      <c r="I101" s="129">
        <f t="shared" ca="1" si="18"/>
        <v>400.06210526315817</v>
      </c>
      <c r="J101" s="129">
        <f t="shared" ca="1" si="18"/>
        <v>0.74263157894736409</v>
      </c>
      <c r="K101" s="32">
        <f>Data!BW100</f>
        <v>0</v>
      </c>
      <c r="L101" s="32">
        <f>Data!AB100</f>
        <v>2699</v>
      </c>
      <c r="M101" s="32">
        <f>Data!BI100</f>
        <v>99</v>
      </c>
      <c r="N101" s="140">
        <f>Data!BZ100</f>
        <v>0</v>
      </c>
      <c r="O101" s="32">
        <f t="shared" ca="1" si="16"/>
        <v>7973372.822723452</v>
      </c>
      <c r="P101" s="32">
        <f t="shared" ca="1" si="11"/>
        <v>7366432.5982485851</v>
      </c>
      <c r="Q101" s="32">
        <f t="shared" ca="1" si="12"/>
        <v>-236577.35837791581</v>
      </c>
      <c r="R101" s="50">
        <f t="shared" ca="1" si="13"/>
        <v>2.881593105430743E-2</v>
      </c>
    </row>
    <row r="102" spans="1:39" x14ac:dyDescent="0.2">
      <c r="A102" s="2">
        <v>43556</v>
      </c>
      <c r="B102">
        <f t="shared" si="14"/>
        <v>2019</v>
      </c>
      <c r="C102">
        <f t="shared" si="15"/>
        <v>4</v>
      </c>
      <c r="D102" s="151">
        <f>Data!G101</f>
        <v>6777657.9951807288</v>
      </c>
      <c r="E102" s="151">
        <f>Data!H101</f>
        <v>606940.22447486676</v>
      </c>
      <c r="F102" s="151">
        <f>Data!I101</f>
        <v>7384598.2196555957</v>
      </c>
      <c r="G102" s="129">
        <f>Data!AR101</f>
        <v>226.80000000000004</v>
      </c>
      <c r="H102" s="129">
        <f>Data!AS101</f>
        <v>0</v>
      </c>
      <c r="I102" s="129">
        <f t="shared" ca="1" si="18"/>
        <v>225.72052631578936</v>
      </c>
      <c r="J102" s="129">
        <f t="shared" ca="1" si="18"/>
        <v>0</v>
      </c>
      <c r="K102" s="32">
        <f>Data!BW101</f>
        <v>0</v>
      </c>
      <c r="L102" s="32">
        <f>Data!AB101</f>
        <v>2695</v>
      </c>
      <c r="M102" s="32">
        <f>Data!BI101</f>
        <v>100</v>
      </c>
      <c r="N102" s="140">
        <f>Data!BZ101</f>
        <v>0</v>
      </c>
      <c r="O102" s="32">
        <f t="shared" ca="1" si="16"/>
        <v>7380884.4770191945</v>
      </c>
      <c r="P102" s="32">
        <f t="shared" ca="1" si="11"/>
        <v>6773944.2525443276</v>
      </c>
      <c r="Q102" s="32">
        <f t="shared" ca="1" si="12"/>
        <v>-3713.7426364012063</v>
      </c>
      <c r="R102" s="50">
        <f t="shared" ca="1" si="13"/>
        <v>5.0290381763984566E-4</v>
      </c>
    </row>
    <row r="103" spans="1:39" x14ac:dyDescent="0.2">
      <c r="A103" s="2">
        <v>43586</v>
      </c>
      <c r="B103">
        <f t="shared" si="14"/>
        <v>2019</v>
      </c>
      <c r="C103">
        <f t="shared" si="15"/>
        <v>5</v>
      </c>
      <c r="D103" s="151">
        <f>Data!G102</f>
        <v>6404967.7975903675</v>
      </c>
      <c r="E103" s="151">
        <f>Data!H102</f>
        <v>606940.22447486676</v>
      </c>
      <c r="F103" s="151">
        <f>Data!I102</f>
        <v>7011908.0220652344</v>
      </c>
      <c r="G103" s="129">
        <f>Data!AR102</f>
        <v>87.700000000000017</v>
      </c>
      <c r="H103" s="129">
        <f>Data!AS102</f>
        <v>18.7</v>
      </c>
      <c r="I103" s="129">
        <f t="shared" ca="1" si="18"/>
        <v>59.688947368421054</v>
      </c>
      <c r="J103" s="129">
        <f t="shared" ca="1" si="18"/>
        <v>80.273684210525971</v>
      </c>
      <c r="K103" s="32">
        <f>Data!BW102</f>
        <v>0</v>
      </c>
      <c r="L103" s="32">
        <f>Data!AB102</f>
        <v>2691</v>
      </c>
      <c r="M103" s="32">
        <f>Data!BI102</f>
        <v>101</v>
      </c>
      <c r="N103" s="140">
        <f>Data!BZ102</f>
        <v>0</v>
      </c>
      <c r="O103" s="32">
        <f t="shared" ca="1" si="16"/>
        <v>7221310.727940104</v>
      </c>
      <c r="P103" s="32">
        <f t="shared" ca="1" si="11"/>
        <v>6614370.5034652371</v>
      </c>
      <c r="Q103" s="32">
        <f t="shared" ca="1" si="12"/>
        <v>209402.7058748696</v>
      </c>
      <c r="R103" s="50">
        <f t="shared" ca="1" si="13"/>
        <v>2.9863869465474494E-2</v>
      </c>
    </row>
    <row r="104" spans="1:39" x14ac:dyDescent="0.2">
      <c r="A104" s="2">
        <v>43617</v>
      </c>
      <c r="B104">
        <f t="shared" si="14"/>
        <v>2019</v>
      </c>
      <c r="C104">
        <f t="shared" si="15"/>
        <v>6</v>
      </c>
      <c r="D104" s="151">
        <f>Data!G103</f>
        <v>6035483.3349397592</v>
      </c>
      <c r="E104" s="151">
        <f>Data!H103</f>
        <v>606940.22447486676</v>
      </c>
      <c r="F104" s="151">
        <f>Data!I103</f>
        <v>6642423.5594146261</v>
      </c>
      <c r="G104" s="129">
        <f>Data!AR103</f>
        <v>4.2000000000000011</v>
      </c>
      <c r="H104" s="129">
        <f>Data!AS103</f>
        <v>130</v>
      </c>
      <c r="I104" s="129">
        <f t="shared" ca="1" si="18"/>
        <v>1.08894736842106</v>
      </c>
      <c r="J104" s="129">
        <f t="shared" ca="1" si="18"/>
        <v>177.38052631578967</v>
      </c>
      <c r="K104" s="32">
        <f>Data!BW103</f>
        <v>0</v>
      </c>
      <c r="L104" s="32">
        <f>Data!AB103</f>
        <v>2687</v>
      </c>
      <c r="M104" s="32">
        <f>Data!BI103</f>
        <v>102</v>
      </c>
      <c r="N104" s="140">
        <f>Data!BZ103</f>
        <v>0</v>
      </c>
      <c r="O104" s="32">
        <f t="shared" ca="1" si="16"/>
        <v>6867008.3477473538</v>
      </c>
      <c r="P104" s="32">
        <f t="shared" ca="1" si="11"/>
        <v>6260068.123272487</v>
      </c>
      <c r="Q104" s="32">
        <f t="shared" ca="1" si="12"/>
        <v>224584.78833272774</v>
      </c>
      <c r="R104" s="50">
        <f t="shared" ca="1" si="13"/>
        <v>3.3810669603327681E-2</v>
      </c>
    </row>
    <row r="105" spans="1:39" x14ac:dyDescent="0.2">
      <c r="A105" s="2">
        <v>43647</v>
      </c>
      <c r="B105">
        <f t="shared" si="14"/>
        <v>2019</v>
      </c>
      <c r="C105">
        <f t="shared" si="15"/>
        <v>7</v>
      </c>
      <c r="D105" s="151">
        <f>Data!G104</f>
        <v>7346858.1783132479</v>
      </c>
      <c r="E105" s="151">
        <f>Data!H104</f>
        <v>606940.22447486676</v>
      </c>
      <c r="F105" s="151">
        <f>Data!I104</f>
        <v>7953798.4027881147</v>
      </c>
      <c r="G105" s="129">
        <f>Data!AR104</f>
        <v>0</v>
      </c>
      <c r="H105" s="129">
        <f>Data!AS104</f>
        <v>290.89999999999992</v>
      </c>
      <c r="I105" s="129">
        <f t="shared" ca="1" si="18"/>
        <v>0</v>
      </c>
      <c r="J105" s="129">
        <f t="shared" ca="1" si="18"/>
        <v>273.7568421052631</v>
      </c>
      <c r="K105" s="32">
        <f>Data!BW104</f>
        <v>0</v>
      </c>
      <c r="L105" s="32">
        <f>Data!AB104</f>
        <v>2688</v>
      </c>
      <c r="M105" s="32">
        <f>Data!BI104</f>
        <v>103</v>
      </c>
      <c r="N105" s="140">
        <f>Data!BZ104</f>
        <v>0</v>
      </c>
      <c r="O105" s="32">
        <f t="shared" ca="1" si="16"/>
        <v>7868666.879647702</v>
      </c>
      <c r="P105" s="32">
        <f t="shared" ca="1" si="11"/>
        <v>7261726.6551728351</v>
      </c>
      <c r="Q105" s="32">
        <f t="shared" ca="1" si="12"/>
        <v>-85131.523140412755</v>
      </c>
      <c r="R105" s="50">
        <f t="shared" ca="1" si="13"/>
        <v>1.0703253820284262E-2</v>
      </c>
    </row>
    <row r="106" spans="1:39" x14ac:dyDescent="0.2">
      <c r="A106" s="2">
        <v>43678</v>
      </c>
      <c r="B106">
        <f t="shared" si="14"/>
        <v>2019</v>
      </c>
      <c r="C106">
        <f t="shared" si="15"/>
        <v>8</v>
      </c>
      <c r="D106" s="151">
        <f>Data!G105</f>
        <v>7213289.7060240963</v>
      </c>
      <c r="E106" s="151">
        <f>Data!H105</f>
        <v>606940.22447486676</v>
      </c>
      <c r="F106" s="151">
        <f>Data!I105</f>
        <v>7820229.9304989632</v>
      </c>
      <c r="G106" s="129">
        <f>Data!AR105</f>
        <v>0</v>
      </c>
      <c r="H106" s="129">
        <f>Data!AS105</f>
        <v>226.40000000000006</v>
      </c>
      <c r="I106" s="129">
        <f t="shared" ca="1" si="18"/>
        <v>0</v>
      </c>
      <c r="J106" s="129">
        <f t="shared" ca="1" si="18"/>
        <v>253.05789473684217</v>
      </c>
      <c r="K106" s="32">
        <f>Data!BW105</f>
        <v>0</v>
      </c>
      <c r="L106" s="32">
        <f>Data!AB105</f>
        <v>2684</v>
      </c>
      <c r="M106" s="32">
        <f>Data!BI105</f>
        <v>104</v>
      </c>
      <c r="N106" s="140">
        <f>Data!BZ105</f>
        <v>0</v>
      </c>
      <c r="O106" s="32">
        <f t="shared" ca="1" si="16"/>
        <v>7952610.8603485851</v>
      </c>
      <c r="P106" s="32">
        <f t="shared" ca="1" si="11"/>
        <v>7345670.6358737182</v>
      </c>
      <c r="Q106" s="32">
        <f t="shared" ca="1" si="12"/>
        <v>132380.92984962184</v>
      </c>
      <c r="R106" s="50">
        <f t="shared" ca="1" si="13"/>
        <v>1.6928009921208978E-2</v>
      </c>
    </row>
    <row r="107" spans="1:39" x14ac:dyDescent="0.2">
      <c r="A107" s="2">
        <v>43709</v>
      </c>
      <c r="B107">
        <f t="shared" si="14"/>
        <v>2019</v>
      </c>
      <c r="C107">
        <f t="shared" si="15"/>
        <v>9</v>
      </c>
      <c r="D107" s="151">
        <f>Data!G106</f>
        <v>6412383.0746987946</v>
      </c>
      <c r="E107" s="151">
        <f>Data!H106</f>
        <v>606940.22447486676</v>
      </c>
      <c r="F107" s="151">
        <f>Data!I106</f>
        <v>7019323.2991736615</v>
      </c>
      <c r="G107" s="129">
        <f>Data!AR106</f>
        <v>2.5999999999999979</v>
      </c>
      <c r="H107" s="129">
        <f>Data!AS106</f>
        <v>109.6</v>
      </c>
      <c r="I107" s="129">
        <f t="shared" ca="1" si="18"/>
        <v>9.9542105263157907</v>
      </c>
      <c r="J107" s="129">
        <f t="shared" ca="1" si="18"/>
        <v>120.49421052631581</v>
      </c>
      <c r="K107" s="32">
        <f>Data!BW106</f>
        <v>1</v>
      </c>
      <c r="L107" s="32">
        <f>Data!AB106</f>
        <v>2683</v>
      </c>
      <c r="M107" s="32">
        <f>Data!BI106</f>
        <v>105</v>
      </c>
      <c r="N107" s="140">
        <f>Data!BZ106</f>
        <v>0</v>
      </c>
      <c r="O107" s="32">
        <f t="shared" ca="1" si="16"/>
        <v>7098723.9498553053</v>
      </c>
      <c r="P107" s="32">
        <f t="shared" ca="1" si="11"/>
        <v>6491783.7253804384</v>
      </c>
      <c r="Q107" s="32">
        <f t="shared" ca="1" si="12"/>
        <v>79400.650681643747</v>
      </c>
      <c r="R107" s="50">
        <f t="shared" ca="1" si="13"/>
        <v>1.1311724406680494E-2</v>
      </c>
    </row>
    <row r="108" spans="1:39" x14ac:dyDescent="0.2">
      <c r="A108" s="2">
        <v>43739</v>
      </c>
      <c r="B108">
        <f t="shared" si="14"/>
        <v>2019</v>
      </c>
      <c r="C108">
        <f t="shared" si="15"/>
        <v>10</v>
      </c>
      <c r="D108" s="151">
        <f>Data!G107</f>
        <v>6175914.5445783148</v>
      </c>
      <c r="E108" s="151">
        <f>Data!H107</f>
        <v>606940.22447486676</v>
      </c>
      <c r="F108" s="151">
        <f>Data!I107</f>
        <v>6782854.7690531816</v>
      </c>
      <c r="G108" s="129">
        <f>Data!AR107</f>
        <v>119.39999999999999</v>
      </c>
      <c r="H108" s="129">
        <f>Data!AS107</f>
        <v>12.000000000000004</v>
      </c>
      <c r="I108" s="129">
        <f t="shared" ca="1" si="18"/>
        <v>107.70315789473716</v>
      </c>
      <c r="J108" s="129">
        <f t="shared" ca="1" si="18"/>
        <v>25.808421052631616</v>
      </c>
      <c r="K108" s="32">
        <f>Data!BW107</f>
        <v>1</v>
      </c>
      <c r="L108" s="32">
        <f>Data!AB107</f>
        <v>2694</v>
      </c>
      <c r="M108" s="32">
        <f>Data!BI107</f>
        <v>106</v>
      </c>
      <c r="N108" s="140">
        <f>Data!BZ107</f>
        <v>0</v>
      </c>
      <c r="O108" s="32">
        <f t="shared" ca="1" si="16"/>
        <v>6811185.2975626169</v>
      </c>
      <c r="P108" s="32">
        <f t="shared" ca="1" si="11"/>
        <v>6204245.07308775</v>
      </c>
      <c r="Q108" s="32">
        <f t="shared" ca="1" si="12"/>
        <v>28330.528509435244</v>
      </c>
      <c r="R108" s="50">
        <f t="shared" ca="1" si="13"/>
        <v>4.1767853616287735E-3</v>
      </c>
    </row>
    <row r="109" spans="1:39" x14ac:dyDescent="0.2">
      <c r="A109" s="2">
        <v>43770</v>
      </c>
      <c r="B109">
        <f t="shared" si="14"/>
        <v>2019</v>
      </c>
      <c r="C109">
        <f t="shared" si="15"/>
        <v>11</v>
      </c>
      <c r="D109" s="151">
        <f>Data!G108</f>
        <v>6158689.3783132555</v>
      </c>
      <c r="E109" s="151">
        <f>Data!H108</f>
        <v>606940.22447486676</v>
      </c>
      <c r="F109" s="151">
        <f>Data!I108</f>
        <v>6765629.6027881224</v>
      </c>
      <c r="G109" s="129">
        <f>Data!AR108</f>
        <v>393.30000000000007</v>
      </c>
      <c r="H109" s="129">
        <f>Data!AS108</f>
        <v>0</v>
      </c>
      <c r="I109" s="129">
        <f t="shared" ca="1" si="18"/>
        <v>305.31105263157906</v>
      </c>
      <c r="J109" s="129">
        <f t="shared" ca="1" si="18"/>
        <v>1.3363157894737014</v>
      </c>
      <c r="K109" s="32">
        <f>Data!BW108</f>
        <v>1</v>
      </c>
      <c r="L109" s="32">
        <f>Data!AB108</f>
        <v>2694</v>
      </c>
      <c r="M109" s="32">
        <f>Data!BI108</f>
        <v>107</v>
      </c>
      <c r="N109" s="140">
        <f>Data!BZ108</f>
        <v>0</v>
      </c>
      <c r="O109" s="32">
        <f t="shared" ca="1" si="16"/>
        <v>6469554.8723657448</v>
      </c>
      <c r="P109" s="32">
        <f t="shared" ca="1" si="11"/>
        <v>5862614.6478908779</v>
      </c>
      <c r="Q109" s="32">
        <f t="shared" ca="1" si="12"/>
        <v>-296074.73042237759</v>
      </c>
      <c r="R109" s="50">
        <f t="shared" ca="1" si="13"/>
        <v>4.376159320048572E-2</v>
      </c>
    </row>
    <row r="110" spans="1:39" x14ac:dyDescent="0.2">
      <c r="A110" s="2">
        <v>43800</v>
      </c>
      <c r="B110">
        <f t="shared" si="14"/>
        <v>2019</v>
      </c>
      <c r="C110">
        <f t="shared" si="15"/>
        <v>12</v>
      </c>
      <c r="D110" s="151">
        <f>Data!G109</f>
        <v>7536491.3638554169</v>
      </c>
      <c r="E110" s="151">
        <f>Data!H109</f>
        <v>606940.22447486676</v>
      </c>
      <c r="F110" s="151">
        <f>Data!I109</f>
        <v>8143431.5883302838</v>
      </c>
      <c r="G110" s="129">
        <f>Data!AR109</f>
        <v>458.39999999999992</v>
      </c>
      <c r="H110" s="129">
        <f>Data!AS109</f>
        <v>0</v>
      </c>
      <c r="I110" s="129">
        <f t="shared" ca="1" si="18"/>
        <v>437.78421052631529</v>
      </c>
      <c r="J110" s="129">
        <f t="shared" ca="1" si="18"/>
        <v>0</v>
      </c>
      <c r="K110" s="32">
        <f>Data!BW109</f>
        <v>0</v>
      </c>
      <c r="L110" s="32">
        <f>Data!AB109</f>
        <v>2697</v>
      </c>
      <c r="M110" s="32">
        <f>Data!BI109</f>
        <v>108</v>
      </c>
      <c r="N110" s="140">
        <f>Data!BZ109</f>
        <v>0</v>
      </c>
      <c r="O110" s="32">
        <f t="shared" ca="1" si="16"/>
        <v>8072506.5278389035</v>
      </c>
      <c r="P110" s="32">
        <f t="shared" ca="1" si="11"/>
        <v>7465566.3033640366</v>
      </c>
      <c r="Q110" s="32">
        <f t="shared" ca="1" si="12"/>
        <v>-70925.060491380282</v>
      </c>
      <c r="R110" s="50">
        <f t="shared" ca="1" si="13"/>
        <v>8.7094807296002157E-3</v>
      </c>
    </row>
    <row r="111" spans="1:39" x14ac:dyDescent="0.2">
      <c r="A111" s="2">
        <v>43831</v>
      </c>
      <c r="B111">
        <f t="shared" si="14"/>
        <v>2020</v>
      </c>
      <c r="C111">
        <f t="shared" si="15"/>
        <v>1</v>
      </c>
      <c r="D111" s="151">
        <f>Data!G110</f>
        <v>8484041.1759036183</v>
      </c>
      <c r="E111" s="151">
        <f>Data!H110</f>
        <v>649812.80140259408</v>
      </c>
      <c r="F111" s="151">
        <f>Data!I110</f>
        <v>9133853.9773062132</v>
      </c>
      <c r="G111" s="129">
        <f>Data!AR110</f>
        <v>481</v>
      </c>
      <c r="H111" s="129">
        <f>Data!AS110</f>
        <v>0</v>
      </c>
      <c r="I111" s="129">
        <f t="shared" ca="1" si="18"/>
        <v>557.82052631578927</v>
      </c>
      <c r="J111" s="129">
        <f t="shared" ca="1" si="18"/>
        <v>0</v>
      </c>
      <c r="K111" s="32">
        <f>Data!BW110</f>
        <v>0</v>
      </c>
      <c r="L111" s="32">
        <f>Data!AB110</f>
        <v>2693</v>
      </c>
      <c r="M111" s="32">
        <f>Data!BI110</f>
        <v>109</v>
      </c>
      <c r="N111" s="140">
        <f>Data!BZ110</f>
        <v>0</v>
      </c>
      <c r="O111" s="32">
        <f t="shared" ca="1" si="16"/>
        <v>9398141.7205857914</v>
      </c>
      <c r="P111" s="32">
        <f t="shared" ca="1" si="11"/>
        <v>8748328.9191831965</v>
      </c>
      <c r="Q111" s="32">
        <f t="shared" ca="1" si="12"/>
        <v>264287.74327957816</v>
      </c>
      <c r="R111" s="50">
        <f t="shared" ca="1" si="13"/>
        <v>2.8934964795388901E-2</v>
      </c>
      <c r="S111" s="12"/>
      <c r="AE111" s="39"/>
      <c r="AF111" s="39"/>
      <c r="AG111" s="39"/>
    </row>
    <row r="112" spans="1:39" x14ac:dyDescent="0.2">
      <c r="A112" s="2">
        <v>43862</v>
      </c>
      <c r="B112">
        <f t="shared" si="14"/>
        <v>2020</v>
      </c>
      <c r="C112">
        <f t="shared" si="15"/>
        <v>2</v>
      </c>
      <c r="D112" s="151">
        <f>Data!G111</f>
        <v>7437125.9180722833</v>
      </c>
      <c r="E112" s="151">
        <f>Data!H111</f>
        <v>649812.80140259408</v>
      </c>
      <c r="F112" s="151">
        <f>Data!I111</f>
        <v>8086938.7194748772</v>
      </c>
      <c r="G112" s="129">
        <f>Data!AR111</f>
        <v>495.8</v>
      </c>
      <c r="H112" s="129">
        <f>Data!AS111</f>
        <v>0</v>
      </c>
      <c r="I112" s="129">
        <f t="shared" ca="1" si="18"/>
        <v>513.95684210526292</v>
      </c>
      <c r="J112" s="129">
        <f t="shared" ca="1" si="18"/>
        <v>0</v>
      </c>
      <c r="K112" s="32">
        <f>Data!BW111</f>
        <v>0</v>
      </c>
      <c r="L112" s="32">
        <f>Data!AB111</f>
        <v>2694</v>
      </c>
      <c r="M112" s="32">
        <f>Data!BI111</f>
        <v>110</v>
      </c>
      <c r="N112" s="140">
        <f>Data!BZ111</f>
        <v>0</v>
      </c>
      <c r="O112" s="32">
        <f t="shared" ca="1" si="16"/>
        <v>8149404.1965448679</v>
      </c>
      <c r="P112" s="32">
        <f t="shared" ca="1" si="11"/>
        <v>7499591.395142274</v>
      </c>
      <c r="Q112" s="32">
        <f t="shared" ca="1" si="12"/>
        <v>62465.477069990709</v>
      </c>
      <c r="R112" s="50">
        <f t="shared" ca="1" si="13"/>
        <v>7.7242426629945933E-3</v>
      </c>
    </row>
    <row r="113" spans="1:18" x14ac:dyDescent="0.2">
      <c r="A113" s="2">
        <v>43891</v>
      </c>
      <c r="B113">
        <f t="shared" si="14"/>
        <v>2020</v>
      </c>
      <c r="C113">
        <f t="shared" si="15"/>
        <v>3</v>
      </c>
      <c r="D113" s="151">
        <f>Data!G112</f>
        <v>7029333.0698795123</v>
      </c>
      <c r="E113" s="151">
        <f>Data!H112</f>
        <v>649812.80140259408</v>
      </c>
      <c r="F113" s="151">
        <f>Data!I112</f>
        <v>7679145.8712821063</v>
      </c>
      <c r="G113" s="129">
        <f>Data!AR112</f>
        <v>334.7</v>
      </c>
      <c r="H113" s="129">
        <f>Data!AS112</f>
        <v>0</v>
      </c>
      <c r="I113" s="129">
        <f t="shared" ca="1" si="18"/>
        <v>400.06210526315817</v>
      </c>
      <c r="J113" s="129">
        <f t="shared" ca="1" si="18"/>
        <v>0.74263157894736409</v>
      </c>
      <c r="K113" s="32">
        <f>Data!BW112</f>
        <v>0</v>
      </c>
      <c r="L113" s="32">
        <f>Data!AB112</f>
        <v>2707</v>
      </c>
      <c r="M113" s="32">
        <f>Data!BI112</f>
        <v>111</v>
      </c>
      <c r="N113" s="140">
        <f>Data!BZ112</f>
        <v>0.5</v>
      </c>
      <c r="O113" s="32">
        <f t="shared" ca="1" si="16"/>
        <v>7907700.7451999597</v>
      </c>
      <c r="P113" s="32">
        <f t="shared" ca="1" si="11"/>
        <v>7257887.9437973658</v>
      </c>
      <c r="Q113" s="32">
        <f t="shared" ca="1" si="12"/>
        <v>228554.87391785346</v>
      </c>
      <c r="R113" s="50">
        <f t="shared" ca="1" si="13"/>
        <v>2.9763059297074408E-2</v>
      </c>
    </row>
    <row r="114" spans="1:18" x14ac:dyDescent="0.2">
      <c r="A114" s="2">
        <v>43922</v>
      </c>
      <c r="B114">
        <f t="shared" si="14"/>
        <v>2020</v>
      </c>
      <c r="C114">
        <f t="shared" si="15"/>
        <v>4</v>
      </c>
      <c r="D114" s="151">
        <f>Data!G113</f>
        <v>6060516.9927710835</v>
      </c>
      <c r="E114" s="151">
        <f>Data!H113</f>
        <v>649812.80140259408</v>
      </c>
      <c r="F114" s="151">
        <f>Data!I113</f>
        <v>6710329.7941736775</v>
      </c>
      <c r="G114" s="129">
        <f>Data!AR113</f>
        <v>242.3</v>
      </c>
      <c r="H114" s="129">
        <f>Data!AS113</f>
        <v>0</v>
      </c>
      <c r="I114" s="129">
        <f t="shared" ca="1" si="18"/>
        <v>225.72052631578936</v>
      </c>
      <c r="J114" s="129">
        <f t="shared" ca="1" si="18"/>
        <v>0</v>
      </c>
      <c r="K114" s="32">
        <f>Data!BW113</f>
        <v>0</v>
      </c>
      <c r="L114" s="32">
        <f>Data!AB113</f>
        <v>2708</v>
      </c>
      <c r="M114" s="32">
        <f>Data!BI113</f>
        <v>112</v>
      </c>
      <c r="N114" s="140">
        <f>Data!BZ113</f>
        <v>1</v>
      </c>
      <c r="O114" s="32">
        <f t="shared" ca="1" si="16"/>
        <v>6653290.9805270368</v>
      </c>
      <c r="P114" s="32">
        <f t="shared" ca="1" si="11"/>
        <v>6003478.1791244429</v>
      </c>
      <c r="Q114" s="32">
        <f t="shared" ca="1" si="12"/>
        <v>-57038.813646640629</v>
      </c>
      <c r="R114" s="50">
        <f t="shared" ca="1" si="13"/>
        <v>8.500150573249805E-3</v>
      </c>
    </row>
    <row r="115" spans="1:18" x14ac:dyDescent="0.2">
      <c r="A115" s="2">
        <v>43952</v>
      </c>
      <c r="B115">
        <f t="shared" si="14"/>
        <v>2020</v>
      </c>
      <c r="C115">
        <f t="shared" si="15"/>
        <v>5</v>
      </c>
      <c r="D115" s="151">
        <f>Data!G114</f>
        <v>5500006.03373494</v>
      </c>
      <c r="E115" s="151">
        <f>Data!H114</f>
        <v>649812.80140259408</v>
      </c>
      <c r="F115" s="151">
        <f>Data!I114</f>
        <v>6149818.835137534</v>
      </c>
      <c r="G115" s="129">
        <f>Data!AR114</f>
        <v>116.19999999999999</v>
      </c>
      <c r="H115" s="129">
        <f>Data!AS114</f>
        <v>56.300000000000004</v>
      </c>
      <c r="I115" s="129">
        <f t="shared" ref="I115:J130" ca="1" si="19">I127</f>
        <v>59.688947368421054</v>
      </c>
      <c r="J115" s="129">
        <f t="shared" ca="1" si="19"/>
        <v>80.273684210525971</v>
      </c>
      <c r="K115" s="32">
        <f>Data!BW114</f>
        <v>0</v>
      </c>
      <c r="L115" s="32">
        <f>Data!AB114</f>
        <v>2709</v>
      </c>
      <c r="M115" s="32">
        <f>Data!BI114</f>
        <v>113</v>
      </c>
      <c r="N115" s="140">
        <f>Data!BZ114</f>
        <v>1</v>
      </c>
      <c r="O115" s="32">
        <f t="shared" ca="1" si="16"/>
        <v>6074453.6852392098</v>
      </c>
      <c r="P115" s="32">
        <f t="shared" ca="1" si="11"/>
        <v>5424640.8838366158</v>
      </c>
      <c r="Q115" s="32">
        <f t="shared" ca="1" si="12"/>
        <v>-75365.149898324162</v>
      </c>
      <c r="R115" s="50">
        <f t="shared" ca="1" si="13"/>
        <v>1.2254856918340214E-2</v>
      </c>
    </row>
    <row r="116" spans="1:18" x14ac:dyDescent="0.2">
      <c r="A116" s="2">
        <v>43983</v>
      </c>
      <c r="B116">
        <f t="shared" si="14"/>
        <v>2020</v>
      </c>
      <c r="C116">
        <f t="shared" si="15"/>
        <v>6</v>
      </c>
      <c r="D116" s="151">
        <f>Data!G115</f>
        <v>6178943.248192776</v>
      </c>
      <c r="E116" s="151">
        <f>Data!H115</f>
        <v>649812.80140259408</v>
      </c>
      <c r="F116" s="151">
        <f>Data!I115</f>
        <v>6828756.04959537</v>
      </c>
      <c r="G116" s="129">
        <f>Data!AR115</f>
        <v>2.0999999999999996</v>
      </c>
      <c r="H116" s="129">
        <f>Data!AS115</f>
        <v>196.00000000000003</v>
      </c>
      <c r="I116" s="129">
        <f t="shared" ca="1" si="19"/>
        <v>1.08894736842106</v>
      </c>
      <c r="J116" s="129">
        <f t="shared" ca="1" si="19"/>
        <v>177.38052631578967</v>
      </c>
      <c r="K116" s="32">
        <f>Data!BW115</f>
        <v>0</v>
      </c>
      <c r="L116" s="32">
        <f>Data!AB115</f>
        <v>2721</v>
      </c>
      <c r="M116" s="32">
        <f>Data!BI115</f>
        <v>114</v>
      </c>
      <c r="N116" s="140">
        <f>Data!BZ115</f>
        <v>0.5</v>
      </c>
      <c r="O116" s="32">
        <f t="shared" ca="1" si="16"/>
        <v>6732814.9108883794</v>
      </c>
      <c r="P116" s="32">
        <f t="shared" ca="1" si="11"/>
        <v>6083002.1094857855</v>
      </c>
      <c r="Q116" s="32">
        <f t="shared" ca="1" si="12"/>
        <v>-95941.138706990518</v>
      </c>
      <c r="R116" s="50">
        <f t="shared" ca="1" si="13"/>
        <v>1.4049577699100174E-2</v>
      </c>
    </row>
    <row r="117" spans="1:18" x14ac:dyDescent="0.2">
      <c r="A117" s="2">
        <v>44013</v>
      </c>
      <c r="B117">
        <f t="shared" si="14"/>
        <v>2020</v>
      </c>
      <c r="C117">
        <f t="shared" si="15"/>
        <v>7</v>
      </c>
      <c r="D117" s="151">
        <f>Data!G116</f>
        <v>7125657.9277108368</v>
      </c>
      <c r="E117" s="151">
        <f>Data!H116</f>
        <v>649812.80140259408</v>
      </c>
      <c r="F117" s="151">
        <f>Data!I116</f>
        <v>7775470.7291134307</v>
      </c>
      <c r="G117" s="129">
        <f>Data!AR116</f>
        <v>0</v>
      </c>
      <c r="H117" s="129">
        <f>Data!AS116</f>
        <v>339.70000000000005</v>
      </c>
      <c r="I117" s="129">
        <f t="shared" ca="1" si="19"/>
        <v>0</v>
      </c>
      <c r="J117" s="129">
        <f t="shared" ca="1" si="19"/>
        <v>273.7568421052631</v>
      </c>
      <c r="K117" s="32">
        <f>Data!BW116</f>
        <v>0</v>
      </c>
      <c r="L117" s="32">
        <f>Data!AB116</f>
        <v>2724</v>
      </c>
      <c r="M117" s="32">
        <f>Data!BI116</f>
        <v>115</v>
      </c>
      <c r="N117" s="140">
        <f>Data!BZ116</f>
        <v>0.5</v>
      </c>
      <c r="O117" s="32">
        <f t="shared" ca="1" si="16"/>
        <v>7448002.3882897608</v>
      </c>
      <c r="P117" s="32">
        <f t="shared" ca="1" si="11"/>
        <v>6798189.5868871668</v>
      </c>
      <c r="Q117" s="32">
        <f t="shared" ca="1" si="12"/>
        <v>-327468.34082366992</v>
      </c>
      <c r="R117" s="50">
        <f t="shared" ca="1" si="13"/>
        <v>4.2115564733276066E-2</v>
      </c>
    </row>
    <row r="118" spans="1:18" x14ac:dyDescent="0.2">
      <c r="A118" s="2">
        <v>44044</v>
      </c>
      <c r="B118">
        <f t="shared" si="14"/>
        <v>2020</v>
      </c>
      <c r="C118">
        <f t="shared" si="15"/>
        <v>8</v>
      </c>
      <c r="D118" s="151">
        <f>Data!G117</f>
        <v>6952279.6530120457</v>
      </c>
      <c r="E118" s="151">
        <f>Data!H117</f>
        <v>649812.80140259408</v>
      </c>
      <c r="F118" s="151">
        <f>Data!I117</f>
        <v>7602092.4544146396</v>
      </c>
      <c r="G118" s="129">
        <f>Data!AR117</f>
        <v>0</v>
      </c>
      <c r="H118" s="129">
        <f>Data!AS117</f>
        <v>249.89999999999998</v>
      </c>
      <c r="I118" s="129">
        <f t="shared" ca="1" si="19"/>
        <v>0</v>
      </c>
      <c r="J118" s="129">
        <f t="shared" ca="1" si="19"/>
        <v>253.05789473684217</v>
      </c>
      <c r="K118" s="32">
        <f>Data!BW117</f>
        <v>0</v>
      </c>
      <c r="L118" s="32">
        <f>Data!AB117</f>
        <v>2731</v>
      </c>
      <c r="M118" s="32">
        <f>Data!BI117</f>
        <v>116</v>
      </c>
      <c r="N118" s="140">
        <f>Data!BZ117</f>
        <v>0.5</v>
      </c>
      <c r="O118" s="32">
        <f t="shared" ca="1" si="16"/>
        <v>7617774.3019782677</v>
      </c>
      <c r="P118" s="32">
        <f t="shared" ca="1" si="11"/>
        <v>6967961.5005756738</v>
      </c>
      <c r="Q118" s="32">
        <f t="shared" ca="1" si="12"/>
        <v>15681.847563628107</v>
      </c>
      <c r="R118" s="50">
        <f t="shared" ca="1" si="13"/>
        <v>2.0628330499350141E-3</v>
      </c>
    </row>
    <row r="119" spans="1:18" x14ac:dyDescent="0.2">
      <c r="A119" s="2">
        <v>44075</v>
      </c>
      <c r="B119">
        <f t="shared" si="14"/>
        <v>2020</v>
      </c>
      <c r="C119">
        <f t="shared" si="15"/>
        <v>9</v>
      </c>
      <c r="D119" s="151">
        <f>Data!G118</f>
        <v>6152713.3975903597</v>
      </c>
      <c r="E119" s="151">
        <f>Data!H118</f>
        <v>649812.80140259408</v>
      </c>
      <c r="F119" s="151">
        <f>Data!I118</f>
        <v>6802526.1989929536</v>
      </c>
      <c r="G119" s="129">
        <f>Data!AR118</f>
        <v>15.899999999999999</v>
      </c>
      <c r="H119" s="129">
        <f>Data!AS118</f>
        <v>100.10000000000001</v>
      </c>
      <c r="I119" s="129">
        <f t="shared" ca="1" si="19"/>
        <v>9.9542105263157907</v>
      </c>
      <c r="J119" s="129">
        <f t="shared" ca="1" si="19"/>
        <v>120.49421052631581</v>
      </c>
      <c r="K119" s="32">
        <f>Data!BW118</f>
        <v>1</v>
      </c>
      <c r="L119" s="32">
        <f>Data!AB118</f>
        <v>2734</v>
      </c>
      <c r="M119" s="32">
        <f>Data!BI118</f>
        <v>117</v>
      </c>
      <c r="N119" s="140">
        <f>Data!BZ118</f>
        <v>0.5</v>
      </c>
      <c r="O119" s="32">
        <f t="shared" ca="1" si="16"/>
        <v>6883346.7231745636</v>
      </c>
      <c r="P119" s="32">
        <f t="shared" ca="1" si="11"/>
        <v>6233533.9217719696</v>
      </c>
      <c r="Q119" s="32">
        <f t="shared" ca="1" si="12"/>
        <v>80820.524181609973</v>
      </c>
      <c r="R119" s="50">
        <f t="shared" ca="1" si="13"/>
        <v>1.1880957429252482E-2</v>
      </c>
    </row>
    <row r="120" spans="1:18" x14ac:dyDescent="0.2">
      <c r="A120" s="2">
        <v>44105</v>
      </c>
      <c r="B120">
        <f t="shared" si="14"/>
        <v>2020</v>
      </c>
      <c r="C120">
        <f t="shared" si="15"/>
        <v>10</v>
      </c>
      <c r="D120" s="151">
        <f>Data!G119</f>
        <v>6063787.8939759014</v>
      </c>
      <c r="E120" s="151">
        <f>Data!H119</f>
        <v>649812.80140259408</v>
      </c>
      <c r="F120" s="151">
        <f>Data!I119</f>
        <v>6713600.6953784954</v>
      </c>
      <c r="G120" s="129">
        <f>Data!AR119</f>
        <v>149.90000000000003</v>
      </c>
      <c r="H120" s="129">
        <f>Data!AS119</f>
        <v>3.5999999999999996</v>
      </c>
      <c r="I120" s="129">
        <f t="shared" ca="1" si="19"/>
        <v>107.70315789473716</v>
      </c>
      <c r="J120" s="129">
        <f t="shared" ca="1" si="19"/>
        <v>25.808421052631616</v>
      </c>
      <c r="K120" s="32">
        <f>Data!BW119</f>
        <v>1</v>
      </c>
      <c r="L120" s="32">
        <f>Data!AB119</f>
        <v>2744</v>
      </c>
      <c r="M120" s="32">
        <f>Data!BI119</f>
        <v>118</v>
      </c>
      <c r="N120" s="140">
        <f>Data!BZ119</f>
        <v>0.5</v>
      </c>
      <c r="O120" s="32">
        <f t="shared" ca="1" si="16"/>
        <v>6678714.9599676756</v>
      </c>
      <c r="P120" s="32">
        <f t="shared" ca="1" si="11"/>
        <v>6028902.1585650817</v>
      </c>
      <c r="Q120" s="32">
        <f t="shared" ca="1" si="12"/>
        <v>-34885.735410819761</v>
      </c>
      <c r="R120" s="50">
        <f t="shared" ca="1" si="13"/>
        <v>5.1962779726882451E-3</v>
      </c>
    </row>
    <row r="121" spans="1:18" x14ac:dyDescent="0.2">
      <c r="A121" s="2">
        <v>44136</v>
      </c>
      <c r="B121">
        <f t="shared" si="14"/>
        <v>2020</v>
      </c>
      <c r="C121">
        <f t="shared" si="15"/>
        <v>11</v>
      </c>
      <c r="D121" s="151">
        <f>Data!G120</f>
        <v>5989978.6987951752</v>
      </c>
      <c r="E121" s="151">
        <f>Data!H120</f>
        <v>649812.80140259408</v>
      </c>
      <c r="F121" s="151">
        <f>Data!I120</f>
        <v>6639791.5001977691</v>
      </c>
      <c r="G121" s="129">
        <f>Data!AR120</f>
        <v>220.39999999999998</v>
      </c>
      <c r="H121" s="129">
        <f>Data!AS120</f>
        <v>5.6000000000000014</v>
      </c>
      <c r="I121" s="129">
        <f t="shared" ca="1" si="19"/>
        <v>305.31105263157906</v>
      </c>
      <c r="J121" s="129">
        <f t="shared" ca="1" si="19"/>
        <v>1.3363157894737014</v>
      </c>
      <c r="K121" s="32">
        <f>Data!BW120</f>
        <v>1</v>
      </c>
      <c r="L121" s="32">
        <f>Data!AB120</f>
        <v>2753</v>
      </c>
      <c r="M121" s="32">
        <f>Data!BI120</f>
        <v>119</v>
      </c>
      <c r="N121" s="140">
        <f>Data!BZ120</f>
        <v>0.5</v>
      </c>
      <c r="O121" s="32">
        <f t="shared" ca="1" si="16"/>
        <v>6910740.1930638812</v>
      </c>
      <c r="P121" s="32">
        <f t="shared" ca="1" si="11"/>
        <v>6260927.3916612873</v>
      </c>
      <c r="Q121" s="32">
        <f t="shared" ca="1" si="12"/>
        <v>270948.69286611211</v>
      </c>
      <c r="R121" s="50">
        <f t="shared" ca="1" si="13"/>
        <v>4.0806807391172116E-2</v>
      </c>
    </row>
    <row r="122" spans="1:18" x14ac:dyDescent="0.2">
      <c r="A122" s="2">
        <v>44166</v>
      </c>
      <c r="B122">
        <f t="shared" si="14"/>
        <v>2020</v>
      </c>
      <c r="C122">
        <f t="shared" si="15"/>
        <v>12</v>
      </c>
      <c r="D122" s="151">
        <f>Data!G121</f>
        <v>6720380.9831325309</v>
      </c>
      <c r="E122" s="151">
        <f>Data!H121</f>
        <v>649812.80140259408</v>
      </c>
      <c r="F122" s="151">
        <f>Data!I121</f>
        <v>7370193.7845351249</v>
      </c>
      <c r="G122" s="129">
        <f>Data!AR121</f>
        <v>443.3</v>
      </c>
      <c r="H122" s="129">
        <f>Data!AS121</f>
        <v>0</v>
      </c>
      <c r="I122" s="129">
        <f t="shared" ca="1" si="19"/>
        <v>437.78421052631529</v>
      </c>
      <c r="J122" s="129">
        <f t="shared" ca="1" si="19"/>
        <v>0</v>
      </c>
      <c r="K122" s="32">
        <f>Data!BW121</f>
        <v>0</v>
      </c>
      <c r="L122" s="32">
        <f>Data!AB121</f>
        <v>2781</v>
      </c>
      <c r="M122" s="32">
        <f>Data!BI121</f>
        <v>120</v>
      </c>
      <c r="N122" s="140">
        <f>Data!BZ121</f>
        <v>0.5</v>
      </c>
      <c r="O122" s="32">
        <f t="shared" ca="1" si="16"/>
        <v>7351217.6641892046</v>
      </c>
      <c r="P122" s="32">
        <f t="shared" ca="1" si="11"/>
        <v>6701404.8627866106</v>
      </c>
      <c r="Q122" s="32">
        <f t="shared" ca="1" si="12"/>
        <v>-18976.120345920324</v>
      </c>
      <c r="R122" s="50">
        <f t="shared" ca="1" si="13"/>
        <v>2.5747111813719079E-3</v>
      </c>
    </row>
    <row r="123" spans="1:18" x14ac:dyDescent="0.2">
      <c r="A123" s="2">
        <v>44197</v>
      </c>
      <c r="B123">
        <f t="shared" si="14"/>
        <v>2021</v>
      </c>
      <c r="C123">
        <f t="shared" si="15"/>
        <v>1</v>
      </c>
      <c r="D123" s="151">
        <f>Data!G122</f>
        <v>8317144.8867469896</v>
      </c>
      <c r="E123" s="151">
        <f>Data!H122</f>
        <v>750051.28129892715</v>
      </c>
      <c r="F123" s="151">
        <f>Data!I122</f>
        <v>9067196.1680459175</v>
      </c>
      <c r="G123" s="129">
        <f>Data!AR122</f>
        <v>516</v>
      </c>
      <c r="H123" s="129">
        <f>Data!AS122</f>
        <v>0</v>
      </c>
      <c r="I123" s="129">
        <f t="shared" ca="1" si="19"/>
        <v>557.82052631578927</v>
      </c>
      <c r="J123" s="129">
        <f t="shared" ca="1" si="19"/>
        <v>0</v>
      </c>
      <c r="K123" s="32">
        <f>Data!BW122</f>
        <v>0</v>
      </c>
      <c r="L123" s="32">
        <f>Data!AB122</f>
        <v>2807</v>
      </c>
      <c r="M123" s="32">
        <f>Data!BI122</f>
        <v>121</v>
      </c>
      <c r="N123" s="140">
        <f>Data!BZ122</f>
        <v>0.5</v>
      </c>
      <c r="O123" s="32">
        <f t="shared" ca="1" si="16"/>
        <v>9211072.4606572129</v>
      </c>
      <c r="P123" s="32">
        <f t="shared" ca="1" si="11"/>
        <v>8461021.1793582849</v>
      </c>
      <c r="Q123" s="32">
        <f t="shared" ca="1" si="12"/>
        <v>143876.29261129536</v>
      </c>
      <c r="R123" s="50">
        <f t="shared" ca="1" si="13"/>
        <v>1.5867782051339728E-2</v>
      </c>
    </row>
    <row r="124" spans="1:18" x14ac:dyDescent="0.2">
      <c r="A124" s="2">
        <v>44228</v>
      </c>
      <c r="B124">
        <f t="shared" si="14"/>
        <v>2021</v>
      </c>
      <c r="C124">
        <f t="shared" si="15"/>
        <v>2</v>
      </c>
      <c r="D124" s="151">
        <f>Data!G123</f>
        <v>7899265.667469875</v>
      </c>
      <c r="E124" s="151">
        <f>Data!H123</f>
        <v>750051.28129892715</v>
      </c>
      <c r="F124" s="151">
        <f>Data!I123</f>
        <v>8649316.948768802</v>
      </c>
      <c r="G124" s="129">
        <f>Data!AR123</f>
        <v>541.69999999999993</v>
      </c>
      <c r="H124" s="129">
        <f>Data!AS123</f>
        <v>0</v>
      </c>
      <c r="I124" s="129">
        <f t="shared" ca="1" si="19"/>
        <v>513.95684210526292</v>
      </c>
      <c r="J124" s="129">
        <f t="shared" ca="1" si="19"/>
        <v>0</v>
      </c>
      <c r="K124" s="32">
        <f>Data!BW123</f>
        <v>0</v>
      </c>
      <c r="L124" s="32">
        <f>Data!AB123</f>
        <v>2848</v>
      </c>
      <c r="M124" s="32">
        <f>Data!BI123</f>
        <v>122</v>
      </c>
      <c r="N124" s="140">
        <f>Data!BZ123</f>
        <v>0.5</v>
      </c>
      <c r="O124" s="32">
        <f t="shared" ca="1" si="16"/>
        <v>8553871.4091052432</v>
      </c>
      <c r="P124" s="32">
        <f t="shared" ca="1" si="11"/>
        <v>7803820.1278063161</v>
      </c>
      <c r="Q124" s="32">
        <f t="shared" ca="1" si="12"/>
        <v>-95445.539663558826</v>
      </c>
      <c r="R124" s="50">
        <f t="shared" ca="1" si="13"/>
        <v>1.1035037821934036E-2</v>
      </c>
    </row>
    <row r="125" spans="1:18" x14ac:dyDescent="0.2">
      <c r="A125" s="2">
        <v>44256</v>
      </c>
      <c r="B125">
        <f t="shared" si="14"/>
        <v>2021</v>
      </c>
      <c r="C125">
        <f t="shared" si="15"/>
        <v>3</v>
      </c>
      <c r="D125" s="151">
        <f>Data!G124</f>
        <v>7196997.5518072229</v>
      </c>
      <c r="E125" s="151">
        <f>Data!H124</f>
        <v>750051.28129892715</v>
      </c>
      <c r="F125" s="151">
        <f>Data!I124</f>
        <v>7947048.8331061499</v>
      </c>
      <c r="G125" s="129">
        <f>Data!AR124</f>
        <v>337.20000000000005</v>
      </c>
      <c r="H125" s="129">
        <f>Data!AS124</f>
        <v>0.5</v>
      </c>
      <c r="I125" s="129">
        <f t="shared" ca="1" si="19"/>
        <v>400.06210526315817</v>
      </c>
      <c r="J125" s="129">
        <f t="shared" ca="1" si="19"/>
        <v>0.74263157894736409</v>
      </c>
      <c r="K125" s="32">
        <f>Data!BW124</f>
        <v>0</v>
      </c>
      <c r="L125" s="32">
        <f>Data!AB124</f>
        <v>2849</v>
      </c>
      <c r="M125" s="32">
        <f>Data!BI124</f>
        <v>123</v>
      </c>
      <c r="N125" s="140">
        <f>Data!BZ124</f>
        <v>0.5</v>
      </c>
      <c r="O125" s="32">
        <f t="shared" ca="1" si="16"/>
        <v>8164519.9299215516</v>
      </c>
      <c r="P125" s="32">
        <f t="shared" ca="1" si="11"/>
        <v>7414468.6486226246</v>
      </c>
      <c r="Q125" s="32">
        <f t="shared" ca="1" si="12"/>
        <v>217471.09681540169</v>
      </c>
      <c r="R125" s="50">
        <f t="shared" ca="1" si="13"/>
        <v>2.7365013275047645E-2</v>
      </c>
    </row>
    <row r="126" spans="1:18" x14ac:dyDescent="0.2">
      <c r="A126" s="2">
        <v>44287</v>
      </c>
      <c r="B126">
        <f t="shared" si="14"/>
        <v>2021</v>
      </c>
      <c r="C126">
        <f t="shared" si="15"/>
        <v>4</v>
      </c>
      <c r="D126" s="151">
        <f>Data!G125</f>
        <v>6547512.9831325319</v>
      </c>
      <c r="E126" s="151">
        <f>Data!H125</f>
        <v>750051.28129892715</v>
      </c>
      <c r="F126" s="151">
        <f>Data!I125</f>
        <v>7297564.2644314589</v>
      </c>
      <c r="G126" s="129">
        <f>Data!AR125</f>
        <v>185.99999999999997</v>
      </c>
      <c r="H126" s="129">
        <f>Data!AS125</f>
        <v>3.5999999999999996</v>
      </c>
      <c r="I126" s="129">
        <f t="shared" ca="1" si="19"/>
        <v>225.72052631578936</v>
      </c>
      <c r="J126" s="129">
        <f t="shared" ca="1" si="19"/>
        <v>0</v>
      </c>
      <c r="K126" s="32">
        <f>Data!BW125</f>
        <v>0</v>
      </c>
      <c r="L126" s="32">
        <f>Data!AB125</f>
        <v>2861</v>
      </c>
      <c r="M126" s="32">
        <f>Data!BI125</f>
        <v>124</v>
      </c>
      <c r="N126" s="140">
        <f>Data!BZ125</f>
        <v>0.5</v>
      </c>
      <c r="O126" s="32">
        <f t="shared" ca="1" si="16"/>
        <v>7416338.5637801215</v>
      </c>
      <c r="P126" s="32">
        <f t="shared" ca="1" si="11"/>
        <v>6666287.2824811945</v>
      </c>
      <c r="Q126" s="32">
        <f t="shared" ca="1" si="12"/>
        <v>118774.29934866261</v>
      </c>
      <c r="R126" s="50">
        <f t="shared" ca="1" si="13"/>
        <v>1.6275882615734129E-2</v>
      </c>
    </row>
    <row r="127" spans="1:18" x14ac:dyDescent="0.2">
      <c r="A127" s="2">
        <v>44317</v>
      </c>
      <c r="B127">
        <f t="shared" si="14"/>
        <v>2021</v>
      </c>
      <c r="C127">
        <f t="shared" si="15"/>
        <v>5</v>
      </c>
      <c r="D127" s="151">
        <f>Data!G126</f>
        <v>5916481.4457831262</v>
      </c>
      <c r="E127" s="151">
        <f>Data!H126</f>
        <v>750051.28129892715</v>
      </c>
      <c r="F127" s="151">
        <f>Data!I126</f>
        <v>6666532.7270820532</v>
      </c>
      <c r="G127" s="129">
        <f>Data!AR126</f>
        <v>80.299999999999983</v>
      </c>
      <c r="H127" s="129">
        <f>Data!AS126</f>
        <v>67.999999999999986</v>
      </c>
      <c r="I127" s="129">
        <f t="shared" ca="1" si="19"/>
        <v>59.688947368421054</v>
      </c>
      <c r="J127" s="129">
        <f t="shared" ca="1" si="19"/>
        <v>80.273684210525971</v>
      </c>
      <c r="K127" s="32">
        <f>Data!BW126</f>
        <v>0</v>
      </c>
      <c r="L127" s="32">
        <f>Data!AB126</f>
        <v>2864</v>
      </c>
      <c r="M127" s="32">
        <f>Data!BI126</f>
        <v>125</v>
      </c>
      <c r="N127" s="140">
        <f>Data!BZ126</f>
        <v>0.5</v>
      </c>
      <c r="O127" s="32">
        <f t="shared" ca="1" si="16"/>
        <v>6656574.0770745287</v>
      </c>
      <c r="P127" s="32">
        <f t="shared" ca="1" si="11"/>
        <v>5906522.7957756016</v>
      </c>
      <c r="Q127" s="32">
        <f t="shared" ca="1" si="12"/>
        <v>-9958.6500075245276</v>
      </c>
      <c r="R127" s="50">
        <f t="shared" ca="1" si="13"/>
        <v>1.493827513524176E-3</v>
      </c>
    </row>
    <row r="128" spans="1:18" x14ac:dyDescent="0.2">
      <c r="A128" s="2">
        <v>44348</v>
      </c>
      <c r="B128">
        <f t="shared" si="14"/>
        <v>2021</v>
      </c>
      <c r="C128">
        <f t="shared" si="15"/>
        <v>6</v>
      </c>
      <c r="D128" s="151">
        <f>Data!G127</f>
        <v>6502732.9156626537</v>
      </c>
      <c r="E128" s="151">
        <f>Data!H127</f>
        <v>750051.28129892715</v>
      </c>
      <c r="F128" s="151">
        <f>Data!I127</f>
        <v>7252784.1969615808</v>
      </c>
      <c r="G128" s="129">
        <f>Data!AR127</f>
        <v>0</v>
      </c>
      <c r="H128" s="129">
        <f>Data!AS127</f>
        <v>235.00000000000006</v>
      </c>
      <c r="I128" s="129">
        <f t="shared" ca="1" si="19"/>
        <v>1.08894736842106</v>
      </c>
      <c r="J128" s="129">
        <f t="shared" ca="1" si="19"/>
        <v>177.38052631578967</v>
      </c>
      <c r="K128" s="32">
        <f>Data!BW127</f>
        <v>0</v>
      </c>
      <c r="L128" s="32">
        <f>Data!AB127</f>
        <v>2867</v>
      </c>
      <c r="M128" s="32">
        <f>Data!BI127</f>
        <v>126</v>
      </c>
      <c r="N128" s="140">
        <f>Data!BZ127</f>
        <v>0.5</v>
      </c>
      <c r="O128" s="32">
        <f t="shared" ca="1" si="16"/>
        <v>6970396.9278838877</v>
      </c>
      <c r="P128" s="32">
        <f t="shared" ca="1" si="11"/>
        <v>6220345.6465849606</v>
      </c>
      <c r="Q128" s="32">
        <f t="shared" ca="1" si="12"/>
        <v>-282387.26907769311</v>
      </c>
      <c r="R128" s="50">
        <f t="shared" ca="1" si="13"/>
        <v>3.8935016044734108E-2</v>
      </c>
    </row>
    <row r="129" spans="1:21" x14ac:dyDescent="0.2">
      <c r="A129" s="2">
        <v>44378</v>
      </c>
      <c r="B129">
        <f t="shared" si="14"/>
        <v>2021</v>
      </c>
      <c r="C129">
        <f t="shared" si="15"/>
        <v>7</v>
      </c>
      <c r="D129" s="151">
        <f>Data!G128</f>
        <v>7081289.7349397596</v>
      </c>
      <c r="E129" s="151">
        <f>Data!H128</f>
        <v>750051.28129892715</v>
      </c>
      <c r="F129" s="151">
        <f>Data!I128</f>
        <v>7831341.0162386866</v>
      </c>
      <c r="G129" s="129">
        <f>Data!AR128</f>
        <v>0</v>
      </c>
      <c r="H129" s="129">
        <f>Data!AS128</f>
        <v>228.30000000000004</v>
      </c>
      <c r="I129" s="129">
        <f t="shared" ca="1" si="19"/>
        <v>0</v>
      </c>
      <c r="J129" s="129">
        <f t="shared" ca="1" si="19"/>
        <v>273.7568421052631</v>
      </c>
      <c r="K129" s="32">
        <f>Data!BW128</f>
        <v>0</v>
      </c>
      <c r="L129" s="32">
        <f>Data!AB128</f>
        <v>2870</v>
      </c>
      <c r="M129" s="32">
        <f>Data!BI128</f>
        <v>127</v>
      </c>
      <c r="N129" s="140">
        <f>Data!BZ128</f>
        <v>0.5</v>
      </c>
      <c r="O129" s="32">
        <f t="shared" ca="1" si="16"/>
        <v>8057075.9846345829</v>
      </c>
      <c r="P129" s="32">
        <f t="shared" ca="1" si="11"/>
        <v>7307024.7033356559</v>
      </c>
      <c r="Q129" s="32">
        <f t="shared" ca="1" si="12"/>
        <v>225734.96839589626</v>
      </c>
      <c r="R129" s="50">
        <f t="shared" ca="1" si="13"/>
        <v>2.8824561199393979E-2</v>
      </c>
    </row>
    <row r="130" spans="1:21" x14ac:dyDescent="0.2">
      <c r="A130" s="2">
        <v>44409</v>
      </c>
      <c r="B130">
        <f t="shared" si="14"/>
        <v>2021</v>
      </c>
      <c r="C130">
        <f t="shared" si="15"/>
        <v>8</v>
      </c>
      <c r="D130" s="151">
        <f>Data!G129</f>
        <v>7851599.4891566234</v>
      </c>
      <c r="E130" s="151">
        <f>Data!H129</f>
        <v>750051.28129892715</v>
      </c>
      <c r="F130" s="151">
        <f>Data!I129</f>
        <v>8601650.7704555504</v>
      </c>
      <c r="G130" s="129">
        <f>Data!AR129</f>
        <v>0</v>
      </c>
      <c r="H130" s="129">
        <f>Data!AS129</f>
        <v>303.39999999999998</v>
      </c>
      <c r="I130" s="129">
        <f t="shared" ca="1" si="19"/>
        <v>0</v>
      </c>
      <c r="J130" s="129">
        <f t="shared" ca="1" si="19"/>
        <v>253.05789473684217</v>
      </c>
      <c r="K130" s="32">
        <f>Data!BW129</f>
        <v>0</v>
      </c>
      <c r="L130" s="32">
        <f>Data!AB129</f>
        <v>2898</v>
      </c>
      <c r="M130" s="32">
        <f>Data!BI129</f>
        <v>128</v>
      </c>
      <c r="N130" s="140">
        <f>Data!BZ129</f>
        <v>0.5</v>
      </c>
      <c r="O130" s="32">
        <f t="shared" ca="1" si="16"/>
        <v>8351655.9838787224</v>
      </c>
      <c r="P130" s="32">
        <f t="shared" ca="1" si="11"/>
        <v>7601604.7025797954</v>
      </c>
      <c r="Q130" s="32">
        <f t="shared" ca="1" si="12"/>
        <v>-249994.78657682799</v>
      </c>
      <c r="R130" s="50">
        <f t="shared" ca="1" si="13"/>
        <v>2.9063582473668373E-2</v>
      </c>
    </row>
    <row r="131" spans="1:21" x14ac:dyDescent="0.2">
      <c r="A131" s="2">
        <v>44440</v>
      </c>
      <c r="B131">
        <f t="shared" si="14"/>
        <v>2021</v>
      </c>
      <c r="C131">
        <f t="shared" si="15"/>
        <v>9</v>
      </c>
      <c r="D131" s="151">
        <f>Data!G130</f>
        <v>7157403.4891566234</v>
      </c>
      <c r="E131" s="151">
        <f>Data!H130</f>
        <v>750051.28129892715</v>
      </c>
      <c r="F131" s="151">
        <f>Data!I130</f>
        <v>7907454.7704555504</v>
      </c>
      <c r="G131" s="129">
        <f>Data!AR130</f>
        <v>3</v>
      </c>
      <c r="H131" s="129">
        <f>Data!AS130</f>
        <v>112.3</v>
      </c>
      <c r="I131" s="129">
        <f t="shared" ref="I131:J133" ca="1" si="20">I143</f>
        <v>9.9542105263157907</v>
      </c>
      <c r="J131" s="129">
        <f t="shared" ca="1" si="20"/>
        <v>120.49421052631581</v>
      </c>
      <c r="K131" s="32">
        <f>Data!BW130</f>
        <v>1</v>
      </c>
      <c r="L131" s="32">
        <f>Data!AB130</f>
        <v>2914</v>
      </c>
      <c r="M131" s="32">
        <f>Data!BI130</f>
        <v>129</v>
      </c>
      <c r="N131" s="140">
        <f>Data!BZ130</f>
        <v>0.5</v>
      </c>
      <c r="O131" s="32">
        <f t="shared" ca="1" si="16"/>
        <v>7972071.3106055129</v>
      </c>
      <c r="P131" s="32">
        <f t="shared" ref="P131:P158" ca="1" si="21">O131-E131</f>
        <v>7222020.0293065859</v>
      </c>
      <c r="Q131" s="32">
        <f t="shared" ref="Q131:Q158" ca="1" si="22">+O131-F131</f>
        <v>64616.54014996253</v>
      </c>
      <c r="R131" s="50">
        <f t="shared" ref="R131:R134" ca="1" si="23">ABS(Q131/F131)</f>
        <v>8.1715978182243781E-3</v>
      </c>
    </row>
    <row r="132" spans="1:21" x14ac:dyDescent="0.2">
      <c r="A132" s="2">
        <v>44470</v>
      </c>
      <c r="B132">
        <f t="shared" ref="B132:B158" si="24">YEAR(A132)</f>
        <v>2021</v>
      </c>
      <c r="C132">
        <f t="shared" ref="C132:C158" si="25">MONTH(A132)</f>
        <v>10</v>
      </c>
      <c r="D132" s="151">
        <f>Data!G131</f>
        <v>6765314.053012046</v>
      </c>
      <c r="E132" s="151">
        <f>Data!H131</f>
        <v>750051.28129892715</v>
      </c>
      <c r="F132" s="151">
        <f>Data!I131</f>
        <v>7515365.3343109731</v>
      </c>
      <c r="G132" s="129">
        <f>Data!AR131</f>
        <v>68.600000000000009</v>
      </c>
      <c r="H132" s="129">
        <f>Data!AS131</f>
        <v>52.999999999999986</v>
      </c>
      <c r="I132" s="129">
        <f t="shared" ca="1" si="20"/>
        <v>107.70315789473716</v>
      </c>
      <c r="J132" s="129">
        <f t="shared" ca="1" si="20"/>
        <v>25.808421052631616</v>
      </c>
      <c r="K132" s="32">
        <f>Data!BW131</f>
        <v>1</v>
      </c>
      <c r="L132" s="32">
        <f>Data!AB131</f>
        <v>2906</v>
      </c>
      <c r="M132" s="32">
        <f>Data!BI131</f>
        <v>130</v>
      </c>
      <c r="N132" s="140">
        <f>Data!BZ131</f>
        <v>0.5</v>
      </c>
      <c r="O132" s="32">
        <f t="shared" ref="O132:O134" ca="1" si="26">F132+(I132-G132)*$T$20+(J132-H132)*$T$21</f>
        <v>7514861.828446419</v>
      </c>
      <c r="P132" s="32">
        <f t="shared" ca="1" si="21"/>
        <v>6764810.5471474919</v>
      </c>
      <c r="Q132" s="32">
        <f t="shared" ca="1" si="22"/>
        <v>-503.50586455408484</v>
      </c>
      <c r="R132" s="50">
        <f t="shared" ca="1" si="23"/>
        <v>6.6996858057632604E-5</v>
      </c>
    </row>
    <row r="133" spans="1:21" x14ac:dyDescent="0.2">
      <c r="A133" s="2">
        <v>44501</v>
      </c>
      <c r="B133">
        <f t="shared" si="24"/>
        <v>2021</v>
      </c>
      <c r="C133">
        <f t="shared" si="25"/>
        <v>11</v>
      </c>
      <c r="D133" s="151">
        <f>Data!G132</f>
        <v>6721158.9108433723</v>
      </c>
      <c r="E133" s="151">
        <f>Data!H132</f>
        <v>750051.28129892715</v>
      </c>
      <c r="F133" s="151">
        <f>Data!I132</f>
        <v>7471210.1921422994</v>
      </c>
      <c r="G133" s="129">
        <f>Data!AR132</f>
        <v>293.70000000000005</v>
      </c>
      <c r="H133" s="129">
        <f>Data!AS132</f>
        <v>0</v>
      </c>
      <c r="I133" s="129">
        <f t="shared" ca="1" si="20"/>
        <v>305.31105263157906</v>
      </c>
      <c r="J133" s="129">
        <f t="shared" ca="1" si="20"/>
        <v>1.3363157894737014</v>
      </c>
      <c r="K133" s="32">
        <f>Data!BW132</f>
        <v>1</v>
      </c>
      <c r="L133" s="32">
        <f>Data!AB132</f>
        <v>2907</v>
      </c>
      <c r="M133" s="32">
        <f>Data!BI132</f>
        <v>131</v>
      </c>
      <c r="N133" s="140">
        <f>Data!BZ132</f>
        <v>0.5</v>
      </c>
      <c r="O133" s="32">
        <f t="shared" ca="1" si="26"/>
        <v>7517792.0470502377</v>
      </c>
      <c r="P133" s="32">
        <f t="shared" ca="1" si="21"/>
        <v>6767740.7657513106</v>
      </c>
      <c r="Q133" s="32">
        <f t="shared" ca="1" si="22"/>
        <v>46581.854907938279</v>
      </c>
      <c r="R133" s="50">
        <f t="shared" ca="1" si="23"/>
        <v>6.2348473286067954E-3</v>
      </c>
    </row>
    <row r="134" spans="1:21" x14ac:dyDescent="0.2">
      <c r="A134" s="2">
        <v>44531</v>
      </c>
      <c r="B134">
        <f t="shared" si="24"/>
        <v>2021</v>
      </c>
      <c r="C134">
        <f t="shared" si="25"/>
        <v>12</v>
      </c>
      <c r="D134" s="151">
        <f>Data!G133</f>
        <v>7522268.6361445729</v>
      </c>
      <c r="E134" s="151">
        <f>Data!H133</f>
        <v>750051.28129892715</v>
      </c>
      <c r="F134" s="151">
        <f>Data!I133</f>
        <v>8272319.9174434999</v>
      </c>
      <c r="G134" s="129">
        <f>Data!AR133</f>
        <v>381.4</v>
      </c>
      <c r="H134" s="129">
        <f>Data!AS133</f>
        <v>0</v>
      </c>
      <c r="I134" s="129">
        <f ca="1">I146</f>
        <v>437.78421052631529</v>
      </c>
      <c r="J134" s="129">
        <f ca="1">J146</f>
        <v>0</v>
      </c>
      <c r="K134" s="32">
        <f>Data!BW133</f>
        <v>0</v>
      </c>
      <c r="L134" s="32">
        <f>Data!AB133</f>
        <v>2918</v>
      </c>
      <c r="M134" s="32">
        <f>Data!BI133</f>
        <v>132</v>
      </c>
      <c r="N134" s="140">
        <f>Data!BZ133</f>
        <v>0.5</v>
      </c>
      <c r="O134" s="32">
        <f t="shared" ca="1" si="26"/>
        <v>8466300.048422344</v>
      </c>
      <c r="P134" s="32">
        <f t="shared" ca="1" si="21"/>
        <v>7716248.767123417</v>
      </c>
      <c r="Q134" s="32">
        <f t="shared" ca="1" si="22"/>
        <v>193980.13097884413</v>
      </c>
      <c r="R134" s="50">
        <f t="shared" ca="1" si="23"/>
        <v>2.3449302361941565E-2</v>
      </c>
      <c r="S134" s="80" t="s">
        <v>52</v>
      </c>
    </row>
    <row r="135" spans="1:21" x14ac:dyDescent="0.2">
      <c r="A135" s="2">
        <v>44562</v>
      </c>
      <c r="B135">
        <f t="shared" si="24"/>
        <v>2022</v>
      </c>
      <c r="C135">
        <f t="shared" si="25"/>
        <v>1</v>
      </c>
      <c r="E135" s="151">
        <f>'Historic CDM'!N16/12</f>
        <v>748499.25627711928</v>
      </c>
      <c r="F135" s="151"/>
      <c r="G135" s="129">
        <f ca="1">Weather!CI75</f>
        <v>557.82052631578927</v>
      </c>
      <c r="H135" s="129">
        <f ca="1">Weather!CJ75</f>
        <v>0</v>
      </c>
      <c r="I135" s="129">
        <f ca="1">G135</f>
        <v>557.82052631578927</v>
      </c>
      <c r="J135" s="129">
        <f ca="1">H135</f>
        <v>0</v>
      </c>
      <c r="K135" s="32">
        <f t="shared" ref="K135:K146" si="27">K111</f>
        <v>0</v>
      </c>
      <c r="L135" s="156">
        <f>'Rate Class Customer Model'!E60</f>
        <v>2921.8407564334648</v>
      </c>
      <c r="M135" s="32">
        <f t="shared" ref="M135:M158" si="28">M134+1</f>
        <v>133</v>
      </c>
      <c r="N135" s="199">
        <f>S135*0.5</f>
        <v>0.375</v>
      </c>
      <c r="O135" s="32">
        <f t="shared" ref="O135:O158" ca="1" si="29">$T$19+G135*$T$20+H135*$T$21+K135*$T$22+L135*$T$23+M135*$T$24+N135*$T$25</f>
        <v>8962230.6326517351</v>
      </c>
      <c r="P135" s="32">
        <f t="shared" ca="1" si="21"/>
        <v>8213731.3763746154</v>
      </c>
      <c r="Q135" s="32">
        <f t="shared" ca="1" si="22"/>
        <v>8962230.6326517351</v>
      </c>
      <c r="R135" s="50"/>
      <c r="S135">
        <f>'GS &lt; 50 kW'!Q135</f>
        <v>0.75</v>
      </c>
    </row>
    <row r="136" spans="1:21" x14ac:dyDescent="0.2">
      <c r="A136" s="2">
        <v>44593</v>
      </c>
      <c r="B136">
        <f t="shared" si="24"/>
        <v>2022</v>
      </c>
      <c r="C136">
        <f t="shared" si="25"/>
        <v>2</v>
      </c>
      <c r="E136" s="151">
        <f>E135</f>
        <v>748499.25627711928</v>
      </c>
      <c r="F136" s="151"/>
      <c r="G136" s="129">
        <f ca="1">Weather!CI76</f>
        <v>513.95684210526292</v>
      </c>
      <c r="H136" s="129">
        <f ca="1">Weather!CJ76</f>
        <v>0</v>
      </c>
      <c r="I136" s="129">
        <f t="shared" ref="I136:J158" ca="1" si="30">G136</f>
        <v>513.95684210526292</v>
      </c>
      <c r="J136" s="129">
        <f t="shared" ca="1" si="30"/>
        <v>0</v>
      </c>
      <c r="K136" s="32">
        <f t="shared" si="27"/>
        <v>0</v>
      </c>
      <c r="L136" s="156">
        <f>'Rate Class Customer Model'!E61</f>
        <v>2925.6865681822078</v>
      </c>
      <c r="M136" s="32">
        <f t="shared" si="28"/>
        <v>134</v>
      </c>
      <c r="N136" s="199">
        <f t="shared" ref="N136:N158" si="31">S136*0.5</f>
        <v>0.375</v>
      </c>
      <c r="O136" s="32">
        <f t="shared" ca="1" si="29"/>
        <v>8818266.7206245847</v>
      </c>
      <c r="P136" s="32">
        <f t="shared" ca="1" si="21"/>
        <v>8069767.464347465</v>
      </c>
      <c r="Q136" s="32">
        <f t="shared" ca="1" si="22"/>
        <v>8818266.7206245847</v>
      </c>
      <c r="R136" s="50"/>
      <c r="S136">
        <f>'GS &lt; 50 kW'!Q136</f>
        <v>0.75</v>
      </c>
    </row>
    <row r="137" spans="1:21" x14ac:dyDescent="0.2">
      <c r="A137" s="2">
        <v>44621</v>
      </c>
      <c r="B137">
        <f t="shared" si="24"/>
        <v>2022</v>
      </c>
      <c r="C137">
        <f t="shared" si="25"/>
        <v>3</v>
      </c>
      <c r="E137" s="151">
        <f>E136</f>
        <v>748499.25627711928</v>
      </c>
      <c r="F137" s="151"/>
      <c r="G137" s="129">
        <f ca="1">Weather!CI77</f>
        <v>400.06210526315817</v>
      </c>
      <c r="H137" s="129">
        <f ca="1">Weather!CJ77</f>
        <v>0.74263157894736409</v>
      </c>
      <c r="I137" s="129">
        <f t="shared" ca="1" si="30"/>
        <v>400.06210526315817</v>
      </c>
      <c r="J137" s="129">
        <f t="shared" ca="1" si="30"/>
        <v>0.74263157894736409</v>
      </c>
      <c r="K137" s="32">
        <f t="shared" si="27"/>
        <v>0</v>
      </c>
      <c r="L137" s="156">
        <f>'Rate Class Customer Model'!E62</f>
        <v>2929.5374419001814</v>
      </c>
      <c r="M137" s="32">
        <f t="shared" si="28"/>
        <v>135</v>
      </c>
      <c r="N137" s="199">
        <f t="shared" si="31"/>
        <v>0.375</v>
      </c>
      <c r="O137" s="32">
        <f ca="1">$T$19+G137*$T$20+H137*$T$21+K137*$T$22+L137*$T$23+M137*$T$24+N137*$T$25</f>
        <v>8437087.1111947112</v>
      </c>
      <c r="P137" s="32">
        <f t="shared" ca="1" si="21"/>
        <v>7688587.8549175914</v>
      </c>
      <c r="Q137" s="32">
        <f t="shared" ca="1" si="22"/>
        <v>8437087.1111947112</v>
      </c>
      <c r="R137" s="50"/>
      <c r="S137">
        <f>'GS &lt; 50 kW'!Q137</f>
        <v>0.75</v>
      </c>
    </row>
    <row r="138" spans="1:21" x14ac:dyDescent="0.2">
      <c r="A138" s="2">
        <v>44652</v>
      </c>
      <c r="B138">
        <f t="shared" si="24"/>
        <v>2022</v>
      </c>
      <c r="C138">
        <f t="shared" si="25"/>
        <v>4</v>
      </c>
      <c r="E138" s="151">
        <f t="shared" ref="E138:E146" si="32">E137</f>
        <v>748499.25627711928</v>
      </c>
      <c r="F138" s="151"/>
      <c r="G138" s="129">
        <f ca="1">Weather!CI78</f>
        <v>225.72052631578936</v>
      </c>
      <c r="H138" s="129">
        <f ca="1">Weather!CJ78</f>
        <v>0</v>
      </c>
      <c r="I138" s="129">
        <f t="shared" ca="1" si="30"/>
        <v>225.72052631578936</v>
      </c>
      <c r="J138" s="129">
        <f t="shared" ca="1" si="30"/>
        <v>0</v>
      </c>
      <c r="K138" s="32">
        <f t="shared" si="27"/>
        <v>0</v>
      </c>
      <c r="L138" s="156">
        <f>'Rate Class Customer Model'!E63</f>
        <v>2933.3933842500974</v>
      </c>
      <c r="M138" s="32">
        <f t="shared" si="28"/>
        <v>136</v>
      </c>
      <c r="N138" s="199">
        <f t="shared" si="31"/>
        <v>0.375</v>
      </c>
      <c r="O138" s="32">
        <f t="shared" ca="1" si="29"/>
        <v>7840601.1151740411</v>
      </c>
      <c r="P138" s="32">
        <f t="shared" ca="1" si="21"/>
        <v>7092101.8588969223</v>
      </c>
      <c r="Q138" s="32">
        <f t="shared" ca="1" si="22"/>
        <v>7840601.1151740411</v>
      </c>
      <c r="R138" s="50"/>
      <c r="S138">
        <f>'GS &lt; 50 kW'!Q138</f>
        <v>0.75</v>
      </c>
    </row>
    <row r="139" spans="1:21" x14ac:dyDescent="0.2">
      <c r="A139" s="2">
        <v>44682</v>
      </c>
      <c r="B139">
        <f t="shared" si="24"/>
        <v>2022</v>
      </c>
      <c r="C139">
        <f t="shared" si="25"/>
        <v>5</v>
      </c>
      <c r="E139" s="151">
        <f t="shared" si="32"/>
        <v>748499.25627711928</v>
      </c>
      <c r="F139" s="151"/>
      <c r="G139" s="129">
        <f ca="1">Weather!CI79</f>
        <v>59.688947368421054</v>
      </c>
      <c r="H139" s="129">
        <f ca="1">Weather!CJ79</f>
        <v>80.273684210525971</v>
      </c>
      <c r="I139" s="129">
        <f t="shared" ca="1" si="30"/>
        <v>59.688947368421054</v>
      </c>
      <c r="J139" s="129">
        <f t="shared" ca="1" si="30"/>
        <v>80.273684210525971</v>
      </c>
      <c r="K139" s="32">
        <f t="shared" si="27"/>
        <v>0</v>
      </c>
      <c r="L139" s="156">
        <f>'Rate Class Customer Model'!E64</f>
        <v>2937.2544019034358</v>
      </c>
      <c r="M139" s="32">
        <f t="shared" si="28"/>
        <v>137</v>
      </c>
      <c r="N139" s="199">
        <f t="shared" si="31"/>
        <v>0.375</v>
      </c>
      <c r="O139" s="32">
        <f t="shared" ca="1" si="29"/>
        <v>7675050.9070647163</v>
      </c>
      <c r="P139" s="32">
        <f t="shared" ca="1" si="21"/>
        <v>6926551.6507875975</v>
      </c>
      <c r="Q139" s="32">
        <f t="shared" ca="1" si="22"/>
        <v>7675050.9070647163</v>
      </c>
      <c r="R139" s="50"/>
      <c r="S139">
        <f>'GS &lt; 50 kW'!Q139</f>
        <v>0.75</v>
      </c>
    </row>
    <row r="140" spans="1:21" x14ac:dyDescent="0.2">
      <c r="A140" s="2">
        <v>44713</v>
      </c>
      <c r="B140">
        <f t="shared" si="24"/>
        <v>2022</v>
      </c>
      <c r="C140">
        <f t="shared" si="25"/>
        <v>6</v>
      </c>
      <c r="E140" s="151">
        <f t="shared" si="32"/>
        <v>748499.25627711928</v>
      </c>
      <c r="F140" s="151"/>
      <c r="G140" s="129">
        <f ca="1">Weather!CI80</f>
        <v>1.08894736842106</v>
      </c>
      <c r="H140" s="129">
        <f ca="1">Weather!CJ80</f>
        <v>177.38052631578967</v>
      </c>
      <c r="I140" s="129">
        <f t="shared" ca="1" si="30"/>
        <v>1.08894736842106</v>
      </c>
      <c r="J140" s="129">
        <f t="shared" ca="1" si="30"/>
        <v>177.38052631578967</v>
      </c>
      <c r="K140" s="32">
        <f t="shared" si="27"/>
        <v>0</v>
      </c>
      <c r="L140" s="156">
        <f>'Rate Class Customer Model'!E65</f>
        <v>2941.1205015404589</v>
      </c>
      <c r="M140" s="32">
        <f t="shared" si="28"/>
        <v>138</v>
      </c>
      <c r="N140" s="199">
        <f t="shared" si="31"/>
        <v>0.375</v>
      </c>
      <c r="O140" s="32">
        <f t="shared" ca="1" si="29"/>
        <v>7962718.8573659556</v>
      </c>
      <c r="P140" s="32">
        <f t="shared" ca="1" si="21"/>
        <v>7214219.6010888368</v>
      </c>
      <c r="Q140" s="32">
        <f t="shared" ca="1" si="22"/>
        <v>7962718.8573659556</v>
      </c>
      <c r="R140" s="50"/>
      <c r="S140">
        <f>'GS &lt; 50 kW'!Q140</f>
        <v>0.75</v>
      </c>
    </row>
    <row r="141" spans="1:21" x14ac:dyDescent="0.2">
      <c r="A141" s="2">
        <v>44743</v>
      </c>
      <c r="B141">
        <f t="shared" si="24"/>
        <v>2022</v>
      </c>
      <c r="C141">
        <f t="shared" si="25"/>
        <v>7</v>
      </c>
      <c r="E141" s="151">
        <f t="shared" si="32"/>
        <v>748499.25627711928</v>
      </c>
      <c r="F141" s="151"/>
      <c r="G141" s="129">
        <f ca="1">Weather!CI81</f>
        <v>0</v>
      </c>
      <c r="H141" s="129">
        <f ca="1">Weather!CJ81</f>
        <v>273.7568421052631</v>
      </c>
      <c r="I141" s="129">
        <f t="shared" ca="1" si="30"/>
        <v>0</v>
      </c>
      <c r="J141" s="129">
        <f t="shared" ca="1" si="30"/>
        <v>273.7568421052631</v>
      </c>
      <c r="K141" s="32">
        <f t="shared" si="27"/>
        <v>0</v>
      </c>
      <c r="L141" s="156">
        <f>'Rate Class Customer Model'!E66</f>
        <v>2944.9916898502215</v>
      </c>
      <c r="M141" s="32">
        <f t="shared" si="28"/>
        <v>139</v>
      </c>
      <c r="N141" s="199">
        <f t="shared" si="31"/>
        <v>0.375</v>
      </c>
      <c r="O141" s="32">
        <f t="shared" ca="1" si="29"/>
        <v>8444642.2355518192</v>
      </c>
      <c r="P141" s="32">
        <f t="shared" ca="1" si="21"/>
        <v>7696142.9792746995</v>
      </c>
      <c r="Q141" s="32">
        <f t="shared" ca="1" si="22"/>
        <v>8444642.2355518192</v>
      </c>
      <c r="R141" s="50"/>
      <c r="S141">
        <f>'GS &lt; 50 kW'!Q141</f>
        <v>0.75</v>
      </c>
    </row>
    <row r="142" spans="1:21" x14ac:dyDescent="0.2">
      <c r="A142" s="2">
        <v>44774</v>
      </c>
      <c r="B142">
        <f t="shared" si="24"/>
        <v>2022</v>
      </c>
      <c r="C142">
        <f t="shared" si="25"/>
        <v>8</v>
      </c>
      <c r="E142" s="151">
        <f t="shared" si="32"/>
        <v>748499.25627711928</v>
      </c>
      <c r="F142" s="151"/>
      <c r="G142" s="129">
        <f ca="1">Weather!CI82</f>
        <v>0</v>
      </c>
      <c r="H142" s="129">
        <f ca="1">Weather!CJ82</f>
        <v>253.05789473684217</v>
      </c>
      <c r="I142" s="129">
        <f t="shared" ca="1" si="30"/>
        <v>0</v>
      </c>
      <c r="J142" s="129">
        <f t="shared" ca="1" si="30"/>
        <v>253.05789473684217</v>
      </c>
      <c r="K142" s="32">
        <f t="shared" si="27"/>
        <v>0</v>
      </c>
      <c r="L142" s="156">
        <f>'Rate Class Customer Model'!E67</f>
        <v>2948.8679735305823</v>
      </c>
      <c r="M142" s="32">
        <f t="shared" si="28"/>
        <v>140</v>
      </c>
      <c r="N142" s="199">
        <f t="shared" si="31"/>
        <v>0.375</v>
      </c>
      <c r="O142" s="32">
        <f t="shared" ca="1" si="29"/>
        <v>8348952.1061384277</v>
      </c>
      <c r="P142" s="32">
        <f t="shared" ca="1" si="21"/>
        <v>7600452.8498613089</v>
      </c>
      <c r="Q142" s="32">
        <f t="shared" ca="1" si="22"/>
        <v>8348952.1061384277</v>
      </c>
      <c r="R142" s="50"/>
      <c r="S142">
        <f>'GS &lt; 50 kW'!Q142</f>
        <v>0.75</v>
      </c>
    </row>
    <row r="143" spans="1:21" x14ac:dyDescent="0.2">
      <c r="A143" s="2">
        <v>44805</v>
      </c>
      <c r="B143">
        <f t="shared" si="24"/>
        <v>2022</v>
      </c>
      <c r="C143">
        <f t="shared" si="25"/>
        <v>9</v>
      </c>
      <c r="E143" s="151">
        <f t="shared" si="32"/>
        <v>748499.25627711928</v>
      </c>
      <c r="F143" s="151"/>
      <c r="G143" s="129">
        <f ca="1">Weather!CI83</f>
        <v>9.9542105263157907</v>
      </c>
      <c r="H143" s="129">
        <f ca="1">Weather!CJ83</f>
        <v>120.49421052631581</v>
      </c>
      <c r="I143" s="129">
        <f t="shared" ca="1" si="30"/>
        <v>9.9542105263157907</v>
      </c>
      <c r="J143" s="129">
        <f t="shared" ca="1" si="30"/>
        <v>120.49421052631581</v>
      </c>
      <c r="K143" s="32">
        <f t="shared" si="27"/>
        <v>1</v>
      </c>
      <c r="L143" s="156">
        <f>'Rate Class Customer Model'!E68</f>
        <v>2952.7493592882161</v>
      </c>
      <c r="M143" s="32">
        <f t="shared" si="28"/>
        <v>141</v>
      </c>
      <c r="N143" s="199">
        <f t="shared" si="31"/>
        <v>0.375</v>
      </c>
      <c r="O143" s="32">
        <f t="shared" ca="1" si="29"/>
        <v>7444781.0437506428</v>
      </c>
      <c r="P143" s="32">
        <f t="shared" ca="1" si="21"/>
        <v>6696281.787473524</v>
      </c>
      <c r="Q143" s="32">
        <f t="shared" ca="1" si="22"/>
        <v>7444781.0437506428</v>
      </c>
      <c r="R143" s="50"/>
      <c r="S143">
        <f>'GS &lt; 50 kW'!Q143</f>
        <v>0.75</v>
      </c>
    </row>
    <row r="144" spans="1:21" x14ac:dyDescent="0.2">
      <c r="A144" s="2">
        <v>44835</v>
      </c>
      <c r="B144">
        <f t="shared" si="24"/>
        <v>2022</v>
      </c>
      <c r="C144">
        <f t="shared" si="25"/>
        <v>10</v>
      </c>
      <c r="E144" s="151">
        <f t="shared" si="32"/>
        <v>748499.25627711928</v>
      </c>
      <c r="F144" s="151"/>
      <c r="G144" s="129">
        <f ca="1">Weather!CI84</f>
        <v>107.70315789473716</v>
      </c>
      <c r="H144" s="129">
        <f ca="1">Weather!CJ84</f>
        <v>25.808421052631616</v>
      </c>
      <c r="I144" s="129">
        <f t="shared" ca="1" si="30"/>
        <v>107.70315789473716</v>
      </c>
      <c r="J144" s="129">
        <f t="shared" ca="1" si="30"/>
        <v>25.808421052631616</v>
      </c>
      <c r="K144" s="32">
        <f t="shared" si="27"/>
        <v>1</v>
      </c>
      <c r="L144" s="156">
        <f>'Rate Class Customer Model'!E69</f>
        <v>2956.6358538386257</v>
      </c>
      <c r="M144" s="32">
        <f t="shared" si="28"/>
        <v>142</v>
      </c>
      <c r="N144" s="199">
        <f t="shared" si="31"/>
        <v>0.375</v>
      </c>
      <c r="O144" s="32">
        <f t="shared" ca="1" si="29"/>
        <v>7318019.4771927902</v>
      </c>
      <c r="P144" s="32">
        <f t="shared" ca="1" si="21"/>
        <v>6569520.2209156714</v>
      </c>
      <c r="Q144" s="32">
        <f t="shared" ca="1" si="22"/>
        <v>7318019.4771927902</v>
      </c>
      <c r="R144" s="50"/>
      <c r="S144">
        <f>'GS &lt; 50 kW'!Q144</f>
        <v>0.75</v>
      </c>
      <c r="T144" s="322"/>
      <c r="U144" s="323"/>
    </row>
    <row r="145" spans="1:21" x14ac:dyDescent="0.2">
      <c r="A145" s="2">
        <v>44866</v>
      </c>
      <c r="B145">
        <f t="shared" si="24"/>
        <v>2022</v>
      </c>
      <c r="C145">
        <f t="shared" si="25"/>
        <v>11</v>
      </c>
      <c r="E145" s="151">
        <f t="shared" si="32"/>
        <v>748499.25627711928</v>
      </c>
      <c r="F145" s="151"/>
      <c r="G145" s="129">
        <f ca="1">Weather!CI85</f>
        <v>305.31105263157906</v>
      </c>
      <c r="H145" s="129">
        <f ca="1">Weather!CJ85</f>
        <v>1.3363157894737014</v>
      </c>
      <c r="I145" s="129">
        <f t="shared" ca="1" si="30"/>
        <v>305.31105263157906</v>
      </c>
      <c r="J145" s="129">
        <f t="shared" ca="1" si="30"/>
        <v>1.3363157894737014</v>
      </c>
      <c r="K145" s="32">
        <f t="shared" si="27"/>
        <v>1</v>
      </c>
      <c r="L145" s="156">
        <f>'Rate Class Customer Model'!E70</f>
        <v>2960.5274639061527</v>
      </c>
      <c r="M145" s="32">
        <f t="shared" si="28"/>
        <v>143</v>
      </c>
      <c r="N145" s="199">
        <f t="shared" si="31"/>
        <v>0.375</v>
      </c>
      <c r="O145" s="32">
        <f t="shared" ca="1" si="29"/>
        <v>7883507.2499913974</v>
      </c>
      <c r="P145" s="32">
        <f t="shared" ca="1" si="21"/>
        <v>7135007.9937142786</v>
      </c>
      <c r="Q145" s="32">
        <f t="shared" ca="1" si="22"/>
        <v>7883507.2499913974</v>
      </c>
      <c r="R145" s="50"/>
      <c r="S145">
        <f>'GS &lt; 50 kW'!Q145</f>
        <v>0.75</v>
      </c>
      <c r="T145" s="322"/>
      <c r="U145" s="323"/>
    </row>
    <row r="146" spans="1:21" x14ac:dyDescent="0.2">
      <c r="A146" s="2">
        <v>44896</v>
      </c>
      <c r="B146">
        <f t="shared" si="24"/>
        <v>2022</v>
      </c>
      <c r="C146">
        <f t="shared" si="25"/>
        <v>12</v>
      </c>
      <c r="E146" s="151">
        <f t="shared" si="32"/>
        <v>748499.25627711928</v>
      </c>
      <c r="F146" s="151"/>
      <c r="G146" s="129">
        <f ca="1">Weather!CI86</f>
        <v>437.78421052631529</v>
      </c>
      <c r="H146" s="129">
        <f ca="1">Weather!CJ86</f>
        <v>0</v>
      </c>
      <c r="I146" s="129">
        <f t="shared" ca="1" si="30"/>
        <v>437.78421052631529</v>
      </c>
      <c r="J146" s="129">
        <f t="shared" ca="1" si="30"/>
        <v>0</v>
      </c>
      <c r="K146" s="32">
        <f t="shared" si="27"/>
        <v>0</v>
      </c>
      <c r="L146" s="156">
        <f>'Rate Class Customer Model'!E71</f>
        <v>2964.4241962239889</v>
      </c>
      <c r="M146" s="32">
        <f t="shared" si="28"/>
        <v>144</v>
      </c>
      <c r="N146" s="199">
        <f t="shared" si="31"/>
        <v>0.375</v>
      </c>
      <c r="O146" s="32">
        <f t="shared" ca="1" si="29"/>
        <v>8627069.0743522458</v>
      </c>
      <c r="P146" s="32">
        <f t="shared" ca="1" si="21"/>
        <v>7878569.818075126</v>
      </c>
      <c r="Q146" s="32">
        <f t="shared" ca="1" si="22"/>
        <v>8627069.0743522458</v>
      </c>
      <c r="R146" s="50"/>
      <c r="S146">
        <f>'GS &lt; 50 kW'!Q146</f>
        <v>0.75</v>
      </c>
      <c r="T146" s="322"/>
      <c r="U146" s="323"/>
    </row>
    <row r="147" spans="1:21" ht="12.75" customHeight="1" x14ac:dyDescent="0.2">
      <c r="A147" s="2">
        <v>44927</v>
      </c>
      <c r="B147">
        <f t="shared" si="24"/>
        <v>2023</v>
      </c>
      <c r="C147">
        <f t="shared" si="25"/>
        <v>1</v>
      </c>
      <c r="E147" s="151">
        <f>'Historic CDM'!N17/12</f>
        <v>733324.62972581247</v>
      </c>
      <c r="G147" s="129">
        <f ca="1">Weather!CI61</f>
        <v>555.95248120300721</v>
      </c>
      <c r="H147" s="129">
        <f ca="1">Weather!CJ61</f>
        <v>0</v>
      </c>
      <c r="I147" s="129">
        <f t="shared" ca="1" si="30"/>
        <v>555.95248120300721</v>
      </c>
      <c r="J147" s="129">
        <f t="shared" ca="1" si="30"/>
        <v>0</v>
      </c>
      <c r="K147" s="32">
        <f>K135</f>
        <v>0</v>
      </c>
      <c r="L147" s="156">
        <f>'Rate Class Customer Model'!E72</f>
        <v>2968.3260575341897</v>
      </c>
      <c r="M147" s="32">
        <f t="shared" si="28"/>
        <v>145</v>
      </c>
      <c r="N147" s="199">
        <f t="shared" si="31"/>
        <v>0.25</v>
      </c>
      <c r="O147" s="32">
        <f t="shared" ca="1" si="29"/>
        <v>9124358.5003462061</v>
      </c>
      <c r="P147" s="32">
        <f t="shared" ca="1" si="21"/>
        <v>8391033.8706203941</v>
      </c>
      <c r="Q147" s="32">
        <f t="shared" ca="1" si="22"/>
        <v>9124358.5003462061</v>
      </c>
      <c r="R147" s="50"/>
      <c r="S147">
        <f>'GS &lt; 50 kW'!Q147</f>
        <v>0.5</v>
      </c>
      <c r="T147" s="29"/>
      <c r="U147" s="41"/>
    </row>
    <row r="148" spans="1:21" x14ac:dyDescent="0.2">
      <c r="A148" s="2">
        <v>44958</v>
      </c>
      <c r="B148">
        <f t="shared" si="24"/>
        <v>2023</v>
      </c>
      <c r="C148">
        <f t="shared" si="25"/>
        <v>2</v>
      </c>
      <c r="E148" s="62">
        <f>E147</f>
        <v>733324.62972581247</v>
      </c>
      <c r="G148" s="129">
        <f ca="1">Weather!CI62</f>
        <v>513.36511278195462</v>
      </c>
      <c r="H148" s="129">
        <f ca="1">Weather!CJ62</f>
        <v>0</v>
      </c>
      <c r="I148" s="129">
        <f t="shared" ca="1" si="30"/>
        <v>513.36511278195462</v>
      </c>
      <c r="J148" s="129">
        <f t="shared" ca="1" si="30"/>
        <v>0</v>
      </c>
      <c r="K148" s="32">
        <f t="shared" ref="K148:K158" si="33">K136</f>
        <v>0</v>
      </c>
      <c r="L148" s="156">
        <f>'Rate Class Customer Model'!E73</f>
        <v>2972.2330545876839</v>
      </c>
      <c r="M148" s="32">
        <f t="shared" si="28"/>
        <v>146</v>
      </c>
      <c r="N148" s="199">
        <f t="shared" si="31"/>
        <v>0.25</v>
      </c>
      <c r="O148" s="32">
        <f t="shared" ca="1" si="29"/>
        <v>8985102.0650539286</v>
      </c>
      <c r="P148" s="32">
        <f t="shared" ca="1" si="21"/>
        <v>8251777.4353281166</v>
      </c>
      <c r="Q148" s="32">
        <f t="shared" ca="1" si="22"/>
        <v>8985102.0650539286</v>
      </c>
      <c r="R148" s="50"/>
      <c r="S148">
        <f>'GS &lt; 50 kW'!Q148</f>
        <v>0.5</v>
      </c>
      <c r="T148" s="29"/>
      <c r="U148" s="41"/>
    </row>
    <row r="149" spans="1:21" x14ac:dyDescent="0.2">
      <c r="A149" s="2">
        <v>44986</v>
      </c>
      <c r="B149">
        <f t="shared" si="24"/>
        <v>2023</v>
      </c>
      <c r="C149">
        <f t="shared" si="25"/>
        <v>3</v>
      </c>
      <c r="E149" s="62">
        <f t="shared" ref="E149:E158" si="34">E148</f>
        <v>733324.62972581247</v>
      </c>
      <c r="G149" s="129">
        <f ca="1">Weather!CI63</f>
        <v>398.7127819548873</v>
      </c>
      <c r="H149" s="129">
        <f ca="1">Weather!CJ63</f>
        <v>0.75812030075187664</v>
      </c>
      <c r="I149" s="129">
        <f t="shared" ca="1" si="30"/>
        <v>398.7127819548873</v>
      </c>
      <c r="J149" s="129">
        <f t="shared" ca="1" si="30"/>
        <v>0.75812030075187664</v>
      </c>
      <c r="K149" s="32">
        <f t="shared" si="33"/>
        <v>0</v>
      </c>
      <c r="L149" s="156">
        <f>'Rate Class Customer Model'!E74</f>
        <v>2976.1451941442856</v>
      </c>
      <c r="M149" s="32">
        <f t="shared" si="28"/>
        <v>147</v>
      </c>
      <c r="N149" s="199">
        <f t="shared" si="31"/>
        <v>0.25</v>
      </c>
      <c r="O149" s="32">
        <f t="shared" ca="1" si="29"/>
        <v>8601709.9496752489</v>
      </c>
      <c r="P149" s="32">
        <f t="shared" ca="1" si="21"/>
        <v>7868385.3199494369</v>
      </c>
      <c r="Q149" s="32">
        <f t="shared" ca="1" si="22"/>
        <v>8601709.9496752489</v>
      </c>
      <c r="R149" s="50"/>
      <c r="S149">
        <f>'GS &lt; 50 kW'!Q149</f>
        <v>0.5</v>
      </c>
      <c r="T149" s="29"/>
      <c r="U149" s="41"/>
    </row>
    <row r="150" spans="1:21" x14ac:dyDescent="0.2">
      <c r="A150" s="2">
        <v>45017</v>
      </c>
      <c r="B150">
        <f t="shared" si="24"/>
        <v>2023</v>
      </c>
      <c r="C150">
        <f t="shared" si="25"/>
        <v>4</v>
      </c>
      <c r="E150" s="62">
        <f t="shared" si="34"/>
        <v>733324.62972581247</v>
      </c>
      <c r="G150" s="129">
        <f ca="1">Weather!CI64</f>
        <v>226.94819548872192</v>
      </c>
      <c r="H150" s="129">
        <f ca="1">Weather!CJ64</f>
        <v>0</v>
      </c>
      <c r="I150" s="129">
        <f t="shared" ca="1" si="30"/>
        <v>226.94819548872192</v>
      </c>
      <c r="J150" s="129">
        <f t="shared" ca="1" si="30"/>
        <v>0</v>
      </c>
      <c r="K150" s="32">
        <f t="shared" si="33"/>
        <v>0</v>
      </c>
      <c r="L150" s="156">
        <f>'Rate Class Customer Model'!E75</f>
        <v>2980.0624829727076</v>
      </c>
      <c r="M150" s="32">
        <f t="shared" si="28"/>
        <v>148</v>
      </c>
      <c r="N150" s="199">
        <f t="shared" si="31"/>
        <v>0.25</v>
      </c>
      <c r="O150" s="32">
        <f t="shared" ca="1" si="29"/>
        <v>8014330.1018202715</v>
      </c>
      <c r="P150" s="32">
        <f t="shared" ca="1" si="21"/>
        <v>7281005.4720944595</v>
      </c>
      <c r="Q150" s="32">
        <f t="shared" ca="1" si="22"/>
        <v>8014330.1018202715</v>
      </c>
      <c r="R150" s="50"/>
      <c r="S150">
        <f>'GS &lt; 50 kW'!Q150</f>
        <v>0.5</v>
      </c>
      <c r="T150" s="29"/>
      <c r="U150" s="41"/>
    </row>
    <row r="151" spans="1:21" x14ac:dyDescent="0.2">
      <c r="A151" s="2">
        <v>45047</v>
      </c>
      <c r="B151">
        <f t="shared" si="24"/>
        <v>2023</v>
      </c>
      <c r="C151">
        <f t="shared" si="25"/>
        <v>5</v>
      </c>
      <c r="E151" s="62">
        <f t="shared" si="34"/>
        <v>733324.62972581247</v>
      </c>
      <c r="G151" s="129">
        <f ca="1">Weather!CI65</f>
        <v>59.265037593984971</v>
      </c>
      <c r="H151" s="129">
        <f ca="1">Weather!CJ65</f>
        <v>82.437368421053179</v>
      </c>
      <c r="I151" s="129">
        <f t="shared" ca="1" si="30"/>
        <v>59.265037593984971</v>
      </c>
      <c r="J151" s="129">
        <f t="shared" ca="1" si="30"/>
        <v>82.437368421053179</v>
      </c>
      <c r="K151" s="32">
        <f t="shared" si="33"/>
        <v>0</v>
      </c>
      <c r="L151" s="156">
        <f>'Rate Class Customer Model'!E76</f>
        <v>2983.9849278505708</v>
      </c>
      <c r="M151" s="32">
        <f t="shared" si="28"/>
        <v>149</v>
      </c>
      <c r="N151" s="199">
        <f t="shared" si="31"/>
        <v>0.25</v>
      </c>
      <c r="O151" s="32">
        <f t="shared" ca="1" si="29"/>
        <v>7854160.3854127862</v>
      </c>
      <c r="P151" s="32">
        <f t="shared" ca="1" si="21"/>
        <v>7120835.7556869742</v>
      </c>
      <c r="Q151" s="32">
        <f t="shared" ca="1" si="22"/>
        <v>7854160.3854127862</v>
      </c>
      <c r="R151" s="50"/>
      <c r="S151">
        <f>'GS &lt; 50 kW'!Q151</f>
        <v>0.5</v>
      </c>
      <c r="T151" s="29"/>
      <c r="U151" s="41"/>
    </row>
    <row r="152" spans="1:21" x14ac:dyDescent="0.2">
      <c r="A152" s="2">
        <v>45078</v>
      </c>
      <c r="B152">
        <f t="shared" si="24"/>
        <v>2023</v>
      </c>
      <c r="C152">
        <f t="shared" si="25"/>
        <v>6</v>
      </c>
      <c r="E152" s="62">
        <f t="shared" si="34"/>
        <v>733324.62972581247</v>
      </c>
      <c r="G152" s="129">
        <f ca="1">Weather!CI66</f>
        <v>0.98789473684209383</v>
      </c>
      <c r="H152" s="129">
        <f ca="1">Weather!CJ66</f>
        <v>178.31819548872204</v>
      </c>
      <c r="I152" s="129">
        <f t="shared" ca="1" si="30"/>
        <v>0.98789473684209383</v>
      </c>
      <c r="J152" s="129">
        <f t="shared" ca="1" si="30"/>
        <v>178.31819548872204</v>
      </c>
      <c r="K152" s="32">
        <f t="shared" si="33"/>
        <v>0</v>
      </c>
      <c r="L152" s="156">
        <f>'Rate Class Customer Model'!E77</f>
        <v>2987.9125355644173</v>
      </c>
      <c r="M152" s="32">
        <f t="shared" si="28"/>
        <v>150</v>
      </c>
      <c r="N152" s="199">
        <f t="shared" si="31"/>
        <v>0.25</v>
      </c>
      <c r="O152" s="32">
        <f t="shared" ca="1" si="29"/>
        <v>8137168.9819533862</v>
      </c>
      <c r="P152" s="32">
        <f t="shared" ca="1" si="21"/>
        <v>7403844.3522275742</v>
      </c>
      <c r="Q152" s="32">
        <f t="shared" ca="1" si="22"/>
        <v>8137168.9819533862</v>
      </c>
      <c r="R152" s="50"/>
      <c r="S152">
        <f>'GS &lt; 50 kW'!Q152</f>
        <v>0.5</v>
      </c>
      <c r="T152" s="29"/>
      <c r="U152" s="41"/>
    </row>
    <row r="153" spans="1:21" x14ac:dyDescent="0.2">
      <c r="A153" s="2">
        <v>45108</v>
      </c>
      <c r="B153">
        <f t="shared" si="24"/>
        <v>2023</v>
      </c>
      <c r="C153">
        <f t="shared" si="25"/>
        <v>7</v>
      </c>
      <c r="E153" s="62">
        <f t="shared" si="34"/>
        <v>733324.62972581247</v>
      </c>
      <c r="G153" s="129">
        <f ca="1">Weather!CI67</f>
        <v>0</v>
      </c>
      <c r="H153" s="129">
        <f ca="1">Weather!CJ67</f>
        <v>274.61368421052634</v>
      </c>
      <c r="I153" s="129">
        <f t="shared" ca="1" si="30"/>
        <v>0</v>
      </c>
      <c r="J153" s="129">
        <f t="shared" ca="1" si="30"/>
        <v>274.61368421052634</v>
      </c>
      <c r="K153" s="32">
        <f t="shared" si="33"/>
        <v>0</v>
      </c>
      <c r="L153" s="156">
        <f>'Rate Class Customer Model'!E78</f>
        <v>2991.845312909722</v>
      </c>
      <c r="M153" s="32">
        <f t="shared" si="28"/>
        <v>151</v>
      </c>
      <c r="N153" s="199">
        <f t="shared" si="31"/>
        <v>0.25</v>
      </c>
      <c r="O153" s="32">
        <f t="shared" ca="1" si="29"/>
        <v>8619357.2551271804</v>
      </c>
      <c r="P153" s="32">
        <f t="shared" ca="1" si="21"/>
        <v>7886032.6254013684</v>
      </c>
      <c r="Q153" s="32">
        <f t="shared" ca="1" si="22"/>
        <v>8619357.2551271804</v>
      </c>
      <c r="R153" s="50"/>
      <c r="S153">
        <f>'GS &lt; 50 kW'!Q153</f>
        <v>0.5</v>
      </c>
      <c r="T153" s="29"/>
      <c r="U153" s="41"/>
    </row>
    <row r="154" spans="1:21" x14ac:dyDescent="0.2">
      <c r="A154" s="2">
        <v>45139</v>
      </c>
      <c r="B154">
        <f t="shared" si="24"/>
        <v>2023</v>
      </c>
      <c r="C154">
        <f t="shared" si="25"/>
        <v>8</v>
      </c>
      <c r="E154" s="62">
        <f t="shared" si="34"/>
        <v>733324.62972581247</v>
      </c>
      <c r="G154" s="129">
        <f ca="1">Weather!CI68</f>
        <v>0</v>
      </c>
      <c r="H154" s="129">
        <f ca="1">Weather!CJ68</f>
        <v>254.56293233082715</v>
      </c>
      <c r="I154" s="129">
        <f t="shared" ca="1" si="30"/>
        <v>0</v>
      </c>
      <c r="J154" s="129">
        <f t="shared" ca="1" si="30"/>
        <v>254.56293233082715</v>
      </c>
      <c r="K154" s="32">
        <f t="shared" si="33"/>
        <v>0</v>
      </c>
      <c r="L154" s="156">
        <f>'Rate Class Customer Model'!E79</f>
        <v>2995.7832666909039</v>
      </c>
      <c r="M154" s="32">
        <f t="shared" si="28"/>
        <v>152</v>
      </c>
      <c r="N154" s="199">
        <f t="shared" si="31"/>
        <v>0.25</v>
      </c>
      <c r="O154" s="32">
        <f t="shared" ca="1" si="29"/>
        <v>8527205.052490646</v>
      </c>
      <c r="P154" s="32">
        <f t="shared" ca="1" si="21"/>
        <v>7793880.422764834</v>
      </c>
      <c r="Q154" s="32">
        <f t="shared" ca="1" si="22"/>
        <v>8527205.052490646</v>
      </c>
      <c r="R154" s="50"/>
      <c r="S154">
        <f>'GS &lt; 50 kW'!Q154</f>
        <v>0.5</v>
      </c>
      <c r="T154" s="29"/>
      <c r="U154" s="41"/>
    </row>
    <row r="155" spans="1:21" x14ac:dyDescent="0.2">
      <c r="A155" s="2">
        <v>45170</v>
      </c>
      <c r="B155">
        <f t="shared" si="24"/>
        <v>2023</v>
      </c>
      <c r="C155">
        <f t="shared" si="25"/>
        <v>9</v>
      </c>
      <c r="E155" s="62">
        <f t="shared" si="34"/>
        <v>733324.62972581247</v>
      </c>
      <c r="G155" s="129">
        <f ca="1">Weather!CI69</f>
        <v>9.991278195488718</v>
      </c>
      <c r="H155" s="129">
        <f ca="1">Weather!CJ69</f>
        <v>120.42842105263159</v>
      </c>
      <c r="I155" s="129">
        <f t="shared" ca="1" si="30"/>
        <v>9.991278195488718</v>
      </c>
      <c r="J155" s="129">
        <f t="shared" ca="1" si="30"/>
        <v>120.42842105263159</v>
      </c>
      <c r="K155" s="32">
        <f t="shared" si="33"/>
        <v>1</v>
      </c>
      <c r="L155" s="156">
        <f>'Rate Class Customer Model'!E80</f>
        <v>2999.726403721339</v>
      </c>
      <c r="M155" s="32">
        <f t="shared" si="28"/>
        <v>153</v>
      </c>
      <c r="N155" s="199">
        <f t="shared" si="31"/>
        <v>0.25</v>
      </c>
      <c r="O155" s="32">
        <f t="shared" ca="1" si="29"/>
        <v>7615680.3767876513</v>
      </c>
      <c r="P155" s="32">
        <f t="shared" ca="1" si="21"/>
        <v>6882355.7470618393</v>
      </c>
      <c r="Q155" s="32">
        <f t="shared" ca="1" si="22"/>
        <v>7615680.3767876513</v>
      </c>
      <c r="R155" s="50"/>
      <c r="S155">
        <f>'GS &lt; 50 kW'!Q155</f>
        <v>0.5</v>
      </c>
      <c r="T155" s="29"/>
      <c r="U155" s="41"/>
    </row>
    <row r="156" spans="1:21" x14ac:dyDescent="0.2">
      <c r="A156" s="2">
        <v>45200</v>
      </c>
      <c r="B156">
        <f t="shared" si="24"/>
        <v>2023</v>
      </c>
      <c r="C156">
        <f t="shared" si="25"/>
        <v>10</v>
      </c>
      <c r="E156" s="62">
        <f t="shared" si="34"/>
        <v>733324.62972581247</v>
      </c>
      <c r="G156" s="129">
        <f ca="1">Weather!CI70</f>
        <v>105.69917293233129</v>
      </c>
      <c r="H156" s="129">
        <f ca="1">Weather!CJ70</f>
        <v>26.279699248120323</v>
      </c>
      <c r="I156" s="129">
        <f t="shared" ca="1" si="30"/>
        <v>105.69917293233129</v>
      </c>
      <c r="J156" s="129">
        <f t="shared" ca="1" si="30"/>
        <v>26.279699248120323</v>
      </c>
      <c r="K156" s="32">
        <f t="shared" si="33"/>
        <v>1</v>
      </c>
      <c r="L156" s="156">
        <f>'Rate Class Customer Model'!E81</f>
        <v>3003.6747308233703</v>
      </c>
      <c r="M156" s="32">
        <f t="shared" si="28"/>
        <v>154</v>
      </c>
      <c r="N156" s="199">
        <f t="shared" si="31"/>
        <v>0.25</v>
      </c>
      <c r="O156" s="32">
        <f t="shared" ca="1" si="29"/>
        <v>7484883.8369304296</v>
      </c>
      <c r="P156" s="32">
        <f t="shared" ca="1" si="21"/>
        <v>6751559.2072046176</v>
      </c>
      <c r="Q156" s="32">
        <f t="shared" ca="1" si="22"/>
        <v>7484883.8369304296</v>
      </c>
      <c r="R156" s="50"/>
      <c r="S156">
        <f>'GS &lt; 50 kW'!Q156</f>
        <v>0.5</v>
      </c>
      <c r="T156" s="29"/>
      <c r="U156" s="41"/>
    </row>
    <row r="157" spans="1:21" x14ac:dyDescent="0.2">
      <c r="A157" s="2">
        <v>45231</v>
      </c>
      <c r="B157">
        <f t="shared" si="24"/>
        <v>2023</v>
      </c>
      <c r="C157">
        <f t="shared" si="25"/>
        <v>11</v>
      </c>
      <c r="E157" s="62">
        <f t="shared" si="34"/>
        <v>733324.62972581247</v>
      </c>
      <c r="G157" s="129">
        <f ca="1">Weather!CI71</f>
        <v>306.35210526315814</v>
      </c>
      <c r="H157" s="129">
        <f ca="1">Weather!CJ71</f>
        <v>1.41834586466166</v>
      </c>
      <c r="I157" s="129">
        <f t="shared" ca="1" si="30"/>
        <v>306.35210526315814</v>
      </c>
      <c r="J157" s="129">
        <f t="shared" ca="1" si="30"/>
        <v>1.41834586466166</v>
      </c>
      <c r="K157" s="32">
        <f t="shared" si="33"/>
        <v>1</v>
      </c>
      <c r="L157" s="156">
        <f>'Rate Class Customer Model'!E82</f>
        <v>3007.6282548283207</v>
      </c>
      <c r="M157" s="32">
        <f t="shared" si="28"/>
        <v>155</v>
      </c>
      <c r="N157" s="199">
        <f t="shared" si="31"/>
        <v>0.25</v>
      </c>
      <c r="O157" s="32">
        <f t="shared" ca="1" si="29"/>
        <v>8059234.8631992005</v>
      </c>
      <c r="P157" s="32">
        <f t="shared" ca="1" si="21"/>
        <v>7325910.2334733885</v>
      </c>
      <c r="Q157" s="32">
        <f t="shared" ca="1" si="22"/>
        <v>8059234.8631992005</v>
      </c>
      <c r="R157" s="50"/>
      <c r="S157">
        <f>'GS &lt; 50 kW'!Q157</f>
        <v>0.5</v>
      </c>
      <c r="T157" s="29"/>
    </row>
    <row r="158" spans="1:21" x14ac:dyDescent="0.2">
      <c r="A158" s="2">
        <v>45261</v>
      </c>
      <c r="B158">
        <f t="shared" si="24"/>
        <v>2023</v>
      </c>
      <c r="C158">
        <f t="shared" si="25"/>
        <v>12</v>
      </c>
      <c r="E158" s="62">
        <f t="shared" si="34"/>
        <v>733324.62972581247</v>
      </c>
      <c r="G158" s="129">
        <f ca="1">Weather!CI72</f>
        <v>434.76127819548765</v>
      </c>
      <c r="H158" s="129">
        <f ca="1">Weather!CJ72</f>
        <v>0</v>
      </c>
      <c r="I158" s="129">
        <f t="shared" ca="1" si="30"/>
        <v>434.76127819548765</v>
      </c>
      <c r="J158" s="129">
        <f t="shared" ca="1" si="30"/>
        <v>0</v>
      </c>
      <c r="K158" s="32">
        <f t="shared" si="33"/>
        <v>0</v>
      </c>
      <c r="L158" s="156">
        <f>'Rate Class Customer Model'!E83</f>
        <v>3011.5869825765053</v>
      </c>
      <c r="M158" s="32">
        <f t="shared" si="28"/>
        <v>156</v>
      </c>
      <c r="N158" s="199">
        <f t="shared" si="31"/>
        <v>0.25</v>
      </c>
      <c r="O158" s="32">
        <f t="shared" ca="1" si="29"/>
        <v>8788728.6189673226</v>
      </c>
      <c r="P158" s="32">
        <f t="shared" ca="1" si="21"/>
        <v>8055403.9892415106</v>
      </c>
      <c r="Q158" s="32">
        <f t="shared" ca="1" si="22"/>
        <v>8788728.6189673226</v>
      </c>
      <c r="R158" s="50"/>
      <c r="S158">
        <f>'GS &lt; 50 kW'!Q158</f>
        <v>0.5</v>
      </c>
      <c r="T158" s="29"/>
    </row>
    <row r="159" spans="1:21" x14ac:dyDescent="0.2">
      <c r="A159" s="2"/>
      <c r="B159" s="2"/>
      <c r="C159" s="2"/>
      <c r="D159" s="2"/>
      <c r="E159" s="2"/>
      <c r="G159" s="52"/>
      <c r="H159" s="52"/>
      <c r="I159" s="52"/>
      <c r="J159" s="52"/>
      <c r="K159" s="32"/>
      <c r="L159" s="59"/>
      <c r="M159" s="32"/>
      <c r="N159" s="32"/>
      <c r="O159" s="32"/>
      <c r="P159" s="32"/>
      <c r="Q159" s="32"/>
      <c r="R159" s="116"/>
    </row>
    <row r="160" spans="1:21" x14ac:dyDescent="0.2">
      <c r="A160" s="2"/>
      <c r="B160" s="2"/>
      <c r="C160" s="2"/>
      <c r="D160" s="2"/>
      <c r="E160" s="2"/>
      <c r="G160" s="52"/>
      <c r="H160" s="52"/>
      <c r="I160" s="52"/>
      <c r="J160" s="52"/>
      <c r="K160" s="32"/>
      <c r="L160" s="59"/>
      <c r="M160" s="32"/>
      <c r="N160" s="32"/>
      <c r="O160" s="32"/>
      <c r="P160" s="32"/>
      <c r="Q160" s="32"/>
      <c r="R160" s="50"/>
    </row>
    <row r="161" spans="1:33" x14ac:dyDescent="0.2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59"/>
      <c r="M161" s="32"/>
      <c r="N161" s="32"/>
      <c r="O161" s="32"/>
      <c r="P161" s="32"/>
      <c r="Q161" s="32"/>
      <c r="R161" s="50"/>
    </row>
    <row r="162" spans="1:33" x14ac:dyDescent="0.2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59"/>
      <c r="M162" s="32"/>
      <c r="N162" s="32"/>
      <c r="O162" s="32"/>
      <c r="P162" s="32"/>
      <c r="Q162" s="32"/>
      <c r="R162" s="50"/>
    </row>
    <row r="163" spans="1:33" x14ac:dyDescent="0.2">
      <c r="A163" s="2"/>
      <c r="B163" s="2"/>
      <c r="C163" s="2"/>
      <c r="D163" s="2"/>
      <c r="E163" s="2"/>
      <c r="G163" s="52"/>
      <c r="H163" s="52"/>
      <c r="I163" s="52"/>
      <c r="J163" s="52"/>
      <c r="M163" s="28"/>
      <c r="O163" s="26"/>
      <c r="P163" s="26"/>
    </row>
    <row r="164" spans="1:33" x14ac:dyDescent="0.2">
      <c r="A164" s="2"/>
      <c r="B164" s="2"/>
      <c r="C164" s="2"/>
      <c r="D164" s="2"/>
      <c r="E164" s="2"/>
    </row>
    <row r="165" spans="1:33" x14ac:dyDescent="0.2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L165" s="1"/>
      <c r="N165" s="57"/>
      <c r="P165" s="80" t="s">
        <v>289</v>
      </c>
      <c r="Q165" s="80" t="s">
        <v>270</v>
      </c>
      <c r="R165" s="80" t="s">
        <v>290</v>
      </c>
      <c r="S165" s="260" t="s">
        <v>337</v>
      </c>
      <c r="T165" s="260" t="s">
        <v>338</v>
      </c>
    </row>
    <row r="166" spans="1:33" x14ac:dyDescent="0.2">
      <c r="A166" s="11">
        <v>2011</v>
      </c>
      <c r="B166" s="11"/>
      <c r="C166" s="11"/>
      <c r="D166" s="41">
        <f>SUMIF(B:B,A166,D:D)</f>
        <v>83338833.540000021</v>
      </c>
      <c r="E166" s="41">
        <f>SUMIF(B:B,A166,E:E)</f>
        <v>113611.44815883051</v>
      </c>
      <c r="F166" s="5">
        <f>SUMIF(B:B,A166,F:F)</f>
        <v>83452444.988158852</v>
      </c>
      <c r="L166" s="1"/>
      <c r="N166" s="57"/>
      <c r="P166" s="5">
        <f t="shared" ref="P166:P178" ca="1" si="35">SUMIF(B:B,A166,O:O)</f>
        <v>83311449.765529454</v>
      </c>
      <c r="Q166" s="57">
        <f>'Historic CDM'!N5</f>
        <v>113611.44815883054</v>
      </c>
      <c r="R166" s="57">
        <f t="shared" ref="R166:R178" ca="1" si="36">SUMIF(B:B,A166,P:P)</f>
        <v>83197838.317370623</v>
      </c>
    </row>
    <row r="167" spans="1:33" x14ac:dyDescent="0.2">
      <c r="A167" s="11">
        <f>A166+1</f>
        <v>2012</v>
      </c>
      <c r="B167" s="11"/>
      <c r="C167" s="11"/>
      <c r="D167" s="41">
        <f t="shared" ref="D167:D175" si="37">SUMIF(B:B,A167,D:D)</f>
        <v>84168273.069999993</v>
      </c>
      <c r="E167" s="41">
        <f t="shared" ref="E167:E176" si="38">SUMIF(B:B,A167,E:E)</f>
        <v>385670.09388452605</v>
      </c>
      <c r="F167" s="5">
        <f t="shared" ref="F167:F176" si="39">SUMIF(B:B,A167,F:F)</f>
        <v>84553943.163884521</v>
      </c>
      <c r="L167" s="1"/>
      <c r="N167" s="57"/>
      <c r="P167" s="5">
        <f t="shared" ca="1" si="35"/>
        <v>85629756.491933614</v>
      </c>
      <c r="Q167" s="57">
        <f>'Historic CDM'!N6</f>
        <v>385670.09388452594</v>
      </c>
      <c r="R167" s="57">
        <f t="shared" ca="1" si="36"/>
        <v>85244086.398049086</v>
      </c>
    </row>
    <row r="168" spans="1:33" x14ac:dyDescent="0.2">
      <c r="A168" s="11">
        <f t="shared" ref="A168:A178" si="40">A167+1</f>
        <v>2013</v>
      </c>
      <c r="B168" s="11"/>
      <c r="C168" s="11"/>
      <c r="D168" s="41">
        <f t="shared" si="37"/>
        <v>87021883.129999995</v>
      </c>
      <c r="E168" s="41">
        <f t="shared" si="38"/>
        <v>773377.78722497867</v>
      </c>
      <c r="F168" s="5">
        <f t="shared" si="39"/>
        <v>87795260.917224973</v>
      </c>
      <c r="L168" s="1"/>
      <c r="N168" s="57"/>
      <c r="P168" s="5">
        <f t="shared" ca="1" si="35"/>
        <v>87835658.492222816</v>
      </c>
      <c r="Q168" s="57">
        <f>'Historic CDM'!N7</f>
        <v>773377.78722497891</v>
      </c>
      <c r="R168" s="57">
        <f t="shared" ca="1" si="36"/>
        <v>87062280.704997838</v>
      </c>
    </row>
    <row r="169" spans="1:33" x14ac:dyDescent="0.2">
      <c r="A169" s="11">
        <f t="shared" si="40"/>
        <v>2014</v>
      </c>
      <c r="D169" s="41">
        <f t="shared" si="37"/>
        <v>88384426.730000004</v>
      </c>
      <c r="E169" s="41">
        <f t="shared" si="38"/>
        <v>1266618.7406463188</v>
      </c>
      <c r="F169" s="5">
        <f t="shared" si="39"/>
        <v>89651045.470646307</v>
      </c>
      <c r="L169" s="1"/>
      <c r="N169" s="57"/>
      <c r="P169" s="5">
        <f t="shared" ca="1" si="35"/>
        <v>88956314.744009286</v>
      </c>
      <c r="Q169" s="57">
        <f>'Historic CDM'!N8</f>
        <v>1266618.7406463188</v>
      </c>
      <c r="R169" s="57">
        <f t="shared" ca="1" si="36"/>
        <v>87689696.003362954</v>
      </c>
    </row>
    <row r="170" spans="1:33" x14ac:dyDescent="0.2">
      <c r="A170" s="11">
        <f t="shared" si="40"/>
        <v>2015</v>
      </c>
      <c r="B170" s="11"/>
      <c r="C170" s="11"/>
      <c r="D170" s="41">
        <f t="shared" si="37"/>
        <v>88333188.626506001</v>
      </c>
      <c r="E170" s="41">
        <f t="shared" si="38"/>
        <v>2339249.6059254631</v>
      </c>
      <c r="F170" s="5">
        <f t="shared" si="39"/>
        <v>90672438.232431471</v>
      </c>
      <c r="L170" s="1"/>
      <c r="N170" s="57"/>
      <c r="P170" s="5">
        <f t="shared" ca="1" si="35"/>
        <v>90430714.135585874</v>
      </c>
      <c r="Q170" s="57">
        <f>'Historic CDM'!N9</f>
        <v>2339249.6059254631</v>
      </c>
      <c r="R170" s="57">
        <f t="shared" ca="1" si="36"/>
        <v>88091464.529660434</v>
      </c>
      <c r="AE170" s="39"/>
      <c r="AF170" s="39"/>
      <c r="AG170" s="39"/>
    </row>
    <row r="171" spans="1:33" x14ac:dyDescent="0.2">
      <c r="A171" s="11">
        <f t="shared" si="40"/>
        <v>2016</v>
      </c>
      <c r="D171" s="41">
        <f t="shared" si="37"/>
        <v>88749928.414457858</v>
      </c>
      <c r="E171" s="41">
        <f t="shared" si="38"/>
        <v>3982403.6897298838</v>
      </c>
      <c r="F171" s="5">
        <f t="shared" si="39"/>
        <v>92732332.104187712</v>
      </c>
      <c r="L171" s="1"/>
      <c r="N171" s="57"/>
      <c r="P171" s="5">
        <f t="shared" ca="1" si="35"/>
        <v>92236711.000812992</v>
      </c>
      <c r="Q171" s="57">
        <f>'Historic CDM'!N10</f>
        <v>3982403.6897298833</v>
      </c>
      <c r="R171" s="57">
        <f t="shared" ca="1" si="36"/>
        <v>88254307.311083108</v>
      </c>
    </row>
    <row r="172" spans="1:33" x14ac:dyDescent="0.2">
      <c r="A172" s="11">
        <f t="shared" si="40"/>
        <v>2017</v>
      </c>
      <c r="B172" s="11"/>
      <c r="C172" s="11"/>
      <c r="D172" s="41">
        <f t="shared" si="37"/>
        <v>82899471.903614432</v>
      </c>
      <c r="E172" s="41">
        <f t="shared" si="38"/>
        <v>5103921.7460673954</v>
      </c>
      <c r="F172" s="5">
        <f t="shared" si="39"/>
        <v>88003393.649681836</v>
      </c>
      <c r="L172" s="1"/>
      <c r="N172" s="57"/>
      <c r="P172" s="5">
        <f t="shared" ca="1" si="35"/>
        <v>88744820.363664016</v>
      </c>
      <c r="Q172" s="57">
        <f>'Historic CDM'!N11</f>
        <v>5103921.7460673954</v>
      </c>
      <c r="R172" s="57">
        <f t="shared" ca="1" si="36"/>
        <v>83640898.617596641</v>
      </c>
    </row>
    <row r="173" spans="1:33" x14ac:dyDescent="0.2">
      <c r="A173" s="11">
        <f t="shared" si="40"/>
        <v>2018</v>
      </c>
      <c r="D173" s="41">
        <f t="shared" si="37"/>
        <v>86093744.838554204</v>
      </c>
      <c r="E173" s="41">
        <f t="shared" si="38"/>
        <v>6203925.366380427</v>
      </c>
      <c r="F173" s="5">
        <f t="shared" si="39"/>
        <v>92297670.204934612</v>
      </c>
      <c r="L173" s="1"/>
      <c r="N173" s="57"/>
      <c r="P173" s="5">
        <f t="shared" ca="1" si="35"/>
        <v>91157901.094878763</v>
      </c>
      <c r="Q173" s="57">
        <f>'Historic CDM'!N12</f>
        <v>6203925.3663804261</v>
      </c>
      <c r="R173" s="57">
        <f t="shared" ca="1" si="36"/>
        <v>84953975.72849834</v>
      </c>
    </row>
    <row r="174" spans="1:33" x14ac:dyDescent="0.2">
      <c r="A174" s="11">
        <f t="shared" si="40"/>
        <v>2019</v>
      </c>
      <c r="B174" s="11"/>
      <c r="C174" s="11"/>
      <c r="D174" s="41">
        <f t="shared" si="37"/>
        <v>83808650.746987954</v>
      </c>
      <c r="E174" s="41">
        <f t="shared" si="38"/>
        <v>7283282.6936984016</v>
      </c>
      <c r="F174" s="5">
        <f t="shared" si="39"/>
        <v>91091933.440686345</v>
      </c>
      <c r="L174" s="1"/>
      <c r="N174" s="57"/>
      <c r="P174" s="5">
        <f t="shared" ca="1" si="35"/>
        <v>90803811.119333416</v>
      </c>
      <c r="Q174" s="57">
        <f>'Historic CDM'!N13</f>
        <v>7283282.6936984016</v>
      </c>
      <c r="R174" s="57">
        <f t="shared" ca="1" si="36"/>
        <v>83520528.425635025</v>
      </c>
    </row>
    <row r="175" spans="1:33" x14ac:dyDescent="0.2">
      <c r="A175" s="11">
        <f t="shared" si="40"/>
        <v>2020</v>
      </c>
      <c r="D175" s="41">
        <f t="shared" si="37"/>
        <v>79694764.992771059</v>
      </c>
      <c r="E175" s="41">
        <f t="shared" si="38"/>
        <v>7797753.6168311285</v>
      </c>
      <c r="F175" s="5">
        <f t="shared" si="39"/>
        <v>87492518.609602198</v>
      </c>
      <c r="L175" s="1"/>
      <c r="N175" s="57"/>
      <c r="P175" s="5">
        <f t="shared" ca="1" si="35"/>
        <v>87805602.4696486</v>
      </c>
      <c r="Q175" s="57">
        <f>'Historic CDM'!N14</f>
        <v>7797753.6168311285</v>
      </c>
      <c r="R175" s="57">
        <f t="shared" ca="1" si="36"/>
        <v>80007848.852817461</v>
      </c>
      <c r="S175" s="5"/>
    </row>
    <row r="176" spans="1:33" x14ac:dyDescent="0.2">
      <c r="A176" s="11">
        <f t="shared" si="40"/>
        <v>2021</v>
      </c>
      <c r="B176" s="11"/>
      <c r="C176" s="11"/>
      <c r="D176" s="41">
        <f>SUMIF(B:B,A176,D:D)</f>
        <v>85479169.763855413</v>
      </c>
      <c r="E176" s="41">
        <f t="shared" si="38"/>
        <v>9000615.3755871262</v>
      </c>
      <c r="F176" s="5">
        <f t="shared" si="39"/>
        <v>94479785.139442518</v>
      </c>
      <c r="L176" s="1"/>
      <c r="N176" s="57"/>
      <c r="P176" s="5">
        <f t="shared" ca="1" si="35"/>
        <v>94852530.571460366</v>
      </c>
      <c r="Q176" s="57">
        <f>'Historic CDM'!N15</f>
        <v>9000615.3755871262</v>
      </c>
      <c r="R176" s="57">
        <f t="shared" ca="1" si="36"/>
        <v>85851915.195873246</v>
      </c>
      <c r="S176" s="5"/>
    </row>
    <row r="177" spans="1:33" x14ac:dyDescent="0.2">
      <c r="A177" s="11">
        <f t="shared" si="40"/>
        <v>2022</v>
      </c>
      <c r="B177" s="11"/>
      <c r="C177" s="11"/>
      <c r="D177" s="41"/>
      <c r="E177" s="41"/>
      <c r="L177" s="1"/>
      <c r="N177" s="57"/>
      <c r="P177" s="5">
        <f t="shared" ca="1" si="35"/>
        <v>97762926.531053081</v>
      </c>
      <c r="Q177" s="57">
        <f>'Historic CDM'!N16</f>
        <v>8981991.0753254313</v>
      </c>
      <c r="R177" s="57">
        <f t="shared" ca="1" si="36"/>
        <v>88780935.455727622</v>
      </c>
      <c r="S177" s="29">
        <f>'Rate Class Energy Model'!$D$20</f>
        <v>3301337.770131859</v>
      </c>
      <c r="T177" s="62">
        <f ca="1">R177-S177</f>
        <v>85479597.685595766</v>
      </c>
    </row>
    <row r="178" spans="1:33" x14ac:dyDescent="0.2">
      <c r="A178" s="11">
        <f t="shared" si="40"/>
        <v>2023</v>
      </c>
      <c r="D178" s="41"/>
      <c r="E178" s="41"/>
      <c r="K178" s="43"/>
      <c r="L178" s="43"/>
      <c r="N178" s="54"/>
      <c r="O178" s="43"/>
      <c r="P178" s="5">
        <f t="shared" ca="1" si="35"/>
        <v>99811919.987764254</v>
      </c>
      <c r="Q178" s="57">
        <f>'Historic CDM'!N17</f>
        <v>8799895.5567097496</v>
      </c>
      <c r="R178" s="57">
        <f t="shared" ca="1" si="36"/>
        <v>91012024.431054503</v>
      </c>
      <c r="S178" s="29">
        <f>'Rate Class Energy Model'!$D$20</f>
        <v>3301337.770131859</v>
      </c>
      <c r="T178" s="62">
        <f ca="1">R178-S178</f>
        <v>87710686.660922647</v>
      </c>
    </row>
    <row r="179" spans="1:33" x14ac:dyDescent="0.2">
      <c r="A179" s="28" t="s">
        <v>300</v>
      </c>
      <c r="B179" s="28"/>
      <c r="C179" s="28"/>
      <c r="D179" s="28"/>
      <c r="E179" s="28"/>
      <c r="O179" s="5"/>
      <c r="P179" s="5"/>
      <c r="Q179" s="5"/>
    </row>
    <row r="181" spans="1:33" x14ac:dyDescent="0.2">
      <c r="O181" s="5"/>
      <c r="P181" s="5"/>
      <c r="Q181" s="26"/>
    </row>
    <row r="182" spans="1:33" x14ac:dyDescent="0.2">
      <c r="S182" s="41"/>
    </row>
    <row r="183" spans="1:33" x14ac:dyDescent="0.2">
      <c r="S183" s="41"/>
    </row>
    <row r="184" spans="1:33" x14ac:dyDescent="0.2">
      <c r="AE184" s="39"/>
      <c r="AF184" s="39"/>
      <c r="AG184" s="39"/>
    </row>
    <row r="195" spans="31:33" x14ac:dyDescent="0.2">
      <c r="AE195" s="39"/>
      <c r="AF195" s="39"/>
      <c r="AG195" s="39"/>
    </row>
  </sheetData>
  <mergeCells count="3">
    <mergeCell ref="A1:C1"/>
    <mergeCell ref="T144:T146"/>
    <mergeCell ref="U144:U146"/>
  </mergeCells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18" max="1048575" man="1"/>
    <brk id="28" max="222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00D5A-48D8-4F0C-93FE-9A129EA80B55}">
  <sheetPr>
    <tabColor theme="9" tint="0.79998168889431442"/>
  </sheetPr>
  <dimension ref="A1:AW190"/>
  <sheetViews>
    <sheetView zoomScale="80" zoomScaleNormal="80" workbookViewId="0">
      <pane xSplit="1" ySplit="2" topLeftCell="I3" activePane="bottomRight" state="frozen"/>
      <selection activeCell="V159" sqref="V159"/>
      <selection pane="topRight" activeCell="V159" sqref="V159"/>
      <selection pane="bottomLeft" activeCell="V159" sqref="V159"/>
      <selection pane="bottomRight" activeCell="X17" sqref="X17"/>
    </sheetView>
  </sheetViews>
  <sheetFormatPr defaultRowHeight="12.75" x14ac:dyDescent="0.2"/>
  <cols>
    <col min="1" max="3" width="11.85546875" customWidth="1"/>
    <col min="4" max="4" width="14.140625" customWidth="1"/>
    <col min="5" max="5" width="13.28515625" customWidth="1"/>
    <col min="6" max="6" width="12.7109375" style="5" bestFit="1" customWidth="1"/>
    <col min="7" max="7" width="12.140625" style="1" customWidth="1"/>
    <col min="8" max="10" width="11.5703125" style="1" customWidth="1"/>
    <col min="11" max="11" width="9.42578125" style="1" bestFit="1" customWidth="1"/>
    <col min="12" max="12" width="10.85546875" style="1" bestFit="1" customWidth="1"/>
    <col min="13" max="13" width="10.85546875" style="1" customWidth="1"/>
    <col min="14" max="14" width="10.7109375" style="1" bestFit="1" customWidth="1"/>
    <col min="15" max="15" width="15.140625" style="1" bestFit="1" customWidth="1"/>
    <col min="16" max="16" width="15.140625" style="1" customWidth="1"/>
    <col min="17" max="17" width="13.28515625" style="1" customWidth="1"/>
    <col min="18" max="18" width="13.7109375" style="1" customWidth="1"/>
    <col min="19" max="19" width="22.42578125" bestFit="1" customWidth="1"/>
    <col min="20" max="20" width="14.85546875" bestFit="1" customWidth="1"/>
    <col min="21" max="21" width="13.7109375" bestFit="1" customWidth="1"/>
    <col min="22" max="22" width="12.5703125" bestFit="1" customWidth="1"/>
    <col min="23" max="23" width="12.42578125" bestFit="1" customWidth="1"/>
    <col min="24" max="24" width="13.5703125" bestFit="1" customWidth="1"/>
    <col min="25" max="27" width="12.5703125" bestFit="1" customWidth="1"/>
    <col min="28" max="28" width="14.140625" bestFit="1" customWidth="1"/>
    <col min="29" max="31" width="12.7109375" customWidth="1"/>
    <col min="32" max="40" width="12.7109375" style="5" customWidth="1"/>
    <col min="41" max="50" width="12.7109375" customWidth="1"/>
  </cols>
  <sheetData>
    <row r="1" spans="1:44" ht="15.75" x14ac:dyDescent="0.25">
      <c r="A1" s="321" t="s">
        <v>344</v>
      </c>
      <c r="B1" s="321"/>
      <c r="C1" s="321"/>
      <c r="D1" s="321"/>
      <c r="E1" s="321"/>
      <c r="F1" s="321"/>
      <c r="G1" s="321"/>
    </row>
    <row r="2" spans="1:44" ht="42" customHeight="1" x14ac:dyDescent="0.2">
      <c r="D2" s="56" t="str">
        <f>Data!J1</f>
        <v>GS50to999_kWh</v>
      </c>
      <c r="E2" s="56" t="str">
        <f>Data!K1</f>
        <v>GS50to999_CDM</v>
      </c>
      <c r="F2" s="56" t="str">
        <f>Data!L1</f>
        <v>GS50to999_NoCDM</v>
      </c>
      <c r="G2" s="252" t="str">
        <f>Data!AV1</f>
        <v>HDD10</v>
      </c>
      <c r="H2" s="252" t="str">
        <f>Data!AU1</f>
        <v>CDD12</v>
      </c>
      <c r="I2" s="8" t="str">
        <f>G2&amp;"Norm"</f>
        <v>HDD10Norm</v>
      </c>
      <c r="J2" s="8" t="str">
        <f>H2&amp;"Norm"</f>
        <v>CDD12Norm</v>
      </c>
      <c r="K2" s="8" t="s">
        <v>272</v>
      </c>
      <c r="L2" s="8" t="s">
        <v>274</v>
      </c>
      <c r="M2" s="8" t="s">
        <v>336</v>
      </c>
      <c r="N2" s="8" t="s">
        <v>52</v>
      </c>
      <c r="O2" s="8" t="s">
        <v>275</v>
      </c>
      <c r="P2" s="8" t="s">
        <v>276</v>
      </c>
      <c r="Q2" s="8" t="s">
        <v>277</v>
      </c>
      <c r="R2" s="8" t="s">
        <v>278</v>
      </c>
      <c r="AF2" s="7"/>
      <c r="AG2" s="7"/>
      <c r="AH2" s="7"/>
    </row>
    <row r="3" spans="1:44" x14ac:dyDescent="0.2">
      <c r="A3" s="2">
        <v>40544</v>
      </c>
      <c r="B3">
        <f>YEAR(A3)</f>
        <v>2011</v>
      </c>
      <c r="C3">
        <f>MONTH(A3)</f>
        <v>1</v>
      </c>
      <c r="D3" s="56">
        <f>Data!J2</f>
        <v>16624484.049999999</v>
      </c>
      <c r="E3" s="56">
        <f>Data!K2</f>
        <v>92782.771217919406</v>
      </c>
      <c r="F3" s="56">
        <f>Data!L2</f>
        <v>16717266.821217919</v>
      </c>
      <c r="G3" s="253">
        <f>Data!AV2</f>
        <v>527.30000000000007</v>
      </c>
      <c r="H3" s="253">
        <f>Data!AU2</f>
        <v>0</v>
      </c>
      <c r="I3" s="251">
        <f ca="1">Weather!DF61</f>
        <v>439.5</v>
      </c>
      <c r="J3" s="251">
        <f ca="1">Weather!CS61</f>
        <v>0</v>
      </c>
      <c r="K3" s="32">
        <f>Data!BG2</f>
        <v>31</v>
      </c>
      <c r="L3" s="32">
        <f>Data!AC2</f>
        <v>257</v>
      </c>
      <c r="M3" s="32">
        <f>Data!BC2</f>
        <v>2928.6</v>
      </c>
      <c r="N3" s="32">
        <f>Data!BZ2</f>
        <v>0</v>
      </c>
      <c r="O3" s="32">
        <f t="shared" ref="O3:O34" ca="1" si="0">F3+(I3-G3)*$T$10+(J3-H3)*$T$11</f>
        <v>16260641.926946038</v>
      </c>
      <c r="P3" s="32">
        <f ca="1">O3-E3</f>
        <v>16167859.155728118</v>
      </c>
      <c r="Q3" s="51">
        <f ca="1">+O3-F3</f>
        <v>-456624.89427188039</v>
      </c>
      <c r="R3" s="50">
        <f ca="1">ABS(Q3/F3)</f>
        <v>2.7314566379494653E-2</v>
      </c>
      <c r="T3" t="s">
        <v>356</v>
      </c>
      <c r="Z3" s="315" t="s">
        <v>349</v>
      </c>
      <c r="AA3" s="315"/>
      <c r="AB3" s="315"/>
      <c r="AC3" s="315"/>
      <c r="AD3" s="317"/>
      <c r="AE3" s="39"/>
      <c r="AF3" s="66"/>
      <c r="AG3" s="51"/>
      <c r="AH3" s="74"/>
      <c r="AI3" s="74"/>
      <c r="AJ3" s="204"/>
      <c r="AK3" s="74"/>
      <c r="AL3" s="74"/>
      <c r="AM3" s="197"/>
      <c r="AN3" s="204"/>
      <c r="AO3" s="68"/>
    </row>
    <row r="4" spans="1:44" x14ac:dyDescent="0.2">
      <c r="A4" s="2">
        <v>40575</v>
      </c>
      <c r="B4">
        <f t="shared" ref="B4:B67" si="1">YEAR(A4)</f>
        <v>2011</v>
      </c>
      <c r="C4">
        <f t="shared" ref="C4:C67" si="2">MONTH(A4)</f>
        <v>2</v>
      </c>
      <c r="D4" s="56">
        <f>Data!J3</f>
        <v>15658887.129999997</v>
      </c>
      <c r="E4" s="56">
        <f>Data!K3</f>
        <v>92782.771217919406</v>
      </c>
      <c r="F4" s="56">
        <f>Data!L3</f>
        <v>15751669.901217917</v>
      </c>
      <c r="G4" s="253">
        <f>Data!AV3</f>
        <v>430.20000000000005</v>
      </c>
      <c r="H4" s="253">
        <f>Data!AU3</f>
        <v>0</v>
      </c>
      <c r="I4" s="251">
        <f ca="1">Weather!DF62</f>
        <v>403.5</v>
      </c>
      <c r="J4" s="251">
        <f ca="1">Weather!CS62</f>
        <v>0</v>
      </c>
      <c r="K4" s="32">
        <f>Data!BG3</f>
        <v>28</v>
      </c>
      <c r="L4" s="32">
        <f>Data!AC3</f>
        <v>255</v>
      </c>
      <c r="M4" s="32">
        <f>Data!BC3</f>
        <v>2938.9</v>
      </c>
      <c r="N4" s="32">
        <f>Data!BZ3</f>
        <v>0</v>
      </c>
      <c r="O4" s="32">
        <f t="shared" ca="1" si="0"/>
        <v>15612810.166855056</v>
      </c>
      <c r="P4" s="32">
        <f t="shared" ref="P4:P67" ca="1" si="3">O4-E4</f>
        <v>15520027.395637136</v>
      </c>
      <c r="Q4" s="51">
        <f t="shared" ref="Q4:Q67" ca="1" si="4">+O4-F4</f>
        <v>-138859.73436286114</v>
      </c>
      <c r="R4" s="50">
        <f t="shared" ref="R4:R67" ca="1" si="5">ABS(Q4/F4)</f>
        <v>8.8155563971109192E-3</v>
      </c>
      <c r="S4" t="s">
        <v>354</v>
      </c>
      <c r="Z4" s="315" t="s">
        <v>297</v>
      </c>
      <c r="AA4" s="315"/>
      <c r="AB4" s="315"/>
      <c r="AC4" s="315"/>
      <c r="AD4" s="315"/>
      <c r="AF4" s="333"/>
      <c r="AG4" s="333"/>
      <c r="AH4" s="74"/>
      <c r="AI4" s="74"/>
      <c r="AJ4" s="197"/>
      <c r="AK4" s="208"/>
      <c r="AL4" s="74"/>
      <c r="AM4" s="197"/>
      <c r="AN4" s="197"/>
      <c r="AO4" s="68"/>
    </row>
    <row r="5" spans="1:44" x14ac:dyDescent="0.2">
      <c r="A5" s="2">
        <v>40603</v>
      </c>
      <c r="B5">
        <f t="shared" si="1"/>
        <v>2011</v>
      </c>
      <c r="C5">
        <f t="shared" si="2"/>
        <v>3</v>
      </c>
      <c r="D5" s="56">
        <f>Data!J4</f>
        <v>16577681.930000002</v>
      </c>
      <c r="E5" s="56">
        <f>Data!K4</f>
        <v>92782.771217919406</v>
      </c>
      <c r="F5" s="56">
        <f>Data!L4</f>
        <v>16670464.701217921</v>
      </c>
      <c r="G5" s="253">
        <f>Data!AV4</f>
        <v>324.79999999999995</v>
      </c>
      <c r="H5" s="253">
        <f>Data!AU4</f>
        <v>0</v>
      </c>
      <c r="I5" s="251">
        <f ca="1">Weather!DF63</f>
        <v>291.06</v>
      </c>
      <c r="J5" s="251">
        <f ca="1">Weather!CS63</f>
        <v>2.8099999999999996</v>
      </c>
      <c r="K5" s="32">
        <f>Data!BG4</f>
        <v>31</v>
      </c>
      <c r="L5" s="32">
        <f>Data!AC4</f>
        <v>256</v>
      </c>
      <c r="M5" s="32">
        <f>Data!BC4</f>
        <v>2930.7</v>
      </c>
      <c r="N5" s="32">
        <f>Data!BZ4</f>
        <v>0</v>
      </c>
      <c r="O5" s="32">
        <f t="shared" ca="1" si="0"/>
        <v>16513632.221315578</v>
      </c>
      <c r="P5" s="32">
        <f t="shared" ca="1" si="3"/>
        <v>16420849.450097658</v>
      </c>
      <c r="Q5" s="51">
        <f t="shared" ca="1" si="4"/>
        <v>-156832.47990234382</v>
      </c>
      <c r="R5" s="50">
        <f t="shared" ca="1" si="5"/>
        <v>9.4078049240514487E-3</v>
      </c>
      <c r="S5" t="s">
        <v>298</v>
      </c>
      <c r="Z5" s="315" t="s">
        <v>298</v>
      </c>
      <c r="AA5" s="315"/>
      <c r="AB5" s="315"/>
      <c r="AC5" s="315"/>
      <c r="AD5" s="315"/>
      <c r="AF5" s="51"/>
      <c r="AG5" s="51"/>
      <c r="AH5" s="74"/>
      <c r="AI5" s="74"/>
      <c r="AJ5" s="197"/>
      <c r="AK5" s="208"/>
      <c r="AL5" s="74"/>
      <c r="AM5" s="197"/>
      <c r="AN5" s="197"/>
      <c r="AO5" s="67"/>
    </row>
    <row r="6" spans="1:44" x14ac:dyDescent="0.2">
      <c r="A6" s="2">
        <v>40634</v>
      </c>
      <c r="B6">
        <f t="shared" si="1"/>
        <v>2011</v>
      </c>
      <c r="C6">
        <f t="shared" si="2"/>
        <v>4</v>
      </c>
      <c r="D6" s="56">
        <f>Data!J5</f>
        <v>14870365.83</v>
      </c>
      <c r="E6" s="56">
        <f>Data!K5</f>
        <v>92782.771217919406</v>
      </c>
      <c r="F6" s="56">
        <f>Data!L5</f>
        <v>14963148.60121792</v>
      </c>
      <c r="G6" s="253">
        <f>Data!AV5</f>
        <v>106.70000000000002</v>
      </c>
      <c r="H6" s="253">
        <f>Data!AU5</f>
        <v>6.4</v>
      </c>
      <c r="I6" s="251">
        <f ca="1">Weather!DF64</f>
        <v>120.71999999999998</v>
      </c>
      <c r="J6" s="251">
        <f ca="1">Weather!CS64</f>
        <v>6.58</v>
      </c>
      <c r="K6" s="32">
        <f>Data!BG5</f>
        <v>30</v>
      </c>
      <c r="L6" s="32">
        <f>Data!AC5</f>
        <v>257</v>
      </c>
      <c r="M6" s="32">
        <f>Data!BC5</f>
        <v>2922.2</v>
      </c>
      <c r="N6" s="32">
        <f>Data!BZ5</f>
        <v>0</v>
      </c>
      <c r="O6" s="32">
        <f t="shared" ca="1" si="0"/>
        <v>15037257.014285589</v>
      </c>
      <c r="P6" s="32">
        <f t="shared" ca="1" si="3"/>
        <v>14944474.243067669</v>
      </c>
      <c r="Q6" s="51">
        <f t="shared" ca="1" si="4"/>
        <v>74108.413067668676</v>
      </c>
      <c r="R6" s="50">
        <f t="shared" ca="1" si="5"/>
        <v>4.9527285361342099E-3</v>
      </c>
      <c r="S6" t="s">
        <v>355</v>
      </c>
      <c r="Z6" s="315" t="s">
        <v>299</v>
      </c>
      <c r="AA6" s="315"/>
      <c r="AB6" s="315"/>
      <c r="AC6" s="315"/>
      <c r="AD6" s="315"/>
      <c r="AF6" s="74"/>
      <c r="AG6" s="69"/>
      <c r="AH6" s="39"/>
      <c r="AK6" s="209"/>
      <c r="AL6" s="209"/>
      <c r="AO6" s="5"/>
      <c r="AP6" s="5"/>
      <c r="AR6" s="28"/>
    </row>
    <row r="7" spans="1:44" x14ac:dyDescent="0.2">
      <c r="A7" s="2">
        <v>40664</v>
      </c>
      <c r="B7">
        <f t="shared" si="1"/>
        <v>2011</v>
      </c>
      <c r="C7">
        <f t="shared" si="2"/>
        <v>5</v>
      </c>
      <c r="D7" s="56">
        <f>Data!J6</f>
        <v>15387555.400000006</v>
      </c>
      <c r="E7" s="56">
        <f>Data!K6</f>
        <v>92782.771217919406</v>
      </c>
      <c r="F7" s="56">
        <f>Data!L6</f>
        <v>15480338.171217926</v>
      </c>
      <c r="G7" s="253">
        <f>Data!AV6</f>
        <v>7.1</v>
      </c>
      <c r="H7" s="253">
        <f>Data!AU6</f>
        <v>86.7</v>
      </c>
      <c r="I7" s="251">
        <f ca="1">Weather!DF65</f>
        <v>16.330000000000002</v>
      </c>
      <c r="J7" s="251">
        <f ca="1">Weather!CS65</f>
        <v>107.25</v>
      </c>
      <c r="K7" s="32">
        <f>Data!BG6</f>
        <v>31</v>
      </c>
      <c r="L7" s="32">
        <f>Data!AC6</f>
        <v>263</v>
      </c>
      <c r="M7" s="32">
        <f>Data!BC6</f>
        <v>2920.1</v>
      </c>
      <c r="N7" s="32">
        <f>Data!BZ6</f>
        <v>0</v>
      </c>
      <c r="O7" s="32">
        <f t="shared" ca="1" si="0"/>
        <v>15664661.77914265</v>
      </c>
      <c r="P7" s="32">
        <f t="shared" ca="1" si="3"/>
        <v>15571879.00792473</v>
      </c>
      <c r="Q7" s="51">
        <f t="shared" ca="1" si="4"/>
        <v>184323.607924724</v>
      </c>
      <c r="R7" s="50">
        <f t="shared" ca="1" si="5"/>
        <v>1.190694969877536E-2</v>
      </c>
      <c r="Z7" s="315"/>
      <c r="AA7" s="315"/>
      <c r="AB7" s="315"/>
      <c r="AC7" s="315"/>
      <c r="AD7" s="315"/>
      <c r="AF7" s="74"/>
      <c r="AG7" s="69"/>
      <c r="AH7" s="39"/>
      <c r="AK7" s="209"/>
      <c r="AL7" s="209"/>
      <c r="AO7" s="5"/>
      <c r="AP7" s="5"/>
      <c r="AR7" s="28"/>
    </row>
    <row r="8" spans="1:44" x14ac:dyDescent="0.2">
      <c r="A8" s="2">
        <v>40695</v>
      </c>
      <c r="B8">
        <f t="shared" si="1"/>
        <v>2011</v>
      </c>
      <c r="C8">
        <f t="shared" si="2"/>
        <v>6</v>
      </c>
      <c r="D8" s="56">
        <f>Data!J7</f>
        <v>16284746.789999999</v>
      </c>
      <c r="E8" s="56">
        <f>Data!K7</f>
        <v>92782.771217919406</v>
      </c>
      <c r="F8" s="56">
        <f>Data!L7</f>
        <v>16377529.561217919</v>
      </c>
      <c r="G8" s="253">
        <f>Data!AV7</f>
        <v>0</v>
      </c>
      <c r="H8" s="253">
        <f>Data!AU7</f>
        <v>213.20000000000002</v>
      </c>
      <c r="I8" s="251">
        <f ca="1">Weather!DF66</f>
        <v>0</v>
      </c>
      <c r="J8" s="251">
        <f ca="1">Weather!CS66</f>
        <v>230.10000000000005</v>
      </c>
      <c r="K8" s="32">
        <f>Data!BG7</f>
        <v>30</v>
      </c>
      <c r="L8" s="32">
        <f>Data!AC7</f>
        <v>263</v>
      </c>
      <c r="M8" s="32">
        <f>Data!BC7</f>
        <v>2927.5</v>
      </c>
      <c r="N8" s="32">
        <f>Data!BZ7</f>
        <v>0</v>
      </c>
      <c r="O8" s="32">
        <f t="shared" ca="1" si="0"/>
        <v>16489637.652781956</v>
      </c>
      <c r="P8" s="32">
        <f t="shared" ca="1" si="3"/>
        <v>16396854.881564036</v>
      </c>
      <c r="Q8" s="51">
        <f t="shared" ca="1" si="4"/>
        <v>112108.09156403691</v>
      </c>
      <c r="R8" s="50">
        <f t="shared" ca="1" si="5"/>
        <v>6.8452382360224516E-3</v>
      </c>
      <c r="S8" s="149"/>
      <c r="T8" s="149" t="s">
        <v>135</v>
      </c>
      <c r="U8" s="149" t="s">
        <v>136</v>
      </c>
      <c r="V8" t="s">
        <v>137</v>
      </c>
      <c r="W8" t="s">
        <v>138</v>
      </c>
      <c r="X8" s="149"/>
      <c r="Z8" s="149"/>
      <c r="AA8" s="149" t="s">
        <v>135</v>
      </c>
      <c r="AB8" s="149" t="s">
        <v>136</v>
      </c>
      <c r="AC8" s="315" t="s">
        <v>137</v>
      </c>
      <c r="AD8" s="315" t="s">
        <v>138</v>
      </c>
      <c r="AE8" s="149"/>
      <c r="AF8" s="74"/>
      <c r="AG8" s="69"/>
      <c r="AH8" s="39"/>
      <c r="AK8" s="209"/>
      <c r="AL8" s="209"/>
      <c r="AO8" s="5"/>
      <c r="AP8" s="5"/>
      <c r="AR8" s="28"/>
    </row>
    <row r="9" spans="1:44" x14ac:dyDescent="0.2">
      <c r="A9" s="2">
        <v>40725</v>
      </c>
      <c r="B9">
        <f t="shared" si="1"/>
        <v>2011</v>
      </c>
      <c r="C9">
        <f t="shared" si="2"/>
        <v>7</v>
      </c>
      <c r="D9" s="56">
        <f>Data!J8</f>
        <v>16946151.27</v>
      </c>
      <c r="E9" s="56">
        <f>Data!K8</f>
        <v>92782.771217919406</v>
      </c>
      <c r="F9" s="56">
        <f>Data!L8</f>
        <v>17038934.041217919</v>
      </c>
      <c r="G9" s="253">
        <f>Data!AV8</f>
        <v>0</v>
      </c>
      <c r="H9" s="253">
        <f>Data!AU8</f>
        <v>384.2999999999999</v>
      </c>
      <c r="I9" s="251">
        <f ca="1">Weather!DF67</f>
        <v>0</v>
      </c>
      <c r="J9" s="251">
        <f ca="1">Weather!CS67</f>
        <v>331.41</v>
      </c>
      <c r="K9" s="32">
        <f>Data!BG8</f>
        <v>31</v>
      </c>
      <c r="L9" s="32">
        <f>Data!AC8</f>
        <v>265</v>
      </c>
      <c r="M9" s="32">
        <f>Data!BC8</f>
        <v>2923.6</v>
      </c>
      <c r="N9" s="32">
        <f>Data!BZ8</f>
        <v>0</v>
      </c>
      <c r="O9" s="32">
        <f t="shared" ca="1" si="0"/>
        <v>16688082.149926681</v>
      </c>
      <c r="P9" s="32">
        <f t="shared" ca="1" si="3"/>
        <v>16595299.378708761</v>
      </c>
      <c r="Q9" s="51">
        <f t="shared" ca="1" si="4"/>
        <v>-350851.89129123837</v>
      </c>
      <c r="R9" s="50">
        <f t="shared" ca="1" si="5"/>
        <v>2.0591187831498874E-2</v>
      </c>
      <c r="S9" t="s">
        <v>139</v>
      </c>
      <c r="T9">
        <v>-14474194.8682798</v>
      </c>
      <c r="U9">
        <v>2078604.8918774701</v>
      </c>
      <c r="V9">
        <v>-6.9634180718232397</v>
      </c>
      <c r="W9" s="130">
        <v>1.67249840643603E-10</v>
      </c>
      <c r="Z9" s="315" t="s">
        <v>139</v>
      </c>
      <c r="AA9" s="315">
        <v>-14427970.062420901</v>
      </c>
      <c r="AB9" s="315">
        <v>2078230.73323364</v>
      </c>
      <c r="AC9" s="315">
        <v>-6.9424293615230601</v>
      </c>
      <c r="AD9" s="316">
        <v>1.8619369107404799E-10</v>
      </c>
      <c r="AF9" s="74"/>
      <c r="AG9" s="69"/>
      <c r="AH9" s="39"/>
      <c r="AK9" s="209"/>
      <c r="AL9" s="209"/>
      <c r="AO9" s="5"/>
      <c r="AP9" s="5"/>
      <c r="AR9" s="28"/>
    </row>
    <row r="10" spans="1:44" x14ac:dyDescent="0.2">
      <c r="A10" s="2">
        <v>40756</v>
      </c>
      <c r="B10">
        <f t="shared" si="1"/>
        <v>2011</v>
      </c>
      <c r="C10">
        <f t="shared" si="2"/>
        <v>8</v>
      </c>
      <c r="D10" s="56">
        <f>Data!J9</f>
        <v>16700144.319999998</v>
      </c>
      <c r="E10" s="56">
        <f>Data!K9</f>
        <v>92782.771217919406</v>
      </c>
      <c r="F10" s="56">
        <f>Data!L9</f>
        <v>16792927.091217916</v>
      </c>
      <c r="G10" s="253">
        <f>Data!AV9</f>
        <v>0</v>
      </c>
      <c r="H10" s="253">
        <f>Data!AU9</f>
        <v>308.2</v>
      </c>
      <c r="I10" s="251">
        <f ca="1">Weather!DF68</f>
        <v>0</v>
      </c>
      <c r="J10" s="251">
        <f ca="1">Weather!CS68</f>
        <v>304.46000000000004</v>
      </c>
      <c r="K10" s="32">
        <f>Data!BG9</f>
        <v>31</v>
      </c>
      <c r="L10" s="32">
        <f>Data!AC9</f>
        <v>267</v>
      </c>
      <c r="M10" s="32">
        <f>Data!BC9</f>
        <v>2920.2</v>
      </c>
      <c r="N10" s="32">
        <f>Data!BZ9</f>
        <v>0</v>
      </c>
      <c r="O10" s="32">
        <f t="shared" ca="1" si="0"/>
        <v>16768117.371546349</v>
      </c>
      <c r="P10" s="32">
        <f t="shared" ca="1" si="3"/>
        <v>16675334.600328429</v>
      </c>
      <c r="Q10" s="51">
        <f t="shared" ca="1" si="4"/>
        <v>-24809.719671567902</v>
      </c>
      <c r="R10" s="50">
        <f t="shared" ca="1" si="5"/>
        <v>1.4773910192549143E-3</v>
      </c>
      <c r="S10" t="s">
        <v>119</v>
      </c>
      <c r="T10">
        <v>5200.7391147138896</v>
      </c>
      <c r="U10">
        <v>434.193311517474</v>
      </c>
      <c r="V10">
        <v>11.977934658960301</v>
      </c>
      <c r="W10" s="130">
        <v>1.72405100138434E-22</v>
      </c>
      <c r="Z10" s="315" t="s">
        <v>119</v>
      </c>
      <c r="AA10" s="315">
        <v>5198.3710475190701</v>
      </c>
      <c r="AB10" s="315">
        <v>434.14298705333601</v>
      </c>
      <c r="AC10" s="315">
        <v>11.9738685238291</v>
      </c>
      <c r="AD10" s="316">
        <v>1.76386451048639E-22</v>
      </c>
      <c r="AF10" s="74"/>
      <c r="AG10" s="69"/>
      <c r="AH10" s="39"/>
      <c r="AK10" s="209"/>
      <c r="AL10" s="209"/>
      <c r="AO10" s="5"/>
      <c r="AP10" s="5"/>
      <c r="AR10" s="28"/>
    </row>
    <row r="11" spans="1:44" x14ac:dyDescent="0.2">
      <c r="A11" s="2">
        <v>40787</v>
      </c>
      <c r="B11">
        <f t="shared" si="1"/>
        <v>2011</v>
      </c>
      <c r="C11">
        <f t="shared" si="2"/>
        <v>9</v>
      </c>
      <c r="D11" s="56">
        <f>Data!J10</f>
        <v>15666778.779999997</v>
      </c>
      <c r="E11" s="56">
        <f>Data!K10</f>
        <v>92782.771217919406</v>
      </c>
      <c r="F11" s="56">
        <f>Data!L10</f>
        <v>15759561.551217917</v>
      </c>
      <c r="G11" s="253">
        <f>Data!AV10</f>
        <v>0</v>
      </c>
      <c r="H11" s="253">
        <f>Data!AU10</f>
        <v>172.60000000000002</v>
      </c>
      <c r="I11" s="251">
        <f ca="1">Weather!DF69</f>
        <v>0.24999999999999983</v>
      </c>
      <c r="J11" s="251">
        <f ca="1">Weather!CS69</f>
        <v>176.51</v>
      </c>
      <c r="K11" s="32">
        <f>Data!BG10</f>
        <v>30</v>
      </c>
      <c r="L11" s="32">
        <f>Data!AC10</f>
        <v>268</v>
      </c>
      <c r="M11" s="32">
        <f>Data!BC10</f>
        <v>2915.3</v>
      </c>
      <c r="N11" s="32">
        <f>Data!BZ10</f>
        <v>0</v>
      </c>
      <c r="O11" s="32">
        <f t="shared" ca="1" si="0"/>
        <v>15786799.17019869</v>
      </c>
      <c r="P11" s="32">
        <f t="shared" ca="1" si="3"/>
        <v>15694016.39898077</v>
      </c>
      <c r="Q11" s="51">
        <f t="shared" ca="1" si="4"/>
        <v>27237.618980772793</v>
      </c>
      <c r="R11" s="50">
        <f t="shared" ca="1" si="5"/>
        <v>1.7283233986079922E-3</v>
      </c>
      <c r="S11" t="s">
        <v>118</v>
      </c>
      <c r="T11">
        <v>6633.6148854459898</v>
      </c>
      <c r="U11">
        <v>599.36713273100497</v>
      </c>
      <c r="V11">
        <v>11.0676987829147</v>
      </c>
      <c r="W11" s="130">
        <v>2.8907235527025002E-20</v>
      </c>
      <c r="Z11" s="315" t="s">
        <v>118</v>
      </c>
      <c r="AA11" s="315">
        <v>6628.1046954197</v>
      </c>
      <c r="AB11" s="315">
        <v>599.29134898888196</v>
      </c>
      <c r="AC11" s="315">
        <v>11.059903845771499</v>
      </c>
      <c r="AD11" s="316">
        <v>3.0205064667750797E-20</v>
      </c>
      <c r="AF11" s="74"/>
      <c r="AG11" s="69"/>
      <c r="AH11" s="39"/>
      <c r="AK11" s="209"/>
      <c r="AL11" s="209"/>
      <c r="AO11" s="5"/>
      <c r="AP11" s="5"/>
      <c r="AR11" s="28"/>
    </row>
    <row r="12" spans="1:44" x14ac:dyDescent="0.2">
      <c r="A12" s="2">
        <v>40817</v>
      </c>
      <c r="B12">
        <f t="shared" si="1"/>
        <v>2011</v>
      </c>
      <c r="C12">
        <f t="shared" si="2"/>
        <v>10</v>
      </c>
      <c r="D12" s="56">
        <f>Data!J11</f>
        <v>15493508.160000006</v>
      </c>
      <c r="E12" s="56">
        <f>Data!K11</f>
        <v>92782.771217919406</v>
      </c>
      <c r="F12" s="56">
        <f>Data!L11</f>
        <v>15586290.931217926</v>
      </c>
      <c r="G12" s="253">
        <f>Data!AV11</f>
        <v>49.800000000000004</v>
      </c>
      <c r="H12" s="253">
        <f>Data!AU11</f>
        <v>41.5</v>
      </c>
      <c r="I12" s="251">
        <f ca="1">Weather!DF70</f>
        <v>44.309999999999995</v>
      </c>
      <c r="J12" s="251">
        <f ca="1">Weather!CS70</f>
        <v>43.36</v>
      </c>
      <c r="K12" s="32">
        <f>Data!BG11</f>
        <v>31</v>
      </c>
      <c r="L12" s="32">
        <f>Data!AC11</f>
        <v>270</v>
      </c>
      <c r="M12" s="32">
        <f>Data!BC11</f>
        <v>2906.1</v>
      </c>
      <c r="N12" s="32">
        <f>Data!BZ11</f>
        <v>0</v>
      </c>
      <c r="O12" s="32">
        <f t="shared" ca="1" si="0"/>
        <v>15570077.397165075</v>
      </c>
      <c r="P12" s="32">
        <f t="shared" ca="1" si="3"/>
        <v>15477294.625947155</v>
      </c>
      <c r="Q12" s="51">
        <f t="shared" ca="1" si="4"/>
        <v>-16213.534052850679</v>
      </c>
      <c r="R12" s="50">
        <f t="shared" ca="1" si="5"/>
        <v>1.0402432576422939E-3</v>
      </c>
      <c r="S12" t="s">
        <v>34</v>
      </c>
      <c r="T12">
        <v>353567.63158546499</v>
      </c>
      <c r="U12">
        <v>50277.7506793129</v>
      </c>
      <c r="V12">
        <v>7.03228817535273</v>
      </c>
      <c r="W12" s="130">
        <v>1.17506897382249E-10</v>
      </c>
      <c r="Z12" s="315" t="s">
        <v>34</v>
      </c>
      <c r="AA12" s="315">
        <v>353725.04918807402</v>
      </c>
      <c r="AB12" s="315">
        <v>50247.526029926601</v>
      </c>
      <c r="AC12" s="315">
        <v>7.0396510462505297</v>
      </c>
      <c r="AD12" s="316">
        <v>1.13145767634352E-10</v>
      </c>
      <c r="AF12" s="74"/>
      <c r="AG12" s="69"/>
      <c r="AH12" s="39"/>
      <c r="AK12" s="209"/>
      <c r="AL12" s="209"/>
      <c r="AO12" s="5"/>
      <c r="AP12" s="5"/>
      <c r="AR12" s="28"/>
    </row>
    <row r="13" spans="1:44" x14ac:dyDescent="0.2">
      <c r="A13" s="2">
        <v>40848</v>
      </c>
      <c r="B13">
        <f t="shared" si="1"/>
        <v>2011</v>
      </c>
      <c r="C13">
        <f t="shared" si="2"/>
        <v>11</v>
      </c>
      <c r="D13" s="56">
        <f>Data!J12</f>
        <v>15848617.690000003</v>
      </c>
      <c r="E13" s="56">
        <f>Data!K12</f>
        <v>92782.771217919406</v>
      </c>
      <c r="F13" s="56">
        <f>Data!L12</f>
        <v>15941400.461217923</v>
      </c>
      <c r="G13" s="253">
        <f>Data!AV12</f>
        <v>115.8</v>
      </c>
      <c r="H13" s="253">
        <f>Data!AU12</f>
        <v>3.4000000000000004</v>
      </c>
      <c r="I13" s="251">
        <f ca="1">Weather!DF71</f>
        <v>193.95999999999998</v>
      </c>
      <c r="J13" s="251">
        <f ca="1">Weather!CS71</f>
        <v>2.7399999999999998</v>
      </c>
      <c r="K13" s="32">
        <f>Data!BG12</f>
        <v>30</v>
      </c>
      <c r="L13" s="32">
        <f>Data!AC12</f>
        <v>271</v>
      </c>
      <c r="M13" s="32">
        <f>Data!BC12</f>
        <v>2901.5</v>
      </c>
      <c r="N13" s="32">
        <f>Data!BZ12</f>
        <v>0</v>
      </c>
      <c r="O13" s="32">
        <f t="shared" ca="1" si="0"/>
        <v>16343512.044599567</v>
      </c>
      <c r="P13" s="32">
        <f t="shared" ca="1" si="3"/>
        <v>16250729.273381647</v>
      </c>
      <c r="Q13" s="51">
        <f t="shared" ca="1" si="4"/>
        <v>402111.58338164352</v>
      </c>
      <c r="R13" s="50">
        <f t="shared" ca="1" si="5"/>
        <v>2.5224357443368699E-2</v>
      </c>
      <c r="S13" t="s">
        <v>28</v>
      </c>
      <c r="T13">
        <v>23523.931440851</v>
      </c>
      <c r="U13">
        <v>4033.72692466015</v>
      </c>
      <c r="V13">
        <v>5.8318106010195399</v>
      </c>
      <c r="W13" s="130">
        <v>4.4014074002702601E-8</v>
      </c>
      <c r="Z13" s="315" t="s">
        <v>28</v>
      </c>
      <c r="AA13" s="315">
        <v>23627.618854366599</v>
      </c>
      <c r="AB13" s="315">
        <v>4034.7275532337499</v>
      </c>
      <c r="AC13" s="315">
        <v>5.8560630284514597</v>
      </c>
      <c r="AD13" s="316">
        <v>3.9257575445651397E-8</v>
      </c>
      <c r="AF13" s="74"/>
      <c r="AG13" s="69"/>
      <c r="AH13" s="39"/>
      <c r="AK13" s="209"/>
      <c r="AL13" s="209"/>
      <c r="AO13" s="5"/>
      <c r="AP13" s="5"/>
      <c r="AR13" s="28"/>
    </row>
    <row r="14" spans="1:44" x14ac:dyDescent="0.2">
      <c r="A14" s="2">
        <v>40878</v>
      </c>
      <c r="B14">
        <f t="shared" si="1"/>
        <v>2011</v>
      </c>
      <c r="C14">
        <f t="shared" si="2"/>
        <v>12</v>
      </c>
      <c r="D14" s="56">
        <f>Data!J13</f>
        <v>16723848.409999998</v>
      </c>
      <c r="E14" s="56">
        <f>Data!K13</f>
        <v>92782.771217919406</v>
      </c>
      <c r="F14" s="56">
        <f>Data!L13</f>
        <v>16816631.181217916</v>
      </c>
      <c r="G14" s="253">
        <f>Data!AV13</f>
        <v>286</v>
      </c>
      <c r="H14" s="253">
        <f>Data!AU13</f>
        <v>0</v>
      </c>
      <c r="I14" s="251">
        <f ca="1">Weather!DF72</f>
        <v>327.48000000000008</v>
      </c>
      <c r="J14" s="251">
        <f ca="1">Weather!CS72</f>
        <v>0</v>
      </c>
      <c r="K14" s="32">
        <f>Data!BG13</f>
        <v>31</v>
      </c>
      <c r="L14" s="32">
        <f>Data!AC13</f>
        <v>271</v>
      </c>
      <c r="M14" s="32">
        <f>Data!BC13</f>
        <v>2893.8</v>
      </c>
      <c r="N14" s="32">
        <f>Data!BZ13</f>
        <v>0</v>
      </c>
      <c r="O14" s="32">
        <f t="shared" ca="1" si="0"/>
        <v>17032357.839696247</v>
      </c>
      <c r="P14" s="32">
        <f t="shared" ca="1" si="3"/>
        <v>16939575.068478327</v>
      </c>
      <c r="Q14" s="51">
        <f t="shared" ca="1" si="4"/>
        <v>215726.65847833082</v>
      </c>
      <c r="R14" s="50">
        <f t="shared" ca="1" si="5"/>
        <v>1.2828173262149594E-2</v>
      </c>
      <c r="S14" t="s">
        <v>93</v>
      </c>
      <c r="T14">
        <v>4244.2151099036</v>
      </c>
      <c r="U14">
        <v>693.35302502889999</v>
      </c>
      <c r="V14">
        <v>6.1212902470955397</v>
      </c>
      <c r="W14" s="130">
        <v>1.10644213288418E-8</v>
      </c>
      <c r="Z14" s="315" t="s">
        <v>93</v>
      </c>
      <c r="AA14" s="315">
        <v>4218.14905411371</v>
      </c>
      <c r="AB14" s="315">
        <v>693.51412660321</v>
      </c>
      <c r="AC14" s="315">
        <v>6.0822828148778303</v>
      </c>
      <c r="AD14" s="316">
        <v>1.33531235942946E-8</v>
      </c>
      <c r="AF14" s="74"/>
      <c r="AG14" s="69"/>
      <c r="AH14" s="39"/>
      <c r="AK14" s="209"/>
      <c r="AL14" s="209"/>
      <c r="AO14" s="5"/>
      <c r="AP14" s="5"/>
      <c r="AR14" s="28"/>
    </row>
    <row r="15" spans="1:44" x14ac:dyDescent="0.2">
      <c r="A15" s="2">
        <v>40909</v>
      </c>
      <c r="B15">
        <f t="shared" si="1"/>
        <v>2012</v>
      </c>
      <c r="C15">
        <f t="shared" si="2"/>
        <v>1</v>
      </c>
      <c r="D15" s="56">
        <f>Data!J14</f>
        <v>16556508.93</v>
      </c>
      <c r="E15" s="56">
        <f>Data!K14</f>
        <v>228757.53349089678</v>
      </c>
      <c r="F15" s="56">
        <f>Data!L14</f>
        <v>16785266.463490896</v>
      </c>
      <c r="G15" s="253">
        <f>Data!AV14</f>
        <v>363.10000000000008</v>
      </c>
      <c r="H15" s="253">
        <f>Data!AU14</f>
        <v>0</v>
      </c>
      <c r="I15" s="251">
        <f ca="1">I3</f>
        <v>439.5</v>
      </c>
      <c r="J15" s="251">
        <f ca="1">J3</f>
        <v>0</v>
      </c>
      <c r="K15" s="32">
        <f>Data!BG14</f>
        <v>31</v>
      </c>
      <c r="L15" s="32">
        <f>Data!AC14</f>
        <v>271</v>
      </c>
      <c r="M15" s="32">
        <f>Data!BC14</f>
        <v>2892.7</v>
      </c>
      <c r="N15" s="32">
        <f>Data!BZ14</f>
        <v>0</v>
      </c>
      <c r="O15" s="32">
        <f t="shared" ca="1" si="0"/>
        <v>17182602.931855038</v>
      </c>
      <c r="P15" s="32">
        <f t="shared" ca="1" si="3"/>
        <v>16953845.398364142</v>
      </c>
      <c r="Q15" s="51">
        <f t="shared" ca="1" si="4"/>
        <v>397336.46836414188</v>
      </c>
      <c r="R15" s="50">
        <f t="shared" ca="1" si="5"/>
        <v>2.3671740286540933E-2</v>
      </c>
      <c r="S15" t="s">
        <v>53</v>
      </c>
      <c r="T15">
        <v>-1328322.3805786399</v>
      </c>
      <c r="U15">
        <v>376648.00676745799</v>
      </c>
      <c r="V15">
        <v>-3.5266943053245599</v>
      </c>
      <c r="W15">
        <v>5.8911863998046404E-4</v>
      </c>
      <c r="Z15" s="315" t="s">
        <v>53</v>
      </c>
      <c r="AA15" s="315">
        <v>-1350053.7855573399</v>
      </c>
      <c r="AB15" s="315">
        <v>376733.55192871002</v>
      </c>
      <c r="AC15" s="315">
        <v>-3.5835772488159301</v>
      </c>
      <c r="AD15" s="315">
        <v>4.8410458991495701E-4</v>
      </c>
      <c r="AF15" s="74"/>
      <c r="AG15" s="69"/>
      <c r="AH15" s="39"/>
      <c r="AK15" s="209"/>
      <c r="AL15" s="209"/>
      <c r="AO15" s="5"/>
      <c r="AP15" s="5"/>
      <c r="AQ15" s="210"/>
      <c r="AR15" s="28"/>
    </row>
    <row r="16" spans="1:44" ht="12.75" customHeight="1" x14ac:dyDescent="0.2">
      <c r="A16" s="2">
        <v>40940</v>
      </c>
      <c r="B16">
        <f t="shared" si="1"/>
        <v>2012</v>
      </c>
      <c r="C16">
        <f t="shared" si="2"/>
        <v>2</v>
      </c>
      <c r="D16" s="56">
        <f>Data!J15</f>
        <v>15850543.67</v>
      </c>
      <c r="E16" s="56">
        <f>Data!K15</f>
        <v>228757.53349089678</v>
      </c>
      <c r="F16" s="56">
        <f>Data!L15</f>
        <v>16079301.203490896</v>
      </c>
      <c r="G16" s="253">
        <f>Data!AV15</f>
        <v>299.70000000000005</v>
      </c>
      <c r="H16" s="253">
        <f>Data!AU15</f>
        <v>0</v>
      </c>
      <c r="I16" s="251">
        <f t="shared" ref="I16:J31" ca="1" si="6">I4</f>
        <v>403.5</v>
      </c>
      <c r="J16" s="251">
        <f t="shared" ca="1" si="6"/>
        <v>0</v>
      </c>
      <c r="K16" s="32">
        <f>Data!BG15</f>
        <v>29</v>
      </c>
      <c r="L16" s="32">
        <f>Data!AC15</f>
        <v>272</v>
      </c>
      <c r="M16" s="32">
        <f>Data!BC15</f>
        <v>2889.3</v>
      </c>
      <c r="N16" s="32">
        <f>Data!BZ15</f>
        <v>0</v>
      </c>
      <c r="O16" s="32">
        <f t="shared" ca="1" si="0"/>
        <v>16619137.923598198</v>
      </c>
      <c r="P16" s="32">
        <f t="shared" ca="1" si="3"/>
        <v>16390380.390107302</v>
      </c>
      <c r="Q16" s="51">
        <f t="shared" ca="1" si="4"/>
        <v>539836.72010730207</v>
      </c>
      <c r="R16" s="50">
        <f t="shared" ca="1" si="5"/>
        <v>3.3573394345651091E-2</v>
      </c>
      <c r="W16" s="2"/>
      <c r="Z16" s="315"/>
      <c r="AA16" s="315"/>
      <c r="AB16" s="315"/>
      <c r="AC16" s="315"/>
      <c r="AD16" s="318"/>
      <c r="AF16" s="74"/>
      <c r="AG16" s="69"/>
      <c r="AH16" s="39"/>
      <c r="AK16" s="211"/>
      <c r="AL16" s="209"/>
      <c r="AO16" s="5"/>
      <c r="AP16" s="5"/>
      <c r="AR16" s="28"/>
    </row>
    <row r="17" spans="1:45" ht="12.75" customHeight="1" x14ac:dyDescent="0.2">
      <c r="A17" s="2">
        <v>40969</v>
      </c>
      <c r="B17">
        <f t="shared" si="1"/>
        <v>2012</v>
      </c>
      <c r="C17">
        <f t="shared" si="2"/>
        <v>3</v>
      </c>
      <c r="D17" s="56">
        <f>Data!J16</f>
        <v>16308714.269999996</v>
      </c>
      <c r="E17" s="56">
        <f>Data!K16</f>
        <v>228757.53349089678</v>
      </c>
      <c r="F17" s="56">
        <f>Data!L16</f>
        <v>16537471.803490892</v>
      </c>
      <c r="G17" s="253">
        <f>Data!AV16</f>
        <v>145</v>
      </c>
      <c r="H17" s="253">
        <f>Data!AU16</f>
        <v>23.799999999999997</v>
      </c>
      <c r="I17" s="251">
        <f t="shared" ca="1" si="6"/>
        <v>291.06</v>
      </c>
      <c r="J17" s="251">
        <f t="shared" ca="1" si="6"/>
        <v>2.8099999999999996</v>
      </c>
      <c r="K17" s="32">
        <f>Data!BG16</f>
        <v>31</v>
      </c>
      <c r="L17" s="32">
        <f>Data!AC16</f>
        <v>272</v>
      </c>
      <c r="M17" s="32">
        <f>Data!BC16</f>
        <v>2893.8</v>
      </c>
      <c r="N17" s="32">
        <f>Data!BZ16</f>
        <v>0</v>
      </c>
      <c r="O17" s="32">
        <f t="shared" ca="1" si="0"/>
        <v>17157852.182140492</v>
      </c>
      <c r="P17" s="32">
        <f t="shared" ca="1" si="3"/>
        <v>16929094.648649596</v>
      </c>
      <c r="Q17" s="51">
        <f t="shared" ca="1" si="4"/>
        <v>620380.37864959985</v>
      </c>
      <c r="R17" s="50">
        <f t="shared" ca="1" si="5"/>
        <v>3.7513616713689205E-2</v>
      </c>
      <c r="S17" t="s">
        <v>140</v>
      </c>
      <c r="W17" s="2"/>
      <c r="Z17" s="315" t="s">
        <v>140</v>
      </c>
      <c r="AA17" s="315"/>
      <c r="AB17" s="315"/>
      <c r="AC17" s="315"/>
      <c r="AD17" s="318"/>
      <c r="AF17" s="74"/>
      <c r="AG17" s="69"/>
      <c r="AH17" s="39"/>
      <c r="AK17" s="209"/>
      <c r="AL17" s="209"/>
      <c r="AN17" s="28"/>
      <c r="AO17" s="5"/>
      <c r="AP17" s="5"/>
      <c r="AR17" s="28"/>
    </row>
    <row r="18" spans="1:45" ht="12.75" customHeight="1" x14ac:dyDescent="0.2">
      <c r="A18" s="2">
        <v>41000</v>
      </c>
      <c r="B18">
        <f t="shared" si="1"/>
        <v>2012</v>
      </c>
      <c r="C18">
        <f t="shared" si="2"/>
        <v>4</v>
      </c>
      <c r="D18" s="56">
        <f>Data!J17</f>
        <v>14651507.389999997</v>
      </c>
      <c r="E18" s="56">
        <f>Data!K17</f>
        <v>228757.53349089678</v>
      </c>
      <c r="F18" s="56">
        <f>Data!L17</f>
        <v>14880264.923490893</v>
      </c>
      <c r="G18" s="253">
        <f>Data!AV17</f>
        <v>100.89999999999999</v>
      </c>
      <c r="H18" s="253">
        <f>Data!AU17</f>
        <v>11.199999999999998</v>
      </c>
      <c r="I18" s="251">
        <f t="shared" ca="1" si="6"/>
        <v>120.71999999999998</v>
      </c>
      <c r="J18" s="251">
        <f t="shared" ca="1" si="6"/>
        <v>6.58</v>
      </c>
      <c r="K18" s="32">
        <f>Data!BG17</f>
        <v>30</v>
      </c>
      <c r="L18" s="32">
        <f>Data!AC17</f>
        <v>272</v>
      </c>
      <c r="M18" s="32">
        <f>Data!BC17</f>
        <v>2898.4</v>
      </c>
      <c r="N18" s="32">
        <f>Data!BZ17</f>
        <v>0</v>
      </c>
      <c r="O18" s="32">
        <f t="shared" ca="1" si="0"/>
        <v>14952696.271973763</v>
      </c>
      <c r="P18" s="32">
        <f t="shared" ca="1" si="3"/>
        <v>14723938.738482866</v>
      </c>
      <c r="Q18" s="51">
        <f t="shared" ca="1" si="4"/>
        <v>72431.348482869565</v>
      </c>
      <c r="R18" s="50">
        <f t="shared" ca="1" si="5"/>
        <v>4.8676114877850745E-3</v>
      </c>
      <c r="S18" t="s">
        <v>141</v>
      </c>
      <c r="T18">
        <v>18188635.5690208</v>
      </c>
      <c r="U18" t="s">
        <v>142</v>
      </c>
      <c r="V18">
        <v>1567522.4440833901</v>
      </c>
      <c r="W18" s="2"/>
      <c r="Y18" s="149"/>
      <c r="Z18" s="315" t="s">
        <v>141</v>
      </c>
      <c r="AA18" s="315">
        <v>18186427.466997601</v>
      </c>
      <c r="AB18" s="315" t="s">
        <v>142</v>
      </c>
      <c r="AC18" s="315">
        <v>1565701.4226951101</v>
      </c>
      <c r="AD18" s="318"/>
      <c r="AF18" s="69"/>
      <c r="AG18" s="51"/>
      <c r="AH18" s="77"/>
      <c r="AI18" s="77"/>
      <c r="AK18" s="60"/>
      <c r="AL18" s="71"/>
      <c r="AM18" s="71"/>
      <c r="AN18"/>
      <c r="AO18" s="5"/>
      <c r="AP18" s="5"/>
      <c r="AR18" s="28"/>
    </row>
    <row r="19" spans="1:45" ht="12.75" customHeight="1" x14ac:dyDescent="0.2">
      <c r="A19" s="2">
        <v>41030</v>
      </c>
      <c r="B19">
        <f t="shared" si="1"/>
        <v>2012</v>
      </c>
      <c r="C19">
        <f t="shared" si="2"/>
        <v>5</v>
      </c>
      <c r="D19" s="56">
        <f>Data!J18</f>
        <v>16853445.379999999</v>
      </c>
      <c r="E19" s="56">
        <f>Data!K18</f>
        <v>228757.53349089678</v>
      </c>
      <c r="F19" s="56">
        <f>Data!L18</f>
        <v>17082202.913490895</v>
      </c>
      <c r="G19" s="253">
        <f>Data!AV18</f>
        <v>0</v>
      </c>
      <c r="H19" s="253">
        <f>Data!AU18</f>
        <v>149.10000000000002</v>
      </c>
      <c r="I19" s="251">
        <f t="shared" ca="1" si="6"/>
        <v>16.330000000000002</v>
      </c>
      <c r="J19" s="251">
        <f t="shared" ca="1" si="6"/>
        <v>107.25</v>
      </c>
      <c r="K19" s="32">
        <f>Data!BG18</f>
        <v>31</v>
      </c>
      <c r="L19" s="32">
        <f>Data!AC18</f>
        <v>273</v>
      </c>
      <c r="M19" s="32">
        <f>Data!BC18</f>
        <v>2901.7</v>
      </c>
      <c r="N19" s="32">
        <f>Data!BZ18</f>
        <v>0</v>
      </c>
      <c r="O19" s="32">
        <f t="shared" ca="1" si="0"/>
        <v>16889514.20027826</v>
      </c>
      <c r="P19" s="32">
        <f t="shared" ca="1" si="3"/>
        <v>16660756.666787364</v>
      </c>
      <c r="Q19" s="51">
        <f t="shared" ca="1" si="4"/>
        <v>-192688.71321263537</v>
      </c>
      <c r="R19" s="50">
        <f t="shared" ca="1" si="5"/>
        <v>1.1280085723630932E-2</v>
      </c>
      <c r="S19" t="s">
        <v>143</v>
      </c>
      <c r="T19">
        <v>36507745826032</v>
      </c>
      <c r="U19" t="s">
        <v>144</v>
      </c>
      <c r="V19">
        <v>540427.57757932402</v>
      </c>
      <c r="W19" s="2"/>
      <c r="Z19" s="315" t="s">
        <v>143</v>
      </c>
      <c r="AA19" s="315">
        <v>36486058102412</v>
      </c>
      <c r="AB19" s="315" t="s">
        <v>144</v>
      </c>
      <c r="AC19" s="315">
        <v>540267.03103122604</v>
      </c>
      <c r="AD19" s="318"/>
      <c r="AF19" s="7"/>
      <c r="AG19" s="7"/>
      <c r="AH19" s="334"/>
      <c r="AI19" s="334"/>
    </row>
    <row r="20" spans="1:45" ht="12.75" customHeight="1" x14ac:dyDescent="0.2">
      <c r="A20" s="2">
        <v>41061</v>
      </c>
      <c r="B20">
        <f t="shared" si="1"/>
        <v>2012</v>
      </c>
      <c r="C20">
        <f t="shared" si="2"/>
        <v>6</v>
      </c>
      <c r="D20" s="56">
        <f>Data!J19</f>
        <v>16649642.679999992</v>
      </c>
      <c r="E20" s="56">
        <f>Data!K19</f>
        <v>228757.53349089678</v>
      </c>
      <c r="F20" s="56">
        <f>Data!L19</f>
        <v>16878400.213490888</v>
      </c>
      <c r="G20" s="253">
        <f>Data!AV19</f>
        <v>0</v>
      </c>
      <c r="H20" s="253">
        <f>Data!AU19</f>
        <v>258.40000000000003</v>
      </c>
      <c r="I20" s="251">
        <f t="shared" ca="1" si="6"/>
        <v>0</v>
      </c>
      <c r="J20" s="251">
        <f t="shared" ca="1" si="6"/>
        <v>230.10000000000005</v>
      </c>
      <c r="K20" s="32">
        <f>Data!BG19</f>
        <v>30</v>
      </c>
      <c r="L20" s="32">
        <f>Data!AC19</f>
        <v>271</v>
      </c>
      <c r="M20" s="32">
        <f>Data!BC19</f>
        <v>2910.2</v>
      </c>
      <c r="N20" s="32">
        <f>Data!BZ19</f>
        <v>0</v>
      </c>
      <c r="O20" s="32">
        <f t="shared" ca="1" si="0"/>
        <v>16690668.912232768</v>
      </c>
      <c r="P20" s="32">
        <f t="shared" ca="1" si="3"/>
        <v>16461911.378741872</v>
      </c>
      <c r="Q20" s="51">
        <f t="shared" ca="1" si="4"/>
        <v>-187731.30125812069</v>
      </c>
      <c r="R20" s="50">
        <f t="shared" ca="1" si="5"/>
        <v>1.1122576718382779E-2</v>
      </c>
      <c r="S20" t="s">
        <v>145</v>
      </c>
      <c r="T20">
        <v>0.88661466501236597</v>
      </c>
      <c r="U20" t="s">
        <v>146</v>
      </c>
      <c r="V20">
        <v>0.88117216893296002</v>
      </c>
      <c r="W20" s="2"/>
      <c r="Z20" s="315" t="s">
        <v>145</v>
      </c>
      <c r="AA20" s="315">
        <v>0.88641900885854397</v>
      </c>
      <c r="AB20" s="315" t="s">
        <v>146</v>
      </c>
      <c r="AC20" s="315">
        <v>0.88096712128375398</v>
      </c>
      <c r="AD20" s="318"/>
      <c r="AF20" s="7"/>
      <c r="AG20" s="7"/>
      <c r="AH20" s="7"/>
    </row>
    <row r="21" spans="1:45" ht="12.75" customHeight="1" x14ac:dyDescent="0.2">
      <c r="A21" s="2">
        <v>41091</v>
      </c>
      <c r="B21">
        <f t="shared" si="1"/>
        <v>2012</v>
      </c>
      <c r="C21">
        <f t="shared" si="2"/>
        <v>7</v>
      </c>
      <c r="D21" s="56">
        <f>Data!J20</f>
        <v>16931323.719999995</v>
      </c>
      <c r="E21" s="56">
        <f>Data!K20</f>
        <v>228757.53349089678</v>
      </c>
      <c r="F21" s="56">
        <f>Data!L20</f>
        <v>17160081.253490891</v>
      </c>
      <c r="G21" s="253">
        <f>Data!AV20</f>
        <v>0</v>
      </c>
      <c r="H21" s="253">
        <f>Data!AU20</f>
        <v>381.40000000000003</v>
      </c>
      <c r="I21" s="251">
        <f t="shared" ca="1" si="6"/>
        <v>0</v>
      </c>
      <c r="J21" s="251">
        <f t="shared" ca="1" si="6"/>
        <v>331.41</v>
      </c>
      <c r="K21" s="32">
        <f>Data!BG20</f>
        <v>31</v>
      </c>
      <c r="L21" s="32">
        <f>Data!AC20</f>
        <v>271</v>
      </c>
      <c r="M21" s="32">
        <f>Data!BC20</f>
        <v>2925.1</v>
      </c>
      <c r="N21" s="32">
        <f>Data!BZ20</f>
        <v>0</v>
      </c>
      <c r="O21" s="32">
        <f t="shared" ca="1" si="0"/>
        <v>16828466.845367447</v>
      </c>
      <c r="P21" s="32">
        <f t="shared" ca="1" si="3"/>
        <v>16599709.31187655</v>
      </c>
      <c r="Q21" s="51">
        <f t="shared" ca="1" si="4"/>
        <v>-331614.40812344477</v>
      </c>
      <c r="R21" s="50">
        <f t="shared" ca="1" si="5"/>
        <v>1.9324757454512877E-2</v>
      </c>
      <c r="S21" t="s">
        <v>295</v>
      </c>
      <c r="T21">
        <v>102.16878334668201</v>
      </c>
      <c r="U21" t="s">
        <v>148</v>
      </c>
      <c r="V21" s="130">
        <v>9.0321235182805594E-46</v>
      </c>
      <c r="W21" s="2"/>
      <c r="Z21" s="315" t="s">
        <v>295</v>
      </c>
      <c r="AA21" s="315">
        <v>101.957869584908</v>
      </c>
      <c r="AB21" s="315" t="s">
        <v>148</v>
      </c>
      <c r="AC21" s="316">
        <v>1.00478826861715E-45</v>
      </c>
      <c r="AD21" s="318"/>
      <c r="AF21" s="7"/>
      <c r="AG21" s="7"/>
      <c r="AH21" s="7"/>
    </row>
    <row r="22" spans="1:45" ht="12.75" customHeight="1" x14ac:dyDescent="0.2">
      <c r="A22" s="2">
        <v>41122</v>
      </c>
      <c r="B22">
        <f t="shared" si="1"/>
        <v>2012</v>
      </c>
      <c r="C22">
        <f t="shared" si="2"/>
        <v>8</v>
      </c>
      <c r="D22" s="56">
        <f>Data!J21</f>
        <v>16567283.779999997</v>
      </c>
      <c r="E22" s="56">
        <f>Data!K21</f>
        <v>228757.53349089678</v>
      </c>
      <c r="F22" s="56">
        <f>Data!L21</f>
        <v>16796041.313490894</v>
      </c>
      <c r="G22" s="253">
        <f>Data!AV21</f>
        <v>0</v>
      </c>
      <c r="H22" s="253">
        <f>Data!AU21</f>
        <v>296.10000000000002</v>
      </c>
      <c r="I22" s="251">
        <f t="shared" ca="1" si="6"/>
        <v>0</v>
      </c>
      <c r="J22" s="251">
        <f t="shared" ca="1" si="6"/>
        <v>304.46000000000004</v>
      </c>
      <c r="K22" s="32">
        <f>Data!BG21</f>
        <v>31</v>
      </c>
      <c r="L22" s="32">
        <f>Data!AC21</f>
        <v>270</v>
      </c>
      <c r="M22" s="32">
        <f>Data!BC21</f>
        <v>2942.6</v>
      </c>
      <c r="N22" s="32">
        <f>Data!BZ21</f>
        <v>0</v>
      </c>
      <c r="O22" s="32">
        <f t="shared" ca="1" si="0"/>
        <v>16851498.333933223</v>
      </c>
      <c r="P22" s="32">
        <f t="shared" ca="1" si="3"/>
        <v>16622740.800442327</v>
      </c>
      <c r="Q22" s="51">
        <f t="shared" ca="1" si="4"/>
        <v>55457.020442329347</v>
      </c>
      <c r="R22" s="50">
        <f t="shared" ca="1" si="5"/>
        <v>3.301791142760838E-3</v>
      </c>
      <c r="S22" t="s">
        <v>149</v>
      </c>
      <c r="T22">
        <v>-4.2309236454738497E-2</v>
      </c>
      <c r="U22" t="s">
        <v>150</v>
      </c>
      <c r="V22">
        <v>2.05963127469736</v>
      </c>
      <c r="W22" s="2"/>
      <c r="Z22" s="315" t="s">
        <v>149</v>
      </c>
      <c r="AA22" s="315">
        <v>-4.2801898643213598E-2</v>
      </c>
      <c r="AB22" s="315" t="s">
        <v>150</v>
      </c>
      <c r="AC22" s="315">
        <v>2.0605650495104402</v>
      </c>
      <c r="AD22" s="318"/>
      <c r="AF22" s="7"/>
      <c r="AG22" s="7"/>
      <c r="AH22" s="7"/>
    </row>
    <row r="23" spans="1:45" ht="12.75" customHeight="1" x14ac:dyDescent="0.2">
      <c r="A23" s="2">
        <v>41153</v>
      </c>
      <c r="B23">
        <f t="shared" si="1"/>
        <v>2012</v>
      </c>
      <c r="C23">
        <f t="shared" si="2"/>
        <v>9</v>
      </c>
      <c r="D23" s="56">
        <f>Data!J22</f>
        <v>15411421.599999998</v>
      </c>
      <c r="E23" s="56">
        <f>Data!K22</f>
        <v>228757.53349089678</v>
      </c>
      <c r="F23" s="56">
        <f>Data!L22</f>
        <v>15640179.133490894</v>
      </c>
      <c r="G23" s="253">
        <f>Data!AV22</f>
        <v>0.5</v>
      </c>
      <c r="H23" s="253">
        <f>Data!AU22</f>
        <v>136.99999999999997</v>
      </c>
      <c r="I23" s="251">
        <f t="shared" ca="1" si="6"/>
        <v>0.24999999999999983</v>
      </c>
      <c r="J23" s="251">
        <f t="shared" ca="1" si="6"/>
        <v>176.51</v>
      </c>
      <c r="K23" s="32">
        <f>Data!BG22</f>
        <v>30</v>
      </c>
      <c r="L23" s="32">
        <f>Data!AC22</f>
        <v>271</v>
      </c>
      <c r="M23" s="32">
        <f>Data!BC22</f>
        <v>2963.5</v>
      </c>
      <c r="N23" s="32">
        <f>Data!BZ22</f>
        <v>0</v>
      </c>
      <c r="O23" s="32">
        <f t="shared" ca="1" si="0"/>
        <v>15900973.072836187</v>
      </c>
      <c r="P23" s="32">
        <f t="shared" ca="1" si="3"/>
        <v>15672215.539345291</v>
      </c>
      <c r="Q23" s="51">
        <f t="shared" ca="1" si="4"/>
        <v>260793.93934529275</v>
      </c>
      <c r="R23" s="50">
        <f t="shared" ca="1" si="5"/>
        <v>1.6674613322480752E-2</v>
      </c>
      <c r="W23" s="2"/>
      <c r="AD23" s="2"/>
      <c r="AF23" s="7"/>
      <c r="AG23" s="7"/>
      <c r="AH23" s="7"/>
    </row>
    <row r="24" spans="1:45" ht="12.75" customHeight="1" x14ac:dyDescent="0.2">
      <c r="A24" s="2">
        <v>41183</v>
      </c>
      <c r="B24">
        <f t="shared" si="1"/>
        <v>2012</v>
      </c>
      <c r="C24">
        <f t="shared" si="2"/>
        <v>10</v>
      </c>
      <c r="D24" s="56">
        <f>Data!J23</f>
        <v>15760124.100000001</v>
      </c>
      <c r="E24" s="56">
        <f>Data!K23</f>
        <v>228757.53349089678</v>
      </c>
      <c r="F24" s="56">
        <f>Data!L23</f>
        <v>15988881.633490898</v>
      </c>
      <c r="G24" s="253">
        <f>Data!AV23</f>
        <v>48.9</v>
      </c>
      <c r="H24" s="253">
        <f>Data!AU23</f>
        <v>28.9</v>
      </c>
      <c r="I24" s="251">
        <f t="shared" ca="1" si="6"/>
        <v>44.309999999999995</v>
      </c>
      <c r="J24" s="251">
        <f t="shared" ca="1" si="6"/>
        <v>43.36</v>
      </c>
      <c r="K24" s="32">
        <f>Data!BG23</f>
        <v>31</v>
      </c>
      <c r="L24" s="32">
        <f>Data!AC23</f>
        <v>271</v>
      </c>
      <c r="M24" s="32">
        <f>Data!BC23</f>
        <v>2982.9</v>
      </c>
      <c r="N24" s="32">
        <f>Data!BZ23</f>
        <v>0</v>
      </c>
      <c r="O24" s="32">
        <f t="shared" ca="1" si="0"/>
        <v>16060932.312197911</v>
      </c>
      <c r="P24" s="32">
        <f t="shared" ca="1" si="3"/>
        <v>15832174.778707014</v>
      </c>
      <c r="Q24" s="51">
        <f t="shared" ca="1" si="4"/>
        <v>72050.678707012907</v>
      </c>
      <c r="R24" s="50">
        <f t="shared" ca="1" si="5"/>
        <v>4.5062988368175117E-3</v>
      </c>
      <c r="AF24" s="7"/>
      <c r="AG24" s="7"/>
      <c r="AH24" s="7"/>
    </row>
    <row r="25" spans="1:45" ht="12.75" customHeight="1" x14ac:dyDescent="0.2">
      <c r="A25" s="2">
        <v>41214</v>
      </c>
      <c r="B25">
        <f t="shared" si="1"/>
        <v>2012</v>
      </c>
      <c r="C25">
        <f t="shared" si="2"/>
        <v>11</v>
      </c>
      <c r="D25" s="56">
        <f>Data!J24</f>
        <v>16203457.51</v>
      </c>
      <c r="E25" s="56">
        <f>Data!K24</f>
        <v>228757.53349089678</v>
      </c>
      <c r="F25" s="56">
        <f>Data!L24</f>
        <v>16432215.043490896</v>
      </c>
      <c r="G25" s="253">
        <f>Data!AV24</f>
        <v>197.7</v>
      </c>
      <c r="H25" s="253">
        <f>Data!AU24</f>
        <v>0.5</v>
      </c>
      <c r="I25" s="251">
        <f t="shared" ca="1" si="6"/>
        <v>193.95999999999998</v>
      </c>
      <c r="J25" s="251">
        <f t="shared" ca="1" si="6"/>
        <v>2.7399999999999998</v>
      </c>
      <c r="K25" s="32">
        <f>Data!BG24</f>
        <v>30</v>
      </c>
      <c r="L25" s="32">
        <f>Data!AC24</f>
        <v>271</v>
      </c>
      <c r="M25" s="32">
        <f>Data!BC24</f>
        <v>3000.2</v>
      </c>
      <c r="N25" s="32">
        <f>Data!BZ24</f>
        <v>0</v>
      </c>
      <c r="O25" s="32">
        <f t="shared" ca="1" si="0"/>
        <v>16427623.576545265</v>
      </c>
      <c r="P25" s="32">
        <f t="shared" ca="1" si="3"/>
        <v>16198866.043054368</v>
      </c>
      <c r="Q25" s="51">
        <f t="shared" ca="1" si="4"/>
        <v>-4591.4669456314296</v>
      </c>
      <c r="R25" s="50">
        <f t="shared" ca="1" si="5"/>
        <v>2.7941862575917264E-4</v>
      </c>
      <c r="AC25" s="2"/>
      <c r="AD25" s="51"/>
      <c r="AE25" s="51"/>
      <c r="AF25" s="69"/>
      <c r="AG25" s="73"/>
      <c r="AH25" s="2"/>
      <c r="AI25" s="39"/>
      <c r="AL25" s="2"/>
      <c r="AM25" s="74"/>
      <c r="AN25" s="74"/>
      <c r="AO25" s="74"/>
      <c r="AP25" s="2"/>
      <c r="AQ25" s="74"/>
      <c r="AR25" s="74"/>
      <c r="AS25" s="5"/>
    </row>
    <row r="26" spans="1:45" ht="12.75" customHeight="1" x14ac:dyDescent="0.2">
      <c r="A26" s="2">
        <v>41244</v>
      </c>
      <c r="B26">
        <f t="shared" si="1"/>
        <v>2012</v>
      </c>
      <c r="C26">
        <f t="shared" si="2"/>
        <v>12</v>
      </c>
      <c r="D26" s="56">
        <f>Data!J25</f>
        <v>16462599.949999996</v>
      </c>
      <c r="E26" s="56">
        <f>Data!K25</f>
        <v>228757.53349089678</v>
      </c>
      <c r="F26" s="56">
        <f>Data!L25</f>
        <v>16691357.483490892</v>
      </c>
      <c r="G26" s="253">
        <f>Data!AV25</f>
        <v>286.00000000000006</v>
      </c>
      <c r="H26" s="253">
        <f>Data!AU25</f>
        <v>0</v>
      </c>
      <c r="I26" s="251">
        <f t="shared" ca="1" si="6"/>
        <v>327.48000000000008</v>
      </c>
      <c r="J26" s="251">
        <f t="shared" ca="1" si="6"/>
        <v>0</v>
      </c>
      <c r="K26" s="32">
        <f>Data!BG25</f>
        <v>31</v>
      </c>
      <c r="L26" s="32">
        <f>Data!AC25</f>
        <v>271</v>
      </c>
      <c r="M26" s="32">
        <f>Data!BC25</f>
        <v>3005.9</v>
      </c>
      <c r="N26" s="32">
        <f>Data!BZ25</f>
        <v>0</v>
      </c>
      <c r="O26" s="32">
        <f t="shared" ca="1" si="0"/>
        <v>16907084.141969223</v>
      </c>
      <c r="P26" s="32">
        <f t="shared" ca="1" si="3"/>
        <v>16678326.608478326</v>
      </c>
      <c r="Q26" s="51">
        <f t="shared" ca="1" si="4"/>
        <v>215726.65847833082</v>
      </c>
      <c r="R26" s="50">
        <f t="shared" ca="1" si="5"/>
        <v>1.2924452591210871E-2</v>
      </c>
      <c r="AC26" s="2"/>
      <c r="AD26" s="51"/>
      <c r="AE26" s="51"/>
      <c r="AF26" s="69"/>
      <c r="AG26" s="73"/>
      <c r="AH26" s="2"/>
      <c r="AI26" s="39"/>
      <c r="AL26" s="2"/>
      <c r="AM26" s="74"/>
      <c r="AN26" s="74"/>
      <c r="AO26" s="74"/>
      <c r="AP26" s="2"/>
      <c r="AQ26" s="74"/>
      <c r="AR26" s="74"/>
      <c r="AS26" s="5"/>
    </row>
    <row r="27" spans="1:45" ht="12.75" customHeight="1" x14ac:dyDescent="0.2">
      <c r="A27" s="2">
        <v>41275</v>
      </c>
      <c r="B27">
        <f t="shared" si="1"/>
        <v>2013</v>
      </c>
      <c r="C27">
        <f t="shared" si="2"/>
        <v>1</v>
      </c>
      <c r="D27" s="56">
        <f>Data!J26</f>
        <v>16989455.739999998</v>
      </c>
      <c r="E27" s="56">
        <f>Data!K26</f>
        <v>344677.17204248341</v>
      </c>
      <c r="F27" s="56">
        <f>Data!L26</f>
        <v>17334132.91204248</v>
      </c>
      <c r="G27" s="253">
        <f>Data!AV26</f>
        <v>376.50000000000006</v>
      </c>
      <c r="H27" s="253">
        <f>Data!AU26</f>
        <v>0</v>
      </c>
      <c r="I27" s="251">
        <f t="shared" ca="1" si="6"/>
        <v>439.5</v>
      </c>
      <c r="J27" s="251">
        <f t="shared" ca="1" si="6"/>
        <v>0</v>
      </c>
      <c r="K27" s="32">
        <f>Data!BG26</f>
        <v>31</v>
      </c>
      <c r="L27" s="32">
        <f>Data!AC26</f>
        <v>271</v>
      </c>
      <c r="M27" s="32">
        <f>Data!BC26</f>
        <v>3014.1</v>
      </c>
      <c r="N27" s="32">
        <f>Data!BZ26</f>
        <v>0</v>
      </c>
      <c r="O27" s="32">
        <f t="shared" ca="1" si="0"/>
        <v>17661779.476269454</v>
      </c>
      <c r="P27" s="32">
        <f t="shared" ca="1" si="3"/>
        <v>17317102.304226972</v>
      </c>
      <c r="Q27" s="51">
        <f t="shared" ca="1" si="4"/>
        <v>327646.5642269738</v>
      </c>
      <c r="R27" s="50">
        <f t="shared" ca="1" si="5"/>
        <v>1.8901814465686315E-2</v>
      </c>
      <c r="AC27" s="2"/>
      <c r="AD27" s="51"/>
      <c r="AE27" s="51"/>
      <c r="AF27" s="75"/>
      <c r="AG27" s="73"/>
      <c r="AH27" s="2"/>
      <c r="AI27" s="39"/>
      <c r="AL27" s="2"/>
      <c r="AM27" s="74"/>
      <c r="AO27" s="5"/>
      <c r="AP27" s="2"/>
      <c r="AQ27" s="74"/>
      <c r="AR27" s="5"/>
      <c r="AS27" s="5"/>
    </row>
    <row r="28" spans="1:45" x14ac:dyDescent="0.2">
      <c r="A28" s="2">
        <v>41306</v>
      </c>
      <c r="B28">
        <f t="shared" si="1"/>
        <v>2013</v>
      </c>
      <c r="C28">
        <f t="shared" si="2"/>
        <v>2</v>
      </c>
      <c r="D28" s="56">
        <f>Data!J27</f>
        <v>16279005.990000002</v>
      </c>
      <c r="E28" s="56">
        <f>Data!K27</f>
        <v>344677.17204248341</v>
      </c>
      <c r="F28" s="56">
        <f>Data!L27</f>
        <v>16623683.162042486</v>
      </c>
      <c r="G28" s="253">
        <f>Data!AV27</f>
        <v>407.49999999999989</v>
      </c>
      <c r="H28" s="253">
        <f>Data!AU27</f>
        <v>0</v>
      </c>
      <c r="I28" s="251">
        <f t="shared" ca="1" si="6"/>
        <v>403.5</v>
      </c>
      <c r="J28" s="251">
        <f t="shared" ca="1" si="6"/>
        <v>0</v>
      </c>
      <c r="K28" s="32">
        <f>Data!BG27</f>
        <v>28</v>
      </c>
      <c r="L28" s="32">
        <f>Data!AC27</f>
        <v>271</v>
      </c>
      <c r="M28" s="32">
        <f>Data!BC27</f>
        <v>3018.3</v>
      </c>
      <c r="N28" s="32">
        <f>Data!BZ27</f>
        <v>0</v>
      </c>
      <c r="O28" s="32">
        <f t="shared" ca="1" si="0"/>
        <v>16602880.20558363</v>
      </c>
      <c r="P28" s="32">
        <f t="shared" ca="1" si="3"/>
        <v>16258203.033541147</v>
      </c>
      <c r="Q28" s="51">
        <f t="shared" ca="1" si="4"/>
        <v>-20802.95645885542</v>
      </c>
      <c r="R28" s="50">
        <f t="shared" ca="1" si="5"/>
        <v>1.2514047733029245E-3</v>
      </c>
      <c r="AC28" s="2"/>
      <c r="AD28" s="51"/>
      <c r="AE28" s="51"/>
      <c r="AF28" s="69"/>
      <c r="AG28" s="73"/>
      <c r="AH28" s="2"/>
      <c r="AI28" s="39"/>
      <c r="AL28" s="2"/>
      <c r="AM28" s="74"/>
      <c r="AO28" s="5"/>
      <c r="AP28" s="2"/>
      <c r="AQ28" s="74"/>
      <c r="AR28" s="5"/>
      <c r="AS28" s="5"/>
    </row>
    <row r="29" spans="1:45" x14ac:dyDescent="0.2">
      <c r="A29" s="2">
        <v>41334</v>
      </c>
      <c r="B29">
        <f t="shared" si="1"/>
        <v>2013</v>
      </c>
      <c r="C29">
        <f t="shared" si="2"/>
        <v>3</v>
      </c>
      <c r="D29" s="56">
        <f>Data!J28</f>
        <v>17118643.850000001</v>
      </c>
      <c r="E29" s="56">
        <f>Data!K28</f>
        <v>344677.17204248341</v>
      </c>
      <c r="F29" s="56">
        <f>Data!L28</f>
        <v>17463321.022042483</v>
      </c>
      <c r="G29" s="253">
        <f>Data!AV28</f>
        <v>306.8</v>
      </c>
      <c r="H29" s="253">
        <f>Data!AU28</f>
        <v>0</v>
      </c>
      <c r="I29" s="251">
        <f t="shared" ca="1" si="6"/>
        <v>291.06</v>
      </c>
      <c r="J29" s="251">
        <f t="shared" ca="1" si="6"/>
        <v>2.8099999999999996</v>
      </c>
      <c r="K29" s="32">
        <f>Data!BG28</f>
        <v>31</v>
      </c>
      <c r="L29" s="32">
        <f>Data!AC28</f>
        <v>272</v>
      </c>
      <c r="M29" s="32">
        <f>Data!BC28</f>
        <v>3023.1</v>
      </c>
      <c r="N29" s="32">
        <f>Data!BZ28</f>
        <v>0</v>
      </c>
      <c r="O29" s="32">
        <f t="shared" ca="1" si="0"/>
        <v>17400101.846204992</v>
      </c>
      <c r="P29" s="32">
        <f t="shared" ca="1" si="3"/>
        <v>17055424.674162511</v>
      </c>
      <c r="Q29" s="51">
        <f t="shared" ca="1" si="4"/>
        <v>-63219.175837490708</v>
      </c>
      <c r="R29" s="50">
        <f t="shared" ca="1" si="5"/>
        <v>3.6201118766410155E-3</v>
      </c>
      <c r="AC29" s="2"/>
      <c r="AD29" s="51"/>
      <c r="AE29" s="51"/>
      <c r="AF29" s="69"/>
      <c r="AG29" s="73"/>
      <c r="AH29" s="2"/>
      <c r="AI29" s="39"/>
      <c r="AL29" s="2"/>
      <c r="AM29" s="74"/>
      <c r="AO29" s="5"/>
      <c r="AP29" s="2"/>
      <c r="AQ29" s="74"/>
      <c r="AR29" s="5"/>
      <c r="AS29" s="5"/>
    </row>
    <row r="30" spans="1:45" x14ac:dyDescent="0.2">
      <c r="A30" s="2">
        <v>41365</v>
      </c>
      <c r="B30">
        <f t="shared" si="1"/>
        <v>2013</v>
      </c>
      <c r="C30">
        <f t="shared" si="2"/>
        <v>4</v>
      </c>
      <c r="D30" s="56">
        <f>Data!J29</f>
        <v>16317712.539999994</v>
      </c>
      <c r="E30" s="56">
        <f>Data!K29</f>
        <v>344677.17204248341</v>
      </c>
      <c r="F30" s="56">
        <f>Data!L29</f>
        <v>16662389.712042477</v>
      </c>
      <c r="G30" s="253">
        <f>Data!AV29</f>
        <v>135.19999999999999</v>
      </c>
      <c r="H30" s="253">
        <f>Data!AU29</f>
        <v>5.6000000000000014</v>
      </c>
      <c r="I30" s="251">
        <f t="shared" ca="1" si="6"/>
        <v>120.71999999999998</v>
      </c>
      <c r="J30" s="251">
        <f t="shared" ca="1" si="6"/>
        <v>6.58</v>
      </c>
      <c r="K30" s="32">
        <f>Data!BG29</f>
        <v>30</v>
      </c>
      <c r="L30" s="32">
        <f>Data!AC29</f>
        <v>273</v>
      </c>
      <c r="M30" s="32">
        <f>Data!BC29</f>
        <v>3031.4</v>
      </c>
      <c r="N30" s="32">
        <f>Data!BZ29</f>
        <v>0</v>
      </c>
      <c r="O30" s="32">
        <f t="shared" ca="1" si="0"/>
        <v>16593583.952249156</v>
      </c>
      <c r="P30" s="32">
        <f t="shared" ca="1" si="3"/>
        <v>16248906.780206673</v>
      </c>
      <c r="Q30" s="51">
        <f t="shared" ca="1" si="4"/>
        <v>-68805.759793320671</v>
      </c>
      <c r="R30" s="50">
        <f t="shared" ca="1" si="5"/>
        <v>4.1294052643356671E-3</v>
      </c>
      <c r="AC30" s="2"/>
      <c r="AD30" s="51"/>
      <c r="AE30" s="51"/>
      <c r="AF30" s="75"/>
      <c r="AG30" s="73"/>
      <c r="AH30" s="2"/>
      <c r="AI30" s="39"/>
      <c r="AL30" s="2"/>
      <c r="AM30" s="74"/>
      <c r="AO30" s="5"/>
      <c r="AP30" s="2"/>
      <c r="AQ30" s="74"/>
      <c r="AR30" s="5"/>
      <c r="AS30" s="5"/>
    </row>
    <row r="31" spans="1:45" x14ac:dyDescent="0.2">
      <c r="A31" s="2">
        <v>41395</v>
      </c>
      <c r="B31">
        <f t="shared" si="1"/>
        <v>2013</v>
      </c>
      <c r="C31">
        <f t="shared" si="2"/>
        <v>5</v>
      </c>
      <c r="D31" s="56">
        <f>Data!J30</f>
        <v>16555856.940000001</v>
      </c>
      <c r="E31" s="56">
        <f>Data!K30</f>
        <v>344677.17204248341</v>
      </c>
      <c r="F31" s="56">
        <f>Data!L30</f>
        <v>16900534.112042483</v>
      </c>
      <c r="G31" s="253">
        <f>Data!AV30</f>
        <v>14.4</v>
      </c>
      <c r="H31" s="253">
        <f>Data!AU30</f>
        <v>126.3</v>
      </c>
      <c r="I31" s="251">
        <f t="shared" ca="1" si="6"/>
        <v>16.330000000000002</v>
      </c>
      <c r="J31" s="251">
        <f t="shared" ca="1" si="6"/>
        <v>107.25</v>
      </c>
      <c r="K31" s="32">
        <f>Data!BG30</f>
        <v>31</v>
      </c>
      <c r="L31" s="32">
        <f>Data!AC30</f>
        <v>272</v>
      </c>
      <c r="M31" s="32">
        <f>Data!BC30</f>
        <v>3045.2</v>
      </c>
      <c r="N31" s="32">
        <f>Data!BZ30</f>
        <v>0</v>
      </c>
      <c r="O31" s="32">
        <f t="shared" ca="1" si="0"/>
        <v>16784201.174966134</v>
      </c>
      <c r="P31" s="32">
        <f t="shared" ca="1" si="3"/>
        <v>16439524.002923651</v>
      </c>
      <c r="Q31" s="51">
        <f t="shared" ca="1" si="4"/>
        <v>-116332.93707634881</v>
      </c>
      <c r="R31" s="50">
        <f t="shared" ca="1" si="5"/>
        <v>6.8833881997525581E-3</v>
      </c>
      <c r="AC31" s="2"/>
      <c r="AD31" s="51"/>
      <c r="AE31" s="51"/>
      <c r="AF31" s="69"/>
      <c r="AG31" s="73"/>
      <c r="AH31" s="2"/>
      <c r="AI31" s="39"/>
      <c r="AL31" s="2"/>
      <c r="AM31" s="74"/>
      <c r="AO31" s="5"/>
      <c r="AP31" s="2"/>
      <c r="AQ31" s="74"/>
      <c r="AR31" s="5"/>
      <c r="AS31" s="5"/>
    </row>
    <row r="32" spans="1:45" x14ac:dyDescent="0.2">
      <c r="A32" s="2">
        <v>41426</v>
      </c>
      <c r="B32">
        <f t="shared" si="1"/>
        <v>2013</v>
      </c>
      <c r="C32">
        <f t="shared" si="2"/>
        <v>6</v>
      </c>
      <c r="D32" s="56">
        <f>Data!J31</f>
        <v>16748419.359999999</v>
      </c>
      <c r="E32" s="56">
        <f>Data!K31</f>
        <v>344677.17204248341</v>
      </c>
      <c r="F32" s="56">
        <f>Data!L31</f>
        <v>17093096.532042481</v>
      </c>
      <c r="G32" s="253">
        <f>Data!AV31</f>
        <v>0</v>
      </c>
      <c r="H32" s="253">
        <f>Data!AU31</f>
        <v>207.00000000000006</v>
      </c>
      <c r="I32" s="251">
        <f t="shared" ref="I32:J47" ca="1" si="7">I20</f>
        <v>0</v>
      </c>
      <c r="J32" s="251">
        <f t="shared" ca="1" si="7"/>
        <v>230.10000000000005</v>
      </c>
      <c r="K32" s="32">
        <f>Data!BG31</f>
        <v>30</v>
      </c>
      <c r="L32" s="32">
        <f>Data!AC31</f>
        <v>273</v>
      </c>
      <c r="M32" s="32">
        <f>Data!BC31</f>
        <v>3060.2</v>
      </c>
      <c r="N32" s="32">
        <f>Data!BZ31</f>
        <v>0</v>
      </c>
      <c r="O32" s="32">
        <f t="shared" ca="1" si="0"/>
        <v>17246333.035896283</v>
      </c>
      <c r="P32" s="32">
        <f t="shared" ca="1" si="3"/>
        <v>16901655.863853801</v>
      </c>
      <c r="Q32" s="51">
        <f t="shared" ca="1" si="4"/>
        <v>153236.50385380164</v>
      </c>
      <c r="R32" s="50">
        <f t="shared" ca="1" si="5"/>
        <v>8.9648182566889872E-3</v>
      </c>
      <c r="AC32" s="2"/>
      <c r="AD32" s="51"/>
      <c r="AE32" s="51"/>
      <c r="AF32" s="69"/>
      <c r="AG32" s="73"/>
      <c r="AH32" s="2"/>
      <c r="AI32" s="39"/>
      <c r="AL32" s="2"/>
      <c r="AM32" s="74"/>
      <c r="AO32" s="5"/>
      <c r="AP32" s="2"/>
      <c r="AQ32" s="74"/>
      <c r="AR32" s="5"/>
      <c r="AS32" s="5"/>
    </row>
    <row r="33" spans="1:49" x14ac:dyDescent="0.2">
      <c r="A33" s="2">
        <v>41456</v>
      </c>
      <c r="B33">
        <f t="shared" si="1"/>
        <v>2013</v>
      </c>
      <c r="C33">
        <f t="shared" si="2"/>
        <v>7</v>
      </c>
      <c r="D33" s="56">
        <f>Data!J32</f>
        <v>17797829.260000005</v>
      </c>
      <c r="E33" s="56">
        <f>Data!K32</f>
        <v>344677.17204248341</v>
      </c>
      <c r="F33" s="56">
        <f>Data!L32</f>
        <v>18142506.432042487</v>
      </c>
      <c r="G33" s="253">
        <f>Data!AV32</f>
        <v>0</v>
      </c>
      <c r="H33" s="253">
        <f>Data!AU32</f>
        <v>319.3</v>
      </c>
      <c r="I33" s="251">
        <f t="shared" ca="1" si="7"/>
        <v>0</v>
      </c>
      <c r="J33" s="251">
        <f t="shared" ca="1" si="7"/>
        <v>331.41</v>
      </c>
      <c r="K33" s="32">
        <f>Data!BG32</f>
        <v>31</v>
      </c>
      <c r="L33" s="32">
        <f>Data!AC32</f>
        <v>271</v>
      </c>
      <c r="M33" s="32">
        <f>Data!BC32</f>
        <v>3066.1</v>
      </c>
      <c r="N33" s="32">
        <f>Data!BZ32</f>
        <v>0</v>
      </c>
      <c r="O33" s="32">
        <f t="shared" ca="1" si="0"/>
        <v>18222839.508305237</v>
      </c>
      <c r="P33" s="32">
        <f t="shared" ca="1" si="3"/>
        <v>17878162.336262755</v>
      </c>
      <c r="Q33" s="51">
        <f t="shared" ca="1" si="4"/>
        <v>80333.076262749732</v>
      </c>
      <c r="R33" s="50">
        <f t="shared" ca="1" si="5"/>
        <v>4.4278929465263427E-3</v>
      </c>
      <c r="AC33" s="2"/>
      <c r="AD33" s="51"/>
      <c r="AE33" s="51"/>
      <c r="AF33" s="75"/>
      <c r="AG33" s="73"/>
      <c r="AH33" s="2"/>
      <c r="AI33" s="39"/>
      <c r="AL33" s="2"/>
      <c r="AM33" s="74"/>
      <c r="AO33" s="5"/>
      <c r="AP33" s="2"/>
      <c r="AQ33" s="74"/>
      <c r="AR33" s="5"/>
      <c r="AS33" s="5"/>
    </row>
    <row r="34" spans="1:49" x14ac:dyDescent="0.2">
      <c r="A34" s="2">
        <v>41487</v>
      </c>
      <c r="B34">
        <f t="shared" si="1"/>
        <v>2013</v>
      </c>
      <c r="C34">
        <f t="shared" si="2"/>
        <v>8</v>
      </c>
      <c r="D34" s="56">
        <f>Data!J33</f>
        <v>17433510.789999999</v>
      </c>
      <c r="E34" s="56">
        <f>Data!K33</f>
        <v>344677.17204248341</v>
      </c>
      <c r="F34" s="56">
        <f>Data!L33</f>
        <v>17778187.962042481</v>
      </c>
      <c r="G34" s="253">
        <f>Data!AV33</f>
        <v>0</v>
      </c>
      <c r="H34" s="253">
        <f>Data!AU33</f>
        <v>275.40000000000009</v>
      </c>
      <c r="I34" s="251">
        <f t="shared" ca="1" si="7"/>
        <v>0</v>
      </c>
      <c r="J34" s="251">
        <f t="shared" ca="1" si="7"/>
        <v>304.46000000000004</v>
      </c>
      <c r="K34" s="32">
        <f>Data!BG33</f>
        <v>31</v>
      </c>
      <c r="L34" s="32">
        <f>Data!AC33</f>
        <v>271</v>
      </c>
      <c r="M34" s="32">
        <f>Data!BC33</f>
        <v>3075.2</v>
      </c>
      <c r="N34" s="32">
        <f>Data!BZ33</f>
        <v>0</v>
      </c>
      <c r="O34" s="32">
        <f t="shared" ca="1" si="0"/>
        <v>17970960.810613539</v>
      </c>
      <c r="P34" s="32">
        <f t="shared" ca="1" si="3"/>
        <v>17626283.638571057</v>
      </c>
      <c r="Q34" s="51">
        <f t="shared" ca="1" si="4"/>
        <v>192772.84857105836</v>
      </c>
      <c r="R34" s="50">
        <f t="shared" ca="1" si="5"/>
        <v>1.0843222547913218E-2</v>
      </c>
      <c r="AC34" s="130"/>
      <c r="AD34" s="51"/>
      <c r="AE34" s="51"/>
      <c r="AF34" s="69"/>
      <c r="AG34" s="73"/>
      <c r="AH34" s="2"/>
      <c r="AI34" s="39"/>
      <c r="AL34" s="2"/>
      <c r="AM34" s="74"/>
      <c r="AO34" s="5"/>
      <c r="AP34" s="2"/>
      <c r="AQ34" s="74"/>
      <c r="AR34" s="5"/>
      <c r="AS34" s="5"/>
    </row>
    <row r="35" spans="1:49" x14ac:dyDescent="0.2">
      <c r="A35" s="2">
        <v>41518</v>
      </c>
      <c r="B35">
        <f t="shared" si="1"/>
        <v>2013</v>
      </c>
      <c r="C35">
        <f t="shared" si="2"/>
        <v>9</v>
      </c>
      <c r="D35" s="56">
        <f>Data!J34</f>
        <v>16323800.050000003</v>
      </c>
      <c r="E35" s="56">
        <f>Data!K34</f>
        <v>344677.17204248341</v>
      </c>
      <c r="F35" s="56">
        <f>Data!L34</f>
        <v>16668477.222042486</v>
      </c>
      <c r="G35" s="253">
        <f>Data!AV34</f>
        <v>0</v>
      </c>
      <c r="H35" s="253">
        <f>Data!AU34</f>
        <v>125.1</v>
      </c>
      <c r="I35" s="251">
        <f t="shared" ca="1" si="7"/>
        <v>0.24999999999999983</v>
      </c>
      <c r="J35" s="251">
        <f t="shared" ca="1" si="7"/>
        <v>176.51</v>
      </c>
      <c r="K35" s="32">
        <f>Data!BG34</f>
        <v>30</v>
      </c>
      <c r="L35" s="32">
        <f>Data!AC34</f>
        <v>272</v>
      </c>
      <c r="M35" s="32">
        <f>Data!BC34</f>
        <v>3080.1</v>
      </c>
      <c r="N35" s="32">
        <f>Data!BZ34</f>
        <v>0</v>
      </c>
      <c r="O35" s="32">
        <f t="shared" ref="O35:O66" ca="1" si="8">F35+(I35-G35)*$T$10+(J35-H35)*$T$11</f>
        <v>17010811.548081942</v>
      </c>
      <c r="P35" s="32">
        <f t="shared" ca="1" si="3"/>
        <v>16666134.376039458</v>
      </c>
      <c r="Q35" s="51">
        <f t="shared" ca="1" si="4"/>
        <v>342334.32603945583</v>
      </c>
      <c r="R35" s="50">
        <f t="shared" ca="1" si="5"/>
        <v>2.0537828469822727E-2</v>
      </c>
      <c r="AC35" s="130"/>
      <c r="AD35" s="51"/>
      <c r="AE35" s="51"/>
      <c r="AF35" s="69"/>
      <c r="AG35" s="73"/>
      <c r="AH35" s="2"/>
      <c r="AI35" s="39"/>
      <c r="AL35" s="2"/>
      <c r="AM35" s="74"/>
      <c r="AO35" s="5"/>
      <c r="AP35" s="2"/>
      <c r="AQ35" s="74"/>
      <c r="AR35" s="5"/>
      <c r="AS35" s="5"/>
    </row>
    <row r="36" spans="1:49" x14ac:dyDescent="0.2">
      <c r="A36" s="2">
        <v>41548</v>
      </c>
      <c r="B36">
        <f t="shared" si="1"/>
        <v>2013</v>
      </c>
      <c r="C36">
        <f t="shared" si="2"/>
        <v>10</v>
      </c>
      <c r="D36" s="56">
        <f>Data!J35</f>
        <v>16888949.909999996</v>
      </c>
      <c r="E36" s="56">
        <f>Data!K35</f>
        <v>344677.17204248341</v>
      </c>
      <c r="F36" s="56">
        <f>Data!L35</f>
        <v>17233627.082042478</v>
      </c>
      <c r="G36" s="253">
        <f>Data!AV35</f>
        <v>50.6</v>
      </c>
      <c r="H36" s="253">
        <f>Data!AU35</f>
        <v>37.9</v>
      </c>
      <c r="I36" s="251">
        <f t="shared" ca="1" si="7"/>
        <v>44.309999999999995</v>
      </c>
      <c r="J36" s="251">
        <f t="shared" ca="1" si="7"/>
        <v>43.36</v>
      </c>
      <c r="K36" s="32">
        <f>Data!BG35</f>
        <v>31</v>
      </c>
      <c r="L36" s="32">
        <f>Data!AC35</f>
        <v>274</v>
      </c>
      <c r="M36" s="32">
        <f>Data!BC35</f>
        <v>3079.6</v>
      </c>
      <c r="N36" s="32">
        <f>Data!BZ35</f>
        <v>0</v>
      </c>
      <c r="O36" s="32">
        <f t="shared" ca="1" si="8"/>
        <v>17237133.970285464</v>
      </c>
      <c r="P36" s="32">
        <f t="shared" ca="1" si="3"/>
        <v>16892456.798242982</v>
      </c>
      <c r="Q36" s="51">
        <f t="shared" ca="1" si="4"/>
        <v>3506.8882429860532</v>
      </c>
      <c r="R36" s="50">
        <f t="shared" ca="1" si="5"/>
        <v>2.0349101360329699E-4</v>
      </c>
      <c r="W36" s="2"/>
      <c r="AC36" s="130"/>
      <c r="AD36" s="51"/>
      <c r="AE36" s="51"/>
      <c r="AG36" s="73"/>
      <c r="AH36" s="2"/>
      <c r="AI36" s="39"/>
      <c r="AL36" s="2"/>
      <c r="AM36" s="74"/>
      <c r="AO36" s="5"/>
      <c r="AP36" s="2"/>
      <c r="AQ36" s="74"/>
      <c r="AR36" s="5"/>
      <c r="AS36" s="5"/>
    </row>
    <row r="37" spans="1:49" x14ac:dyDescent="0.2">
      <c r="A37" s="2">
        <v>41579</v>
      </c>
      <c r="B37">
        <f t="shared" si="1"/>
        <v>2013</v>
      </c>
      <c r="C37">
        <f t="shared" si="2"/>
        <v>11</v>
      </c>
      <c r="D37" s="56">
        <f>Data!J36</f>
        <v>16378559.519999998</v>
      </c>
      <c r="E37" s="56">
        <f>Data!K36</f>
        <v>344677.17204248341</v>
      </c>
      <c r="F37" s="56">
        <f>Data!L36</f>
        <v>16723236.692042481</v>
      </c>
      <c r="G37" s="253">
        <f>Data!AV36</f>
        <v>243.5</v>
      </c>
      <c r="H37" s="253">
        <f>Data!AU36</f>
        <v>0</v>
      </c>
      <c r="I37" s="251">
        <f t="shared" ca="1" si="7"/>
        <v>193.95999999999998</v>
      </c>
      <c r="J37" s="251">
        <f t="shared" ca="1" si="7"/>
        <v>2.7399999999999998</v>
      </c>
      <c r="K37" s="32">
        <f>Data!BG36</f>
        <v>30</v>
      </c>
      <c r="L37" s="32">
        <f>Data!AC36</f>
        <v>273</v>
      </c>
      <c r="M37" s="32">
        <f>Data!BC36</f>
        <v>3076.6</v>
      </c>
      <c r="N37" s="32">
        <f>Data!BZ36</f>
        <v>0</v>
      </c>
      <c r="O37" s="32">
        <f t="shared" ca="1" si="8"/>
        <v>16483768.181085678</v>
      </c>
      <c r="P37" s="32">
        <f t="shared" ca="1" si="3"/>
        <v>16139091.009043194</v>
      </c>
      <c r="Q37" s="51">
        <f t="shared" ca="1" si="4"/>
        <v>-239468.51095680334</v>
      </c>
      <c r="R37" s="50">
        <f t="shared" ca="1" si="5"/>
        <v>1.4319507363712139E-2</v>
      </c>
      <c r="W37" s="2"/>
      <c r="AC37" s="130"/>
      <c r="AD37" s="5"/>
      <c r="AE37" s="5"/>
      <c r="AH37" s="2"/>
      <c r="AL37" s="2"/>
      <c r="AM37" s="76"/>
      <c r="AO37" s="5"/>
      <c r="AP37" s="2"/>
      <c r="AQ37" s="76"/>
      <c r="AR37" s="5"/>
      <c r="AS37" s="5"/>
      <c r="AT37" s="29"/>
      <c r="AU37" s="29"/>
      <c r="AV37" s="29"/>
    </row>
    <row r="38" spans="1:49" x14ac:dyDescent="0.2">
      <c r="A38" s="2">
        <v>41609</v>
      </c>
      <c r="B38">
        <f t="shared" si="1"/>
        <v>2013</v>
      </c>
      <c r="C38">
        <f t="shared" si="2"/>
        <v>12</v>
      </c>
      <c r="D38" s="56">
        <f>Data!J37</f>
        <v>18347866.910000004</v>
      </c>
      <c r="E38" s="56">
        <f>Data!K37</f>
        <v>344677.17204248341</v>
      </c>
      <c r="F38" s="56">
        <f>Data!L37</f>
        <v>18692544.082042485</v>
      </c>
      <c r="G38" s="253">
        <f>Data!AV37</f>
        <v>439.89999999999992</v>
      </c>
      <c r="H38" s="253">
        <f>Data!AU37</f>
        <v>0</v>
      </c>
      <c r="I38" s="251">
        <f t="shared" ca="1" si="7"/>
        <v>327.48000000000008</v>
      </c>
      <c r="J38" s="251">
        <f t="shared" ca="1" si="7"/>
        <v>0</v>
      </c>
      <c r="K38" s="32">
        <f>Data!BG37</f>
        <v>31</v>
      </c>
      <c r="L38" s="32">
        <f>Data!AC37</f>
        <v>273</v>
      </c>
      <c r="M38" s="32">
        <f>Data!BC37</f>
        <v>3073.7</v>
      </c>
      <c r="N38" s="32">
        <f>Data!BZ37</f>
        <v>0</v>
      </c>
      <c r="O38" s="32">
        <f t="shared" ca="1" si="8"/>
        <v>18107876.99076635</v>
      </c>
      <c r="P38" s="32">
        <f t="shared" ca="1" si="3"/>
        <v>17763199.818723869</v>
      </c>
      <c r="Q38" s="51">
        <f t="shared" ca="1" si="4"/>
        <v>-584667.0912761353</v>
      </c>
      <c r="R38" s="50">
        <f t="shared" ca="1" si="5"/>
        <v>3.1278090810432382E-2</v>
      </c>
      <c r="W38" s="130"/>
      <c r="AC38" s="130"/>
      <c r="AD38" s="5"/>
      <c r="AE38" s="5"/>
      <c r="AH38" s="2"/>
      <c r="AL38" s="2"/>
      <c r="AM38" s="76"/>
      <c r="AO38" s="5"/>
      <c r="AP38" s="2"/>
      <c r="AQ38" s="76"/>
      <c r="AR38" s="5"/>
      <c r="AS38" s="5"/>
      <c r="AT38" s="29"/>
      <c r="AU38" s="29"/>
      <c r="AV38" s="29"/>
    </row>
    <row r="39" spans="1:49" x14ac:dyDescent="0.2">
      <c r="A39" s="2">
        <v>41640</v>
      </c>
      <c r="B39">
        <f t="shared" si="1"/>
        <v>2014</v>
      </c>
      <c r="C39">
        <f t="shared" si="2"/>
        <v>1</v>
      </c>
      <c r="D39" s="56">
        <f>Data!J38</f>
        <v>18474770.990000002</v>
      </c>
      <c r="E39" s="56">
        <f>Data!K38</f>
        <v>480728.51896375552</v>
      </c>
      <c r="F39" s="56">
        <f>Data!L38</f>
        <v>18955499.508963756</v>
      </c>
      <c r="G39" s="253">
        <f>Data!AV38</f>
        <v>577.90000000000009</v>
      </c>
      <c r="H39" s="253">
        <f>Data!AU38</f>
        <v>0</v>
      </c>
      <c r="I39" s="251">
        <f t="shared" ca="1" si="7"/>
        <v>439.5</v>
      </c>
      <c r="J39" s="251">
        <f t="shared" ca="1" si="7"/>
        <v>0</v>
      </c>
      <c r="K39" s="32">
        <f>Data!BG38</f>
        <v>31</v>
      </c>
      <c r="L39" s="32">
        <f>Data!AC38</f>
        <v>274</v>
      </c>
      <c r="M39" s="32">
        <f>Data!BC38</f>
        <v>3070.8</v>
      </c>
      <c r="N39" s="32">
        <f>Data!BZ38</f>
        <v>0</v>
      </c>
      <c r="O39" s="32">
        <f t="shared" ca="1" si="8"/>
        <v>18235717.215487354</v>
      </c>
      <c r="P39" s="32">
        <f t="shared" ca="1" si="3"/>
        <v>17754988.696523599</v>
      </c>
      <c r="Q39" s="51">
        <f t="shared" ca="1" si="4"/>
        <v>-719782.29347640276</v>
      </c>
      <c r="R39" s="50">
        <f t="shared" ca="1" si="5"/>
        <v>3.7972214508830489E-2</v>
      </c>
      <c r="W39" s="130"/>
      <c r="AC39" s="2"/>
      <c r="AD39" s="5"/>
      <c r="AE39" s="5"/>
      <c r="AH39" s="2"/>
      <c r="AL39" s="2"/>
      <c r="AM39" s="76"/>
      <c r="AO39" s="5"/>
      <c r="AP39" s="2"/>
      <c r="AQ39" s="76"/>
      <c r="AR39" s="5"/>
      <c r="AS39" s="5"/>
      <c r="AT39" s="29"/>
      <c r="AU39" s="29"/>
      <c r="AV39" s="29"/>
    </row>
    <row r="40" spans="1:49" x14ac:dyDescent="0.2">
      <c r="A40" s="2">
        <v>41671</v>
      </c>
      <c r="B40">
        <f t="shared" si="1"/>
        <v>2014</v>
      </c>
      <c r="C40">
        <f t="shared" si="2"/>
        <v>2</v>
      </c>
      <c r="D40" s="56">
        <f>Data!J39</f>
        <v>17309349.019999996</v>
      </c>
      <c r="E40" s="56">
        <f>Data!K39</f>
        <v>480728.51896375552</v>
      </c>
      <c r="F40" s="56">
        <f>Data!L39</f>
        <v>17790077.53896375</v>
      </c>
      <c r="G40" s="253">
        <f>Data!AV39</f>
        <v>513.09999999999991</v>
      </c>
      <c r="H40" s="253">
        <f>Data!AU39</f>
        <v>0</v>
      </c>
      <c r="I40" s="251">
        <f t="shared" ca="1" si="7"/>
        <v>403.5</v>
      </c>
      <c r="J40" s="251">
        <f t="shared" ca="1" si="7"/>
        <v>0</v>
      </c>
      <c r="K40" s="32">
        <f>Data!BG39</f>
        <v>28</v>
      </c>
      <c r="L40" s="32">
        <f>Data!AC39</f>
        <v>274</v>
      </c>
      <c r="M40" s="32">
        <f>Data!BC39</f>
        <v>3071.7</v>
      </c>
      <c r="N40" s="32">
        <f>Data!BZ39</f>
        <v>0</v>
      </c>
      <c r="O40" s="32">
        <f t="shared" ca="1" si="8"/>
        <v>17220076.531991109</v>
      </c>
      <c r="P40" s="32">
        <f t="shared" ca="1" si="3"/>
        <v>16739348.013027353</v>
      </c>
      <c r="Q40" s="51">
        <f t="shared" ca="1" si="4"/>
        <v>-570001.00697264075</v>
      </c>
      <c r="R40" s="50">
        <f t="shared" ca="1" si="5"/>
        <v>3.2040389128390648E-2</v>
      </c>
      <c r="W40" s="130"/>
      <c r="AC40" s="2"/>
      <c r="AD40" s="5"/>
      <c r="AE40" s="5"/>
      <c r="AH40" s="2"/>
      <c r="AL40" s="2"/>
      <c r="AM40" s="76"/>
      <c r="AO40" s="5"/>
      <c r="AP40" s="2"/>
      <c r="AQ40" s="76"/>
      <c r="AR40" s="5"/>
      <c r="AS40" s="5"/>
      <c r="AT40" s="29"/>
      <c r="AU40" s="29"/>
      <c r="AV40" s="29"/>
    </row>
    <row r="41" spans="1:49" x14ac:dyDescent="0.2">
      <c r="A41" s="2">
        <v>41699</v>
      </c>
      <c r="B41">
        <f t="shared" si="1"/>
        <v>2014</v>
      </c>
      <c r="C41">
        <f t="shared" si="2"/>
        <v>3</v>
      </c>
      <c r="D41" s="56">
        <f>Data!J40</f>
        <v>18435424.780000001</v>
      </c>
      <c r="E41" s="56">
        <f>Data!K40</f>
        <v>480728.51896375552</v>
      </c>
      <c r="F41" s="56">
        <f>Data!L40</f>
        <v>18916153.298963755</v>
      </c>
      <c r="G41" s="253">
        <f>Data!AV40</f>
        <v>442.59999999999991</v>
      </c>
      <c r="H41" s="253">
        <f>Data!AU40</f>
        <v>0</v>
      </c>
      <c r="I41" s="251">
        <f t="shared" ca="1" si="7"/>
        <v>291.06</v>
      </c>
      <c r="J41" s="251">
        <f t="shared" ca="1" si="7"/>
        <v>2.8099999999999996</v>
      </c>
      <c r="K41" s="32">
        <f>Data!BG40</f>
        <v>31</v>
      </c>
      <c r="L41" s="32">
        <f>Data!AC40</f>
        <v>275</v>
      </c>
      <c r="M41" s="32">
        <f>Data!BC40</f>
        <v>3074.2</v>
      </c>
      <c r="N41" s="32">
        <f>Data!BZ40</f>
        <v>0</v>
      </c>
      <c r="O41" s="32">
        <f t="shared" ca="1" si="8"/>
        <v>18146673.751348119</v>
      </c>
      <c r="P41" s="32">
        <f t="shared" ca="1" si="3"/>
        <v>17665945.232384365</v>
      </c>
      <c r="Q41" s="51">
        <f t="shared" ca="1" si="4"/>
        <v>-769479.54761563614</v>
      </c>
      <c r="R41" s="50">
        <f t="shared" ca="1" si="5"/>
        <v>4.0678436860510585E-2</v>
      </c>
      <c r="AC41" s="2"/>
      <c r="AD41" s="5"/>
      <c r="AE41" s="5"/>
      <c r="AH41" s="2"/>
      <c r="AL41" s="2"/>
      <c r="AM41" s="76"/>
      <c r="AO41" s="5"/>
      <c r="AP41" s="2"/>
      <c r="AQ41" s="76"/>
      <c r="AR41" s="5"/>
      <c r="AS41" s="5"/>
      <c r="AT41" s="29"/>
      <c r="AU41" s="29"/>
      <c r="AV41" s="29"/>
    </row>
    <row r="42" spans="1:49" x14ac:dyDescent="0.2">
      <c r="A42" s="2">
        <v>41730</v>
      </c>
      <c r="B42">
        <f t="shared" si="1"/>
        <v>2014</v>
      </c>
      <c r="C42">
        <f t="shared" si="2"/>
        <v>4</v>
      </c>
      <c r="D42" s="56">
        <f>Data!J41</f>
        <v>16625533.470000004</v>
      </c>
      <c r="E42" s="56">
        <f>Data!K41</f>
        <v>480728.51896375552</v>
      </c>
      <c r="F42" s="56">
        <f>Data!L41</f>
        <v>17106261.98896376</v>
      </c>
      <c r="G42" s="253">
        <f>Data!AV41</f>
        <v>126.49999999999997</v>
      </c>
      <c r="H42" s="253">
        <f>Data!AU41</f>
        <v>2.5999999999999996</v>
      </c>
      <c r="I42" s="251">
        <f t="shared" ca="1" si="7"/>
        <v>120.71999999999998</v>
      </c>
      <c r="J42" s="251">
        <f t="shared" ca="1" si="7"/>
        <v>6.58</v>
      </c>
      <c r="K42" s="32">
        <f>Data!BG41</f>
        <v>30</v>
      </c>
      <c r="L42" s="32">
        <f>Data!AC41</f>
        <v>276</v>
      </c>
      <c r="M42" s="32">
        <f>Data!BC41</f>
        <v>3082.6</v>
      </c>
      <c r="N42" s="32">
        <f>Data!BZ41</f>
        <v>0</v>
      </c>
      <c r="O42" s="32">
        <f t="shared" ca="1" si="8"/>
        <v>17102603.504124787</v>
      </c>
      <c r="P42" s="32">
        <f t="shared" ca="1" si="3"/>
        <v>16621874.985161031</v>
      </c>
      <c r="Q42" s="51">
        <f t="shared" ca="1" si="4"/>
        <v>-3658.4848389737308</v>
      </c>
      <c r="R42" s="50">
        <f t="shared" ca="1" si="5"/>
        <v>2.1386816367795789E-4</v>
      </c>
      <c r="AC42" s="2"/>
      <c r="AD42" s="5"/>
      <c r="AE42" s="5"/>
      <c r="AH42" s="2"/>
      <c r="AL42" s="2"/>
      <c r="AM42" s="76"/>
      <c r="AO42" s="5"/>
      <c r="AP42" s="2"/>
      <c r="AQ42" s="76"/>
      <c r="AR42" s="5"/>
      <c r="AS42" s="5"/>
      <c r="AT42" s="29"/>
      <c r="AU42" s="29"/>
      <c r="AV42" s="29"/>
    </row>
    <row r="43" spans="1:49" x14ac:dyDescent="0.2">
      <c r="A43" s="2">
        <v>41760</v>
      </c>
      <c r="B43">
        <f t="shared" si="1"/>
        <v>2014</v>
      </c>
      <c r="C43">
        <f t="shared" si="2"/>
        <v>5</v>
      </c>
      <c r="D43" s="56">
        <f>Data!J42</f>
        <v>16304922.880000003</v>
      </c>
      <c r="E43" s="56">
        <f>Data!K42</f>
        <v>480728.51896375552</v>
      </c>
      <c r="F43" s="56">
        <f>Data!L42</f>
        <v>16785651.398963757</v>
      </c>
      <c r="G43" s="253">
        <f>Data!AV42</f>
        <v>7.2000000000000011</v>
      </c>
      <c r="H43" s="253">
        <f>Data!AU42</f>
        <v>92</v>
      </c>
      <c r="I43" s="251">
        <f t="shared" ca="1" si="7"/>
        <v>16.330000000000002</v>
      </c>
      <c r="J43" s="251">
        <f t="shared" ca="1" si="7"/>
        <v>107.25</v>
      </c>
      <c r="K43" s="32">
        <f>Data!BG42</f>
        <v>31</v>
      </c>
      <c r="L43" s="32">
        <f>Data!AC42</f>
        <v>278</v>
      </c>
      <c r="M43" s="32">
        <f>Data!BC42</f>
        <v>3070.2</v>
      </c>
      <c r="N43" s="32">
        <f>Data!BZ42</f>
        <v>0</v>
      </c>
      <c r="O43" s="32">
        <f t="shared" ca="1" si="8"/>
        <v>16934296.774084147</v>
      </c>
      <c r="P43" s="32">
        <f t="shared" ca="1" si="3"/>
        <v>16453568.255120391</v>
      </c>
      <c r="Q43" s="51">
        <f t="shared" ca="1" si="4"/>
        <v>148645.37512039021</v>
      </c>
      <c r="R43" s="50">
        <f t="shared" ca="1" si="5"/>
        <v>8.8555023327582423E-3</v>
      </c>
      <c r="AC43" s="2"/>
      <c r="AD43" s="5"/>
      <c r="AE43" s="5"/>
      <c r="AH43" s="2"/>
      <c r="AL43" s="2"/>
      <c r="AM43" s="76"/>
      <c r="AO43" s="5"/>
      <c r="AP43" s="2"/>
      <c r="AQ43" s="76"/>
      <c r="AR43" s="5"/>
      <c r="AS43" s="5"/>
      <c r="AT43" s="29"/>
      <c r="AU43" s="29"/>
      <c r="AV43" s="29"/>
    </row>
    <row r="44" spans="1:49" x14ac:dyDescent="0.2">
      <c r="A44" s="2">
        <v>41791</v>
      </c>
      <c r="B44">
        <f t="shared" si="1"/>
        <v>2014</v>
      </c>
      <c r="C44">
        <f t="shared" si="2"/>
        <v>6</v>
      </c>
      <c r="D44" s="56">
        <f>Data!J43</f>
        <v>16672277.809999999</v>
      </c>
      <c r="E44" s="56">
        <f>Data!K43</f>
        <v>480728.51896375552</v>
      </c>
      <c r="F44" s="56">
        <f>Data!L43</f>
        <v>17153006.328963753</v>
      </c>
      <c r="G44" s="253">
        <f>Data!AV43</f>
        <v>0</v>
      </c>
      <c r="H44" s="253">
        <f>Data!AU43</f>
        <v>234</v>
      </c>
      <c r="I44" s="251">
        <f t="shared" ca="1" si="7"/>
        <v>0</v>
      </c>
      <c r="J44" s="251">
        <f t="shared" ca="1" si="7"/>
        <v>230.10000000000005</v>
      </c>
      <c r="K44" s="32">
        <f>Data!BG43</f>
        <v>30</v>
      </c>
      <c r="L44" s="32">
        <f>Data!AC43</f>
        <v>279</v>
      </c>
      <c r="M44" s="32">
        <f>Data!BC43</f>
        <v>3046.3</v>
      </c>
      <c r="N44" s="32">
        <f>Data!BZ43</f>
        <v>0</v>
      </c>
      <c r="O44" s="32">
        <f t="shared" ca="1" si="8"/>
        <v>17127135.230910514</v>
      </c>
      <c r="P44" s="32">
        <f t="shared" ca="1" si="3"/>
        <v>16646406.711946758</v>
      </c>
      <c r="Q44" s="51">
        <f t="shared" ca="1" si="4"/>
        <v>-25871.098053239286</v>
      </c>
      <c r="R44" s="50">
        <f t="shared" ca="1" si="5"/>
        <v>1.5082544457267865E-3</v>
      </c>
      <c r="AB44" s="130"/>
      <c r="AC44" s="2"/>
      <c r="AD44" s="5"/>
      <c r="AE44" s="5"/>
      <c r="AH44" s="2"/>
      <c r="AL44" s="2"/>
      <c r="AM44" s="76"/>
      <c r="AO44" s="5"/>
      <c r="AP44" s="2"/>
      <c r="AQ44" s="76"/>
      <c r="AR44" s="5"/>
      <c r="AS44" s="5"/>
      <c r="AT44" s="29"/>
      <c r="AU44" s="29"/>
      <c r="AV44" s="29"/>
    </row>
    <row r="45" spans="1:49" x14ac:dyDescent="0.2">
      <c r="A45" s="2">
        <v>41821</v>
      </c>
      <c r="B45">
        <f t="shared" si="1"/>
        <v>2014</v>
      </c>
      <c r="C45">
        <f t="shared" si="2"/>
        <v>7</v>
      </c>
      <c r="D45" s="56">
        <f>Data!J44</f>
        <v>16686928.109999999</v>
      </c>
      <c r="E45" s="56">
        <f>Data!K44</f>
        <v>480728.51896375552</v>
      </c>
      <c r="F45" s="56">
        <f>Data!L44</f>
        <v>17167656.628963754</v>
      </c>
      <c r="G45" s="253">
        <f>Data!AV44</f>
        <v>0</v>
      </c>
      <c r="H45" s="253">
        <f>Data!AU44</f>
        <v>253</v>
      </c>
      <c r="I45" s="251">
        <f t="shared" ca="1" si="7"/>
        <v>0</v>
      </c>
      <c r="J45" s="251">
        <f t="shared" ca="1" si="7"/>
        <v>331.41</v>
      </c>
      <c r="K45" s="32">
        <f>Data!BG44</f>
        <v>31</v>
      </c>
      <c r="L45" s="32">
        <f>Data!AC44</f>
        <v>282</v>
      </c>
      <c r="M45" s="32">
        <f>Data!BC44</f>
        <v>3021.9</v>
      </c>
      <c r="N45" s="32">
        <f>Data!BZ44</f>
        <v>0</v>
      </c>
      <c r="O45" s="32">
        <f t="shared" ca="1" si="8"/>
        <v>17687798.372131575</v>
      </c>
      <c r="P45" s="32">
        <f t="shared" ca="1" si="3"/>
        <v>17207069.853167821</v>
      </c>
      <c r="Q45" s="51">
        <f t="shared" ca="1" si="4"/>
        <v>520141.74316782132</v>
      </c>
      <c r="R45" s="50">
        <f t="shared" ca="1" si="5"/>
        <v>3.0297771816468189E-2</v>
      </c>
      <c r="V45" s="130"/>
      <c r="AC45" s="2"/>
      <c r="AD45" s="5"/>
      <c r="AE45" s="5"/>
      <c r="AH45" s="2"/>
      <c r="AL45" s="2"/>
      <c r="AM45" s="76"/>
      <c r="AO45" s="5"/>
      <c r="AP45" s="2"/>
      <c r="AQ45" s="76"/>
      <c r="AR45" s="5"/>
      <c r="AS45" s="5"/>
      <c r="AT45" s="29"/>
      <c r="AU45" s="29"/>
      <c r="AV45" s="29"/>
    </row>
    <row r="46" spans="1:49" x14ac:dyDescent="0.2">
      <c r="A46" s="2">
        <v>41852</v>
      </c>
      <c r="B46">
        <f t="shared" si="1"/>
        <v>2014</v>
      </c>
      <c r="C46">
        <f t="shared" si="2"/>
        <v>8</v>
      </c>
      <c r="D46" s="56">
        <f>Data!J45</f>
        <v>16611492.549999997</v>
      </c>
      <c r="E46" s="56">
        <f>Data!K45</f>
        <v>480728.51896375552</v>
      </c>
      <c r="F46" s="56">
        <f>Data!L45</f>
        <v>17092221.068963751</v>
      </c>
      <c r="G46" s="253">
        <f>Data!AV45</f>
        <v>0</v>
      </c>
      <c r="H46" s="253">
        <f>Data!AU45</f>
        <v>259</v>
      </c>
      <c r="I46" s="251">
        <f t="shared" ca="1" si="7"/>
        <v>0</v>
      </c>
      <c r="J46" s="251">
        <f t="shared" ca="1" si="7"/>
        <v>304.46000000000004</v>
      </c>
      <c r="K46" s="32">
        <f>Data!BG45</f>
        <v>31</v>
      </c>
      <c r="L46" s="32">
        <f>Data!AC45</f>
        <v>283</v>
      </c>
      <c r="M46" s="32">
        <f>Data!BC45</f>
        <v>3010.9</v>
      </c>
      <c r="N46" s="32">
        <f>Data!BZ45</f>
        <v>0</v>
      </c>
      <c r="O46" s="32">
        <f t="shared" ca="1" si="8"/>
        <v>17393785.201656125</v>
      </c>
      <c r="P46" s="32">
        <f t="shared" ca="1" si="3"/>
        <v>16913056.682692371</v>
      </c>
      <c r="Q46" s="51">
        <f t="shared" ca="1" si="4"/>
        <v>301564.13269237429</v>
      </c>
      <c r="R46" s="50">
        <f t="shared" ca="1" si="5"/>
        <v>1.7643355505151864E-2</v>
      </c>
      <c r="V46" s="130"/>
      <c r="AC46" s="2"/>
      <c r="AD46" s="5"/>
      <c r="AE46" s="5"/>
      <c r="AH46" s="2"/>
      <c r="AL46" s="2"/>
      <c r="AM46" s="76"/>
      <c r="AO46" s="5"/>
      <c r="AP46" s="2"/>
      <c r="AQ46" s="76"/>
      <c r="AR46" s="5"/>
      <c r="AS46" s="5"/>
      <c r="AT46" s="29"/>
      <c r="AU46" s="29"/>
      <c r="AV46" s="29"/>
      <c r="AW46" s="29"/>
    </row>
    <row r="47" spans="1:49" x14ac:dyDescent="0.2">
      <c r="A47" s="2">
        <v>41883</v>
      </c>
      <c r="B47">
        <f t="shared" si="1"/>
        <v>2014</v>
      </c>
      <c r="C47">
        <f t="shared" si="2"/>
        <v>9</v>
      </c>
      <c r="D47" s="56">
        <f>Data!J46</f>
        <v>16361292.15</v>
      </c>
      <c r="E47" s="56">
        <f>Data!K46</f>
        <v>480728.51896375552</v>
      </c>
      <c r="F47" s="56">
        <f>Data!L46</f>
        <v>16842020.668963756</v>
      </c>
      <c r="G47" s="253">
        <f>Data!AV46</f>
        <v>0.79999999999999893</v>
      </c>
      <c r="H47" s="253">
        <f>Data!AU46</f>
        <v>148.69999999999999</v>
      </c>
      <c r="I47" s="251">
        <f t="shared" ca="1" si="7"/>
        <v>0.24999999999999983</v>
      </c>
      <c r="J47" s="251">
        <f t="shared" ca="1" si="7"/>
        <v>176.51</v>
      </c>
      <c r="K47" s="32">
        <f>Data!BG46</f>
        <v>30</v>
      </c>
      <c r="L47" s="32">
        <f>Data!AC46</f>
        <v>283</v>
      </c>
      <c r="M47" s="32">
        <f>Data!BC46</f>
        <v>3013.7</v>
      </c>
      <c r="N47" s="32">
        <f>Data!BZ46</f>
        <v>0</v>
      </c>
      <c r="O47" s="32">
        <f t="shared" ca="1" si="8"/>
        <v>17023641.092414919</v>
      </c>
      <c r="P47" s="32">
        <f t="shared" ca="1" si="3"/>
        <v>16542912.573451163</v>
      </c>
      <c r="Q47" s="51">
        <f t="shared" ca="1" si="4"/>
        <v>181620.42345116287</v>
      </c>
      <c r="R47" s="50">
        <f t="shared" ca="1" si="5"/>
        <v>1.0783766806904025E-2</v>
      </c>
      <c r="AC47" s="2"/>
      <c r="AD47" s="5"/>
      <c r="AE47" s="5"/>
      <c r="AH47" s="2"/>
      <c r="AL47" s="2"/>
      <c r="AM47" s="76"/>
      <c r="AO47" s="5"/>
      <c r="AP47" s="2"/>
      <c r="AQ47" s="60"/>
      <c r="AR47" s="5"/>
      <c r="AS47" s="5"/>
      <c r="AT47" s="29"/>
      <c r="AU47" s="29"/>
      <c r="AV47" s="29"/>
    </row>
    <row r="48" spans="1:49" x14ac:dyDescent="0.2">
      <c r="A48" s="2">
        <v>41913</v>
      </c>
      <c r="B48">
        <f t="shared" si="1"/>
        <v>2014</v>
      </c>
      <c r="C48">
        <f t="shared" si="2"/>
        <v>10</v>
      </c>
      <c r="D48" s="56">
        <f>Data!J47</f>
        <v>16487938.609999999</v>
      </c>
      <c r="E48" s="56">
        <f>Data!K47</f>
        <v>480728.51896375552</v>
      </c>
      <c r="F48" s="56">
        <f>Data!L47</f>
        <v>16968667.128963754</v>
      </c>
      <c r="G48" s="253">
        <f>Data!AV47</f>
        <v>36.099999999999994</v>
      </c>
      <c r="H48" s="253">
        <f>Data!AU47</f>
        <v>38.1</v>
      </c>
      <c r="I48" s="251">
        <f t="shared" ref="I48:J63" ca="1" si="9">I36</f>
        <v>44.309999999999995</v>
      </c>
      <c r="J48" s="251">
        <f t="shared" ca="1" si="9"/>
        <v>43.36</v>
      </c>
      <c r="K48" s="32">
        <f>Data!BG47</f>
        <v>31</v>
      </c>
      <c r="L48" s="32">
        <f>Data!AC47</f>
        <v>282</v>
      </c>
      <c r="M48" s="32">
        <f>Data!BC47</f>
        <v>3027.3</v>
      </c>
      <c r="N48" s="32">
        <f>Data!BZ47</f>
        <v>0</v>
      </c>
      <c r="O48" s="32">
        <f t="shared" ca="1" si="8"/>
        <v>17046258.011392999</v>
      </c>
      <c r="P48" s="32">
        <f t="shared" ca="1" si="3"/>
        <v>16565529.492429243</v>
      </c>
      <c r="Q48" s="51">
        <f t="shared" ca="1" si="4"/>
        <v>77590.882429245859</v>
      </c>
      <c r="R48" s="50">
        <f t="shared" ca="1" si="5"/>
        <v>4.5725973548509458E-3</v>
      </c>
      <c r="AC48" s="2"/>
      <c r="AD48" s="5"/>
      <c r="AE48" s="5"/>
      <c r="AH48" s="2"/>
      <c r="AL48" s="2"/>
      <c r="AM48" s="76"/>
      <c r="AO48" s="5"/>
      <c r="AP48" s="2"/>
      <c r="AQ48" s="76"/>
      <c r="AR48" s="5"/>
      <c r="AS48" s="5"/>
      <c r="AT48" s="29"/>
      <c r="AU48" s="29"/>
      <c r="AV48" s="29"/>
    </row>
    <row r="49" spans="1:48" x14ac:dyDescent="0.2">
      <c r="A49" s="2">
        <v>41944</v>
      </c>
      <c r="B49">
        <f t="shared" si="1"/>
        <v>2014</v>
      </c>
      <c r="C49">
        <f t="shared" si="2"/>
        <v>11</v>
      </c>
      <c r="D49" s="56">
        <f>Data!J48</f>
        <v>17004284.760000002</v>
      </c>
      <c r="E49" s="56">
        <f>Data!K48</f>
        <v>480728.51896375552</v>
      </c>
      <c r="F49" s="56">
        <f>Data!L48</f>
        <v>17485013.278963756</v>
      </c>
      <c r="G49" s="253">
        <f>Data!AV48</f>
        <v>244.20000000000002</v>
      </c>
      <c r="H49" s="253">
        <f>Data!AU48</f>
        <v>0</v>
      </c>
      <c r="I49" s="251">
        <f t="shared" ca="1" si="9"/>
        <v>193.95999999999998</v>
      </c>
      <c r="J49" s="251">
        <f t="shared" ca="1" si="9"/>
        <v>2.7399999999999998</v>
      </c>
      <c r="K49" s="32">
        <f>Data!BG48</f>
        <v>30</v>
      </c>
      <c r="L49" s="32">
        <f>Data!AC48</f>
        <v>284</v>
      </c>
      <c r="M49" s="32">
        <f>Data!BC48</f>
        <v>3036.7</v>
      </c>
      <c r="N49" s="32">
        <f>Data!BZ48</f>
        <v>0</v>
      </c>
      <c r="O49" s="32">
        <f t="shared" ca="1" si="8"/>
        <v>17241904.25062665</v>
      </c>
      <c r="P49" s="32">
        <f t="shared" ca="1" si="3"/>
        <v>16761175.731662894</v>
      </c>
      <c r="Q49" s="51">
        <f t="shared" ca="1" si="4"/>
        <v>-243109.02833710611</v>
      </c>
      <c r="R49" s="50">
        <f t="shared" ca="1" si="5"/>
        <v>1.3903851513203648E-2</v>
      </c>
      <c r="AC49" s="2"/>
      <c r="AD49" s="5"/>
      <c r="AE49" s="5"/>
      <c r="AH49" s="2"/>
      <c r="AL49" s="2"/>
      <c r="AM49" s="76"/>
      <c r="AO49" s="5"/>
      <c r="AP49" s="2"/>
      <c r="AQ49" s="76"/>
      <c r="AR49" s="5"/>
      <c r="AS49" s="5"/>
      <c r="AT49" s="29"/>
      <c r="AU49" s="29"/>
      <c r="AV49" s="29"/>
    </row>
    <row r="50" spans="1:48" x14ac:dyDescent="0.2">
      <c r="A50" s="2">
        <v>41974</v>
      </c>
      <c r="B50">
        <f t="shared" si="1"/>
        <v>2014</v>
      </c>
      <c r="C50">
        <f t="shared" si="2"/>
        <v>12</v>
      </c>
      <c r="D50" s="56">
        <f>Data!J49</f>
        <v>17950454.600000001</v>
      </c>
      <c r="E50" s="56">
        <f>Data!K49</f>
        <v>480728.51896375552</v>
      </c>
      <c r="F50" s="56">
        <f>Data!L49</f>
        <v>18431183.118963756</v>
      </c>
      <c r="G50" s="253">
        <f>Data!AV49</f>
        <v>309.30000000000007</v>
      </c>
      <c r="H50" s="253">
        <f>Data!AU49</f>
        <v>0</v>
      </c>
      <c r="I50" s="251">
        <f t="shared" ca="1" si="9"/>
        <v>327.48000000000008</v>
      </c>
      <c r="J50" s="251">
        <f t="shared" ca="1" si="9"/>
        <v>0</v>
      </c>
      <c r="K50" s="32">
        <f>Data!BG49</f>
        <v>31</v>
      </c>
      <c r="L50" s="32">
        <f>Data!AC49</f>
        <v>284</v>
      </c>
      <c r="M50" s="32">
        <f>Data!BC49</f>
        <v>3034.6</v>
      </c>
      <c r="N50" s="32">
        <f>Data!BZ49</f>
        <v>0</v>
      </c>
      <c r="O50" s="32">
        <f t="shared" ca="1" si="8"/>
        <v>18525732.556069255</v>
      </c>
      <c r="P50" s="32">
        <f t="shared" ca="1" si="3"/>
        <v>18045004.037105501</v>
      </c>
      <c r="Q50" s="51">
        <f t="shared" ca="1" si="4"/>
        <v>94549.437105499208</v>
      </c>
      <c r="R50" s="50">
        <f t="shared" ca="1" si="5"/>
        <v>5.1298626081262115E-3</v>
      </c>
      <c r="AC50" s="2"/>
      <c r="AD50" s="5"/>
      <c r="AE50" s="5"/>
      <c r="AH50" s="2"/>
      <c r="AL50" s="2"/>
      <c r="AM50" s="76"/>
      <c r="AO50" s="5"/>
      <c r="AP50" s="2"/>
      <c r="AQ50" s="76"/>
      <c r="AR50" s="5"/>
      <c r="AS50" s="5"/>
      <c r="AT50" s="29"/>
      <c r="AU50" s="29"/>
      <c r="AV50" s="29"/>
    </row>
    <row r="51" spans="1:48" x14ac:dyDescent="0.2">
      <c r="A51" s="2">
        <v>42005</v>
      </c>
      <c r="B51">
        <f t="shared" si="1"/>
        <v>2015</v>
      </c>
      <c r="C51">
        <f t="shared" si="2"/>
        <v>1</v>
      </c>
      <c r="D51" s="56">
        <f>Data!J50</f>
        <v>18875685.754216857</v>
      </c>
      <c r="E51" s="56">
        <f>Data!K50</f>
        <v>555044.66445330705</v>
      </c>
      <c r="F51" s="56">
        <f>Data!L50</f>
        <v>19430730.418670163</v>
      </c>
      <c r="G51" s="253">
        <f>Data!AV50</f>
        <v>544.4</v>
      </c>
      <c r="H51" s="253">
        <f>Data!AU50</f>
        <v>0</v>
      </c>
      <c r="I51" s="251">
        <f t="shared" ca="1" si="9"/>
        <v>439.5</v>
      </c>
      <c r="J51" s="251">
        <f t="shared" ca="1" si="9"/>
        <v>0</v>
      </c>
      <c r="K51" s="32">
        <f>Data!BG50</f>
        <v>31</v>
      </c>
      <c r="L51" s="32">
        <f>Data!AC50</f>
        <v>286</v>
      </c>
      <c r="M51" s="32">
        <f>Data!BC50</f>
        <v>3029.1</v>
      </c>
      <c r="N51" s="32">
        <f>Data!BZ50</f>
        <v>0</v>
      </c>
      <c r="O51" s="32">
        <f t="shared" ca="1" si="8"/>
        <v>18885172.885536674</v>
      </c>
      <c r="P51" s="32">
        <f t="shared" ca="1" si="3"/>
        <v>18330128.221083369</v>
      </c>
      <c r="Q51" s="51">
        <f t="shared" ca="1" si="4"/>
        <v>-545557.53313348815</v>
      </c>
      <c r="R51" s="50">
        <f t="shared" ca="1" si="5"/>
        <v>2.8077047099026455E-2</v>
      </c>
      <c r="AC51" s="2"/>
      <c r="AD51" s="5"/>
      <c r="AE51" s="5"/>
      <c r="AH51" s="2"/>
      <c r="AL51" s="2"/>
      <c r="AM51" s="76"/>
      <c r="AO51" s="5"/>
      <c r="AP51" s="2"/>
      <c r="AQ51" s="76"/>
      <c r="AR51" s="5"/>
      <c r="AS51" s="5"/>
      <c r="AT51" s="29"/>
      <c r="AU51" s="29"/>
      <c r="AV51" s="29"/>
    </row>
    <row r="52" spans="1:48" x14ac:dyDescent="0.2">
      <c r="A52" s="2">
        <v>42036</v>
      </c>
      <c r="B52">
        <f t="shared" si="1"/>
        <v>2015</v>
      </c>
      <c r="C52">
        <f t="shared" si="2"/>
        <v>2</v>
      </c>
      <c r="D52" s="56">
        <f>Data!J51</f>
        <v>17783706.236144584</v>
      </c>
      <c r="E52" s="56">
        <f>Data!K51</f>
        <v>555044.66445330705</v>
      </c>
      <c r="F52" s="56">
        <f>Data!L51</f>
        <v>18338750.900597889</v>
      </c>
      <c r="G52" s="253">
        <f>Data!AV51</f>
        <v>632.80000000000007</v>
      </c>
      <c r="H52" s="253">
        <f>Data!AU51</f>
        <v>0</v>
      </c>
      <c r="I52" s="251">
        <f t="shared" ca="1" si="9"/>
        <v>403.5</v>
      </c>
      <c r="J52" s="251">
        <f t="shared" ca="1" si="9"/>
        <v>0</v>
      </c>
      <c r="K52" s="32">
        <f>Data!BG51</f>
        <v>28</v>
      </c>
      <c r="L52" s="32">
        <f>Data!AC51</f>
        <v>287</v>
      </c>
      <c r="M52" s="32">
        <f>Data!BC51</f>
        <v>3035.1</v>
      </c>
      <c r="N52" s="32">
        <f>Data!BZ51</f>
        <v>0</v>
      </c>
      <c r="O52" s="32">
        <f t="shared" ca="1" si="8"/>
        <v>17146221.421593994</v>
      </c>
      <c r="P52" s="32">
        <f t="shared" ca="1" si="3"/>
        <v>16591176.757140687</v>
      </c>
      <c r="Q52" s="51">
        <f t="shared" ca="1" si="4"/>
        <v>-1192529.4790038951</v>
      </c>
      <c r="R52" s="50">
        <f t="shared" ca="1" si="5"/>
        <v>6.5027846523888141E-2</v>
      </c>
      <c r="AC52" s="2"/>
      <c r="AD52" s="5"/>
      <c r="AE52" s="5"/>
      <c r="AH52" s="2"/>
      <c r="AL52" s="2"/>
      <c r="AM52" s="76"/>
      <c r="AO52" s="5"/>
      <c r="AP52" s="2"/>
      <c r="AQ52" s="76"/>
      <c r="AR52" s="5"/>
      <c r="AS52" s="5"/>
      <c r="AT52" s="29"/>
      <c r="AU52" s="29"/>
      <c r="AV52" s="29"/>
    </row>
    <row r="53" spans="1:48" x14ac:dyDescent="0.2">
      <c r="A53" s="2">
        <v>42064</v>
      </c>
      <c r="B53">
        <f t="shared" si="1"/>
        <v>2015</v>
      </c>
      <c r="C53">
        <f t="shared" si="2"/>
        <v>3</v>
      </c>
      <c r="D53" s="56">
        <f>Data!J52</f>
        <v>18252320.722891562</v>
      </c>
      <c r="E53" s="56">
        <f>Data!K52</f>
        <v>555044.66445330705</v>
      </c>
      <c r="F53" s="56">
        <f>Data!L52</f>
        <v>18807365.387344867</v>
      </c>
      <c r="G53" s="253">
        <f>Data!AV52</f>
        <v>367.49999999999994</v>
      </c>
      <c r="H53" s="253">
        <f>Data!AU52</f>
        <v>0</v>
      </c>
      <c r="I53" s="251">
        <f t="shared" ca="1" si="9"/>
        <v>291.06</v>
      </c>
      <c r="J53" s="251">
        <f t="shared" ca="1" si="9"/>
        <v>2.8099999999999996</v>
      </c>
      <c r="K53" s="32">
        <f>Data!BG52</f>
        <v>31</v>
      </c>
      <c r="L53" s="32">
        <f>Data!AC52</f>
        <v>288</v>
      </c>
      <c r="M53" s="32">
        <f>Data!BC52</f>
        <v>3054.2</v>
      </c>
      <c r="N53" s="32">
        <f>Data!BZ52</f>
        <v>0</v>
      </c>
      <c r="O53" s="32">
        <f t="shared" ca="1" si="8"/>
        <v>18428461.34724424</v>
      </c>
      <c r="P53" s="32">
        <f t="shared" ca="1" si="3"/>
        <v>17873416.682790935</v>
      </c>
      <c r="Q53" s="51">
        <f t="shared" ca="1" si="4"/>
        <v>-378904.04010062665</v>
      </c>
      <c r="R53" s="50">
        <f t="shared" ca="1" si="5"/>
        <v>2.0146577274219615E-2</v>
      </c>
      <c r="AC53" s="2"/>
      <c r="AD53" s="5"/>
      <c r="AE53" s="5"/>
      <c r="AH53" s="2"/>
      <c r="AL53" s="2"/>
      <c r="AM53" s="76"/>
      <c r="AO53" s="5"/>
      <c r="AP53" s="2"/>
      <c r="AQ53" s="76"/>
      <c r="AR53" s="5"/>
      <c r="AS53" s="5"/>
      <c r="AT53" s="29"/>
      <c r="AU53" s="29"/>
      <c r="AV53" s="29"/>
    </row>
    <row r="54" spans="1:48" x14ac:dyDescent="0.2">
      <c r="A54" s="2">
        <v>42095</v>
      </c>
      <c r="B54">
        <f t="shared" si="1"/>
        <v>2015</v>
      </c>
      <c r="C54">
        <f t="shared" si="2"/>
        <v>4</v>
      </c>
      <c r="D54" s="56">
        <f>Data!J53</f>
        <v>16479411.932530126</v>
      </c>
      <c r="E54" s="56">
        <f>Data!K53</f>
        <v>555044.66445330705</v>
      </c>
      <c r="F54" s="56">
        <f>Data!L53</f>
        <v>17034456.596983433</v>
      </c>
      <c r="G54" s="253">
        <f>Data!AV53</f>
        <v>94.399999999999991</v>
      </c>
      <c r="H54" s="253">
        <f>Data!AU53</f>
        <v>7.1999999999999993</v>
      </c>
      <c r="I54" s="251">
        <f t="shared" ca="1" si="9"/>
        <v>120.71999999999998</v>
      </c>
      <c r="J54" s="251">
        <f t="shared" ca="1" si="9"/>
        <v>6.58</v>
      </c>
      <c r="K54" s="32">
        <f>Data!BG53</f>
        <v>30</v>
      </c>
      <c r="L54" s="32">
        <f>Data!AC53</f>
        <v>290</v>
      </c>
      <c r="M54" s="32">
        <f>Data!BC53</f>
        <v>3066.7</v>
      </c>
      <c r="N54" s="32">
        <f>Data!BZ53</f>
        <v>0</v>
      </c>
      <c r="O54" s="32">
        <f t="shared" ca="1" si="8"/>
        <v>17167227.209253725</v>
      </c>
      <c r="P54" s="32">
        <f t="shared" ca="1" si="3"/>
        <v>16612182.544800417</v>
      </c>
      <c r="Q54" s="51">
        <f t="shared" ca="1" si="4"/>
        <v>132770.61227029189</v>
      </c>
      <c r="R54" s="50">
        <f t="shared" ca="1" si="5"/>
        <v>7.7942381968206572E-3</v>
      </c>
      <c r="AC54" s="2"/>
      <c r="AD54" s="5"/>
      <c r="AE54" s="5"/>
      <c r="AH54" s="2"/>
      <c r="AL54" s="2"/>
      <c r="AM54" s="76"/>
      <c r="AO54" s="5"/>
      <c r="AP54" s="2"/>
      <c r="AQ54" s="76"/>
      <c r="AR54" s="5"/>
      <c r="AS54" s="5"/>
      <c r="AT54" s="29"/>
      <c r="AU54" s="29"/>
      <c r="AV54" s="29"/>
    </row>
    <row r="55" spans="1:48" x14ac:dyDescent="0.2">
      <c r="A55" s="2">
        <v>42125</v>
      </c>
      <c r="B55">
        <f t="shared" si="1"/>
        <v>2015</v>
      </c>
      <c r="C55">
        <f t="shared" si="2"/>
        <v>5</v>
      </c>
      <c r="D55" s="56">
        <f>Data!J54</f>
        <v>16982291.479518067</v>
      </c>
      <c r="E55" s="56">
        <f>Data!K54</f>
        <v>555044.66445330705</v>
      </c>
      <c r="F55" s="56">
        <f>Data!L54</f>
        <v>17537336.143971372</v>
      </c>
      <c r="G55" s="253">
        <f>Data!AV54</f>
        <v>1.5</v>
      </c>
      <c r="H55" s="253">
        <f>Data!AU54</f>
        <v>142.1</v>
      </c>
      <c r="I55" s="251">
        <f t="shared" ca="1" si="9"/>
        <v>16.330000000000002</v>
      </c>
      <c r="J55" s="251">
        <f t="shared" ca="1" si="9"/>
        <v>107.25</v>
      </c>
      <c r="K55" s="32">
        <f>Data!BG54</f>
        <v>31</v>
      </c>
      <c r="L55" s="32">
        <f>Data!AC54</f>
        <v>291</v>
      </c>
      <c r="M55" s="32">
        <f>Data!BC54</f>
        <v>3084</v>
      </c>
      <c r="N55" s="32">
        <f>Data!BZ54</f>
        <v>0</v>
      </c>
      <c r="O55" s="32">
        <f t="shared" ca="1" si="8"/>
        <v>17383281.626284789</v>
      </c>
      <c r="P55" s="32">
        <f t="shared" ca="1" si="3"/>
        <v>16828236.961831484</v>
      </c>
      <c r="Q55" s="51">
        <f t="shared" ca="1" si="4"/>
        <v>-154054.5176865831</v>
      </c>
      <c r="R55" s="50">
        <f t="shared" ca="1" si="5"/>
        <v>8.7843738879089008E-3</v>
      </c>
      <c r="AC55" s="2"/>
      <c r="AD55" s="5"/>
      <c r="AE55" s="5"/>
      <c r="AH55" s="2"/>
      <c r="AL55" s="2"/>
      <c r="AM55" s="76"/>
      <c r="AO55" s="5"/>
      <c r="AP55" s="2"/>
      <c r="AQ55" s="76"/>
      <c r="AR55" s="5"/>
      <c r="AS55" s="5"/>
      <c r="AT55" s="29"/>
      <c r="AU55" s="29"/>
      <c r="AV55" s="29"/>
    </row>
    <row r="56" spans="1:48" x14ac:dyDescent="0.2">
      <c r="A56" s="2">
        <v>42156</v>
      </c>
      <c r="B56">
        <f t="shared" si="1"/>
        <v>2015</v>
      </c>
      <c r="C56">
        <f t="shared" si="2"/>
        <v>6</v>
      </c>
      <c r="D56" s="56">
        <f>Data!J55</f>
        <v>16646153.06024096</v>
      </c>
      <c r="E56" s="56">
        <f>Data!K55</f>
        <v>555044.66445330705</v>
      </c>
      <c r="F56" s="56">
        <f>Data!L55</f>
        <v>17201197.724694267</v>
      </c>
      <c r="G56" s="253">
        <f>Data!AV55</f>
        <v>0</v>
      </c>
      <c r="H56" s="253">
        <f>Data!AU55</f>
        <v>178.69999999999996</v>
      </c>
      <c r="I56" s="251">
        <f t="shared" ca="1" si="9"/>
        <v>0</v>
      </c>
      <c r="J56" s="251">
        <f t="shared" ca="1" si="9"/>
        <v>230.10000000000005</v>
      </c>
      <c r="K56" s="32">
        <f>Data!BG55</f>
        <v>30</v>
      </c>
      <c r="L56" s="32">
        <f>Data!AC55</f>
        <v>291</v>
      </c>
      <c r="M56" s="32">
        <f>Data!BC55</f>
        <v>3102.9</v>
      </c>
      <c r="N56" s="32">
        <f>Data!BZ55</f>
        <v>0</v>
      </c>
      <c r="O56" s="32">
        <f t="shared" ca="1" si="8"/>
        <v>17542165.529806193</v>
      </c>
      <c r="P56" s="32">
        <f t="shared" ca="1" si="3"/>
        <v>16987120.865352888</v>
      </c>
      <c r="Q56" s="51">
        <f t="shared" ca="1" si="4"/>
        <v>340967.80511192605</v>
      </c>
      <c r="R56" s="50">
        <f t="shared" ca="1" si="5"/>
        <v>1.9822329268526933E-2</v>
      </c>
      <c r="AC56" s="2"/>
      <c r="AD56" s="5"/>
      <c r="AE56" s="5"/>
      <c r="AH56" s="2"/>
      <c r="AL56" s="2"/>
      <c r="AM56" s="76"/>
      <c r="AO56" s="5"/>
      <c r="AP56" s="2"/>
      <c r="AQ56" s="76"/>
      <c r="AR56" s="5"/>
      <c r="AS56" s="5"/>
      <c r="AT56" s="29"/>
      <c r="AU56" s="29"/>
      <c r="AV56" s="29"/>
    </row>
    <row r="57" spans="1:48" x14ac:dyDescent="0.2">
      <c r="A57" s="2">
        <v>42186</v>
      </c>
      <c r="B57">
        <f t="shared" si="1"/>
        <v>2015</v>
      </c>
      <c r="C57">
        <f t="shared" si="2"/>
        <v>7</v>
      </c>
      <c r="D57" s="56">
        <f>Data!J56</f>
        <v>17538166.997590359</v>
      </c>
      <c r="E57" s="56">
        <f>Data!K56</f>
        <v>555044.66445330705</v>
      </c>
      <c r="F57" s="56">
        <f>Data!L56</f>
        <v>18093211.662043665</v>
      </c>
      <c r="G57" s="253">
        <f>Data!AV56</f>
        <v>0</v>
      </c>
      <c r="H57" s="253">
        <f>Data!AU56</f>
        <v>296.3</v>
      </c>
      <c r="I57" s="251">
        <f t="shared" ca="1" si="9"/>
        <v>0</v>
      </c>
      <c r="J57" s="251">
        <f t="shared" ca="1" si="9"/>
        <v>331.41</v>
      </c>
      <c r="K57" s="32">
        <f>Data!BG56</f>
        <v>31</v>
      </c>
      <c r="L57" s="32">
        <f>Data!AC56</f>
        <v>292</v>
      </c>
      <c r="M57" s="32">
        <f>Data!BC56</f>
        <v>3132</v>
      </c>
      <c r="N57" s="32">
        <f>Data!BZ56</f>
        <v>0</v>
      </c>
      <c r="O57" s="32">
        <f t="shared" ca="1" si="8"/>
        <v>18326117.880671673</v>
      </c>
      <c r="P57" s="32">
        <f t="shared" ca="1" si="3"/>
        <v>17771073.216218367</v>
      </c>
      <c r="Q57" s="51">
        <f t="shared" ca="1" si="4"/>
        <v>232906.21862800792</v>
      </c>
      <c r="R57" s="50">
        <f t="shared" ca="1" si="5"/>
        <v>1.2872574696984487E-2</v>
      </c>
      <c r="AC57" s="2"/>
      <c r="AD57" s="5"/>
      <c r="AE57" s="5"/>
      <c r="AH57" s="2"/>
      <c r="AL57" s="2"/>
      <c r="AM57" s="76"/>
      <c r="AO57" s="5"/>
      <c r="AP57" s="2"/>
      <c r="AQ57" s="76"/>
      <c r="AR57" s="5"/>
      <c r="AS57" s="5"/>
      <c r="AT57" s="29"/>
      <c r="AU57" s="29"/>
      <c r="AV57" s="29"/>
    </row>
    <row r="58" spans="1:48" x14ac:dyDescent="0.2">
      <c r="A58" s="2">
        <v>42217</v>
      </c>
      <c r="B58">
        <f t="shared" si="1"/>
        <v>2015</v>
      </c>
      <c r="C58">
        <f t="shared" si="2"/>
        <v>8</v>
      </c>
      <c r="D58" s="56">
        <f>Data!J57</f>
        <v>17093829.031325299</v>
      </c>
      <c r="E58" s="56">
        <f>Data!K57</f>
        <v>555044.66445330705</v>
      </c>
      <c r="F58" s="56">
        <f>Data!L57</f>
        <v>17648873.695778605</v>
      </c>
      <c r="G58" s="253">
        <f>Data!AV57</f>
        <v>0</v>
      </c>
      <c r="H58" s="253">
        <f>Data!AU57</f>
        <v>270.19999999999993</v>
      </c>
      <c r="I58" s="251">
        <f t="shared" ca="1" si="9"/>
        <v>0</v>
      </c>
      <c r="J58" s="251">
        <f t="shared" ca="1" si="9"/>
        <v>304.46000000000004</v>
      </c>
      <c r="K58" s="32">
        <f>Data!BG57</f>
        <v>31</v>
      </c>
      <c r="L58" s="32">
        <f>Data!AC57</f>
        <v>292</v>
      </c>
      <c r="M58" s="32">
        <f>Data!BC57</f>
        <v>3151.5</v>
      </c>
      <c r="N58" s="32">
        <f>Data!BZ57</f>
        <v>0</v>
      </c>
      <c r="O58" s="32">
        <f t="shared" ca="1" si="8"/>
        <v>17876141.341753986</v>
      </c>
      <c r="P58" s="32">
        <f t="shared" ca="1" si="3"/>
        <v>17321096.67730068</v>
      </c>
      <c r="Q58" s="51">
        <f t="shared" ca="1" si="4"/>
        <v>227267.64597538114</v>
      </c>
      <c r="R58" s="50">
        <f t="shared" ca="1" si="5"/>
        <v>1.2877175614313608E-2</v>
      </c>
      <c r="AC58" s="2"/>
      <c r="AD58" s="5"/>
      <c r="AE58" s="5"/>
      <c r="AH58" s="2"/>
      <c r="AL58" s="2"/>
      <c r="AM58" s="76"/>
      <c r="AO58" s="5"/>
      <c r="AP58" s="2"/>
      <c r="AQ58" s="76"/>
      <c r="AR58" s="5"/>
      <c r="AS58" s="5"/>
      <c r="AT58" s="29"/>
      <c r="AU58" s="29"/>
      <c r="AV58" s="29"/>
    </row>
    <row r="59" spans="1:48" x14ac:dyDescent="0.2">
      <c r="A59" s="2">
        <v>42248</v>
      </c>
      <c r="B59">
        <f t="shared" si="1"/>
        <v>2015</v>
      </c>
      <c r="C59">
        <f t="shared" si="2"/>
        <v>9</v>
      </c>
      <c r="D59" s="56">
        <f>Data!J58</f>
        <v>17292395.55662651</v>
      </c>
      <c r="E59" s="56">
        <f>Data!K58</f>
        <v>555044.66445330705</v>
      </c>
      <c r="F59" s="56">
        <f>Data!L58</f>
        <v>17847440.221079815</v>
      </c>
      <c r="G59" s="253">
        <f>Data!AV58</f>
        <v>0</v>
      </c>
      <c r="H59" s="253">
        <f>Data!AU58</f>
        <v>230.8</v>
      </c>
      <c r="I59" s="251">
        <f t="shared" ca="1" si="9"/>
        <v>0.24999999999999983</v>
      </c>
      <c r="J59" s="251">
        <f t="shared" ca="1" si="9"/>
        <v>176.51</v>
      </c>
      <c r="K59" s="32">
        <f>Data!BG58</f>
        <v>30</v>
      </c>
      <c r="L59" s="32">
        <f>Data!AC58</f>
        <v>292</v>
      </c>
      <c r="M59" s="32">
        <f>Data!BC58</f>
        <v>3155.1</v>
      </c>
      <c r="N59" s="32">
        <f>Data!BZ58</f>
        <v>0</v>
      </c>
      <c r="O59" s="32">
        <f t="shared" ca="1" si="8"/>
        <v>17488601.453727633</v>
      </c>
      <c r="P59" s="32">
        <f t="shared" ca="1" si="3"/>
        <v>16933556.789274327</v>
      </c>
      <c r="Q59" s="51">
        <f t="shared" ca="1" si="4"/>
        <v>-358838.76735218242</v>
      </c>
      <c r="R59" s="50">
        <f t="shared" ca="1" si="5"/>
        <v>2.0105895462160107E-2</v>
      </c>
      <c r="AC59" s="2"/>
      <c r="AD59" s="5"/>
      <c r="AE59" s="5"/>
      <c r="AH59" s="2"/>
      <c r="AL59" s="2"/>
      <c r="AM59" s="76"/>
      <c r="AO59" s="5"/>
      <c r="AP59" s="2"/>
      <c r="AQ59" s="76"/>
      <c r="AR59" s="5"/>
      <c r="AS59" s="5"/>
      <c r="AT59" s="29"/>
      <c r="AU59" s="29"/>
      <c r="AV59" s="29"/>
    </row>
    <row r="60" spans="1:48" x14ac:dyDescent="0.2">
      <c r="A60" s="2">
        <v>42278</v>
      </c>
      <c r="B60">
        <f t="shared" si="1"/>
        <v>2015</v>
      </c>
      <c r="C60">
        <f t="shared" si="2"/>
        <v>10</v>
      </c>
      <c r="D60" s="56">
        <f>Data!J59</f>
        <v>16272895.431325302</v>
      </c>
      <c r="E60" s="56">
        <f>Data!K59</f>
        <v>555044.66445330705</v>
      </c>
      <c r="F60" s="56">
        <f>Data!L59</f>
        <v>16827940.095778607</v>
      </c>
      <c r="G60" s="253">
        <f>Data!AV59</f>
        <v>48.199999999999989</v>
      </c>
      <c r="H60" s="253">
        <f>Data!AU59</f>
        <v>21.3</v>
      </c>
      <c r="I60" s="251">
        <f t="shared" ca="1" si="9"/>
        <v>44.309999999999995</v>
      </c>
      <c r="J60" s="251">
        <f t="shared" ca="1" si="9"/>
        <v>43.36</v>
      </c>
      <c r="K60" s="32">
        <f>Data!BG59</f>
        <v>31</v>
      </c>
      <c r="L60" s="32">
        <f>Data!AC59</f>
        <v>292</v>
      </c>
      <c r="M60" s="32">
        <f>Data!BC59</f>
        <v>3149.2</v>
      </c>
      <c r="N60" s="32">
        <f>Data!BZ59</f>
        <v>0</v>
      </c>
      <c r="O60" s="32">
        <f t="shared" ca="1" si="8"/>
        <v>16954046.764995307</v>
      </c>
      <c r="P60" s="32">
        <f t="shared" ca="1" si="3"/>
        <v>16399002.100542</v>
      </c>
      <c r="Q60" s="51">
        <f t="shared" ca="1" si="4"/>
        <v>126106.6692166999</v>
      </c>
      <c r="R60" s="50">
        <f t="shared" ca="1" si="5"/>
        <v>7.4938862688449038E-3</v>
      </c>
      <c r="AC60" s="2"/>
      <c r="AD60" s="5"/>
      <c r="AE60" s="5"/>
      <c r="AH60" s="2"/>
      <c r="AL60" s="2"/>
      <c r="AM60" s="76"/>
      <c r="AO60" s="5"/>
      <c r="AP60" s="2"/>
      <c r="AQ60" s="76"/>
      <c r="AR60" s="5"/>
      <c r="AS60" s="5"/>
      <c r="AT60" s="29"/>
      <c r="AU60" s="29"/>
      <c r="AV60" s="29"/>
    </row>
    <row r="61" spans="1:48" x14ac:dyDescent="0.2">
      <c r="A61" s="2">
        <v>42309</v>
      </c>
      <c r="B61">
        <f t="shared" si="1"/>
        <v>2015</v>
      </c>
      <c r="C61">
        <f t="shared" si="2"/>
        <v>11</v>
      </c>
      <c r="D61" s="56">
        <f>Data!J60</f>
        <v>16129527.980722889</v>
      </c>
      <c r="E61" s="56">
        <f>Data!K60</f>
        <v>555044.66445330705</v>
      </c>
      <c r="F61" s="56">
        <f>Data!L60</f>
        <v>16684572.645176196</v>
      </c>
      <c r="G61" s="253">
        <f>Data!AV60</f>
        <v>121.9</v>
      </c>
      <c r="H61" s="253">
        <f>Data!AU60</f>
        <v>7.3999999999999986</v>
      </c>
      <c r="I61" s="251">
        <f t="shared" ca="1" si="9"/>
        <v>193.95999999999998</v>
      </c>
      <c r="J61" s="251">
        <f t="shared" ca="1" si="9"/>
        <v>2.7399999999999998</v>
      </c>
      <c r="K61" s="32">
        <f>Data!BG60</f>
        <v>30</v>
      </c>
      <c r="L61" s="32">
        <f>Data!AC60</f>
        <v>293</v>
      </c>
      <c r="M61" s="32">
        <f>Data!BC60</f>
        <v>3140.6</v>
      </c>
      <c r="N61" s="32">
        <f>Data!BZ60</f>
        <v>0</v>
      </c>
      <c r="O61" s="32">
        <f t="shared" ca="1" si="8"/>
        <v>17028425.260416303</v>
      </c>
      <c r="P61" s="32">
        <f t="shared" ca="1" si="3"/>
        <v>16473380.595962996</v>
      </c>
      <c r="Q61" s="51">
        <f t="shared" ca="1" si="4"/>
        <v>343852.61524010636</v>
      </c>
      <c r="R61" s="50">
        <f t="shared" ca="1" si="5"/>
        <v>2.0609015439153017E-2</v>
      </c>
      <c r="AC61" s="2"/>
      <c r="AD61" s="5"/>
      <c r="AE61" s="5"/>
      <c r="AO61" s="5"/>
      <c r="AP61" s="5"/>
      <c r="AQ61" s="5"/>
      <c r="AR61" s="5"/>
      <c r="AT61" s="29"/>
      <c r="AU61" s="29"/>
      <c r="AV61" s="29"/>
    </row>
    <row r="62" spans="1:48" x14ac:dyDescent="0.2">
      <c r="A62" s="2">
        <v>42339</v>
      </c>
      <c r="B62">
        <f t="shared" si="1"/>
        <v>2015</v>
      </c>
      <c r="C62">
        <f t="shared" si="2"/>
        <v>12</v>
      </c>
      <c r="D62" s="56">
        <f>Data!J61</f>
        <v>16103160.144578312</v>
      </c>
      <c r="E62" s="56">
        <f>Data!K61</f>
        <v>555044.66445330705</v>
      </c>
      <c r="F62" s="56">
        <f>Data!L61</f>
        <v>16658204.809031619</v>
      </c>
      <c r="G62" s="253">
        <f>Data!AV61</f>
        <v>182</v>
      </c>
      <c r="H62" s="253">
        <f>Data!AU61</f>
        <v>0</v>
      </c>
      <c r="I62" s="251">
        <f t="shared" ca="1" si="9"/>
        <v>327.48000000000008</v>
      </c>
      <c r="J62" s="251">
        <f t="shared" ca="1" si="9"/>
        <v>0</v>
      </c>
      <c r="K62" s="32">
        <f>Data!BG61</f>
        <v>31</v>
      </c>
      <c r="L62" s="32">
        <f>Data!AC61</f>
        <v>293</v>
      </c>
      <c r="M62" s="32">
        <f>Data!BC61</f>
        <v>3147.5</v>
      </c>
      <c r="N62" s="32">
        <f>Data!BZ61</f>
        <v>0</v>
      </c>
      <c r="O62" s="32">
        <f t="shared" ca="1" si="8"/>
        <v>17414808.335440196</v>
      </c>
      <c r="P62" s="32">
        <f t="shared" ca="1" si="3"/>
        <v>16859763.670986891</v>
      </c>
      <c r="Q62" s="51">
        <f t="shared" ca="1" si="4"/>
        <v>756603.52640857734</v>
      </c>
      <c r="R62" s="50">
        <f t="shared" ca="1" si="5"/>
        <v>4.5419271469058164E-2</v>
      </c>
    </row>
    <row r="63" spans="1:48" x14ac:dyDescent="0.2">
      <c r="A63" s="2">
        <v>42370</v>
      </c>
      <c r="B63">
        <f t="shared" si="1"/>
        <v>2016</v>
      </c>
      <c r="C63">
        <f t="shared" si="2"/>
        <v>1</v>
      </c>
      <c r="D63" s="56">
        <f>Data!J62</f>
        <v>17735240.327710841</v>
      </c>
      <c r="E63" s="56">
        <f>Data!K62</f>
        <v>657746.90431909065</v>
      </c>
      <c r="F63" s="56">
        <f>Data!L62</f>
        <v>18392987.23202993</v>
      </c>
      <c r="G63" s="253">
        <f>Data!AV62</f>
        <v>422.40000000000009</v>
      </c>
      <c r="H63" s="253">
        <f>Data!AU62</f>
        <v>0</v>
      </c>
      <c r="I63" s="251">
        <f t="shared" ca="1" si="9"/>
        <v>439.5</v>
      </c>
      <c r="J63" s="251">
        <f t="shared" ca="1" si="9"/>
        <v>0</v>
      </c>
      <c r="K63" s="32">
        <f>Data!BG62</f>
        <v>31</v>
      </c>
      <c r="L63" s="32">
        <f>Data!AC62</f>
        <v>292</v>
      </c>
      <c r="M63" s="32">
        <f>Data!BC62</f>
        <v>3154.2</v>
      </c>
      <c r="N63" s="32">
        <f>Data!BZ62</f>
        <v>0</v>
      </c>
      <c r="O63" s="32">
        <f t="shared" ca="1" si="8"/>
        <v>18481919.870891538</v>
      </c>
      <c r="P63" s="32">
        <f t="shared" ca="1" si="3"/>
        <v>17824172.966572449</v>
      </c>
      <c r="Q63" s="51">
        <f t="shared" ca="1" si="4"/>
        <v>88932.63886160776</v>
      </c>
      <c r="R63" s="50">
        <f t="shared" ca="1" si="5"/>
        <v>4.8351384002887042E-3</v>
      </c>
    </row>
    <row r="64" spans="1:48" x14ac:dyDescent="0.2">
      <c r="A64" s="2">
        <v>42401</v>
      </c>
      <c r="B64">
        <f t="shared" si="1"/>
        <v>2016</v>
      </c>
      <c r="C64">
        <f t="shared" si="2"/>
        <v>2</v>
      </c>
      <c r="D64" s="56">
        <f>Data!J63</f>
        <v>16845185.012048196</v>
      </c>
      <c r="E64" s="56">
        <f>Data!K63</f>
        <v>657746.90431909065</v>
      </c>
      <c r="F64" s="56">
        <f>Data!L63</f>
        <v>17502931.916367285</v>
      </c>
      <c r="G64" s="253">
        <f>Data!AV63</f>
        <v>356.40000000000003</v>
      </c>
      <c r="H64" s="253">
        <f>Data!AU63</f>
        <v>0</v>
      </c>
      <c r="I64" s="251">
        <f t="shared" ref="I64:J79" ca="1" si="10">I52</f>
        <v>403.5</v>
      </c>
      <c r="J64" s="251">
        <f t="shared" ca="1" si="10"/>
        <v>0</v>
      </c>
      <c r="K64" s="32">
        <f>Data!BG63</f>
        <v>29</v>
      </c>
      <c r="L64" s="32">
        <f>Data!AC63</f>
        <v>290</v>
      </c>
      <c r="M64" s="32">
        <f>Data!BC63</f>
        <v>3149.3</v>
      </c>
      <c r="N64" s="32">
        <f>Data!BZ63</f>
        <v>0</v>
      </c>
      <c r="O64" s="32">
        <f t="shared" ca="1" si="8"/>
        <v>17747886.72867031</v>
      </c>
      <c r="P64" s="32">
        <f t="shared" ca="1" si="3"/>
        <v>17090139.824351221</v>
      </c>
      <c r="Q64" s="51">
        <f t="shared" ca="1" si="4"/>
        <v>244954.81230302528</v>
      </c>
      <c r="R64" s="50">
        <f t="shared" ca="1" si="5"/>
        <v>1.3995073138230283E-2</v>
      </c>
    </row>
    <row r="65" spans="1:18" x14ac:dyDescent="0.2">
      <c r="A65" s="2">
        <v>42430</v>
      </c>
      <c r="B65">
        <f t="shared" si="1"/>
        <v>2016</v>
      </c>
      <c r="C65">
        <f t="shared" si="2"/>
        <v>3</v>
      </c>
      <c r="D65" s="56">
        <f>Data!J64</f>
        <v>16957889.127710842</v>
      </c>
      <c r="E65" s="56">
        <f>Data!K64</f>
        <v>657746.90431909065</v>
      </c>
      <c r="F65" s="56">
        <f>Data!L64</f>
        <v>17615636.032029931</v>
      </c>
      <c r="G65" s="253">
        <f>Data!AV64</f>
        <v>232.90000000000003</v>
      </c>
      <c r="H65" s="253">
        <f>Data!AU64</f>
        <v>0.80000000000000071</v>
      </c>
      <c r="I65" s="251">
        <f t="shared" ca="1" si="10"/>
        <v>291.06</v>
      </c>
      <c r="J65" s="251">
        <f t="shared" ca="1" si="10"/>
        <v>2.8099999999999996</v>
      </c>
      <c r="K65" s="32">
        <f>Data!BG64</f>
        <v>31</v>
      </c>
      <c r="L65" s="32">
        <f>Data!AC64</f>
        <v>293</v>
      </c>
      <c r="M65" s="32">
        <f>Data!BC64</f>
        <v>3140</v>
      </c>
      <c r="N65" s="32">
        <f>Data!BZ64</f>
        <v>0</v>
      </c>
      <c r="O65" s="32">
        <f t="shared" ca="1" si="8"/>
        <v>17931444.584861435</v>
      </c>
      <c r="P65" s="32">
        <f t="shared" ca="1" si="3"/>
        <v>17273697.680542346</v>
      </c>
      <c r="Q65" s="51">
        <f t="shared" ca="1" si="4"/>
        <v>315808.55283150449</v>
      </c>
      <c r="R65" s="50">
        <f t="shared" ca="1" si="5"/>
        <v>1.7927740574185357E-2</v>
      </c>
    </row>
    <row r="66" spans="1:18" x14ac:dyDescent="0.2">
      <c r="A66" s="2">
        <v>42461</v>
      </c>
      <c r="B66">
        <f t="shared" si="1"/>
        <v>2016</v>
      </c>
      <c r="C66">
        <f t="shared" si="2"/>
        <v>4</v>
      </c>
      <c r="D66" s="56">
        <f>Data!J65</f>
        <v>16234178.226506023</v>
      </c>
      <c r="E66" s="56">
        <f>Data!K65</f>
        <v>657746.90431909065</v>
      </c>
      <c r="F66" s="56">
        <f>Data!L65</f>
        <v>16891925.130825114</v>
      </c>
      <c r="G66" s="253">
        <f>Data!AV65</f>
        <v>167.70000000000005</v>
      </c>
      <c r="H66" s="253">
        <f>Data!AU65</f>
        <v>4.9000000000000004</v>
      </c>
      <c r="I66" s="251">
        <f t="shared" ca="1" si="10"/>
        <v>120.71999999999998</v>
      </c>
      <c r="J66" s="251">
        <f t="shared" ca="1" si="10"/>
        <v>6.58</v>
      </c>
      <c r="K66" s="32">
        <f>Data!BG65</f>
        <v>30</v>
      </c>
      <c r="L66" s="32">
        <f>Data!AC65</f>
        <v>293</v>
      </c>
      <c r="M66" s="32">
        <f>Data!BC65</f>
        <v>3137.9</v>
      </c>
      <c r="N66" s="32">
        <f>Data!BZ65</f>
        <v>0</v>
      </c>
      <c r="O66" s="32">
        <f t="shared" ca="1" si="8"/>
        <v>16658738.880223403</v>
      </c>
      <c r="P66" s="32">
        <f t="shared" ca="1" si="3"/>
        <v>16000991.975904312</v>
      </c>
      <c r="Q66" s="51">
        <f t="shared" ca="1" si="4"/>
        <v>-233186.25060171075</v>
      </c>
      <c r="R66" s="50">
        <f t="shared" ca="1" si="5"/>
        <v>1.3804598871692986E-2</v>
      </c>
    </row>
    <row r="67" spans="1:18" x14ac:dyDescent="0.2">
      <c r="A67" s="2">
        <v>42491</v>
      </c>
      <c r="B67">
        <f t="shared" si="1"/>
        <v>2016</v>
      </c>
      <c r="C67">
        <f t="shared" si="2"/>
        <v>5</v>
      </c>
      <c r="D67" s="56">
        <f>Data!J66</f>
        <v>15945008.597590361</v>
      </c>
      <c r="E67" s="56">
        <f>Data!K66</f>
        <v>657746.90431909065</v>
      </c>
      <c r="F67" s="56">
        <f>Data!L66</f>
        <v>16602755.501909452</v>
      </c>
      <c r="G67" s="253">
        <f>Data!AV66</f>
        <v>12.600000000000001</v>
      </c>
      <c r="H67" s="253">
        <f>Data!AU66</f>
        <v>116.69999999999999</v>
      </c>
      <c r="I67" s="251">
        <f t="shared" ca="1" si="10"/>
        <v>16.330000000000002</v>
      </c>
      <c r="J67" s="251">
        <f t="shared" ca="1" si="10"/>
        <v>107.25</v>
      </c>
      <c r="K67" s="32">
        <f>Data!BG66</f>
        <v>31</v>
      </c>
      <c r="L67" s="32">
        <f>Data!AC66</f>
        <v>295</v>
      </c>
      <c r="M67" s="32">
        <f>Data!BC66</f>
        <v>3144.8</v>
      </c>
      <c r="N67" s="32">
        <f>Data!BZ66</f>
        <v>0</v>
      </c>
      <c r="O67" s="32">
        <f t="shared" ref="O67:O98" ca="1" si="11">F67+(I67-G67)*$T$10+(J67-H67)*$T$11</f>
        <v>16559466.598139871</v>
      </c>
      <c r="P67" s="32">
        <f t="shared" ca="1" si="3"/>
        <v>15901719.69382078</v>
      </c>
      <c r="Q67" s="51">
        <f t="shared" ca="1" si="4"/>
        <v>-43288.903769580647</v>
      </c>
      <c r="R67" s="50">
        <f t="shared" ca="1" si="5"/>
        <v>2.6073324855384441E-3</v>
      </c>
    </row>
    <row r="68" spans="1:18" x14ac:dyDescent="0.2">
      <c r="A68" s="2">
        <v>42522</v>
      </c>
      <c r="B68">
        <f t="shared" ref="B68:B131" si="12">YEAR(A68)</f>
        <v>2016</v>
      </c>
      <c r="C68">
        <f t="shared" ref="C68:C131" si="13">MONTH(A68)</f>
        <v>6</v>
      </c>
      <c r="D68" s="56">
        <f>Data!J67</f>
        <v>16837420.39518071</v>
      </c>
      <c r="E68" s="56">
        <f>Data!K67</f>
        <v>657746.90431909065</v>
      </c>
      <c r="F68" s="56">
        <f>Data!L67</f>
        <v>17495167.299499799</v>
      </c>
      <c r="G68" s="253">
        <f>Data!AV67</f>
        <v>0</v>
      </c>
      <c r="H68" s="253">
        <f>Data!AU67</f>
        <v>240.59999999999997</v>
      </c>
      <c r="I68" s="251">
        <f t="shared" ca="1" si="10"/>
        <v>0</v>
      </c>
      <c r="J68" s="251">
        <f t="shared" ca="1" si="10"/>
        <v>230.10000000000005</v>
      </c>
      <c r="K68" s="32">
        <f>Data!BG67</f>
        <v>30</v>
      </c>
      <c r="L68" s="32">
        <f>Data!AC67</f>
        <v>299</v>
      </c>
      <c r="M68" s="32">
        <f>Data!BC67</f>
        <v>3155.8</v>
      </c>
      <c r="N68" s="32">
        <f>Data!BZ67</f>
        <v>0</v>
      </c>
      <c r="O68" s="32">
        <f t="shared" ca="1" si="11"/>
        <v>17425514.343202617</v>
      </c>
      <c r="P68" s="32">
        <f t="shared" ref="P68:P99" ca="1" si="14">O68-E68</f>
        <v>16767767.438883526</v>
      </c>
      <c r="Q68" s="51">
        <f t="shared" ref="Q68:Q131" ca="1" si="15">+O68-F68</f>
        <v>-69652.956297181547</v>
      </c>
      <c r="R68" s="50">
        <f t="shared" ref="R68:R131" ca="1" si="16">ABS(Q68/F68)</f>
        <v>3.9812683757058437E-3</v>
      </c>
    </row>
    <row r="69" spans="1:18" x14ac:dyDescent="0.2">
      <c r="A69" s="2">
        <v>42552</v>
      </c>
      <c r="B69">
        <f t="shared" si="12"/>
        <v>2016</v>
      </c>
      <c r="C69">
        <f t="shared" si="13"/>
        <v>7</v>
      </c>
      <c r="D69" s="56">
        <f>Data!J68</f>
        <v>17715629.291566268</v>
      </c>
      <c r="E69" s="56">
        <f>Data!K68</f>
        <v>657746.90431909065</v>
      </c>
      <c r="F69" s="56">
        <f>Data!L68</f>
        <v>18373376.195885357</v>
      </c>
      <c r="G69" s="253">
        <f>Data!AV68</f>
        <v>0</v>
      </c>
      <c r="H69" s="253">
        <f>Data!AU68</f>
        <v>362.9</v>
      </c>
      <c r="I69" s="251">
        <f t="shared" ca="1" si="10"/>
        <v>0</v>
      </c>
      <c r="J69" s="251">
        <f t="shared" ca="1" si="10"/>
        <v>331.41</v>
      </c>
      <c r="K69" s="32">
        <f>Data!BG68</f>
        <v>31</v>
      </c>
      <c r="L69" s="32">
        <f>Data!AC68</f>
        <v>300</v>
      </c>
      <c r="M69" s="32">
        <f>Data!BC68</f>
        <v>3152.3</v>
      </c>
      <c r="N69" s="32">
        <f>Data!BZ68</f>
        <v>0</v>
      </c>
      <c r="O69" s="32">
        <f t="shared" ca="1" si="11"/>
        <v>18164483.663142662</v>
      </c>
      <c r="P69" s="32">
        <f t="shared" ca="1" si="14"/>
        <v>17506736.758823574</v>
      </c>
      <c r="Q69" s="51">
        <f t="shared" ca="1" si="15"/>
        <v>-208892.53274269402</v>
      </c>
      <c r="R69" s="50">
        <f t="shared" ca="1" si="16"/>
        <v>1.1369305810516995E-2</v>
      </c>
    </row>
    <row r="70" spans="1:18" x14ac:dyDescent="0.2">
      <c r="A70" s="2">
        <v>42583</v>
      </c>
      <c r="B70">
        <f t="shared" si="12"/>
        <v>2016</v>
      </c>
      <c r="C70">
        <f t="shared" si="13"/>
        <v>8</v>
      </c>
      <c r="D70" s="56">
        <f>Data!J69</f>
        <v>18536229.59036145</v>
      </c>
      <c r="E70" s="56">
        <f>Data!K69</f>
        <v>657746.90431909065</v>
      </c>
      <c r="F70" s="56">
        <f>Data!L69</f>
        <v>19193976.494680539</v>
      </c>
      <c r="G70" s="253">
        <f>Data!AV69</f>
        <v>0</v>
      </c>
      <c r="H70" s="253">
        <f>Data!AU69</f>
        <v>381.40000000000009</v>
      </c>
      <c r="I70" s="251">
        <f t="shared" ca="1" si="10"/>
        <v>0</v>
      </c>
      <c r="J70" s="251">
        <f t="shared" ca="1" si="10"/>
        <v>304.46000000000004</v>
      </c>
      <c r="K70" s="32">
        <f>Data!BG69</f>
        <v>31</v>
      </c>
      <c r="L70" s="32">
        <f>Data!AC69</f>
        <v>301</v>
      </c>
      <c r="M70" s="32">
        <f>Data!BC69</f>
        <v>3149.1</v>
      </c>
      <c r="N70" s="32">
        <f>Data!BZ69</f>
        <v>0</v>
      </c>
      <c r="O70" s="32">
        <f t="shared" ca="1" si="11"/>
        <v>18683586.165394325</v>
      </c>
      <c r="P70" s="32">
        <f t="shared" ca="1" si="14"/>
        <v>18025839.261075236</v>
      </c>
      <c r="Q70" s="51">
        <f t="shared" ca="1" si="15"/>
        <v>-510390.32928621396</v>
      </c>
      <c r="R70" s="50">
        <f t="shared" ca="1" si="16"/>
        <v>2.6591171945410306E-2</v>
      </c>
    </row>
    <row r="71" spans="1:18" x14ac:dyDescent="0.2">
      <c r="A71" s="2">
        <v>42614</v>
      </c>
      <c r="B71">
        <f t="shared" si="12"/>
        <v>2016</v>
      </c>
      <c r="C71">
        <f t="shared" si="13"/>
        <v>9</v>
      </c>
      <c r="D71" s="56">
        <f>Data!J70</f>
        <v>17232312.954216857</v>
      </c>
      <c r="E71" s="56">
        <f>Data!K70</f>
        <v>657746.90431909065</v>
      </c>
      <c r="F71" s="56">
        <f>Data!L70</f>
        <v>17890059.858535945</v>
      </c>
      <c r="G71" s="253">
        <f>Data!AV70</f>
        <v>0</v>
      </c>
      <c r="H71" s="253">
        <f>Data!AU70</f>
        <v>223.5</v>
      </c>
      <c r="I71" s="251">
        <f t="shared" ca="1" si="10"/>
        <v>0.24999999999999983</v>
      </c>
      <c r="J71" s="251">
        <f t="shared" ca="1" si="10"/>
        <v>176.51</v>
      </c>
      <c r="K71" s="32">
        <f>Data!BG70</f>
        <v>30</v>
      </c>
      <c r="L71" s="32">
        <f>Data!AC70</f>
        <v>300</v>
      </c>
      <c r="M71" s="32">
        <f>Data!BC70</f>
        <v>3140.2</v>
      </c>
      <c r="N71" s="32">
        <f>Data!BZ70</f>
        <v>0</v>
      </c>
      <c r="O71" s="32">
        <f t="shared" ca="1" si="11"/>
        <v>17579646.479847517</v>
      </c>
      <c r="P71" s="32">
        <f t="shared" ca="1" si="14"/>
        <v>16921899.575528428</v>
      </c>
      <c r="Q71" s="51">
        <f t="shared" ca="1" si="15"/>
        <v>-310413.37868842855</v>
      </c>
      <c r="R71" s="50">
        <f t="shared" ca="1" si="16"/>
        <v>1.7351164900676393E-2</v>
      </c>
    </row>
    <row r="72" spans="1:18" x14ac:dyDescent="0.2">
      <c r="A72" s="2">
        <v>42644</v>
      </c>
      <c r="B72">
        <f t="shared" si="12"/>
        <v>2016</v>
      </c>
      <c r="C72">
        <f t="shared" si="13"/>
        <v>10</v>
      </c>
      <c r="D72" s="56">
        <f>Data!J71</f>
        <v>16281343.142168675</v>
      </c>
      <c r="E72" s="56">
        <f>Data!K71</f>
        <v>657746.90431909065</v>
      </c>
      <c r="F72" s="56">
        <f>Data!L71</f>
        <v>16939090.046487764</v>
      </c>
      <c r="G72" s="253">
        <f>Data!AV71</f>
        <v>45.400000000000006</v>
      </c>
      <c r="H72" s="253">
        <f>Data!AU71</f>
        <v>69.3</v>
      </c>
      <c r="I72" s="251">
        <f t="shared" ca="1" si="10"/>
        <v>44.309999999999995</v>
      </c>
      <c r="J72" s="251">
        <f t="shared" ca="1" si="10"/>
        <v>43.36</v>
      </c>
      <c r="K72" s="32">
        <f>Data!BG71</f>
        <v>31</v>
      </c>
      <c r="L72" s="32">
        <f>Data!AC71</f>
        <v>302</v>
      </c>
      <c r="M72" s="32">
        <f>Data!BC71</f>
        <v>3134.2</v>
      </c>
      <c r="N72" s="32">
        <f>Data!BZ71</f>
        <v>0</v>
      </c>
      <c r="O72" s="32">
        <f t="shared" ca="1" si="11"/>
        <v>16761345.270724256</v>
      </c>
      <c r="P72" s="32">
        <f t="shared" ca="1" si="14"/>
        <v>16103598.366405165</v>
      </c>
      <c r="Q72" s="51">
        <f t="shared" ca="1" si="15"/>
        <v>-177744.77576350793</v>
      </c>
      <c r="R72" s="50">
        <f t="shared" ca="1" si="16"/>
        <v>1.0493171432214119E-2</v>
      </c>
    </row>
    <row r="73" spans="1:18" x14ac:dyDescent="0.2">
      <c r="A73" s="2">
        <v>42675</v>
      </c>
      <c r="B73">
        <f t="shared" si="12"/>
        <v>2016</v>
      </c>
      <c r="C73">
        <f t="shared" si="13"/>
        <v>11</v>
      </c>
      <c r="D73" s="56">
        <f>Data!J72</f>
        <v>16390339.113253012</v>
      </c>
      <c r="E73" s="56">
        <f>Data!K72</f>
        <v>657746.90431909065</v>
      </c>
      <c r="F73" s="56">
        <f>Data!L72</f>
        <v>17048086.017572101</v>
      </c>
      <c r="G73" s="253">
        <f>Data!AV72</f>
        <v>108.59999999999997</v>
      </c>
      <c r="H73" s="253">
        <f>Data!AU72</f>
        <v>3.0999999999999996</v>
      </c>
      <c r="I73" s="251">
        <f t="shared" ca="1" si="10"/>
        <v>193.95999999999998</v>
      </c>
      <c r="J73" s="251">
        <f t="shared" ca="1" si="10"/>
        <v>2.7399999999999998</v>
      </c>
      <c r="K73" s="32">
        <f>Data!BG72</f>
        <v>30</v>
      </c>
      <c r="L73" s="32">
        <f>Data!AC72</f>
        <v>303</v>
      </c>
      <c r="M73" s="32">
        <f>Data!BC72</f>
        <v>3130.5</v>
      </c>
      <c r="N73" s="32">
        <f>Data!BZ72</f>
        <v>0</v>
      </c>
      <c r="O73" s="32">
        <f t="shared" ca="1" si="11"/>
        <v>17489633.007045317</v>
      </c>
      <c r="P73" s="32">
        <f t="shared" ca="1" si="14"/>
        <v>16831886.102726229</v>
      </c>
      <c r="Q73" s="51">
        <f t="shared" ca="1" si="15"/>
        <v>441546.98947321624</v>
      </c>
      <c r="R73" s="50">
        <f t="shared" ca="1" si="16"/>
        <v>2.5900091600787163E-2</v>
      </c>
    </row>
    <row r="74" spans="1:18" x14ac:dyDescent="0.2">
      <c r="A74" s="2">
        <v>42705</v>
      </c>
      <c r="B74">
        <f t="shared" si="12"/>
        <v>2016</v>
      </c>
      <c r="C74">
        <f t="shared" si="13"/>
        <v>12</v>
      </c>
      <c r="D74" s="56">
        <f>Data!J73</f>
        <v>18004813.812048193</v>
      </c>
      <c r="E74" s="56">
        <f>Data!K73</f>
        <v>657746.90431909065</v>
      </c>
      <c r="F74" s="56">
        <f>Data!L73</f>
        <v>18662560.716367282</v>
      </c>
      <c r="G74" s="253">
        <f>Data!AV73</f>
        <v>359.99999999999994</v>
      </c>
      <c r="H74" s="253">
        <f>Data!AU73</f>
        <v>0</v>
      </c>
      <c r="I74" s="251">
        <f t="shared" ca="1" si="10"/>
        <v>327.48000000000008</v>
      </c>
      <c r="J74" s="251">
        <f t="shared" ca="1" si="10"/>
        <v>0</v>
      </c>
      <c r="K74" s="32">
        <f>Data!BG73</f>
        <v>31</v>
      </c>
      <c r="L74" s="32">
        <f>Data!AC73</f>
        <v>304</v>
      </c>
      <c r="M74" s="32">
        <f>Data!BC73</f>
        <v>3127.9</v>
      </c>
      <c r="N74" s="32">
        <f>Data!BZ73</f>
        <v>0</v>
      </c>
      <c r="O74" s="32">
        <f t="shared" ca="1" si="11"/>
        <v>18493432.680356786</v>
      </c>
      <c r="P74" s="32">
        <f t="shared" ca="1" si="14"/>
        <v>17835685.776037697</v>
      </c>
      <c r="Q74" s="51">
        <f t="shared" ca="1" si="15"/>
        <v>-169128.03601049632</v>
      </c>
      <c r="R74" s="50">
        <f t="shared" ca="1" si="16"/>
        <v>9.0624238860302318E-3</v>
      </c>
    </row>
    <row r="75" spans="1:18" x14ac:dyDescent="0.2">
      <c r="A75" s="2">
        <v>42736</v>
      </c>
      <c r="B75">
        <f t="shared" si="12"/>
        <v>2017</v>
      </c>
      <c r="C75">
        <f t="shared" si="13"/>
        <v>1</v>
      </c>
      <c r="D75" s="56">
        <f>Data!J74</f>
        <v>18633488.665060241</v>
      </c>
      <c r="E75" s="56">
        <f>Data!K74</f>
        <v>1025745.4165349469</v>
      </c>
      <c r="F75" s="56">
        <f>Data!L74</f>
        <v>19659234.081595186</v>
      </c>
      <c r="G75" s="253">
        <f>Data!AV74</f>
        <v>360.90000000000003</v>
      </c>
      <c r="H75" s="253">
        <f>Data!AU74</f>
        <v>0</v>
      </c>
      <c r="I75" s="251">
        <f t="shared" ca="1" si="10"/>
        <v>439.5</v>
      </c>
      <c r="J75" s="251">
        <f t="shared" ca="1" si="10"/>
        <v>0</v>
      </c>
      <c r="K75" s="32">
        <f>Data!BG74</f>
        <v>31</v>
      </c>
      <c r="L75" s="32">
        <f>Data!AC74</f>
        <v>304</v>
      </c>
      <c r="M75" s="32">
        <f>Data!BC74</f>
        <v>3136.5</v>
      </c>
      <c r="N75" s="32">
        <f>Data!BZ74</f>
        <v>0</v>
      </c>
      <c r="O75" s="32">
        <f t="shared" ca="1" si="11"/>
        <v>20068012.176011696</v>
      </c>
      <c r="P75" s="32">
        <f t="shared" ca="1" si="14"/>
        <v>19042266.759476751</v>
      </c>
      <c r="Q75" s="51">
        <f t="shared" ca="1" si="15"/>
        <v>408778.09441651031</v>
      </c>
      <c r="R75" s="50">
        <f t="shared" ca="1" si="16"/>
        <v>2.0793185162752859E-2</v>
      </c>
    </row>
    <row r="76" spans="1:18" x14ac:dyDescent="0.2">
      <c r="A76" s="2">
        <v>42767</v>
      </c>
      <c r="B76">
        <f t="shared" si="12"/>
        <v>2017</v>
      </c>
      <c r="C76">
        <f t="shared" si="13"/>
        <v>2</v>
      </c>
      <c r="D76" s="56">
        <f>Data!J75</f>
        <v>16411229.214457829</v>
      </c>
      <c r="E76" s="56">
        <f>Data!K75</f>
        <v>1025745.4165349469</v>
      </c>
      <c r="F76" s="56">
        <f>Data!L75</f>
        <v>17436974.630992774</v>
      </c>
      <c r="G76" s="253">
        <f>Data!AV75</f>
        <v>287.3</v>
      </c>
      <c r="H76" s="253">
        <f>Data!AU75</f>
        <v>0</v>
      </c>
      <c r="I76" s="251">
        <f t="shared" ca="1" si="10"/>
        <v>403.5</v>
      </c>
      <c r="J76" s="251">
        <f t="shared" ca="1" si="10"/>
        <v>0</v>
      </c>
      <c r="K76" s="32">
        <f>Data!BG75</f>
        <v>28</v>
      </c>
      <c r="L76" s="32">
        <f>Data!AC75</f>
        <v>306</v>
      </c>
      <c r="M76" s="32">
        <f>Data!BC75</f>
        <v>3152.5</v>
      </c>
      <c r="N76" s="32">
        <f>Data!BZ75</f>
        <v>0</v>
      </c>
      <c r="O76" s="32">
        <f t="shared" ca="1" si="11"/>
        <v>18041300.516122527</v>
      </c>
      <c r="P76" s="32">
        <f t="shared" ca="1" si="14"/>
        <v>17015555.099587582</v>
      </c>
      <c r="Q76" s="51">
        <f t="shared" ca="1" si="15"/>
        <v>604325.8851297535</v>
      </c>
      <c r="R76" s="50">
        <f t="shared" ca="1" si="16"/>
        <v>3.4657725776329022E-2</v>
      </c>
    </row>
    <row r="77" spans="1:18" x14ac:dyDescent="0.2">
      <c r="A77" s="2">
        <v>42795</v>
      </c>
      <c r="B77">
        <f t="shared" si="12"/>
        <v>2017</v>
      </c>
      <c r="C77">
        <f t="shared" si="13"/>
        <v>3</v>
      </c>
      <c r="D77" s="56">
        <f>Data!J76</f>
        <v>18608676.597590368</v>
      </c>
      <c r="E77" s="56">
        <f>Data!K76</f>
        <v>1025745.4165349469</v>
      </c>
      <c r="F77" s="56">
        <f>Data!L76</f>
        <v>19634422.014125314</v>
      </c>
      <c r="G77" s="253">
        <f>Data!AV76</f>
        <v>327.10000000000002</v>
      </c>
      <c r="H77" s="253">
        <f>Data!AU76</f>
        <v>0</v>
      </c>
      <c r="I77" s="251">
        <f t="shared" ca="1" si="10"/>
        <v>291.06</v>
      </c>
      <c r="J77" s="251">
        <f t="shared" ca="1" si="10"/>
        <v>2.8099999999999996</v>
      </c>
      <c r="K77" s="32">
        <f>Data!BG76</f>
        <v>31</v>
      </c>
      <c r="L77" s="32">
        <f>Data!AC76</f>
        <v>307</v>
      </c>
      <c r="M77" s="32">
        <f>Data!BC76</f>
        <v>3168.5</v>
      </c>
      <c r="N77" s="32">
        <f>Data!BZ76</f>
        <v>0</v>
      </c>
      <c r="O77" s="32">
        <f t="shared" ca="1" si="11"/>
        <v>19465627.83425913</v>
      </c>
      <c r="P77" s="32">
        <f t="shared" ca="1" si="14"/>
        <v>18439882.417724185</v>
      </c>
      <c r="Q77" s="51">
        <f t="shared" ca="1" si="15"/>
        <v>-168794.17986618355</v>
      </c>
      <c r="R77" s="50">
        <f t="shared" ca="1" si="16"/>
        <v>8.5968499477473981E-3</v>
      </c>
    </row>
    <row r="78" spans="1:18" x14ac:dyDescent="0.2">
      <c r="A78" s="2">
        <v>42826</v>
      </c>
      <c r="B78">
        <f t="shared" si="12"/>
        <v>2017</v>
      </c>
      <c r="C78">
        <f t="shared" si="13"/>
        <v>4</v>
      </c>
      <c r="D78" s="56">
        <f>Data!J77</f>
        <v>15988040.308433732</v>
      </c>
      <c r="E78" s="56">
        <f>Data!K77</f>
        <v>1025745.4165349469</v>
      </c>
      <c r="F78" s="56">
        <f>Data!L77</f>
        <v>17013785.724968679</v>
      </c>
      <c r="G78" s="253">
        <f>Data!AV77</f>
        <v>57.499999999999986</v>
      </c>
      <c r="H78" s="253">
        <f>Data!AU77</f>
        <v>20.5</v>
      </c>
      <c r="I78" s="251">
        <f t="shared" ca="1" si="10"/>
        <v>120.71999999999998</v>
      </c>
      <c r="J78" s="251">
        <f t="shared" ca="1" si="10"/>
        <v>6.58</v>
      </c>
      <c r="K78" s="32">
        <f>Data!BG77</f>
        <v>30</v>
      </c>
      <c r="L78" s="32">
        <f>Data!AC77</f>
        <v>307</v>
      </c>
      <c r="M78" s="32">
        <f>Data!BC77</f>
        <v>3177</v>
      </c>
      <c r="N78" s="32">
        <f>Data!BZ77</f>
        <v>0</v>
      </c>
      <c r="O78" s="32">
        <f t="shared" ca="1" si="11"/>
        <v>17250236.532595482</v>
      </c>
      <c r="P78" s="32">
        <f t="shared" ca="1" si="14"/>
        <v>16224491.116060534</v>
      </c>
      <c r="Q78" s="51">
        <f t="shared" ca="1" si="15"/>
        <v>236450.80762680247</v>
      </c>
      <c r="R78" s="50">
        <f t="shared" ca="1" si="16"/>
        <v>1.3897601124704288E-2</v>
      </c>
    </row>
    <row r="79" spans="1:18" x14ac:dyDescent="0.2">
      <c r="A79" s="2">
        <v>42856</v>
      </c>
      <c r="B79">
        <f t="shared" si="12"/>
        <v>2017</v>
      </c>
      <c r="C79">
        <f t="shared" si="13"/>
        <v>5</v>
      </c>
      <c r="D79" s="56">
        <f>Data!J78</f>
        <v>17068131.836144567</v>
      </c>
      <c r="E79" s="56">
        <f>Data!K78</f>
        <v>1025745.4165349469</v>
      </c>
      <c r="F79" s="56">
        <f>Data!L78</f>
        <v>18093877.252679512</v>
      </c>
      <c r="G79" s="253">
        <f>Data!AV78</f>
        <v>22.200000000000003</v>
      </c>
      <c r="H79" s="253">
        <f>Data!AU78</f>
        <v>63.900000000000013</v>
      </c>
      <c r="I79" s="251">
        <f t="shared" ca="1" si="10"/>
        <v>16.330000000000002</v>
      </c>
      <c r="J79" s="251">
        <f t="shared" ca="1" si="10"/>
        <v>107.25</v>
      </c>
      <c r="K79" s="32">
        <f>Data!BG78</f>
        <v>31</v>
      </c>
      <c r="L79" s="32">
        <f>Data!AC78</f>
        <v>324</v>
      </c>
      <c r="M79" s="32">
        <f>Data!BC78</f>
        <v>3185.7</v>
      </c>
      <c r="N79" s="32">
        <f>Data!BZ78</f>
        <v>0</v>
      </c>
      <c r="O79" s="32">
        <f t="shared" ca="1" si="11"/>
        <v>18350916.119360227</v>
      </c>
      <c r="P79" s="32">
        <f t="shared" ca="1" si="14"/>
        <v>17325170.702825282</v>
      </c>
      <c r="Q79" s="51">
        <f t="shared" ca="1" si="15"/>
        <v>257038.86668071523</v>
      </c>
      <c r="R79" s="50">
        <f t="shared" ca="1" si="16"/>
        <v>1.4205847817534548E-2</v>
      </c>
    </row>
    <row r="80" spans="1:18" x14ac:dyDescent="0.2">
      <c r="A80" s="2">
        <v>42887</v>
      </c>
      <c r="B80">
        <f t="shared" si="12"/>
        <v>2017</v>
      </c>
      <c r="C80">
        <f t="shared" si="13"/>
        <v>6</v>
      </c>
      <c r="D80" s="56">
        <f>Data!J79</f>
        <v>18289433.233734939</v>
      </c>
      <c r="E80" s="56">
        <f>Data!K79</f>
        <v>1025745.4165349469</v>
      </c>
      <c r="F80" s="56">
        <f>Data!L79</f>
        <v>19315178.650269885</v>
      </c>
      <c r="G80" s="253">
        <f>Data!AV79</f>
        <v>0</v>
      </c>
      <c r="H80" s="253">
        <f>Data!AU79</f>
        <v>221.49999999999997</v>
      </c>
      <c r="I80" s="251">
        <f t="shared" ref="I80:J95" ca="1" si="17">I68</f>
        <v>0</v>
      </c>
      <c r="J80" s="251">
        <f t="shared" ca="1" si="17"/>
        <v>230.10000000000005</v>
      </c>
      <c r="K80" s="32">
        <f>Data!BG79</f>
        <v>30</v>
      </c>
      <c r="L80" s="32">
        <f>Data!AC79</f>
        <v>325</v>
      </c>
      <c r="M80" s="32">
        <f>Data!BC79</f>
        <v>3186.9</v>
      </c>
      <c r="N80" s="32">
        <f>Data!BZ79</f>
        <v>0</v>
      </c>
      <c r="O80" s="32">
        <f t="shared" ca="1" si="11"/>
        <v>19372227.738284722</v>
      </c>
      <c r="P80" s="32">
        <f t="shared" ca="1" si="14"/>
        <v>18346482.321749777</v>
      </c>
      <c r="Q80" s="51">
        <f t="shared" ca="1" si="15"/>
        <v>57049.088014837354</v>
      </c>
      <c r="R80" s="50">
        <f t="shared" ca="1" si="16"/>
        <v>2.9535884211995228E-3</v>
      </c>
    </row>
    <row r="81" spans="1:32" x14ac:dyDescent="0.2">
      <c r="A81" s="2">
        <v>42917</v>
      </c>
      <c r="B81">
        <f t="shared" si="12"/>
        <v>2017</v>
      </c>
      <c r="C81">
        <f t="shared" si="13"/>
        <v>7</v>
      </c>
      <c r="D81" s="56">
        <f>Data!J80</f>
        <v>18523386.361445796</v>
      </c>
      <c r="E81" s="56">
        <f>Data!K80</f>
        <v>1025745.4165349469</v>
      </c>
      <c r="F81" s="56">
        <f>Data!L80</f>
        <v>19549131.777980741</v>
      </c>
      <c r="G81" s="253">
        <f>Data!AV80</f>
        <v>0</v>
      </c>
      <c r="H81" s="253">
        <f>Data!AU80</f>
        <v>302.50000000000006</v>
      </c>
      <c r="I81" s="251">
        <f t="shared" ca="1" si="17"/>
        <v>0</v>
      </c>
      <c r="J81" s="251">
        <f t="shared" ca="1" si="17"/>
        <v>331.41</v>
      </c>
      <c r="K81" s="32">
        <f>Data!BG80</f>
        <v>31</v>
      </c>
      <c r="L81" s="32">
        <f>Data!AC80</f>
        <v>325</v>
      </c>
      <c r="M81" s="32">
        <f>Data!BC80</f>
        <v>3187.6</v>
      </c>
      <c r="N81" s="32">
        <f>Data!BZ80</f>
        <v>0</v>
      </c>
      <c r="O81" s="32">
        <f t="shared" ca="1" si="11"/>
        <v>19740909.584318984</v>
      </c>
      <c r="P81" s="32">
        <f t="shared" ca="1" si="14"/>
        <v>18715164.167784039</v>
      </c>
      <c r="Q81" s="51">
        <f t="shared" ca="1" si="15"/>
        <v>191777.80633824319</v>
      </c>
      <c r="R81" s="50">
        <f t="shared" ca="1" si="16"/>
        <v>9.810042129556518E-3</v>
      </c>
    </row>
    <row r="82" spans="1:32" x14ac:dyDescent="0.2">
      <c r="A82" s="2">
        <v>42948</v>
      </c>
      <c r="B82">
        <f t="shared" si="12"/>
        <v>2017</v>
      </c>
      <c r="C82">
        <f t="shared" si="13"/>
        <v>8</v>
      </c>
      <c r="D82" s="56">
        <f>Data!J81</f>
        <v>18386586.149397578</v>
      </c>
      <c r="E82" s="56">
        <f>Data!K81</f>
        <v>1025745.4165349469</v>
      </c>
      <c r="F82" s="56">
        <f>Data!L81</f>
        <v>19412331.565932523</v>
      </c>
      <c r="G82" s="253">
        <f>Data!AV81</f>
        <v>0</v>
      </c>
      <c r="H82" s="253">
        <f>Data!AU81</f>
        <v>249.60000000000005</v>
      </c>
      <c r="I82" s="251">
        <f t="shared" ca="1" si="17"/>
        <v>0</v>
      </c>
      <c r="J82" s="251">
        <f t="shared" ca="1" si="17"/>
        <v>304.46000000000004</v>
      </c>
      <c r="K82" s="32">
        <f>Data!BG81</f>
        <v>31</v>
      </c>
      <c r="L82" s="32">
        <f>Data!AC81</f>
        <v>326</v>
      </c>
      <c r="M82" s="32">
        <f>Data!BC81</f>
        <v>3194.3</v>
      </c>
      <c r="N82" s="32">
        <f>Data!BZ81</f>
        <v>0</v>
      </c>
      <c r="O82" s="32">
        <f t="shared" ca="1" si="11"/>
        <v>19776251.67854809</v>
      </c>
      <c r="P82" s="32">
        <f t="shared" ca="1" si="14"/>
        <v>18750506.262013145</v>
      </c>
      <c r="Q82" s="51">
        <f t="shared" ca="1" si="15"/>
        <v>363920.1126155667</v>
      </c>
      <c r="R82" s="50">
        <f t="shared" ca="1" si="16"/>
        <v>1.8746852297445025E-2</v>
      </c>
    </row>
    <row r="83" spans="1:32" x14ac:dyDescent="0.2">
      <c r="A83" s="2">
        <v>42979</v>
      </c>
      <c r="B83">
        <f t="shared" si="12"/>
        <v>2017</v>
      </c>
      <c r="C83">
        <f t="shared" si="13"/>
        <v>9</v>
      </c>
      <c r="D83" s="56">
        <f>Data!J82</f>
        <v>18228570.718072273</v>
      </c>
      <c r="E83" s="56">
        <f>Data!K82</f>
        <v>1025745.4165349469</v>
      </c>
      <c r="F83" s="56">
        <f>Data!L82</f>
        <v>19254316.134607218</v>
      </c>
      <c r="G83" s="253">
        <f>Data!AV82</f>
        <v>0</v>
      </c>
      <c r="H83" s="253">
        <f>Data!AU82</f>
        <v>203.9</v>
      </c>
      <c r="I83" s="251">
        <f t="shared" ca="1" si="17"/>
        <v>0.24999999999999983</v>
      </c>
      <c r="J83" s="251">
        <f t="shared" ca="1" si="17"/>
        <v>176.51</v>
      </c>
      <c r="K83" s="32">
        <f>Data!BG82</f>
        <v>30</v>
      </c>
      <c r="L83" s="32">
        <f>Data!AC82</f>
        <v>325</v>
      </c>
      <c r="M83" s="32">
        <f>Data!BC82</f>
        <v>3212.3</v>
      </c>
      <c r="N83" s="32">
        <f>Data!BZ82</f>
        <v>0</v>
      </c>
      <c r="O83" s="32">
        <f t="shared" ca="1" si="11"/>
        <v>19073921.607673533</v>
      </c>
      <c r="P83" s="32">
        <f t="shared" ca="1" si="14"/>
        <v>18048176.191138588</v>
      </c>
      <c r="Q83" s="51">
        <f t="shared" ca="1" si="15"/>
        <v>-180394.52693368495</v>
      </c>
      <c r="R83" s="50">
        <f t="shared" ca="1" si="16"/>
        <v>9.3690435782057407E-3</v>
      </c>
      <c r="AF83"/>
    </row>
    <row r="84" spans="1:32" x14ac:dyDescent="0.2">
      <c r="A84" s="2">
        <v>43009</v>
      </c>
      <c r="B84">
        <f t="shared" si="12"/>
        <v>2017</v>
      </c>
      <c r="C84">
        <f t="shared" si="13"/>
        <v>10</v>
      </c>
      <c r="D84" s="56">
        <f>Data!J83</f>
        <v>17434652.356626499</v>
      </c>
      <c r="E84" s="56">
        <f>Data!K83</f>
        <v>1025745.4165349469</v>
      </c>
      <c r="F84" s="56">
        <f>Data!L83</f>
        <v>18460397.773161445</v>
      </c>
      <c r="G84" s="253">
        <f>Data!AV83</f>
        <v>24.199999999999996</v>
      </c>
      <c r="H84" s="253">
        <f>Data!AU83</f>
        <v>84.3</v>
      </c>
      <c r="I84" s="251">
        <f t="shared" ca="1" si="17"/>
        <v>44.309999999999995</v>
      </c>
      <c r="J84" s="251">
        <f t="shared" ca="1" si="17"/>
        <v>43.36</v>
      </c>
      <c r="K84" s="32">
        <f>Data!BG83</f>
        <v>31</v>
      </c>
      <c r="L84" s="32">
        <f>Data!AC83</f>
        <v>325</v>
      </c>
      <c r="M84" s="32">
        <f>Data!BC83</f>
        <v>3234.8</v>
      </c>
      <c r="N84" s="32">
        <f>Data!BZ83</f>
        <v>0</v>
      </c>
      <c r="O84" s="32">
        <f t="shared" ca="1" si="11"/>
        <v>18293404.443348184</v>
      </c>
      <c r="P84" s="32">
        <f t="shared" ca="1" si="14"/>
        <v>17267659.026813239</v>
      </c>
      <c r="Q84" s="51">
        <f t="shared" ca="1" si="15"/>
        <v>-166993.32981326059</v>
      </c>
      <c r="R84" s="50">
        <f t="shared" ca="1" si="16"/>
        <v>9.0460309612636295E-3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</row>
    <row r="85" spans="1:32" x14ac:dyDescent="0.2">
      <c r="A85" s="2">
        <v>43040</v>
      </c>
      <c r="B85">
        <f t="shared" si="12"/>
        <v>2017</v>
      </c>
      <c r="C85">
        <f t="shared" si="13"/>
        <v>11</v>
      </c>
      <c r="D85" s="56">
        <f>Data!J84</f>
        <v>17640730.698795177</v>
      </c>
      <c r="E85" s="56">
        <f>Data!K84</f>
        <v>1025745.4165349469</v>
      </c>
      <c r="F85" s="56">
        <f>Data!L84</f>
        <v>18666476.115330122</v>
      </c>
      <c r="G85" s="253">
        <f>Data!AV84</f>
        <v>191.20000000000005</v>
      </c>
      <c r="H85" s="253">
        <f>Data!AU84</f>
        <v>0</v>
      </c>
      <c r="I85" s="251">
        <f t="shared" ca="1" si="17"/>
        <v>193.95999999999998</v>
      </c>
      <c r="J85" s="251">
        <f t="shared" ca="1" si="17"/>
        <v>2.7399999999999998</v>
      </c>
      <c r="K85" s="32">
        <f>Data!BG84</f>
        <v>30</v>
      </c>
      <c r="L85" s="32">
        <f>Data!AC84</f>
        <v>328</v>
      </c>
      <c r="M85" s="32">
        <f>Data!BC84</f>
        <v>3248.6</v>
      </c>
      <c r="N85" s="32">
        <f>Data!BZ84</f>
        <v>0</v>
      </c>
      <c r="O85" s="32">
        <f t="shared" ca="1" si="11"/>
        <v>18699006.260072853</v>
      </c>
      <c r="P85" s="32">
        <f t="shared" ca="1" si="14"/>
        <v>17673260.843537908</v>
      </c>
      <c r="Q85" s="51">
        <f t="shared" ca="1" si="15"/>
        <v>32530.144742731005</v>
      </c>
      <c r="R85" s="50">
        <f t="shared" ca="1" si="16"/>
        <v>1.742704115214073E-3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</row>
    <row r="86" spans="1:32" x14ac:dyDescent="0.2">
      <c r="A86" s="2">
        <v>43070</v>
      </c>
      <c r="B86">
        <f t="shared" si="12"/>
        <v>2017</v>
      </c>
      <c r="C86">
        <f t="shared" si="13"/>
        <v>12</v>
      </c>
      <c r="D86" s="56">
        <f>Data!J85</f>
        <v>18421065.821686748</v>
      </c>
      <c r="E86" s="56">
        <f>Data!K85</f>
        <v>1025745.4165349469</v>
      </c>
      <c r="F86" s="56">
        <f>Data!L85</f>
        <v>19446811.238221694</v>
      </c>
      <c r="G86" s="253">
        <f>Data!AV85</f>
        <v>470.5</v>
      </c>
      <c r="H86" s="253">
        <f>Data!AU85</f>
        <v>0</v>
      </c>
      <c r="I86" s="251">
        <f t="shared" ca="1" si="17"/>
        <v>327.48000000000008</v>
      </c>
      <c r="J86" s="251">
        <f t="shared" ca="1" si="17"/>
        <v>0</v>
      </c>
      <c r="K86" s="32">
        <f>Data!BG85</f>
        <v>31</v>
      </c>
      <c r="L86" s="32">
        <f>Data!AC85</f>
        <v>329</v>
      </c>
      <c r="M86" s="32">
        <f>Data!BC85</f>
        <v>3264.9</v>
      </c>
      <c r="N86" s="32">
        <f>Data!BZ85</f>
        <v>0</v>
      </c>
      <c r="O86" s="32">
        <f t="shared" ca="1" si="11"/>
        <v>18703001.530035313</v>
      </c>
      <c r="P86" s="32">
        <f t="shared" ca="1" si="14"/>
        <v>17677256.113500368</v>
      </c>
      <c r="Q86" s="51">
        <f t="shared" ca="1" si="15"/>
        <v>-743809.70818638057</v>
      </c>
      <c r="R86" s="50">
        <f t="shared" ca="1" si="16"/>
        <v>3.8248415078172886E-2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</row>
    <row r="87" spans="1:32" x14ac:dyDescent="0.2">
      <c r="A87" s="2">
        <v>43101</v>
      </c>
      <c r="B87">
        <f t="shared" si="12"/>
        <v>2018</v>
      </c>
      <c r="C87">
        <f t="shared" si="13"/>
        <v>1</v>
      </c>
      <c r="D87" s="56">
        <f>Data!J86</f>
        <v>19760806.669879515</v>
      </c>
      <c r="E87" s="56">
        <f>Data!K86</f>
        <v>1423583.7771266622</v>
      </c>
      <c r="F87" s="56">
        <f>Data!L86</f>
        <v>21184390.447006177</v>
      </c>
      <c r="G87" s="253">
        <f>Data!AV86</f>
        <v>484.2999999999999</v>
      </c>
      <c r="H87" s="253">
        <f>Data!AU86</f>
        <v>0</v>
      </c>
      <c r="I87" s="251">
        <f t="shared" ca="1" si="17"/>
        <v>439.5</v>
      </c>
      <c r="J87" s="251">
        <f t="shared" ca="1" si="17"/>
        <v>0</v>
      </c>
      <c r="K87" s="32">
        <f>Data!BG86</f>
        <v>31</v>
      </c>
      <c r="L87" s="32">
        <f>Data!AC86</f>
        <v>327</v>
      </c>
      <c r="M87" s="32">
        <f>Data!BC86</f>
        <v>3268.4</v>
      </c>
      <c r="N87" s="32">
        <f>Data!BZ86</f>
        <v>0</v>
      </c>
      <c r="O87" s="32">
        <f t="shared" ca="1" si="11"/>
        <v>20951397.334666997</v>
      </c>
      <c r="P87" s="32">
        <f t="shared" ca="1" si="14"/>
        <v>19527813.557540335</v>
      </c>
      <c r="Q87" s="51">
        <f t="shared" ca="1" si="15"/>
        <v>-232993.11233917996</v>
      </c>
      <c r="R87" s="50">
        <f t="shared" ca="1" si="16"/>
        <v>1.0998339221608665E-2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</row>
    <row r="88" spans="1:32" x14ac:dyDescent="0.2">
      <c r="A88" s="2">
        <v>43132</v>
      </c>
      <c r="B88">
        <f t="shared" si="12"/>
        <v>2018</v>
      </c>
      <c r="C88">
        <f t="shared" si="13"/>
        <v>2</v>
      </c>
      <c r="D88" s="56">
        <f>Data!J87</f>
        <v>17343083.026506029</v>
      </c>
      <c r="E88" s="56">
        <f>Data!K87</f>
        <v>1423583.7771266622</v>
      </c>
      <c r="F88" s="56">
        <f>Data!L87</f>
        <v>18766666.803632692</v>
      </c>
      <c r="G88" s="253">
        <f>Data!AV87</f>
        <v>331.00000000000011</v>
      </c>
      <c r="H88" s="253">
        <f>Data!AU87</f>
        <v>0</v>
      </c>
      <c r="I88" s="251">
        <f t="shared" ca="1" si="17"/>
        <v>403.5</v>
      </c>
      <c r="J88" s="251">
        <f t="shared" ca="1" si="17"/>
        <v>0</v>
      </c>
      <c r="K88" s="32">
        <f>Data!BG87</f>
        <v>28</v>
      </c>
      <c r="L88" s="32">
        <f>Data!AC87</f>
        <v>328</v>
      </c>
      <c r="M88" s="32">
        <f>Data!BC87</f>
        <v>3267.8</v>
      </c>
      <c r="N88" s="32">
        <f>Data!BZ87</f>
        <v>0</v>
      </c>
      <c r="O88" s="32">
        <f t="shared" ca="1" si="11"/>
        <v>19143720.389449447</v>
      </c>
      <c r="P88" s="32">
        <f t="shared" ca="1" si="14"/>
        <v>17720136.612322785</v>
      </c>
      <c r="Q88" s="51">
        <f t="shared" ca="1" si="15"/>
        <v>377053.58581675589</v>
      </c>
      <c r="R88" s="50">
        <f t="shared" ca="1" si="16"/>
        <v>2.0091665172196113E-2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</row>
    <row r="89" spans="1:32" x14ac:dyDescent="0.2">
      <c r="A89" s="2">
        <v>43160</v>
      </c>
      <c r="B89">
        <f t="shared" si="12"/>
        <v>2018</v>
      </c>
      <c r="C89">
        <f t="shared" si="13"/>
        <v>3</v>
      </c>
      <c r="D89" s="56">
        <f>Data!J88</f>
        <v>16274077.571084337</v>
      </c>
      <c r="E89" s="56">
        <f>Data!K88</f>
        <v>1423583.7771266622</v>
      </c>
      <c r="F89" s="56">
        <f>Data!L88</f>
        <v>17697661.348210998</v>
      </c>
      <c r="G89" s="253">
        <f>Data!AV88</f>
        <v>306.00000000000006</v>
      </c>
      <c r="H89" s="253">
        <f>Data!AU88</f>
        <v>0</v>
      </c>
      <c r="I89" s="251">
        <f t="shared" ca="1" si="17"/>
        <v>291.06</v>
      </c>
      <c r="J89" s="251">
        <f t="shared" ca="1" si="17"/>
        <v>2.8099999999999996</v>
      </c>
      <c r="K89" s="32">
        <f>Data!BG88</f>
        <v>31</v>
      </c>
      <c r="L89" s="32">
        <f>Data!AC88</f>
        <v>331</v>
      </c>
      <c r="M89" s="32">
        <f>Data!BC88</f>
        <v>3257.5</v>
      </c>
      <c r="N89" s="32">
        <f>Data!BZ88</f>
        <v>0</v>
      </c>
      <c r="O89" s="32">
        <f t="shared" ca="1" si="11"/>
        <v>17638602.763665278</v>
      </c>
      <c r="P89" s="32">
        <f t="shared" ca="1" si="14"/>
        <v>16215018.986538615</v>
      </c>
      <c r="Q89" s="51">
        <f t="shared" ca="1" si="15"/>
        <v>-59058.584545720369</v>
      </c>
      <c r="R89" s="50">
        <f t="shared" ca="1" si="16"/>
        <v>3.337084114319456E-3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</row>
    <row r="90" spans="1:32" x14ac:dyDescent="0.2">
      <c r="A90" s="2">
        <v>43191</v>
      </c>
      <c r="B90">
        <f t="shared" si="12"/>
        <v>2018</v>
      </c>
      <c r="C90">
        <f t="shared" si="13"/>
        <v>4</v>
      </c>
      <c r="D90" s="56">
        <f>Data!J89</f>
        <v>17860673.320481922</v>
      </c>
      <c r="E90" s="56">
        <f>Data!K89</f>
        <v>1423583.7771266622</v>
      </c>
      <c r="F90" s="56">
        <f>Data!L89</f>
        <v>19284257.097608585</v>
      </c>
      <c r="G90" s="253">
        <f>Data!AV89</f>
        <v>200</v>
      </c>
      <c r="H90" s="253">
        <f>Data!AU89</f>
        <v>0</v>
      </c>
      <c r="I90" s="251">
        <f t="shared" ca="1" si="17"/>
        <v>120.71999999999998</v>
      </c>
      <c r="J90" s="251">
        <f t="shared" ca="1" si="17"/>
        <v>6.58</v>
      </c>
      <c r="K90" s="32">
        <f>Data!BG89</f>
        <v>30</v>
      </c>
      <c r="L90" s="32">
        <f>Data!AC89</f>
        <v>332</v>
      </c>
      <c r="M90" s="32">
        <f>Data!BC89</f>
        <v>3252.9</v>
      </c>
      <c r="N90" s="32">
        <f>Data!BZ89</f>
        <v>0</v>
      </c>
      <c r="O90" s="32">
        <f t="shared" ca="1" si="11"/>
        <v>18915591.686540302</v>
      </c>
      <c r="P90" s="32">
        <f t="shared" ca="1" si="14"/>
        <v>17492007.909413639</v>
      </c>
      <c r="Q90" s="51">
        <f t="shared" ca="1" si="15"/>
        <v>-368665.41106828302</v>
      </c>
      <c r="R90" s="50">
        <f t="shared" ca="1" si="16"/>
        <v>1.9117428750418431E-2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</row>
    <row r="91" spans="1:32" x14ac:dyDescent="0.2">
      <c r="A91" s="2">
        <v>43221</v>
      </c>
      <c r="B91">
        <f t="shared" si="12"/>
        <v>2018</v>
      </c>
      <c r="C91">
        <f t="shared" si="13"/>
        <v>5</v>
      </c>
      <c r="D91" s="56">
        <f>Data!J90</f>
        <v>18372275.971084341</v>
      </c>
      <c r="E91" s="56">
        <f>Data!K90</f>
        <v>1423583.7771266622</v>
      </c>
      <c r="F91" s="56">
        <f>Data!L90</f>
        <v>19795859.748211004</v>
      </c>
      <c r="G91" s="253">
        <f>Data!AV90</f>
        <v>1.9000000000000004</v>
      </c>
      <c r="H91" s="253">
        <f>Data!AU90</f>
        <v>158.9</v>
      </c>
      <c r="I91" s="251">
        <f t="shared" ca="1" si="17"/>
        <v>16.330000000000002</v>
      </c>
      <c r="J91" s="251">
        <f t="shared" ca="1" si="17"/>
        <v>107.25</v>
      </c>
      <c r="K91" s="32">
        <f>Data!BG90</f>
        <v>31</v>
      </c>
      <c r="L91" s="32">
        <f>Data!AC90</f>
        <v>333</v>
      </c>
      <c r="M91" s="32">
        <f>Data!BC90</f>
        <v>3249.3</v>
      </c>
      <c r="N91" s="32">
        <f>Data!BZ90</f>
        <v>0</v>
      </c>
      <c r="O91" s="32">
        <f t="shared" ca="1" si="11"/>
        <v>19528280.204803042</v>
      </c>
      <c r="P91" s="32">
        <f t="shared" ca="1" si="14"/>
        <v>18104696.42767638</v>
      </c>
      <c r="Q91" s="51">
        <f t="shared" ca="1" si="15"/>
        <v>-267579.54340796173</v>
      </c>
      <c r="R91" s="50">
        <f t="shared" ca="1" si="16"/>
        <v>1.3516944796102806E-2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</row>
    <row r="92" spans="1:32" x14ac:dyDescent="0.2">
      <c r="A92" s="2">
        <v>43252</v>
      </c>
      <c r="B92">
        <f t="shared" si="12"/>
        <v>2018</v>
      </c>
      <c r="C92">
        <f t="shared" si="13"/>
        <v>6</v>
      </c>
      <c r="D92" s="56">
        <f>Data!J91</f>
        <v>19648875.142168682</v>
      </c>
      <c r="E92" s="56">
        <f>Data!K91</f>
        <v>1423583.7771266622</v>
      </c>
      <c r="F92" s="56">
        <f>Data!L91</f>
        <v>21072458.919295345</v>
      </c>
      <c r="G92" s="253">
        <f>Data!AV91</f>
        <v>0</v>
      </c>
      <c r="H92" s="253">
        <f>Data!AU91</f>
        <v>225.70000000000002</v>
      </c>
      <c r="I92" s="251">
        <f t="shared" ca="1" si="17"/>
        <v>0</v>
      </c>
      <c r="J92" s="251">
        <f t="shared" ca="1" si="17"/>
        <v>230.10000000000005</v>
      </c>
      <c r="K92" s="32">
        <f>Data!BG91</f>
        <v>30</v>
      </c>
      <c r="L92" s="32">
        <f>Data!AC91</f>
        <v>333</v>
      </c>
      <c r="M92" s="32">
        <f>Data!BC91</f>
        <v>3254.6</v>
      </c>
      <c r="N92" s="32">
        <f>Data!BZ91</f>
        <v>0</v>
      </c>
      <c r="O92" s="32">
        <f t="shared" ca="1" si="11"/>
        <v>21101646.824791308</v>
      </c>
      <c r="P92" s="32">
        <f t="shared" ca="1" si="14"/>
        <v>19678063.047664646</v>
      </c>
      <c r="Q92" s="51">
        <f t="shared" ca="1" si="15"/>
        <v>29187.905495963991</v>
      </c>
      <c r="R92" s="50">
        <f t="shared" ca="1" si="16"/>
        <v>1.3851210059419123E-3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spans="1:32" x14ac:dyDescent="0.2">
      <c r="A93" s="2">
        <v>43282</v>
      </c>
      <c r="B93">
        <f t="shared" si="12"/>
        <v>2018</v>
      </c>
      <c r="C93">
        <f t="shared" si="13"/>
        <v>7</v>
      </c>
      <c r="D93" s="56">
        <f>Data!J92</f>
        <v>19458868.327710845</v>
      </c>
      <c r="E93" s="56">
        <f>Data!K92</f>
        <v>1423583.7771266622</v>
      </c>
      <c r="F93" s="56">
        <f>Data!L92</f>
        <v>20882452.104837507</v>
      </c>
      <c r="G93" s="253">
        <f>Data!AV92</f>
        <v>0</v>
      </c>
      <c r="H93" s="253">
        <f>Data!AU92</f>
        <v>353.79999999999995</v>
      </c>
      <c r="I93" s="251">
        <f t="shared" ca="1" si="17"/>
        <v>0</v>
      </c>
      <c r="J93" s="251">
        <f t="shared" ca="1" si="17"/>
        <v>331.41</v>
      </c>
      <c r="K93" s="32">
        <f>Data!BG92</f>
        <v>31</v>
      </c>
      <c r="L93" s="32">
        <f>Data!AC92</f>
        <v>335</v>
      </c>
      <c r="M93" s="32">
        <f>Data!BC92</f>
        <v>3268.2</v>
      </c>
      <c r="N93" s="32">
        <f>Data!BZ92</f>
        <v>0</v>
      </c>
      <c r="O93" s="32">
        <f t="shared" ca="1" si="11"/>
        <v>20733925.467552371</v>
      </c>
      <c r="P93" s="32">
        <f t="shared" ca="1" si="14"/>
        <v>19310341.690425709</v>
      </c>
      <c r="Q93" s="51">
        <f t="shared" ca="1" si="15"/>
        <v>-148526.63728513569</v>
      </c>
      <c r="R93" s="50">
        <f t="shared" ca="1" si="16"/>
        <v>7.1125094188880661E-3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 x14ac:dyDescent="0.2">
      <c r="A94" s="2">
        <v>43313</v>
      </c>
      <c r="B94">
        <f t="shared" si="12"/>
        <v>2018</v>
      </c>
      <c r="C94">
        <f t="shared" si="13"/>
        <v>8</v>
      </c>
      <c r="D94" s="56">
        <f>Data!J93</f>
        <v>20075782.737349391</v>
      </c>
      <c r="E94" s="56">
        <f>Data!K93</f>
        <v>1423583.7771266622</v>
      </c>
      <c r="F94" s="56">
        <f>Data!L93</f>
        <v>21499366.514476053</v>
      </c>
      <c r="G94" s="253">
        <f>Data!AV93</f>
        <v>0</v>
      </c>
      <c r="H94" s="253">
        <f>Data!AU93</f>
        <v>347.2</v>
      </c>
      <c r="I94" s="251">
        <f t="shared" ca="1" si="17"/>
        <v>0</v>
      </c>
      <c r="J94" s="251">
        <f t="shared" ca="1" si="17"/>
        <v>304.46000000000004</v>
      </c>
      <c r="K94" s="32">
        <f>Data!BG93</f>
        <v>31</v>
      </c>
      <c r="L94" s="32">
        <f>Data!AC93</f>
        <v>329</v>
      </c>
      <c r="M94" s="32">
        <f>Data!BC93</f>
        <v>3263.2</v>
      </c>
      <c r="N94" s="32">
        <f>Data!BZ93</f>
        <v>0</v>
      </c>
      <c r="O94" s="32">
        <f t="shared" ca="1" si="11"/>
        <v>21215845.814272091</v>
      </c>
      <c r="P94" s="32">
        <f t="shared" ca="1" si="14"/>
        <v>19792262.037145428</v>
      </c>
      <c r="Q94" s="51">
        <f t="shared" ca="1" si="15"/>
        <v>-283520.70020396262</v>
      </c>
      <c r="R94" s="50">
        <f t="shared" ca="1" si="16"/>
        <v>1.3187397871144767E-2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</row>
    <row r="95" spans="1:32" x14ac:dyDescent="0.2">
      <c r="A95" s="2">
        <v>43344</v>
      </c>
      <c r="B95">
        <f t="shared" si="12"/>
        <v>2018</v>
      </c>
      <c r="C95">
        <f t="shared" si="13"/>
        <v>9</v>
      </c>
      <c r="D95" s="56">
        <f>Data!J94</f>
        <v>18418754.37108434</v>
      </c>
      <c r="E95" s="56">
        <f>Data!K94</f>
        <v>1423583.7771266622</v>
      </c>
      <c r="F95" s="56">
        <f>Data!L94</f>
        <v>19842338.148211002</v>
      </c>
      <c r="G95" s="253">
        <f>Data!AV94</f>
        <v>0</v>
      </c>
      <c r="H95" s="253">
        <f>Data!AU94</f>
        <v>210.59999999999997</v>
      </c>
      <c r="I95" s="251">
        <f t="shared" ca="1" si="17"/>
        <v>0.24999999999999983</v>
      </c>
      <c r="J95" s="251">
        <f t="shared" ca="1" si="17"/>
        <v>176.51</v>
      </c>
      <c r="K95" s="32">
        <f>Data!BG94</f>
        <v>30</v>
      </c>
      <c r="L95" s="32">
        <f>Data!AC94</f>
        <v>326</v>
      </c>
      <c r="M95" s="32">
        <f>Data!BC94</f>
        <v>3255.6</v>
      </c>
      <c r="N95" s="32">
        <f>Data!BZ94</f>
        <v>0</v>
      </c>
      <c r="O95" s="32">
        <f t="shared" ca="1" si="11"/>
        <v>19617498.401544828</v>
      </c>
      <c r="P95" s="32">
        <f t="shared" ca="1" si="14"/>
        <v>18193914.624418166</v>
      </c>
      <c r="Q95" s="51">
        <f t="shared" ca="1" si="15"/>
        <v>-224839.74666617438</v>
      </c>
      <c r="R95" s="50">
        <f t="shared" ca="1" si="16"/>
        <v>1.133131312382387E-2</v>
      </c>
      <c r="AE95" s="5"/>
    </row>
    <row r="96" spans="1:32" x14ac:dyDescent="0.2">
      <c r="A96" s="2">
        <v>43374</v>
      </c>
      <c r="B96">
        <f t="shared" si="12"/>
        <v>2018</v>
      </c>
      <c r="C96">
        <f t="shared" si="13"/>
        <v>10</v>
      </c>
      <c r="D96" s="56">
        <f>Data!J95</f>
        <v>17903378.053012051</v>
      </c>
      <c r="E96" s="56">
        <f>Data!K95</f>
        <v>1423583.7771266622</v>
      </c>
      <c r="F96" s="56">
        <f>Data!L95</f>
        <v>19326961.830138713</v>
      </c>
      <c r="G96" s="253">
        <f>Data!AV95</f>
        <v>81.899999999999977</v>
      </c>
      <c r="H96" s="253">
        <f>Data!AU95</f>
        <v>30.9</v>
      </c>
      <c r="I96" s="251">
        <f t="shared" ref="I96:J111" ca="1" si="18">I84</f>
        <v>44.309999999999995</v>
      </c>
      <c r="J96" s="251">
        <f t="shared" ca="1" si="18"/>
        <v>43.36</v>
      </c>
      <c r="K96" s="32">
        <f>Data!BG95</f>
        <v>31</v>
      </c>
      <c r="L96" s="32">
        <f>Data!AC95</f>
        <v>326</v>
      </c>
      <c r="M96" s="32">
        <f>Data!BC95</f>
        <v>3254.2</v>
      </c>
      <c r="N96" s="32">
        <f>Data!BZ95</f>
        <v>0</v>
      </c>
      <c r="O96" s="32">
        <f t="shared" ca="1" si="11"/>
        <v>19214120.888289273</v>
      </c>
      <c r="P96" s="32">
        <f t="shared" ca="1" si="14"/>
        <v>17790537.11116261</v>
      </c>
      <c r="Q96" s="51">
        <f t="shared" ca="1" si="15"/>
        <v>-112840.94184944034</v>
      </c>
      <c r="R96" s="50">
        <f t="shared" ca="1" si="16"/>
        <v>5.8385245876294289E-3</v>
      </c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</row>
    <row r="97" spans="1:40" x14ac:dyDescent="0.2">
      <c r="A97" s="2">
        <v>43405</v>
      </c>
      <c r="B97">
        <f t="shared" si="12"/>
        <v>2018</v>
      </c>
      <c r="C97">
        <f t="shared" si="13"/>
        <v>11</v>
      </c>
      <c r="D97" s="56">
        <f>Data!J96</f>
        <v>18069580.289156623</v>
      </c>
      <c r="E97" s="56">
        <f>Data!K96</f>
        <v>1423583.7771266622</v>
      </c>
      <c r="F97" s="56">
        <f>Data!L96</f>
        <v>19493164.066283286</v>
      </c>
      <c r="G97" s="253">
        <f>Data!AV96</f>
        <v>256.49999999999994</v>
      </c>
      <c r="H97" s="253">
        <f>Data!AU96</f>
        <v>0.40000000000000036</v>
      </c>
      <c r="I97" s="251">
        <f t="shared" ca="1" si="18"/>
        <v>193.95999999999998</v>
      </c>
      <c r="J97" s="251">
        <f t="shared" ca="1" si="18"/>
        <v>2.7399999999999998</v>
      </c>
      <c r="K97" s="32">
        <f>Data!BG96</f>
        <v>30</v>
      </c>
      <c r="L97" s="32">
        <f>Data!AC96</f>
        <v>328</v>
      </c>
      <c r="M97" s="32">
        <f>Data!BC96</f>
        <v>3272.2</v>
      </c>
      <c r="N97" s="32">
        <f>Data!BZ96</f>
        <v>0</v>
      </c>
      <c r="O97" s="32">
        <f t="shared" ca="1" si="11"/>
        <v>19183432.500881024</v>
      </c>
      <c r="P97" s="32">
        <f t="shared" ca="1" si="14"/>
        <v>17759848.723754361</v>
      </c>
      <c r="Q97" s="51">
        <f t="shared" ca="1" si="15"/>
        <v>-309731.56540226191</v>
      </c>
      <c r="R97" s="50">
        <f t="shared" ca="1" si="16"/>
        <v>1.5889240163837481E-2</v>
      </c>
    </row>
    <row r="98" spans="1:40" x14ac:dyDescent="0.2">
      <c r="A98" s="2">
        <v>43435</v>
      </c>
      <c r="B98">
        <f t="shared" si="12"/>
        <v>2018</v>
      </c>
      <c r="C98">
        <f t="shared" si="13"/>
        <v>12</v>
      </c>
      <c r="D98" s="56">
        <f>Data!J97</f>
        <v>18620637.38795181</v>
      </c>
      <c r="E98" s="56">
        <f>Data!K97</f>
        <v>1423583.7771266622</v>
      </c>
      <c r="F98" s="56">
        <f>Data!L97</f>
        <v>20044221.165078472</v>
      </c>
      <c r="G98" s="253">
        <f>Data!AV97</f>
        <v>315.60000000000002</v>
      </c>
      <c r="H98" s="253">
        <f>Data!AU97</f>
        <v>0</v>
      </c>
      <c r="I98" s="251">
        <f t="shared" ca="1" si="18"/>
        <v>327.48000000000008</v>
      </c>
      <c r="J98" s="251">
        <f t="shared" ca="1" si="18"/>
        <v>0</v>
      </c>
      <c r="K98" s="32">
        <f>Data!BG97</f>
        <v>31</v>
      </c>
      <c r="L98" s="32">
        <f>Data!AC97</f>
        <v>328</v>
      </c>
      <c r="M98" s="32">
        <f>Data!BC97</f>
        <v>3285.5</v>
      </c>
      <c r="N98" s="32">
        <f>Data!BZ97</f>
        <v>0</v>
      </c>
      <c r="O98" s="32">
        <f t="shared" ca="1" si="11"/>
        <v>20106005.945761275</v>
      </c>
      <c r="P98" s="32">
        <f t="shared" ca="1" si="14"/>
        <v>18682422.168634612</v>
      </c>
      <c r="Q98" s="51">
        <f t="shared" ca="1" si="15"/>
        <v>61784.7806828022</v>
      </c>
      <c r="R98" s="50">
        <f t="shared" ca="1" si="16"/>
        <v>3.0824236159619485E-3</v>
      </c>
      <c r="S98" s="41"/>
    </row>
    <row r="99" spans="1:40" s="9" customFormat="1" x14ac:dyDescent="0.2">
      <c r="A99" s="2">
        <v>43466</v>
      </c>
      <c r="B99">
        <f t="shared" si="12"/>
        <v>2019</v>
      </c>
      <c r="C99">
        <f t="shared" si="13"/>
        <v>1</v>
      </c>
      <c r="D99" s="56">
        <f>Data!J98</f>
        <v>20021565.956626497</v>
      </c>
      <c r="E99" s="56">
        <f>Data!K98</f>
        <v>1598997.2617911876</v>
      </c>
      <c r="F99" s="56">
        <f>Data!L98</f>
        <v>21620563.218417685</v>
      </c>
      <c r="G99" s="253">
        <f>Data!AV98</f>
        <v>516.5</v>
      </c>
      <c r="H99" s="253">
        <f>Data!AU98</f>
        <v>0</v>
      </c>
      <c r="I99" s="251">
        <f t="shared" ca="1" si="18"/>
        <v>439.5</v>
      </c>
      <c r="J99" s="251">
        <f t="shared" ca="1" si="18"/>
        <v>0</v>
      </c>
      <c r="K99" s="32">
        <f>Data!BG98</f>
        <v>31</v>
      </c>
      <c r="L99" s="32">
        <f>Data!AC98</f>
        <v>326</v>
      </c>
      <c r="M99" s="32">
        <f>Data!BC98</f>
        <v>3291.7</v>
      </c>
      <c r="N99" s="32">
        <f>Data!BZ98</f>
        <v>0</v>
      </c>
      <c r="O99" s="32">
        <f t="shared" ref="O99:O134" ca="1" si="19">F99+(I99-G99)*$T$10+(J99-H99)*$T$11</f>
        <v>21220106.306584716</v>
      </c>
      <c r="P99" s="32">
        <f t="shared" ca="1" si="14"/>
        <v>19621109.044793528</v>
      </c>
      <c r="Q99" s="51">
        <f t="shared" ca="1" si="15"/>
        <v>-400456.91183296964</v>
      </c>
      <c r="R99" s="50">
        <f t="shared" ca="1" si="16"/>
        <v>1.8522038847343096E-2</v>
      </c>
      <c r="S99" s="41"/>
      <c r="T99" s="1"/>
      <c r="U99" s="1"/>
      <c r="V99" s="1"/>
      <c r="W99"/>
      <c r="X99"/>
      <c r="Y99"/>
      <c r="Z99"/>
      <c r="AA99"/>
      <c r="AB99"/>
      <c r="AC99"/>
      <c r="AD99"/>
      <c r="AE99"/>
      <c r="AF99" s="39"/>
      <c r="AG99" s="39"/>
      <c r="AH99" s="39"/>
      <c r="AI99" s="39"/>
      <c r="AJ99" s="39"/>
      <c r="AK99" s="39"/>
      <c r="AL99" s="39"/>
      <c r="AM99" s="39"/>
      <c r="AN99" s="39"/>
    </row>
    <row r="100" spans="1:40" x14ac:dyDescent="0.2">
      <c r="A100" s="2">
        <v>43497</v>
      </c>
      <c r="B100">
        <f t="shared" si="12"/>
        <v>2019</v>
      </c>
      <c r="C100">
        <f t="shared" si="13"/>
        <v>2</v>
      </c>
      <c r="D100" s="56">
        <f>Data!J99</f>
        <v>17820036.587951798</v>
      </c>
      <c r="E100" s="56">
        <f>Data!K99</f>
        <v>1598997.2617911876</v>
      </c>
      <c r="F100" s="56">
        <f>Data!L99</f>
        <v>19419033.849742986</v>
      </c>
      <c r="G100" s="253">
        <f>Data!AV99</f>
        <v>397.7000000000001</v>
      </c>
      <c r="H100" s="253">
        <f>Data!AU99</f>
        <v>0</v>
      </c>
      <c r="I100" s="251">
        <f t="shared" ca="1" si="18"/>
        <v>403.5</v>
      </c>
      <c r="J100" s="251">
        <f t="shared" ca="1" si="18"/>
        <v>0</v>
      </c>
      <c r="K100" s="32">
        <f>Data!BG99</f>
        <v>28</v>
      </c>
      <c r="L100" s="32">
        <f>Data!AC99</f>
        <v>328</v>
      </c>
      <c r="M100" s="32">
        <f>Data!BC99</f>
        <v>3307</v>
      </c>
      <c r="N100" s="32">
        <f>Data!BZ99</f>
        <v>0</v>
      </c>
      <c r="O100" s="32">
        <f t="shared" ca="1" si="19"/>
        <v>19449198.136608325</v>
      </c>
      <c r="P100" s="32">
        <f t="shared" ref="P100:P127" ca="1" si="20">O100-E100</f>
        <v>17850200.874817137</v>
      </c>
      <c r="Q100" s="51">
        <f t="shared" ca="1" si="15"/>
        <v>30164.286865338683</v>
      </c>
      <c r="R100" s="50">
        <f t="shared" ca="1" si="16"/>
        <v>1.5533361288073511E-3</v>
      </c>
      <c r="T100" s="1"/>
      <c r="U100" s="1"/>
      <c r="V100" s="1"/>
    </row>
    <row r="101" spans="1:40" x14ac:dyDescent="0.2">
      <c r="A101" s="2">
        <v>43525</v>
      </c>
      <c r="B101">
        <f t="shared" si="12"/>
        <v>2019</v>
      </c>
      <c r="C101">
        <f t="shared" si="13"/>
        <v>3</v>
      </c>
      <c r="D101" s="56">
        <f>Data!J100</f>
        <v>18868347.971084334</v>
      </c>
      <c r="E101" s="56">
        <f>Data!K100</f>
        <v>1598997.2617911876</v>
      </c>
      <c r="F101" s="56">
        <f>Data!L100</f>
        <v>20467345.232875522</v>
      </c>
      <c r="G101" s="253">
        <f>Data!AV100</f>
        <v>345.9</v>
      </c>
      <c r="H101" s="253">
        <f>Data!AU100</f>
        <v>0</v>
      </c>
      <c r="I101" s="251">
        <f t="shared" ca="1" si="18"/>
        <v>291.06</v>
      </c>
      <c r="J101" s="251">
        <f t="shared" ca="1" si="18"/>
        <v>2.8099999999999996</v>
      </c>
      <c r="K101" s="32">
        <f>Data!BG100</f>
        <v>31</v>
      </c>
      <c r="L101" s="32">
        <f>Data!AC100</f>
        <v>332</v>
      </c>
      <c r="M101" s="32">
        <f>Data!BC100</f>
        <v>3322.8</v>
      </c>
      <c r="N101" s="32">
        <f>Data!BZ100</f>
        <v>0</v>
      </c>
      <c r="O101" s="32">
        <f t="shared" ca="1" si="19"/>
        <v>20200777.157652717</v>
      </c>
      <c r="P101" s="32">
        <f t="shared" ca="1" si="20"/>
        <v>18601779.895861529</v>
      </c>
      <c r="Q101" s="51">
        <f t="shared" ca="1" si="15"/>
        <v>-266568.07522280514</v>
      </c>
      <c r="R101" s="50">
        <f t="shared" ca="1" si="16"/>
        <v>1.3024066980344482E-2</v>
      </c>
      <c r="S101" s="41"/>
      <c r="T101" s="1"/>
      <c r="U101" s="1"/>
      <c r="V101" s="1"/>
    </row>
    <row r="102" spans="1:40" x14ac:dyDescent="0.2">
      <c r="A102" s="2">
        <v>43556</v>
      </c>
      <c r="B102">
        <f t="shared" si="12"/>
        <v>2019</v>
      </c>
      <c r="C102">
        <f t="shared" si="13"/>
        <v>4</v>
      </c>
      <c r="D102" s="56">
        <f>Data!J101</f>
        <v>17363850.910843372</v>
      </c>
      <c r="E102" s="56">
        <f>Data!K101</f>
        <v>1598997.2617911876</v>
      </c>
      <c r="F102" s="56">
        <f>Data!L101</f>
        <v>18962848.172634561</v>
      </c>
      <c r="G102" s="253">
        <f>Data!AV101</f>
        <v>111.89999999999998</v>
      </c>
      <c r="H102" s="253">
        <f>Data!AU101</f>
        <v>1.9000000000000004</v>
      </c>
      <c r="I102" s="251">
        <f t="shared" ca="1" si="18"/>
        <v>120.71999999999998</v>
      </c>
      <c r="J102" s="251">
        <f t="shared" ca="1" si="18"/>
        <v>6.58</v>
      </c>
      <c r="K102" s="32">
        <f>Data!BG101</f>
        <v>30</v>
      </c>
      <c r="L102" s="32">
        <f>Data!AC101</f>
        <v>339</v>
      </c>
      <c r="M102" s="32">
        <f>Data!BC101</f>
        <v>3341.2</v>
      </c>
      <c r="N102" s="32">
        <f>Data!BZ101</f>
        <v>0</v>
      </c>
      <c r="O102" s="32">
        <f t="shared" ca="1" si="19"/>
        <v>19039764.009290222</v>
      </c>
      <c r="P102" s="32">
        <f t="shared" ca="1" si="20"/>
        <v>17440766.747499034</v>
      </c>
      <c r="Q102" s="51">
        <f t="shared" ca="1" si="15"/>
        <v>76915.836655661464</v>
      </c>
      <c r="R102" s="50">
        <f t="shared" ca="1" si="16"/>
        <v>4.0561331270193542E-3</v>
      </c>
      <c r="T102" s="1"/>
      <c r="U102" s="1"/>
      <c r="V102" s="1"/>
    </row>
    <row r="103" spans="1:40" x14ac:dyDescent="0.2">
      <c r="A103" s="2">
        <v>43586</v>
      </c>
      <c r="B103">
        <f t="shared" si="12"/>
        <v>2019</v>
      </c>
      <c r="C103">
        <f t="shared" si="13"/>
        <v>5</v>
      </c>
      <c r="D103" s="56">
        <f>Data!J102</f>
        <v>17505961.4939759</v>
      </c>
      <c r="E103" s="56">
        <f>Data!K102</f>
        <v>1598997.2617911876</v>
      </c>
      <c r="F103" s="56">
        <f>Data!L102</f>
        <v>19104958.755767088</v>
      </c>
      <c r="G103" s="253">
        <f>Data!AV102</f>
        <v>20.6</v>
      </c>
      <c r="H103" s="253">
        <f>Data!AU102</f>
        <v>39.799999999999997</v>
      </c>
      <c r="I103" s="251">
        <f t="shared" ca="1" si="18"/>
        <v>16.330000000000002</v>
      </c>
      <c r="J103" s="251">
        <f t="shared" ca="1" si="18"/>
        <v>107.25</v>
      </c>
      <c r="K103" s="32">
        <f>Data!BG102</f>
        <v>31</v>
      </c>
      <c r="L103" s="32">
        <f>Data!AC102</f>
        <v>342</v>
      </c>
      <c r="M103" s="32">
        <f>Data!BC102</f>
        <v>3355</v>
      </c>
      <c r="N103" s="32">
        <f>Data!BZ102</f>
        <v>0</v>
      </c>
      <c r="O103" s="32">
        <f t="shared" ca="1" si="19"/>
        <v>19530188.923770592</v>
      </c>
      <c r="P103" s="32">
        <f t="shared" ca="1" si="20"/>
        <v>17931191.661979403</v>
      </c>
      <c r="Q103" s="51">
        <f t="shared" ca="1" si="15"/>
        <v>425230.16800350323</v>
      </c>
      <c r="R103" s="50">
        <f t="shared" ca="1" si="16"/>
        <v>2.2257581052099462E-2</v>
      </c>
      <c r="S103" s="41"/>
      <c r="T103" s="1"/>
      <c r="U103" s="1"/>
      <c r="V103" s="1"/>
    </row>
    <row r="104" spans="1:40" x14ac:dyDescent="0.2">
      <c r="A104" s="2">
        <v>43617</v>
      </c>
      <c r="B104">
        <f t="shared" si="12"/>
        <v>2019</v>
      </c>
      <c r="C104">
        <f t="shared" si="13"/>
        <v>6</v>
      </c>
      <c r="D104" s="56">
        <f>Data!J103</f>
        <v>17272766.390361439</v>
      </c>
      <c r="E104" s="56">
        <f>Data!K103</f>
        <v>1598997.2617911876</v>
      </c>
      <c r="F104" s="56">
        <f>Data!L103</f>
        <v>18871763.652152628</v>
      </c>
      <c r="G104" s="253">
        <f>Data!AV103</f>
        <v>0</v>
      </c>
      <c r="H104" s="253">
        <f>Data!AU103</f>
        <v>186.2</v>
      </c>
      <c r="I104" s="251">
        <f t="shared" ca="1" si="18"/>
        <v>0</v>
      </c>
      <c r="J104" s="251">
        <f t="shared" ca="1" si="18"/>
        <v>230.10000000000005</v>
      </c>
      <c r="K104" s="32">
        <f>Data!BG103</f>
        <v>30</v>
      </c>
      <c r="L104" s="32">
        <f>Data!AC103</f>
        <v>343</v>
      </c>
      <c r="M104" s="32">
        <f>Data!BC103</f>
        <v>3367.5</v>
      </c>
      <c r="N104" s="32">
        <f>Data!BZ103</f>
        <v>0</v>
      </c>
      <c r="O104" s="32">
        <f t="shared" ca="1" si="19"/>
        <v>19162979.345623706</v>
      </c>
      <c r="P104" s="32">
        <f t="shared" ca="1" si="20"/>
        <v>17563982.083832517</v>
      </c>
      <c r="Q104" s="51">
        <f t="shared" ca="1" si="15"/>
        <v>291215.69347107783</v>
      </c>
      <c r="R104" s="50">
        <f t="shared" ca="1" si="16"/>
        <v>1.543129189400695E-2</v>
      </c>
      <c r="S104" s="41"/>
      <c r="T104" s="1"/>
      <c r="U104" s="1"/>
      <c r="V104" s="1"/>
    </row>
    <row r="105" spans="1:40" x14ac:dyDescent="0.2">
      <c r="A105" s="2">
        <v>43647</v>
      </c>
      <c r="B105">
        <f t="shared" si="12"/>
        <v>2019</v>
      </c>
      <c r="C105">
        <f t="shared" si="13"/>
        <v>7</v>
      </c>
      <c r="D105" s="56">
        <f>Data!J104</f>
        <v>20011928.221686758</v>
      </c>
      <c r="E105" s="56">
        <f>Data!K104</f>
        <v>1598997.2617911876</v>
      </c>
      <c r="F105" s="56">
        <f>Data!L104</f>
        <v>21610925.483477946</v>
      </c>
      <c r="G105" s="253">
        <f>Data!AV104</f>
        <v>0</v>
      </c>
      <c r="H105" s="253">
        <f>Data!AU104</f>
        <v>352.89999999999992</v>
      </c>
      <c r="I105" s="251">
        <f t="shared" ca="1" si="18"/>
        <v>0</v>
      </c>
      <c r="J105" s="251">
        <f t="shared" ca="1" si="18"/>
        <v>331.41</v>
      </c>
      <c r="K105" s="32">
        <f>Data!BG104</f>
        <v>31</v>
      </c>
      <c r="L105" s="32">
        <f>Data!AC104</f>
        <v>346</v>
      </c>
      <c r="M105" s="32">
        <f>Data!BC104</f>
        <v>3382.6</v>
      </c>
      <c r="N105" s="32">
        <f>Data!BZ104</f>
        <v>0</v>
      </c>
      <c r="O105" s="32">
        <f t="shared" ca="1" si="19"/>
        <v>21468369.099589713</v>
      </c>
      <c r="P105" s="32">
        <f t="shared" ca="1" si="20"/>
        <v>19869371.837798525</v>
      </c>
      <c r="Q105" s="51">
        <f t="shared" ca="1" si="15"/>
        <v>-142556.38388823345</v>
      </c>
      <c r="R105" s="50">
        <f t="shared" ca="1" si="16"/>
        <v>6.5964960175917088E-3</v>
      </c>
      <c r="S105" s="41"/>
      <c r="T105" s="1"/>
      <c r="U105" s="1"/>
      <c r="V105" s="1"/>
    </row>
    <row r="106" spans="1:40" x14ac:dyDescent="0.2">
      <c r="A106" s="2">
        <v>43678</v>
      </c>
      <c r="B106">
        <f t="shared" si="12"/>
        <v>2019</v>
      </c>
      <c r="C106">
        <f t="shared" si="13"/>
        <v>8</v>
      </c>
      <c r="D106" s="56">
        <f>Data!J105</f>
        <v>18900005.146987949</v>
      </c>
      <c r="E106" s="56">
        <f>Data!K105</f>
        <v>1598997.2617911876</v>
      </c>
      <c r="F106" s="56">
        <f>Data!L105</f>
        <v>20499002.408779137</v>
      </c>
      <c r="G106" s="253">
        <f>Data!AV105</f>
        <v>0</v>
      </c>
      <c r="H106" s="253">
        <f>Data!AU105</f>
        <v>288.39999999999998</v>
      </c>
      <c r="I106" s="251">
        <f t="shared" ca="1" si="18"/>
        <v>0</v>
      </c>
      <c r="J106" s="251">
        <f t="shared" ca="1" si="18"/>
        <v>304.46000000000004</v>
      </c>
      <c r="K106" s="32">
        <f>Data!BG105</f>
        <v>31</v>
      </c>
      <c r="L106" s="32">
        <f>Data!AC105</f>
        <v>347</v>
      </c>
      <c r="M106" s="32">
        <f>Data!BC105</f>
        <v>3394.4</v>
      </c>
      <c r="N106" s="32">
        <f>Data!BZ105</f>
        <v>0</v>
      </c>
      <c r="O106" s="32">
        <f t="shared" ca="1" si="19"/>
        <v>20605538.263839401</v>
      </c>
      <c r="P106" s="32">
        <f t="shared" ca="1" si="20"/>
        <v>19006541.002048213</v>
      </c>
      <c r="Q106" s="51">
        <f t="shared" ca="1" si="15"/>
        <v>106535.85506026447</v>
      </c>
      <c r="R106" s="50">
        <f t="shared" ca="1" si="16"/>
        <v>5.1971238861183901E-3</v>
      </c>
      <c r="S106" s="41"/>
      <c r="T106" s="1"/>
      <c r="U106" s="1"/>
      <c r="V106" s="1"/>
    </row>
    <row r="107" spans="1:40" x14ac:dyDescent="0.2">
      <c r="A107" s="2">
        <v>43709</v>
      </c>
      <c r="B107">
        <f t="shared" si="12"/>
        <v>2019</v>
      </c>
      <c r="C107">
        <f t="shared" si="13"/>
        <v>9</v>
      </c>
      <c r="D107" s="56">
        <f>Data!J106</f>
        <v>17525598.293975905</v>
      </c>
      <c r="E107" s="56">
        <f>Data!K106</f>
        <v>1598997.2617911876</v>
      </c>
      <c r="F107" s="56">
        <f>Data!L106</f>
        <v>19124595.555767093</v>
      </c>
      <c r="G107" s="253">
        <f>Data!AV106</f>
        <v>0</v>
      </c>
      <c r="H107" s="253">
        <f>Data!AU106</f>
        <v>167.2</v>
      </c>
      <c r="I107" s="251">
        <f t="shared" ca="1" si="18"/>
        <v>0.24999999999999983</v>
      </c>
      <c r="J107" s="251">
        <f t="shared" ca="1" si="18"/>
        <v>176.51</v>
      </c>
      <c r="K107" s="32">
        <f>Data!BG106</f>
        <v>30</v>
      </c>
      <c r="L107" s="32">
        <f>Data!AC106</f>
        <v>348</v>
      </c>
      <c r="M107" s="32">
        <f>Data!BC106</f>
        <v>3416.8</v>
      </c>
      <c r="N107" s="32">
        <f>Data!BZ106</f>
        <v>0</v>
      </c>
      <c r="O107" s="32">
        <f t="shared" ca="1" si="19"/>
        <v>19187654.695129275</v>
      </c>
      <c r="P107" s="32">
        <f t="shared" ca="1" si="20"/>
        <v>17588657.433338087</v>
      </c>
      <c r="Q107" s="51">
        <f t="shared" ca="1" si="15"/>
        <v>63059.139362182468</v>
      </c>
      <c r="R107" s="50">
        <f t="shared" ca="1" si="16"/>
        <v>3.2972796302176833E-3</v>
      </c>
      <c r="T107" s="1"/>
      <c r="U107" s="1"/>
      <c r="V107" s="1"/>
    </row>
    <row r="108" spans="1:40" x14ac:dyDescent="0.2">
      <c r="A108" s="2">
        <v>43739</v>
      </c>
      <c r="B108">
        <f t="shared" si="12"/>
        <v>2019</v>
      </c>
      <c r="C108">
        <f t="shared" si="13"/>
        <v>10</v>
      </c>
      <c r="D108" s="56">
        <f>Data!J107</f>
        <v>17638446.88192771</v>
      </c>
      <c r="E108" s="56">
        <f>Data!K107</f>
        <v>1598997.2617911876</v>
      </c>
      <c r="F108" s="56">
        <f>Data!L107</f>
        <v>19237444.143718898</v>
      </c>
      <c r="G108" s="253">
        <f>Data!AV107</f>
        <v>26.599999999999998</v>
      </c>
      <c r="H108" s="253">
        <f>Data!AU107</f>
        <v>21.800000000000004</v>
      </c>
      <c r="I108" s="251">
        <f t="shared" ca="1" si="18"/>
        <v>44.309999999999995</v>
      </c>
      <c r="J108" s="251">
        <f t="shared" ca="1" si="18"/>
        <v>43.36</v>
      </c>
      <c r="K108" s="32">
        <f>Data!BG107</f>
        <v>31</v>
      </c>
      <c r="L108" s="32">
        <f>Data!AC107</f>
        <v>351</v>
      </c>
      <c r="M108" s="32">
        <f>Data!BC107</f>
        <v>3419.9</v>
      </c>
      <c r="N108" s="32">
        <f>Data!BZ107</f>
        <v>0</v>
      </c>
      <c r="O108" s="32">
        <f t="shared" ca="1" si="19"/>
        <v>19472569.970370695</v>
      </c>
      <c r="P108" s="32">
        <f t="shared" ca="1" si="20"/>
        <v>17873572.708579507</v>
      </c>
      <c r="Q108" s="51">
        <f t="shared" ca="1" si="15"/>
        <v>235125.8266517967</v>
      </c>
      <c r="R108" s="50">
        <f t="shared" ca="1" si="16"/>
        <v>1.2222300680652852E-2</v>
      </c>
      <c r="S108" s="41"/>
      <c r="T108" s="1"/>
      <c r="U108" s="1"/>
      <c r="V108" s="1"/>
    </row>
    <row r="109" spans="1:40" x14ac:dyDescent="0.2">
      <c r="A109" s="2">
        <v>43770</v>
      </c>
      <c r="B109">
        <f t="shared" si="12"/>
        <v>2019</v>
      </c>
      <c r="C109">
        <f t="shared" si="13"/>
        <v>11</v>
      </c>
      <c r="D109" s="56">
        <f>Data!J108</f>
        <v>18056629.359036144</v>
      </c>
      <c r="E109" s="56">
        <f>Data!K108</f>
        <v>1598997.2617911876</v>
      </c>
      <c r="F109" s="56">
        <f>Data!L108</f>
        <v>19655626.620827332</v>
      </c>
      <c r="G109" s="253">
        <f>Data!AV108</f>
        <v>273.3</v>
      </c>
      <c r="H109" s="253">
        <f>Data!AU108</f>
        <v>0</v>
      </c>
      <c r="I109" s="251">
        <f t="shared" ca="1" si="18"/>
        <v>193.95999999999998</v>
      </c>
      <c r="J109" s="251">
        <f t="shared" ca="1" si="18"/>
        <v>2.7399999999999998</v>
      </c>
      <c r="K109" s="32">
        <f>Data!BG108</f>
        <v>30</v>
      </c>
      <c r="L109" s="32">
        <f>Data!AC108</f>
        <v>353</v>
      </c>
      <c r="M109" s="32">
        <f>Data!BC108</f>
        <v>3426.4</v>
      </c>
      <c r="N109" s="32">
        <f>Data!BZ108</f>
        <v>0</v>
      </c>
      <c r="O109" s="32">
        <f t="shared" ca="1" si="19"/>
        <v>19261176.084252052</v>
      </c>
      <c r="P109" s="32">
        <f t="shared" ca="1" si="20"/>
        <v>17662178.822460864</v>
      </c>
      <c r="Q109" s="51">
        <f t="shared" ca="1" si="15"/>
        <v>-394450.53657528013</v>
      </c>
      <c r="R109" s="50">
        <f t="shared" ca="1" si="16"/>
        <v>2.0068072322726956E-2</v>
      </c>
      <c r="T109" s="1"/>
      <c r="U109" s="1"/>
      <c r="V109" s="1"/>
    </row>
    <row r="110" spans="1:40" x14ac:dyDescent="0.2">
      <c r="A110" s="2">
        <v>43800</v>
      </c>
      <c r="B110">
        <f t="shared" si="12"/>
        <v>2019</v>
      </c>
      <c r="C110">
        <f t="shared" si="13"/>
        <v>12</v>
      </c>
      <c r="D110" s="56">
        <f>Data!J109</f>
        <v>19169682.92048192</v>
      </c>
      <c r="E110" s="56">
        <f>Data!K109</f>
        <v>1598997.2617911876</v>
      </c>
      <c r="F110" s="56">
        <f>Data!L109</f>
        <v>20768680.182273109</v>
      </c>
      <c r="G110" s="253">
        <f>Data!AV109</f>
        <v>334.4</v>
      </c>
      <c r="H110" s="253">
        <f>Data!AU109</f>
        <v>0</v>
      </c>
      <c r="I110" s="251">
        <f t="shared" ca="1" si="18"/>
        <v>327.48000000000008</v>
      </c>
      <c r="J110" s="251">
        <f t="shared" ca="1" si="18"/>
        <v>0</v>
      </c>
      <c r="K110" s="32">
        <f>Data!BG109</f>
        <v>31</v>
      </c>
      <c r="L110" s="32">
        <f>Data!AC109</f>
        <v>353</v>
      </c>
      <c r="M110" s="32">
        <f>Data!BC109</f>
        <v>3428.7</v>
      </c>
      <c r="N110" s="32">
        <f>Data!BZ109</f>
        <v>0</v>
      </c>
      <c r="O110" s="32">
        <f t="shared" ca="1" si="19"/>
        <v>20732691.067599289</v>
      </c>
      <c r="P110" s="32">
        <f t="shared" ca="1" si="20"/>
        <v>19133693.805808101</v>
      </c>
      <c r="Q110" s="51">
        <f t="shared" ca="1" si="15"/>
        <v>-35989.114673819393</v>
      </c>
      <c r="R110" s="50">
        <f t="shared" ca="1" si="16"/>
        <v>1.7328551625797352E-3</v>
      </c>
      <c r="S110" s="41"/>
      <c r="T110" s="1"/>
      <c r="U110" s="1"/>
      <c r="V110" s="1"/>
    </row>
    <row r="111" spans="1:40" x14ac:dyDescent="0.2">
      <c r="A111" s="2">
        <v>43831</v>
      </c>
      <c r="B111">
        <f t="shared" si="12"/>
        <v>2020</v>
      </c>
      <c r="C111">
        <f t="shared" si="13"/>
        <v>1</v>
      </c>
      <c r="D111" s="56">
        <f>Data!J110</f>
        <v>20604412.97349399</v>
      </c>
      <c r="E111" s="56">
        <f>Data!K110</f>
        <v>1636084.1636250485</v>
      </c>
      <c r="F111" s="56">
        <f>Data!L110</f>
        <v>22240497.13711904</v>
      </c>
      <c r="G111" s="253">
        <f>Data!AV110</f>
        <v>357</v>
      </c>
      <c r="H111" s="253">
        <f>Data!AU110</f>
        <v>0</v>
      </c>
      <c r="I111" s="251">
        <f t="shared" ca="1" si="18"/>
        <v>439.5</v>
      </c>
      <c r="J111" s="251">
        <f t="shared" ca="1" si="18"/>
        <v>0</v>
      </c>
      <c r="K111" s="32">
        <f>Data!BG110</f>
        <v>31</v>
      </c>
      <c r="L111" s="32">
        <f>Data!AC110</f>
        <v>351</v>
      </c>
      <c r="M111" s="32">
        <f>Data!BC110</f>
        <v>3450.5</v>
      </c>
      <c r="N111" s="32">
        <f>Data!BZ110</f>
        <v>0</v>
      </c>
      <c r="O111" s="32">
        <f t="shared" ca="1" si="19"/>
        <v>22669558.114082936</v>
      </c>
      <c r="P111" s="32">
        <f t="shared" ca="1" si="20"/>
        <v>21033473.950457886</v>
      </c>
      <c r="Q111" s="51">
        <f t="shared" ca="1" si="15"/>
        <v>429060.9769638963</v>
      </c>
      <c r="R111" s="50">
        <f t="shared" ca="1" si="16"/>
        <v>1.9291878878363752E-2</v>
      </c>
      <c r="S111" s="41"/>
      <c r="AF111" s="39"/>
      <c r="AG111" s="39"/>
      <c r="AH111" s="39"/>
    </row>
    <row r="112" spans="1:40" x14ac:dyDescent="0.2">
      <c r="A112" s="2">
        <v>43862</v>
      </c>
      <c r="B112">
        <f t="shared" si="12"/>
        <v>2020</v>
      </c>
      <c r="C112">
        <f t="shared" si="13"/>
        <v>2</v>
      </c>
      <c r="D112" s="56">
        <f>Data!J111</f>
        <v>18719034.313253012</v>
      </c>
      <c r="E112" s="56">
        <f>Data!K111</f>
        <v>1636084.1636250485</v>
      </c>
      <c r="F112" s="56">
        <f>Data!L111</f>
        <v>20355118.476878062</v>
      </c>
      <c r="G112" s="253">
        <f>Data!AV111</f>
        <v>379.79999999999995</v>
      </c>
      <c r="H112" s="253">
        <f>Data!AU111</f>
        <v>0</v>
      </c>
      <c r="I112" s="251">
        <f t="shared" ref="I112:J127" ca="1" si="21">I100</f>
        <v>403.5</v>
      </c>
      <c r="J112" s="251">
        <f t="shared" ca="1" si="21"/>
        <v>0</v>
      </c>
      <c r="K112" s="32">
        <f>Data!BG111</f>
        <v>29</v>
      </c>
      <c r="L112" s="32">
        <f>Data!AC111</f>
        <v>352</v>
      </c>
      <c r="M112" s="32">
        <f>Data!BC111</f>
        <v>3456.6</v>
      </c>
      <c r="N112" s="32">
        <f>Data!BZ111</f>
        <v>0</v>
      </c>
      <c r="O112" s="32">
        <f t="shared" ca="1" si="19"/>
        <v>20478375.993896782</v>
      </c>
      <c r="P112" s="32">
        <f t="shared" ca="1" si="20"/>
        <v>18842291.830271736</v>
      </c>
      <c r="Q112" s="51">
        <f t="shared" ca="1" si="15"/>
        <v>123257.51701872051</v>
      </c>
      <c r="R112" s="50">
        <f t="shared" ca="1" si="16"/>
        <v>6.0553573863366163E-3</v>
      </c>
      <c r="S112" s="41"/>
    </row>
    <row r="113" spans="1:19" x14ac:dyDescent="0.2">
      <c r="A113" s="2">
        <v>43891</v>
      </c>
      <c r="B113">
        <f t="shared" si="12"/>
        <v>2020</v>
      </c>
      <c r="C113">
        <f t="shared" si="13"/>
        <v>3</v>
      </c>
      <c r="D113" s="56">
        <f>Data!J112</f>
        <v>18127337.445783131</v>
      </c>
      <c r="E113" s="56">
        <f>Data!K112</f>
        <v>1636084.1636250485</v>
      </c>
      <c r="F113" s="56">
        <f>Data!L112</f>
        <v>19763421.609408177</v>
      </c>
      <c r="G113" s="253">
        <f>Data!AV112</f>
        <v>214.70000000000005</v>
      </c>
      <c r="H113" s="253">
        <f>Data!AU112</f>
        <v>0.5</v>
      </c>
      <c r="I113" s="251">
        <f t="shared" ca="1" si="21"/>
        <v>291.06</v>
      </c>
      <c r="J113" s="251">
        <f t="shared" ca="1" si="21"/>
        <v>2.8099999999999996</v>
      </c>
      <c r="K113" s="32">
        <f>Data!BG112</f>
        <v>31</v>
      </c>
      <c r="L113" s="32">
        <f>Data!AC112</f>
        <v>352</v>
      </c>
      <c r="M113" s="32">
        <f>Data!BC112</f>
        <v>3387</v>
      </c>
      <c r="N113" s="254">
        <f>Data!BZ112</f>
        <v>0.5</v>
      </c>
      <c r="O113" s="32">
        <f t="shared" ca="1" si="19"/>
        <v>20175873.69859311</v>
      </c>
      <c r="P113" s="32">
        <f t="shared" ca="1" si="20"/>
        <v>18539789.534968063</v>
      </c>
      <c r="Q113" s="51">
        <f t="shared" ca="1" si="15"/>
        <v>412452.08918493241</v>
      </c>
      <c r="R113" s="50">
        <f t="shared" ca="1" si="16"/>
        <v>2.0869467713454475E-2</v>
      </c>
      <c r="S113" s="41"/>
    </row>
    <row r="114" spans="1:19" x14ac:dyDescent="0.2">
      <c r="A114" s="2">
        <v>43922</v>
      </c>
      <c r="B114">
        <f t="shared" si="12"/>
        <v>2020</v>
      </c>
      <c r="C114">
        <f t="shared" si="13"/>
        <v>4</v>
      </c>
      <c r="D114" s="56">
        <f>Data!J113</f>
        <v>15453046.390361452</v>
      </c>
      <c r="E114" s="56">
        <f>Data!K113</f>
        <v>1636084.1636250485</v>
      </c>
      <c r="F114" s="56">
        <f>Data!L113</f>
        <v>17089130.553986501</v>
      </c>
      <c r="G114" s="253">
        <f>Data!AV113</f>
        <v>125.50000000000001</v>
      </c>
      <c r="H114" s="253">
        <f>Data!AU113</f>
        <v>0</v>
      </c>
      <c r="I114" s="251">
        <f t="shared" ca="1" si="21"/>
        <v>120.71999999999998</v>
      </c>
      <c r="J114" s="251">
        <f t="shared" ca="1" si="21"/>
        <v>6.58</v>
      </c>
      <c r="K114" s="32">
        <f>Data!BG113</f>
        <v>30</v>
      </c>
      <c r="L114" s="32">
        <f>Data!AC113</f>
        <v>351</v>
      </c>
      <c r="M114" s="32">
        <f>Data!BC113</f>
        <v>3205.9</v>
      </c>
      <c r="N114" s="254">
        <f>Data!BZ113</f>
        <v>1</v>
      </c>
      <c r="O114" s="32">
        <f t="shared" ca="1" si="19"/>
        <v>17107920.206964403</v>
      </c>
      <c r="P114" s="32">
        <f t="shared" ca="1" si="20"/>
        <v>15471836.043339355</v>
      </c>
      <c r="Q114" s="51">
        <f t="shared" ca="1" si="15"/>
        <v>18789.652977902442</v>
      </c>
      <c r="R114" s="50">
        <f t="shared" ca="1" si="16"/>
        <v>1.0995090077019307E-3</v>
      </c>
      <c r="S114" s="41"/>
    </row>
    <row r="115" spans="1:19" x14ac:dyDescent="0.2">
      <c r="A115" s="2">
        <v>43952</v>
      </c>
      <c r="B115">
        <f t="shared" si="12"/>
        <v>2020</v>
      </c>
      <c r="C115">
        <f t="shared" si="13"/>
        <v>5</v>
      </c>
      <c r="D115" s="56">
        <f>Data!J114</f>
        <v>15454141.214457823</v>
      </c>
      <c r="E115" s="56">
        <f>Data!K114</f>
        <v>1636084.1636250485</v>
      </c>
      <c r="F115" s="56">
        <f>Data!L114</f>
        <v>17090225.378082871</v>
      </c>
      <c r="G115" s="253">
        <f>Data!AV114</f>
        <v>57.5</v>
      </c>
      <c r="H115" s="253">
        <f>Data!AU114</f>
        <v>84.300000000000011</v>
      </c>
      <c r="I115" s="251">
        <f t="shared" ca="1" si="21"/>
        <v>16.330000000000002</v>
      </c>
      <c r="J115" s="251">
        <f t="shared" ca="1" si="21"/>
        <v>107.25</v>
      </c>
      <c r="K115" s="32">
        <f>Data!BG114</f>
        <v>31</v>
      </c>
      <c r="L115" s="32">
        <f>Data!AC114</f>
        <v>353</v>
      </c>
      <c r="M115" s="32">
        <f>Data!BC114</f>
        <v>3004.2</v>
      </c>
      <c r="N115" s="254">
        <f>Data!BZ114</f>
        <v>1</v>
      </c>
      <c r="O115" s="32">
        <f t="shared" ca="1" si="19"/>
        <v>17028352.410351086</v>
      </c>
      <c r="P115" s="32">
        <f t="shared" ca="1" si="20"/>
        <v>15392268.246726038</v>
      </c>
      <c r="Q115" s="51">
        <f t="shared" ca="1" si="15"/>
        <v>-61872.967731785029</v>
      </c>
      <c r="R115" s="50">
        <f t="shared" ca="1" si="16"/>
        <v>3.6203716664341468E-3</v>
      </c>
      <c r="S115" s="41"/>
    </row>
    <row r="116" spans="1:19" x14ac:dyDescent="0.2">
      <c r="A116" s="2">
        <v>43983</v>
      </c>
      <c r="B116">
        <f t="shared" si="12"/>
        <v>2020</v>
      </c>
      <c r="C116">
        <f t="shared" si="13"/>
        <v>6</v>
      </c>
      <c r="D116" s="56">
        <f>Data!J115</f>
        <v>16762170.409638558</v>
      </c>
      <c r="E116" s="56">
        <f>Data!K115</f>
        <v>1636084.1636250485</v>
      </c>
      <c r="F116" s="56">
        <f>Data!L115</f>
        <v>18398254.573263608</v>
      </c>
      <c r="G116" s="253">
        <f>Data!AV115</f>
        <v>0</v>
      </c>
      <c r="H116" s="253">
        <f>Data!AU115</f>
        <v>253.90000000000003</v>
      </c>
      <c r="I116" s="251">
        <f t="shared" ca="1" si="21"/>
        <v>0</v>
      </c>
      <c r="J116" s="251">
        <f t="shared" ca="1" si="21"/>
        <v>230.10000000000005</v>
      </c>
      <c r="K116" s="32">
        <f>Data!BG115</f>
        <v>30</v>
      </c>
      <c r="L116" s="32">
        <f>Data!AC115</f>
        <v>349</v>
      </c>
      <c r="M116" s="32">
        <f>Data!BC115</f>
        <v>2937.8</v>
      </c>
      <c r="N116" s="254">
        <f>Data!BZ115</f>
        <v>0.5</v>
      </c>
      <c r="O116" s="32">
        <f t="shared" ca="1" si="19"/>
        <v>18240374.538989995</v>
      </c>
      <c r="P116" s="32">
        <f t="shared" ca="1" si="20"/>
        <v>16604290.375364946</v>
      </c>
      <c r="Q116" s="51">
        <f t="shared" ca="1" si="15"/>
        <v>-157880.03427361324</v>
      </c>
      <c r="R116" s="50">
        <f t="shared" ca="1" si="16"/>
        <v>8.581250664019234E-3</v>
      </c>
      <c r="S116" s="41"/>
    </row>
    <row r="117" spans="1:19" x14ac:dyDescent="0.2">
      <c r="A117" s="2">
        <v>44013</v>
      </c>
      <c r="B117">
        <f t="shared" si="12"/>
        <v>2020</v>
      </c>
      <c r="C117">
        <f t="shared" si="13"/>
        <v>7</v>
      </c>
      <c r="D117" s="56">
        <f>Data!J116</f>
        <v>18797709.561445773</v>
      </c>
      <c r="E117" s="56">
        <f>Data!K116</f>
        <v>1636084.1636250485</v>
      </c>
      <c r="F117" s="56">
        <f>Data!L116</f>
        <v>20433793.725070819</v>
      </c>
      <c r="G117" s="253">
        <f>Data!AV116</f>
        <v>0</v>
      </c>
      <c r="H117" s="253">
        <f>Data!AU116</f>
        <v>401.70000000000005</v>
      </c>
      <c r="I117" s="251">
        <f t="shared" ca="1" si="21"/>
        <v>0</v>
      </c>
      <c r="J117" s="251">
        <f t="shared" ca="1" si="21"/>
        <v>331.41</v>
      </c>
      <c r="K117" s="32">
        <f>Data!BG116</f>
        <v>31</v>
      </c>
      <c r="L117" s="32">
        <f>Data!AC116</f>
        <v>351</v>
      </c>
      <c r="M117" s="32">
        <f>Data!BC116</f>
        <v>2995.2</v>
      </c>
      <c r="N117" s="254">
        <f>Data!BZ116</f>
        <v>0.5</v>
      </c>
      <c r="O117" s="32">
        <f t="shared" ca="1" si="19"/>
        <v>19967516.934772819</v>
      </c>
      <c r="P117" s="32">
        <f t="shared" ca="1" si="20"/>
        <v>18331432.771147773</v>
      </c>
      <c r="Q117" s="51">
        <f t="shared" ca="1" si="15"/>
        <v>-466276.79029799998</v>
      </c>
      <c r="R117" s="50">
        <f t="shared" ca="1" si="16"/>
        <v>2.2818904632765837E-2</v>
      </c>
      <c r="S117" s="41"/>
    </row>
    <row r="118" spans="1:19" x14ac:dyDescent="0.2">
      <c r="A118" s="2">
        <v>44044</v>
      </c>
      <c r="B118">
        <f t="shared" si="12"/>
        <v>2020</v>
      </c>
      <c r="C118">
        <f t="shared" si="13"/>
        <v>8</v>
      </c>
      <c r="D118" s="56">
        <f>Data!J117</f>
        <v>17872126.101204827</v>
      </c>
      <c r="E118" s="56">
        <f>Data!K117</f>
        <v>1636084.1636250485</v>
      </c>
      <c r="F118" s="56">
        <f>Data!L117</f>
        <v>19508210.264829874</v>
      </c>
      <c r="G118" s="253">
        <f>Data!AV117</f>
        <v>0</v>
      </c>
      <c r="H118" s="253">
        <f>Data!AU117</f>
        <v>311.89999999999998</v>
      </c>
      <c r="I118" s="251">
        <f t="shared" ca="1" si="21"/>
        <v>0</v>
      </c>
      <c r="J118" s="251">
        <f t="shared" ca="1" si="21"/>
        <v>304.46000000000004</v>
      </c>
      <c r="K118" s="32">
        <f>Data!BG117</f>
        <v>31</v>
      </c>
      <c r="L118" s="32">
        <f>Data!AC117</f>
        <v>353</v>
      </c>
      <c r="M118" s="32">
        <f>Data!BC117</f>
        <v>3117.5</v>
      </c>
      <c r="N118" s="254">
        <f>Data!BZ117</f>
        <v>0.5</v>
      </c>
      <c r="O118" s="32">
        <f t="shared" ca="1" si="19"/>
        <v>19458856.170082156</v>
      </c>
      <c r="P118" s="32">
        <f t="shared" ca="1" si="20"/>
        <v>17822772.006457105</v>
      </c>
      <c r="Q118" s="51">
        <f t="shared" ca="1" si="15"/>
        <v>-49354.094747718424</v>
      </c>
      <c r="R118" s="50">
        <f t="shared" ca="1" si="16"/>
        <v>2.5299140247988725E-3</v>
      </c>
      <c r="S118" s="41"/>
    </row>
    <row r="119" spans="1:19" x14ac:dyDescent="0.2">
      <c r="A119" s="2">
        <v>44075</v>
      </c>
      <c r="B119">
        <f t="shared" si="12"/>
        <v>2020</v>
      </c>
      <c r="C119">
        <f t="shared" si="13"/>
        <v>9</v>
      </c>
      <c r="D119" s="56">
        <f>Data!J118</f>
        <v>16777886.004819278</v>
      </c>
      <c r="E119" s="56">
        <f>Data!K118</f>
        <v>1636084.1636250485</v>
      </c>
      <c r="F119" s="56">
        <f>Data!L118</f>
        <v>18413970.168444328</v>
      </c>
      <c r="G119" s="253">
        <f>Data!AV118</f>
        <v>1.1999999999999993</v>
      </c>
      <c r="H119" s="253">
        <f>Data!AU118</f>
        <v>148.99999999999997</v>
      </c>
      <c r="I119" s="251">
        <f t="shared" ca="1" si="21"/>
        <v>0.24999999999999983</v>
      </c>
      <c r="J119" s="251">
        <f t="shared" ca="1" si="21"/>
        <v>176.51</v>
      </c>
      <c r="K119" s="32">
        <f>Data!BG118</f>
        <v>30</v>
      </c>
      <c r="L119" s="32">
        <f>Data!AC118</f>
        <v>353</v>
      </c>
      <c r="M119" s="32">
        <f>Data!BC118</f>
        <v>3214</v>
      </c>
      <c r="N119" s="254">
        <f>Data!BZ118</f>
        <v>0.5</v>
      </c>
      <c r="O119" s="32">
        <f t="shared" ca="1" si="19"/>
        <v>18591520.211783972</v>
      </c>
      <c r="P119" s="32">
        <f t="shared" ca="1" si="20"/>
        <v>16955436.048158921</v>
      </c>
      <c r="Q119" s="51">
        <f t="shared" ca="1" si="15"/>
        <v>177550.04333964363</v>
      </c>
      <c r="R119" s="50">
        <f t="shared" ca="1" si="16"/>
        <v>9.6421381003379582E-3</v>
      </c>
      <c r="S119" s="41"/>
    </row>
    <row r="120" spans="1:19" x14ac:dyDescent="0.2">
      <c r="A120" s="2">
        <v>44105</v>
      </c>
      <c r="B120">
        <f t="shared" si="12"/>
        <v>2020</v>
      </c>
      <c r="C120">
        <f t="shared" si="13"/>
        <v>10</v>
      </c>
      <c r="D120" s="56">
        <f>Data!J119</f>
        <v>16717313.840963854</v>
      </c>
      <c r="E120" s="56">
        <f>Data!K119</f>
        <v>1636084.1636250485</v>
      </c>
      <c r="F120" s="56">
        <f>Data!L119</f>
        <v>18353398.004588902</v>
      </c>
      <c r="G120" s="253">
        <f>Data!AV119</f>
        <v>60.7</v>
      </c>
      <c r="H120" s="253">
        <f>Data!AU119</f>
        <v>14.599999999999998</v>
      </c>
      <c r="I120" s="251">
        <f t="shared" ca="1" si="21"/>
        <v>44.309999999999995</v>
      </c>
      <c r="J120" s="251">
        <f t="shared" ca="1" si="21"/>
        <v>43.36</v>
      </c>
      <c r="K120" s="32">
        <f>Data!BG119</f>
        <v>31</v>
      </c>
      <c r="L120" s="32">
        <f>Data!AC119</f>
        <v>353</v>
      </c>
      <c r="M120" s="32">
        <f>Data!BC119</f>
        <v>3300.1</v>
      </c>
      <c r="N120" s="254">
        <f>Data!BZ119</f>
        <v>0.5</v>
      </c>
      <c r="O120" s="32">
        <f t="shared" ca="1" si="19"/>
        <v>18458940.65460417</v>
      </c>
      <c r="P120" s="32">
        <f t="shared" ca="1" si="20"/>
        <v>16822856.49097912</v>
      </c>
      <c r="Q120" s="51">
        <f t="shared" ca="1" si="15"/>
        <v>105542.65001526847</v>
      </c>
      <c r="R120" s="50">
        <f t="shared" ca="1" si="16"/>
        <v>5.7505781757078243E-3</v>
      </c>
      <c r="S120" s="41"/>
    </row>
    <row r="121" spans="1:19" x14ac:dyDescent="0.2">
      <c r="A121" s="2">
        <v>44136</v>
      </c>
      <c r="B121">
        <f t="shared" si="12"/>
        <v>2020</v>
      </c>
      <c r="C121">
        <f t="shared" si="13"/>
        <v>11</v>
      </c>
      <c r="D121" s="56">
        <f>Data!J120</f>
        <v>16714084.106024083</v>
      </c>
      <c r="E121" s="56">
        <f>Data!K120</f>
        <v>1636084.1636250485</v>
      </c>
      <c r="F121" s="56">
        <f>Data!L120</f>
        <v>18350168.269649133</v>
      </c>
      <c r="G121" s="253">
        <f>Data!AV120</f>
        <v>127.39999999999999</v>
      </c>
      <c r="H121" s="253">
        <f>Data!AU120</f>
        <v>16</v>
      </c>
      <c r="I121" s="251">
        <f t="shared" ca="1" si="21"/>
        <v>193.95999999999998</v>
      </c>
      <c r="J121" s="251">
        <f t="shared" ca="1" si="21"/>
        <v>2.7399999999999998</v>
      </c>
      <c r="K121" s="32">
        <f>Data!BG120</f>
        <v>30</v>
      </c>
      <c r="L121" s="32">
        <f>Data!AC120</f>
        <v>357</v>
      </c>
      <c r="M121" s="32">
        <f>Data!BC120</f>
        <v>3351.5</v>
      </c>
      <c r="N121" s="254">
        <f>Data!BZ120</f>
        <v>0.5</v>
      </c>
      <c r="O121" s="32">
        <f t="shared" ca="1" si="19"/>
        <v>18608367.731743474</v>
      </c>
      <c r="P121" s="32">
        <f t="shared" ca="1" si="20"/>
        <v>16972283.568118423</v>
      </c>
      <c r="Q121" s="51">
        <f t="shared" ca="1" si="15"/>
        <v>258199.46209434047</v>
      </c>
      <c r="R121" s="50">
        <f t="shared" ca="1" si="16"/>
        <v>1.4070686344680446E-2</v>
      </c>
      <c r="S121" s="41"/>
    </row>
    <row r="122" spans="1:19" x14ac:dyDescent="0.2">
      <c r="A122" s="2">
        <v>44166</v>
      </c>
      <c r="B122">
        <f t="shared" si="12"/>
        <v>2020</v>
      </c>
      <c r="C122">
        <f t="shared" si="13"/>
        <v>12</v>
      </c>
      <c r="D122" s="56">
        <f>Data!J121</f>
        <v>17734017.175903622</v>
      </c>
      <c r="E122" s="56">
        <f>Data!K121</f>
        <v>1636084.1636250485</v>
      </c>
      <c r="F122" s="56">
        <f>Data!L121</f>
        <v>19370101.339528672</v>
      </c>
      <c r="G122" s="253">
        <f>Data!AV121</f>
        <v>319.30000000000007</v>
      </c>
      <c r="H122" s="253">
        <f>Data!AU121</f>
        <v>0</v>
      </c>
      <c r="I122" s="251">
        <f t="shared" ca="1" si="21"/>
        <v>327.48000000000008</v>
      </c>
      <c r="J122" s="251">
        <f t="shared" ca="1" si="21"/>
        <v>0</v>
      </c>
      <c r="K122" s="32">
        <f>Data!BG121</f>
        <v>31</v>
      </c>
      <c r="L122" s="32">
        <f>Data!AC121</f>
        <v>358</v>
      </c>
      <c r="M122" s="32">
        <f>Data!BC121</f>
        <v>3348.3</v>
      </c>
      <c r="N122" s="254">
        <f>Data!BZ121</f>
        <v>0.5</v>
      </c>
      <c r="O122" s="32">
        <f t="shared" ca="1" si="19"/>
        <v>19412643.385487031</v>
      </c>
      <c r="P122" s="32">
        <f t="shared" ca="1" si="20"/>
        <v>17776559.221861981</v>
      </c>
      <c r="Q122" s="51">
        <f t="shared" ca="1" si="15"/>
        <v>42542.045958358794</v>
      </c>
      <c r="R122" s="50">
        <f t="shared" ca="1" si="16"/>
        <v>2.196273793960128E-3</v>
      </c>
      <c r="S122" s="41"/>
    </row>
    <row r="123" spans="1:19" x14ac:dyDescent="0.2">
      <c r="A123" s="2">
        <v>44197</v>
      </c>
      <c r="B123">
        <f t="shared" si="12"/>
        <v>2021</v>
      </c>
      <c r="C123">
        <f t="shared" si="13"/>
        <v>1</v>
      </c>
      <c r="D123" s="56">
        <f>Data!J122</f>
        <v>19055053.03132531</v>
      </c>
      <c r="E123" s="56">
        <f>Data!K122</f>
        <v>1631076.9652312491</v>
      </c>
      <c r="F123" s="56">
        <f>Data!L122</f>
        <v>20686129.996556558</v>
      </c>
      <c r="G123" s="253">
        <f>Data!AV122</f>
        <v>392</v>
      </c>
      <c r="H123" s="253">
        <f>Data!AU122</f>
        <v>0</v>
      </c>
      <c r="I123" s="251">
        <f t="shared" ca="1" si="21"/>
        <v>439.5</v>
      </c>
      <c r="J123" s="251">
        <f t="shared" ca="1" si="21"/>
        <v>0</v>
      </c>
      <c r="K123" s="32">
        <f>Data!BG122</f>
        <v>31</v>
      </c>
      <c r="L123" s="32">
        <f>Data!AC122</f>
        <v>359</v>
      </c>
      <c r="M123" s="32">
        <f>Data!BC122</f>
        <v>3310.5</v>
      </c>
      <c r="N123" s="254">
        <f>Data!BZ122</f>
        <v>0.5</v>
      </c>
      <c r="O123" s="32">
        <f t="shared" ca="1" si="19"/>
        <v>20933165.104505468</v>
      </c>
      <c r="P123" s="32">
        <f t="shared" ca="1" si="20"/>
        <v>19302088.139274217</v>
      </c>
      <c r="Q123" s="51">
        <f t="shared" ca="1" si="15"/>
        <v>247035.10794891044</v>
      </c>
      <c r="R123" s="50">
        <f t="shared" ca="1" si="16"/>
        <v>1.1942064948351009E-2</v>
      </c>
    </row>
    <row r="124" spans="1:19" x14ac:dyDescent="0.2">
      <c r="A124" s="2">
        <v>44228</v>
      </c>
      <c r="B124">
        <f t="shared" si="12"/>
        <v>2021</v>
      </c>
      <c r="C124">
        <f t="shared" si="13"/>
        <v>2</v>
      </c>
      <c r="D124" s="56">
        <f>Data!J123</f>
        <v>17768826.322891563</v>
      </c>
      <c r="E124" s="56">
        <f>Data!K123</f>
        <v>1631076.9652312491</v>
      </c>
      <c r="F124" s="56">
        <f>Data!L123</f>
        <v>19399903.28812281</v>
      </c>
      <c r="G124" s="253">
        <f>Data!AV123</f>
        <v>429.7</v>
      </c>
      <c r="H124" s="253">
        <f>Data!AU123</f>
        <v>0</v>
      </c>
      <c r="I124" s="251">
        <f t="shared" ca="1" si="21"/>
        <v>403.5</v>
      </c>
      <c r="J124" s="251">
        <f t="shared" ca="1" si="21"/>
        <v>0</v>
      </c>
      <c r="K124" s="32">
        <f>Data!BG123</f>
        <v>28</v>
      </c>
      <c r="L124" s="32">
        <f>Data!AC123</f>
        <v>359</v>
      </c>
      <c r="M124" s="32">
        <f>Data!BC123</f>
        <v>3272.2</v>
      </c>
      <c r="N124" s="254">
        <f>Data!BZ123</f>
        <v>0.5</v>
      </c>
      <c r="O124" s="32">
        <f t="shared" ca="1" si="19"/>
        <v>19263643.923317306</v>
      </c>
      <c r="P124" s="32">
        <f t="shared" ca="1" si="20"/>
        <v>17632566.958086058</v>
      </c>
      <c r="Q124" s="51">
        <f t="shared" ca="1" si="15"/>
        <v>-136259.36480550468</v>
      </c>
      <c r="R124" s="50">
        <f t="shared" ca="1" si="16"/>
        <v>7.0237136124759268E-3</v>
      </c>
    </row>
    <row r="125" spans="1:19" x14ac:dyDescent="0.2">
      <c r="A125" s="2">
        <v>44256</v>
      </c>
      <c r="B125">
        <f t="shared" si="12"/>
        <v>2021</v>
      </c>
      <c r="C125">
        <f t="shared" si="13"/>
        <v>3</v>
      </c>
      <c r="D125" s="56">
        <f>Data!J124</f>
        <v>17829411.836144578</v>
      </c>
      <c r="E125" s="56">
        <f>Data!K124</f>
        <v>1631076.9652312491</v>
      </c>
      <c r="F125" s="56">
        <f>Data!L124</f>
        <v>19460488.801375829</v>
      </c>
      <c r="G125" s="253">
        <f>Data!AV124</f>
        <v>222.10000000000002</v>
      </c>
      <c r="H125" s="253">
        <f>Data!AU124</f>
        <v>3</v>
      </c>
      <c r="I125" s="251">
        <f t="shared" ca="1" si="21"/>
        <v>291.06</v>
      </c>
      <c r="J125" s="251">
        <f t="shared" ca="1" si="21"/>
        <v>2.8099999999999996</v>
      </c>
      <c r="K125" s="32">
        <f>Data!BG124</f>
        <v>31</v>
      </c>
      <c r="L125" s="32">
        <f>Data!AC124</f>
        <v>359</v>
      </c>
      <c r="M125" s="32">
        <f>Data!BC124</f>
        <v>3271.6</v>
      </c>
      <c r="N125" s="254">
        <f>Data!BZ124</f>
        <v>0.5</v>
      </c>
      <c r="O125" s="32">
        <f t="shared" ca="1" si="19"/>
        <v>19817871.383898262</v>
      </c>
      <c r="P125" s="32">
        <f t="shared" ca="1" si="20"/>
        <v>18186794.418667011</v>
      </c>
      <c r="Q125" s="51">
        <f t="shared" ca="1" si="15"/>
        <v>357382.58252243325</v>
      </c>
      <c r="R125" s="50">
        <f t="shared" ca="1" si="16"/>
        <v>1.8364522400751149E-2</v>
      </c>
    </row>
    <row r="126" spans="1:19" x14ac:dyDescent="0.2">
      <c r="A126" s="2">
        <v>44287</v>
      </c>
      <c r="B126">
        <f t="shared" si="12"/>
        <v>2021</v>
      </c>
      <c r="C126">
        <f t="shared" si="13"/>
        <v>4</v>
      </c>
      <c r="D126" s="56">
        <f>Data!J125</f>
        <v>16123617.619277105</v>
      </c>
      <c r="E126" s="56">
        <f>Data!K125</f>
        <v>1631076.9652312491</v>
      </c>
      <c r="F126" s="56">
        <f>Data!L125</f>
        <v>17754694.584508352</v>
      </c>
      <c r="G126" s="253">
        <f>Data!AV125</f>
        <v>87.600000000000023</v>
      </c>
      <c r="H126" s="253">
        <f>Data!AU125</f>
        <v>11.9</v>
      </c>
      <c r="I126" s="251">
        <f t="shared" ca="1" si="21"/>
        <v>120.71999999999998</v>
      </c>
      <c r="J126" s="251">
        <f t="shared" ca="1" si="21"/>
        <v>6.58</v>
      </c>
      <c r="K126" s="32">
        <f>Data!BG125</f>
        <v>30</v>
      </c>
      <c r="L126" s="32">
        <f>Data!AC125</f>
        <v>359</v>
      </c>
      <c r="M126" s="32">
        <f>Data!BC125</f>
        <v>3276.5</v>
      </c>
      <c r="N126" s="254">
        <f>Data!BZ125</f>
        <v>0.5</v>
      </c>
      <c r="O126" s="32">
        <f t="shared" ca="1" si="19"/>
        <v>17891652.232797105</v>
      </c>
      <c r="P126" s="32">
        <f t="shared" ca="1" si="20"/>
        <v>16260575.267565856</v>
      </c>
      <c r="Q126" s="51">
        <f t="shared" ca="1" si="15"/>
        <v>136957.64828875288</v>
      </c>
      <c r="R126" s="50">
        <f t="shared" ca="1" si="16"/>
        <v>7.7138836512712335E-3</v>
      </c>
    </row>
    <row r="127" spans="1:19" x14ac:dyDescent="0.2">
      <c r="A127" s="2">
        <v>44317</v>
      </c>
      <c r="B127">
        <f t="shared" si="12"/>
        <v>2021</v>
      </c>
      <c r="C127">
        <f t="shared" si="13"/>
        <v>5</v>
      </c>
      <c r="D127" s="56">
        <f>Data!J126</f>
        <v>16293057.002409624</v>
      </c>
      <c r="E127" s="56">
        <f>Data!K126</f>
        <v>1631076.9652312491</v>
      </c>
      <c r="F127" s="56">
        <f>Data!L126</f>
        <v>17924133.967640873</v>
      </c>
      <c r="G127" s="253">
        <f>Data!AV126</f>
        <v>25.399999999999995</v>
      </c>
      <c r="H127" s="253">
        <f>Data!AU126</f>
        <v>99.40000000000002</v>
      </c>
      <c r="I127" s="251">
        <f t="shared" ca="1" si="21"/>
        <v>16.330000000000002</v>
      </c>
      <c r="J127" s="251">
        <f t="shared" ca="1" si="21"/>
        <v>107.25</v>
      </c>
      <c r="K127" s="32">
        <f>Data!BG126</f>
        <v>31</v>
      </c>
      <c r="L127" s="32">
        <f>Data!AC126</f>
        <v>359</v>
      </c>
      <c r="M127" s="32">
        <f>Data!BC126</f>
        <v>3278.1</v>
      </c>
      <c r="N127" s="254">
        <f>Data!BZ126</f>
        <v>0.5</v>
      </c>
      <c r="O127" s="32">
        <f t="shared" ca="1" si="19"/>
        <v>17929037.140721168</v>
      </c>
      <c r="P127" s="32">
        <f t="shared" ca="1" si="20"/>
        <v>16297960.175489919</v>
      </c>
      <c r="Q127" s="51">
        <f t="shared" ca="1" si="15"/>
        <v>4903.1730802953243</v>
      </c>
      <c r="R127" s="50">
        <f t="shared" ca="1" si="16"/>
        <v>2.7355146358240854E-4</v>
      </c>
    </row>
    <row r="128" spans="1:19" x14ac:dyDescent="0.2">
      <c r="A128" s="2">
        <v>44348</v>
      </c>
      <c r="B128">
        <f t="shared" si="12"/>
        <v>2021</v>
      </c>
      <c r="C128">
        <f t="shared" si="13"/>
        <v>6</v>
      </c>
      <c r="D128" s="56">
        <f>Data!J127</f>
        <v>17880539.209638555</v>
      </c>
      <c r="E128" s="56">
        <f>Data!K127</f>
        <v>1631076.9652312491</v>
      </c>
      <c r="F128" s="56">
        <f>Data!L127</f>
        <v>19511616.174869806</v>
      </c>
      <c r="G128" s="253">
        <f>Data!AV127</f>
        <v>0</v>
      </c>
      <c r="H128" s="253">
        <f>Data!AU127</f>
        <v>295.00000000000006</v>
      </c>
      <c r="I128" s="251">
        <f t="shared" ref="I128:J135" ca="1" si="22">I116</f>
        <v>0</v>
      </c>
      <c r="J128" s="251">
        <f t="shared" ca="1" si="22"/>
        <v>230.10000000000005</v>
      </c>
      <c r="K128" s="32">
        <f>Data!BG127</f>
        <v>30</v>
      </c>
      <c r="L128" s="32">
        <f>Data!AC127</f>
        <v>360</v>
      </c>
      <c r="M128" s="32">
        <f>Data!BC127</f>
        <v>3288.5</v>
      </c>
      <c r="N128" s="254">
        <f>Data!BZ127</f>
        <v>0.5</v>
      </c>
      <c r="O128" s="32">
        <f t="shared" ca="1" si="19"/>
        <v>19081094.568804361</v>
      </c>
      <c r="P128" s="32">
        <f t="shared" ref="P128:P134" ca="1" si="23">O128-E128</f>
        <v>17450017.603573114</v>
      </c>
      <c r="Q128" s="51">
        <f t="shared" ca="1" si="15"/>
        <v>-430521.60606544465</v>
      </c>
      <c r="R128" s="50">
        <f t="shared" ca="1" si="16"/>
        <v>2.206488699895294E-2</v>
      </c>
    </row>
    <row r="129" spans="1:20" x14ac:dyDescent="0.2">
      <c r="A129" s="2">
        <v>44378</v>
      </c>
      <c r="B129">
        <f t="shared" si="12"/>
        <v>2021</v>
      </c>
      <c r="C129">
        <f t="shared" si="13"/>
        <v>7</v>
      </c>
      <c r="D129" s="56">
        <f>Data!J128</f>
        <v>18099821.706024084</v>
      </c>
      <c r="E129" s="56">
        <f>Data!K128</f>
        <v>1631076.9652312491</v>
      </c>
      <c r="F129" s="56">
        <f>Data!L128</f>
        <v>19730898.671255335</v>
      </c>
      <c r="G129" s="253">
        <f>Data!AV128</f>
        <v>0</v>
      </c>
      <c r="H129" s="253">
        <f>Data!AU128</f>
        <v>290.3</v>
      </c>
      <c r="I129" s="251">
        <f t="shared" ca="1" si="22"/>
        <v>0</v>
      </c>
      <c r="J129" s="251">
        <f t="shared" ca="1" si="22"/>
        <v>331.41</v>
      </c>
      <c r="K129" s="32">
        <f>Data!BG128</f>
        <v>31</v>
      </c>
      <c r="L129" s="32">
        <f>Data!AC128</f>
        <v>360</v>
      </c>
      <c r="M129" s="32">
        <f>Data!BC128</f>
        <v>3332.9</v>
      </c>
      <c r="N129" s="254">
        <f>Data!BZ128</f>
        <v>0.5</v>
      </c>
      <c r="O129" s="32">
        <f t="shared" ca="1" si="19"/>
        <v>20003606.579196021</v>
      </c>
      <c r="P129" s="32">
        <f t="shared" ca="1" si="23"/>
        <v>18372529.613964774</v>
      </c>
      <c r="Q129" s="51">
        <f t="shared" ca="1" si="15"/>
        <v>272707.90794068575</v>
      </c>
      <c r="R129" s="50">
        <f t="shared" ca="1" si="16"/>
        <v>1.3821362751103485E-2</v>
      </c>
    </row>
    <row r="130" spans="1:20" x14ac:dyDescent="0.2">
      <c r="A130" s="2">
        <v>44409</v>
      </c>
      <c r="B130">
        <f t="shared" si="12"/>
        <v>2021</v>
      </c>
      <c r="C130">
        <f t="shared" si="13"/>
        <v>8</v>
      </c>
      <c r="D130" s="56">
        <f>Data!J129</f>
        <v>19993946.689156614</v>
      </c>
      <c r="E130" s="56">
        <f>Data!K129</f>
        <v>1631076.9652312491</v>
      </c>
      <c r="F130" s="56">
        <f>Data!L129</f>
        <v>21625023.654387861</v>
      </c>
      <c r="G130" s="253">
        <f>Data!AV129</f>
        <v>0</v>
      </c>
      <c r="H130" s="253">
        <f>Data!AU129</f>
        <v>365.40000000000003</v>
      </c>
      <c r="I130" s="251">
        <f t="shared" ca="1" si="22"/>
        <v>0</v>
      </c>
      <c r="J130" s="251">
        <f t="shared" ca="1" si="22"/>
        <v>304.46000000000004</v>
      </c>
      <c r="K130" s="32">
        <f>Data!BG129</f>
        <v>31</v>
      </c>
      <c r="L130" s="32">
        <f>Data!AC129</f>
        <v>331</v>
      </c>
      <c r="M130" s="32">
        <f>Data!BC129</f>
        <v>3403.5</v>
      </c>
      <c r="N130" s="254">
        <f>Data!BZ129</f>
        <v>0.5</v>
      </c>
      <c r="O130" s="32">
        <f t="shared" ca="1" si="19"/>
        <v>21220771.163268782</v>
      </c>
      <c r="P130" s="32">
        <f t="shared" ca="1" si="23"/>
        <v>19589694.198037535</v>
      </c>
      <c r="Q130" s="51">
        <f t="shared" ca="1" si="15"/>
        <v>-404252.49111907929</v>
      </c>
      <c r="R130" s="50">
        <f t="shared" ca="1" si="16"/>
        <v>1.8693736366713929E-2</v>
      </c>
    </row>
    <row r="131" spans="1:20" x14ac:dyDescent="0.2">
      <c r="A131" s="2">
        <v>44440</v>
      </c>
      <c r="B131">
        <f t="shared" si="12"/>
        <v>2021</v>
      </c>
      <c r="C131">
        <f t="shared" si="13"/>
        <v>9</v>
      </c>
      <c r="D131" s="56">
        <f>Data!J130</f>
        <v>17725189.908433735</v>
      </c>
      <c r="E131" s="56">
        <f>Data!K130</f>
        <v>1631076.9652312491</v>
      </c>
      <c r="F131" s="56">
        <f>Data!L130</f>
        <v>19356266.873664983</v>
      </c>
      <c r="G131" s="253">
        <f>Data!AV130</f>
        <v>0</v>
      </c>
      <c r="H131" s="253">
        <f>Data!AU130</f>
        <v>169.29999999999998</v>
      </c>
      <c r="I131" s="251">
        <f t="shared" ca="1" si="22"/>
        <v>0.24999999999999983</v>
      </c>
      <c r="J131" s="251">
        <f t="shared" ca="1" si="22"/>
        <v>176.51</v>
      </c>
      <c r="K131" s="32">
        <f>Data!BG130</f>
        <v>30</v>
      </c>
      <c r="L131" s="32">
        <f>Data!AC130</f>
        <v>320</v>
      </c>
      <c r="M131" s="32">
        <f>Data!BC130</f>
        <v>3457.1</v>
      </c>
      <c r="N131" s="254">
        <f>Data!BZ130</f>
        <v>0.5</v>
      </c>
      <c r="O131" s="32">
        <f t="shared" ca="1" si="19"/>
        <v>19405395.421767727</v>
      </c>
      <c r="P131" s="32">
        <f t="shared" ca="1" si="23"/>
        <v>17774318.456536479</v>
      </c>
      <c r="Q131" s="51">
        <f t="shared" ca="1" si="15"/>
        <v>49128.548102743924</v>
      </c>
      <c r="R131" s="50">
        <f t="shared" ca="1" si="16"/>
        <v>2.5381210345671243E-3</v>
      </c>
    </row>
    <row r="132" spans="1:20" x14ac:dyDescent="0.2">
      <c r="A132" s="2">
        <v>44470</v>
      </c>
      <c r="B132">
        <f t="shared" ref="B132:B158" si="24">YEAR(A132)</f>
        <v>2021</v>
      </c>
      <c r="C132">
        <f t="shared" ref="C132:C158" si="25">MONTH(A132)</f>
        <v>10</v>
      </c>
      <c r="D132" s="56">
        <f>Data!J131</f>
        <v>17543608.713253014</v>
      </c>
      <c r="E132" s="56">
        <f>Data!K131</f>
        <v>1631076.9652312491</v>
      </c>
      <c r="F132" s="56">
        <f>Data!L131</f>
        <v>19174685.678484261</v>
      </c>
      <c r="G132" s="253">
        <f>Data!AV131</f>
        <v>20.499999999999996</v>
      </c>
      <c r="H132" s="253">
        <f>Data!AU131</f>
        <v>86.499999999999986</v>
      </c>
      <c r="I132" s="251">
        <f t="shared" ca="1" si="22"/>
        <v>44.309999999999995</v>
      </c>
      <c r="J132" s="251">
        <f t="shared" ca="1" si="22"/>
        <v>43.36</v>
      </c>
      <c r="K132" s="32">
        <f>Data!BG131</f>
        <v>31</v>
      </c>
      <c r="L132" s="32">
        <f>Data!AC131</f>
        <v>320</v>
      </c>
      <c r="M132" s="32">
        <f>Data!BC131</f>
        <v>3499.8</v>
      </c>
      <c r="N132" s="254">
        <f>Data!BZ131</f>
        <v>0.5</v>
      </c>
      <c r="O132" s="32">
        <f t="shared" ca="1" si="19"/>
        <v>19012341.130647458</v>
      </c>
      <c r="P132" s="32">
        <f t="shared" ca="1" si="23"/>
        <v>17381264.165416211</v>
      </c>
      <c r="Q132" s="51">
        <f t="shared" ref="Q132:Q134" ca="1" si="26">+O132-F132</f>
        <v>-162344.5478368029</v>
      </c>
      <c r="R132" s="50">
        <f t="shared" ref="R132:R134" ca="1" si="27">ABS(Q132/F132)</f>
        <v>8.466608035143347E-3</v>
      </c>
    </row>
    <row r="133" spans="1:20" x14ac:dyDescent="0.2">
      <c r="A133" s="2">
        <v>44501</v>
      </c>
      <c r="B133">
        <f t="shared" si="24"/>
        <v>2021</v>
      </c>
      <c r="C133">
        <f t="shared" si="25"/>
        <v>11</v>
      </c>
      <c r="D133" s="56">
        <f>Data!J132</f>
        <v>17668488.221686747</v>
      </c>
      <c r="E133" s="56">
        <f>Data!K132</f>
        <v>1631076.9652312491</v>
      </c>
      <c r="F133" s="56">
        <f>Data!L132</f>
        <v>19299565.186917998</v>
      </c>
      <c r="G133" s="253">
        <f>Data!AV132</f>
        <v>175.30000000000004</v>
      </c>
      <c r="H133" s="253">
        <f>Data!AU132</f>
        <v>0</v>
      </c>
      <c r="I133" s="251">
        <f t="shared" ca="1" si="22"/>
        <v>193.95999999999998</v>
      </c>
      <c r="J133" s="251">
        <f t="shared" ca="1" si="22"/>
        <v>2.7399999999999998</v>
      </c>
      <c r="K133" s="32">
        <f>Data!BG132</f>
        <v>30</v>
      </c>
      <c r="L133" s="32">
        <f>Data!AC132</f>
        <v>322</v>
      </c>
      <c r="M133" s="32">
        <f>Data!BC132</f>
        <v>3513.1</v>
      </c>
      <c r="N133" s="254">
        <f>Data!BZ132</f>
        <v>0.5</v>
      </c>
      <c r="O133" s="32">
        <f t="shared" ca="1" si="19"/>
        <v>19414787.083584677</v>
      </c>
      <c r="P133" s="32">
        <f t="shared" ca="1" si="23"/>
        <v>17783710.118353426</v>
      </c>
      <c r="Q133" s="51">
        <f t="shared" ca="1" si="26"/>
        <v>115221.89666667953</v>
      </c>
      <c r="R133" s="50">
        <f t="shared" ca="1" si="27"/>
        <v>5.9701809626665292E-3</v>
      </c>
    </row>
    <row r="134" spans="1:20" x14ac:dyDescent="0.2">
      <c r="A134" s="2">
        <v>44531</v>
      </c>
      <c r="B134">
        <f t="shared" si="24"/>
        <v>2021</v>
      </c>
      <c r="C134">
        <f t="shared" si="25"/>
        <v>12</v>
      </c>
      <c r="D134" s="56">
        <f>Data!J133</f>
        <v>18227991.315662645</v>
      </c>
      <c r="E134" s="56">
        <f>Data!K133</f>
        <v>1631076.9652312491</v>
      </c>
      <c r="F134" s="56">
        <f>Data!L133</f>
        <v>19859068.280893892</v>
      </c>
      <c r="G134" s="253">
        <f>Data!AV133</f>
        <v>257.8</v>
      </c>
      <c r="H134" s="253">
        <f>Data!AU133</f>
        <v>0</v>
      </c>
      <c r="I134" s="251">
        <f t="shared" ca="1" si="22"/>
        <v>327.48000000000008</v>
      </c>
      <c r="J134" s="251">
        <f t="shared" ca="1" si="22"/>
        <v>0</v>
      </c>
      <c r="K134" s="32">
        <f>Data!BG133</f>
        <v>31</v>
      </c>
      <c r="L134" s="32">
        <f>Data!AC133</f>
        <v>327</v>
      </c>
      <c r="M134" s="32">
        <f>Data!BC133</f>
        <v>3539.2</v>
      </c>
      <c r="N134" s="254">
        <f>Data!BZ133</f>
        <v>0.5</v>
      </c>
      <c r="O134" s="32">
        <f t="shared" ca="1" si="19"/>
        <v>20221455.782407157</v>
      </c>
      <c r="P134" s="32">
        <f t="shared" ca="1" si="23"/>
        <v>18590378.81717591</v>
      </c>
      <c r="Q134" s="51">
        <f t="shared" ca="1" si="26"/>
        <v>362387.50151326507</v>
      </c>
      <c r="R134" s="50">
        <f t="shared" ca="1" si="27"/>
        <v>1.8247960900658798E-2</v>
      </c>
      <c r="T134" s="28" t="s">
        <v>52</v>
      </c>
    </row>
    <row r="135" spans="1:20" x14ac:dyDescent="0.2">
      <c r="A135" s="2">
        <v>44562</v>
      </c>
      <c r="B135">
        <f t="shared" si="24"/>
        <v>2022</v>
      </c>
      <c r="C135">
        <f t="shared" si="25"/>
        <v>1</v>
      </c>
      <c r="D135" s="56"/>
      <c r="E135" s="56">
        <f>'Historic CDM'!O16/12</f>
        <v>1574860.9824182142</v>
      </c>
      <c r="G135" s="55">
        <f ca="1">Weather!DK75</f>
        <v>433.7978947368415</v>
      </c>
      <c r="H135" s="55">
        <f ca="1">Weather!CX75</f>
        <v>0</v>
      </c>
      <c r="I135" s="251">
        <f ca="1">G135</f>
        <v>433.7978947368415</v>
      </c>
      <c r="J135" s="251">
        <f t="shared" ca="1" si="22"/>
        <v>0</v>
      </c>
      <c r="K135" s="32">
        <f t="shared" ref="K135:K158" si="28">K87</f>
        <v>31</v>
      </c>
      <c r="L135" s="156">
        <f>'Rate Class Customer Model'!H60</f>
        <v>327.72813357770286</v>
      </c>
      <c r="M135" s="156">
        <f>Economic!F134</f>
        <v>3428.0227500000001</v>
      </c>
      <c r="N135" s="199">
        <f>T135*0.5</f>
        <v>0.375</v>
      </c>
      <c r="O135" s="32">
        <f t="shared" ref="O135:O158" ca="1" si="29">$T$9+G135*$T$10+H135*$T$11+K135*$T$12+L135*$T$13+M135*$T$14+N135*$T$15</f>
        <v>20503070.595354289</v>
      </c>
      <c r="P135" s="32">
        <f t="shared" ref="P135:P158" ca="1" si="30">O135-E135</f>
        <v>18928209.612936076</v>
      </c>
      <c r="Q135" s="51"/>
      <c r="R135" s="50"/>
      <c r="T135">
        <f>'GS &gt; 50 kW'!Q135</f>
        <v>0.75</v>
      </c>
    </row>
    <row r="136" spans="1:20" x14ac:dyDescent="0.2">
      <c r="A136" s="2">
        <v>44593</v>
      </c>
      <c r="B136">
        <f t="shared" si="24"/>
        <v>2022</v>
      </c>
      <c r="C136">
        <f t="shared" si="25"/>
        <v>2</v>
      </c>
      <c r="D136" s="56"/>
      <c r="E136" s="56">
        <f>E135</f>
        <v>1574860.9824182142</v>
      </c>
      <c r="G136" s="55">
        <f ca="1">Weather!DK76</f>
        <v>400.92210526315807</v>
      </c>
      <c r="H136" s="55">
        <f ca="1">Weather!CX76</f>
        <v>0</v>
      </c>
      <c r="I136" s="251">
        <f t="shared" ref="I136:J151" ca="1" si="31">I124</f>
        <v>403.5</v>
      </c>
      <c r="J136" s="251">
        <f t="shared" ca="1" si="31"/>
        <v>0</v>
      </c>
      <c r="K136" s="32">
        <f t="shared" si="28"/>
        <v>28</v>
      </c>
      <c r="L136" s="156">
        <f>'Rate Class Customer Model'!H61</f>
        <v>328.62518858474152</v>
      </c>
      <c r="M136" s="156">
        <f>Economic!F135</f>
        <v>3388.3631</v>
      </c>
      <c r="N136" s="199">
        <f t="shared" ref="N136:N158" si="32">T136*0.5</f>
        <v>0.375</v>
      </c>
      <c r="O136" s="32">
        <f t="shared" ca="1" si="29"/>
        <v>19124167.471055768</v>
      </c>
      <c r="P136" s="32">
        <f t="shared" ca="1" si="30"/>
        <v>17549306.488637555</v>
      </c>
      <c r="Q136" s="51"/>
      <c r="R136" s="50"/>
      <c r="T136">
        <f>'GS &gt; 50 kW'!Q136</f>
        <v>0.75</v>
      </c>
    </row>
    <row r="137" spans="1:20" x14ac:dyDescent="0.2">
      <c r="A137" s="2">
        <v>44621</v>
      </c>
      <c r="B137">
        <f t="shared" si="24"/>
        <v>2022</v>
      </c>
      <c r="C137">
        <f t="shared" si="25"/>
        <v>3</v>
      </c>
      <c r="D137" s="56"/>
      <c r="E137" s="56">
        <f t="shared" ref="E137:E146" si="33">E136</f>
        <v>1574860.9824182142</v>
      </c>
      <c r="G137" s="55">
        <f ca="1">Weather!DK77</f>
        <v>280.64947368421008</v>
      </c>
      <c r="H137" s="55">
        <f ca="1">Weather!CX77</f>
        <v>2.076842105263168</v>
      </c>
      <c r="I137" s="251">
        <f t="shared" ca="1" si="31"/>
        <v>291.06</v>
      </c>
      <c r="J137" s="251">
        <f t="shared" ca="1" si="31"/>
        <v>2.8099999999999996</v>
      </c>
      <c r="K137" s="32">
        <f t="shared" si="28"/>
        <v>31</v>
      </c>
      <c r="L137" s="156">
        <f>'Rate Class Customer Model'!H62</f>
        <v>329.52469900406618</v>
      </c>
      <c r="M137" s="156">
        <f>Economic!F136</f>
        <v>3387.7418000000002</v>
      </c>
      <c r="N137" s="199">
        <f t="shared" si="32"/>
        <v>0.375</v>
      </c>
      <c r="O137" s="32">
        <f t="shared" ca="1" si="29"/>
        <v>19591663.847620893</v>
      </c>
      <c r="P137" s="32">
        <f t="shared" ca="1" si="30"/>
        <v>18016802.86520268</v>
      </c>
      <c r="Q137" s="51"/>
      <c r="R137" s="50"/>
      <c r="T137">
        <f>'GS &gt; 50 kW'!Q137</f>
        <v>0.75</v>
      </c>
    </row>
    <row r="138" spans="1:20" x14ac:dyDescent="0.2">
      <c r="A138" s="2">
        <v>44652</v>
      </c>
      <c r="B138">
        <f t="shared" si="24"/>
        <v>2022</v>
      </c>
      <c r="C138">
        <f t="shared" si="25"/>
        <v>4</v>
      </c>
      <c r="D138" s="56"/>
      <c r="E138" s="56">
        <f t="shared" si="33"/>
        <v>1574860.9824182142</v>
      </c>
      <c r="G138" s="55">
        <f ca="1">Weather!DK78</f>
        <v>116.4215789473684</v>
      </c>
      <c r="H138" s="55">
        <f ca="1">Weather!CX78</f>
        <v>1.8457894736841354</v>
      </c>
      <c r="I138" s="251">
        <f t="shared" ca="1" si="31"/>
        <v>120.71999999999998</v>
      </c>
      <c r="J138" s="251">
        <f t="shared" ca="1" si="31"/>
        <v>6.58</v>
      </c>
      <c r="K138" s="32">
        <f t="shared" si="28"/>
        <v>30</v>
      </c>
      <c r="L138" s="156">
        <f>'Rate Class Customer Model'!H63</f>
        <v>330.42667155661303</v>
      </c>
      <c r="M138" s="156">
        <f>Economic!F137</f>
        <v>3392.8157500000002</v>
      </c>
      <c r="N138" s="199">
        <f t="shared" si="32"/>
        <v>0.375</v>
      </c>
      <c r="O138" s="32">
        <f t="shared" ca="1" si="29"/>
        <v>18425209.941718794</v>
      </c>
      <c r="P138" s="32">
        <f t="shared" ca="1" si="30"/>
        <v>16850348.959300581</v>
      </c>
      <c r="Q138" s="51"/>
      <c r="R138" s="50"/>
      <c r="T138">
        <f>'GS &gt; 50 kW'!Q138</f>
        <v>0.75</v>
      </c>
    </row>
    <row r="139" spans="1:20" x14ac:dyDescent="0.2">
      <c r="A139" s="2">
        <v>44682</v>
      </c>
      <c r="B139">
        <f t="shared" si="24"/>
        <v>2022</v>
      </c>
      <c r="C139">
        <f t="shared" si="25"/>
        <v>5</v>
      </c>
      <c r="D139" s="56"/>
      <c r="E139" s="56">
        <f t="shared" si="33"/>
        <v>1574860.9824182142</v>
      </c>
      <c r="G139" s="55">
        <f ca="1">Weather!DK79</f>
        <v>18.07578947368421</v>
      </c>
      <c r="H139" s="55">
        <f ca="1">Weather!CX79</f>
        <v>117.66947368421097</v>
      </c>
      <c r="I139" s="251">
        <f t="shared" ca="1" si="31"/>
        <v>16.330000000000002</v>
      </c>
      <c r="J139" s="251">
        <f t="shared" ca="1" si="31"/>
        <v>107.25</v>
      </c>
      <c r="K139" s="32">
        <f t="shared" si="28"/>
        <v>31</v>
      </c>
      <c r="L139" s="156">
        <f>'Rate Class Customer Model'!H64</f>
        <v>331.33111298171485</v>
      </c>
      <c r="M139" s="156">
        <f>Economic!F138</f>
        <v>3394.4725500000004</v>
      </c>
      <c r="N139" s="199">
        <f t="shared" si="32"/>
        <v>0.375</v>
      </c>
      <c r="O139" s="32">
        <f t="shared" ca="1" si="29"/>
        <v>19063944.328557648</v>
      </c>
      <c r="P139" s="32">
        <f t="shared" ca="1" si="30"/>
        <v>17489083.346139435</v>
      </c>
      <c r="Q139" s="51"/>
      <c r="R139" s="50"/>
      <c r="T139">
        <f>'GS &gt; 50 kW'!Q139</f>
        <v>0.75</v>
      </c>
    </row>
    <row r="140" spans="1:20" x14ac:dyDescent="0.2">
      <c r="A140" s="2">
        <v>44713</v>
      </c>
      <c r="B140">
        <f t="shared" si="24"/>
        <v>2022</v>
      </c>
      <c r="C140">
        <f t="shared" si="25"/>
        <v>6</v>
      </c>
      <c r="D140" s="56"/>
      <c r="E140" s="56">
        <f t="shared" si="33"/>
        <v>1574860.9824182142</v>
      </c>
      <c r="G140" s="55">
        <f ca="1">Weather!DK80</f>
        <v>0</v>
      </c>
      <c r="H140" s="55">
        <f ca="1">Weather!CX80</f>
        <v>236.25999999999976</v>
      </c>
      <c r="I140" s="251">
        <f t="shared" ca="1" si="31"/>
        <v>0</v>
      </c>
      <c r="J140" s="251">
        <f t="shared" ca="1" si="31"/>
        <v>230.10000000000005</v>
      </c>
      <c r="K140" s="32">
        <f t="shared" si="28"/>
        <v>30</v>
      </c>
      <c r="L140" s="156">
        <f>'Rate Class Customer Model'!H65</f>
        <v>332.23803003715119</v>
      </c>
      <c r="M140" s="156">
        <f>Economic!F139</f>
        <v>3405.2417500000001</v>
      </c>
      <c r="N140" s="199">
        <f t="shared" si="32"/>
        <v>0.375</v>
      </c>
      <c r="O140" s="32">
        <f t="shared" ca="1" si="29"/>
        <v>19470094.168264546</v>
      </c>
      <c r="P140" s="32">
        <f t="shared" ca="1" si="30"/>
        <v>17895233.185846332</v>
      </c>
      <c r="Q140" s="51"/>
      <c r="R140" s="50"/>
      <c r="T140">
        <f>'GS &gt; 50 kW'!Q140</f>
        <v>0.75</v>
      </c>
    </row>
    <row r="141" spans="1:20" x14ac:dyDescent="0.2">
      <c r="A141" s="2">
        <v>44743</v>
      </c>
      <c r="B141">
        <f t="shared" si="24"/>
        <v>2022</v>
      </c>
      <c r="C141">
        <f t="shared" si="25"/>
        <v>7</v>
      </c>
      <c r="D141" s="56"/>
      <c r="E141" s="56">
        <f t="shared" si="33"/>
        <v>1574860.9824182142</v>
      </c>
      <c r="G141" s="55">
        <f ca="1">Weather!DK81</f>
        <v>0</v>
      </c>
      <c r="H141" s="55">
        <f ca="1">Weather!CX81</f>
        <v>335.7568421052631</v>
      </c>
      <c r="I141" s="251">
        <f t="shared" ca="1" si="31"/>
        <v>0</v>
      </c>
      <c r="J141" s="251">
        <f t="shared" ca="1" si="31"/>
        <v>331.41</v>
      </c>
      <c r="K141" s="32">
        <f t="shared" si="28"/>
        <v>31</v>
      </c>
      <c r="L141" s="156">
        <f>'Rate Class Customer Model'!H66</f>
        <v>333.14742949919895</v>
      </c>
      <c r="M141" s="156">
        <f>Economic!F140</f>
        <v>3451.2179500000002</v>
      </c>
      <c r="N141" s="199">
        <f t="shared" si="32"/>
        <v>0.375</v>
      </c>
      <c r="O141" s="32">
        <f t="shared" ca="1" si="29"/>
        <v>20700211.066027865</v>
      </c>
      <c r="P141" s="32">
        <f t="shared" ca="1" si="30"/>
        <v>19125350.083609652</v>
      </c>
      <c r="Q141" s="51"/>
      <c r="R141" s="50"/>
      <c r="T141">
        <f>'GS &gt; 50 kW'!Q141</f>
        <v>0.75</v>
      </c>
    </row>
    <row r="142" spans="1:20" x14ac:dyDescent="0.2">
      <c r="A142" s="2">
        <v>44774</v>
      </c>
      <c r="B142">
        <f t="shared" si="24"/>
        <v>2022</v>
      </c>
      <c r="C142">
        <f t="shared" si="25"/>
        <v>8</v>
      </c>
      <c r="D142" s="56"/>
      <c r="E142" s="56">
        <f t="shared" si="33"/>
        <v>1574860.9824182142</v>
      </c>
      <c r="G142" s="55">
        <f ca="1">Weather!DK82</f>
        <v>0</v>
      </c>
      <c r="H142" s="55">
        <f ca="1">Weather!CX82</f>
        <v>315.05842105263173</v>
      </c>
      <c r="I142" s="251">
        <f t="shared" ca="1" si="31"/>
        <v>0</v>
      </c>
      <c r="J142" s="251">
        <f t="shared" ca="1" si="31"/>
        <v>304.46000000000004</v>
      </c>
      <c r="K142" s="32">
        <f t="shared" si="28"/>
        <v>31</v>
      </c>
      <c r="L142" s="156">
        <f>'Rate Class Customer Model'!H67</f>
        <v>334.05931816268304</v>
      </c>
      <c r="M142" s="156">
        <f>Economic!F141</f>
        <v>3524.3242500000001</v>
      </c>
      <c r="N142" s="199">
        <f t="shared" si="32"/>
        <v>0.375</v>
      </c>
      <c r="O142" s="32">
        <f t="shared" ca="1" si="29"/>
        <v>20894635.781518534</v>
      </c>
      <c r="P142" s="32">
        <f t="shared" ca="1" si="30"/>
        <v>19319774.799100321</v>
      </c>
      <c r="Q142" s="51"/>
      <c r="R142" s="50"/>
      <c r="T142">
        <f>'GS &gt; 50 kW'!Q142</f>
        <v>0.75</v>
      </c>
    </row>
    <row r="143" spans="1:20" x14ac:dyDescent="0.2">
      <c r="A143" s="2">
        <v>44805</v>
      </c>
      <c r="B143">
        <f t="shared" si="24"/>
        <v>2022</v>
      </c>
      <c r="C143">
        <f t="shared" si="25"/>
        <v>9</v>
      </c>
      <c r="D143" s="56"/>
      <c r="E143" s="56">
        <f t="shared" si="33"/>
        <v>1574860.9824182142</v>
      </c>
      <c r="G143" s="55">
        <f ca="1">Weather!DK83</f>
        <v>0.18105263157895024</v>
      </c>
      <c r="H143" s="55">
        <f ca="1">Weather!CX83</f>
        <v>172.83631578947367</v>
      </c>
      <c r="I143" s="251">
        <f t="shared" ca="1" si="31"/>
        <v>0.24999999999999983</v>
      </c>
      <c r="J143" s="251">
        <f t="shared" ca="1" si="31"/>
        <v>176.51</v>
      </c>
      <c r="K143" s="32">
        <f t="shared" si="28"/>
        <v>30</v>
      </c>
      <c r="L143" s="156">
        <f>'Rate Class Customer Model'!H68</f>
        <v>334.97370284102715</v>
      </c>
      <c r="M143" s="156">
        <f>Economic!F142</f>
        <v>3579.8270500000003</v>
      </c>
      <c r="N143" s="199">
        <f t="shared" si="32"/>
        <v>0.375</v>
      </c>
      <c r="O143" s="32">
        <f t="shared" ca="1" si="29"/>
        <v>19855638.827808682</v>
      </c>
      <c r="P143" s="32">
        <f t="shared" ca="1" si="30"/>
        <v>18280777.845390469</v>
      </c>
      <c r="Q143" s="51"/>
      <c r="R143" s="50"/>
      <c r="T143">
        <f>'GS &gt; 50 kW'!Q143</f>
        <v>0.75</v>
      </c>
    </row>
    <row r="144" spans="1:20" x14ac:dyDescent="0.2">
      <c r="A144" s="2">
        <v>44835</v>
      </c>
      <c r="B144">
        <f t="shared" si="24"/>
        <v>2022</v>
      </c>
      <c r="C144">
        <f t="shared" si="25"/>
        <v>10</v>
      </c>
      <c r="D144" s="56"/>
      <c r="E144" s="56">
        <f t="shared" si="33"/>
        <v>1574860.9824182142</v>
      </c>
      <c r="G144" s="55">
        <f ca="1">Weather!DK84</f>
        <v>37.205263157894933</v>
      </c>
      <c r="H144" s="55">
        <f ca="1">Weather!CX84</f>
        <v>48.010000000000218</v>
      </c>
      <c r="I144" s="251">
        <f t="shared" ca="1" si="31"/>
        <v>44.309999999999995</v>
      </c>
      <c r="J144" s="251">
        <f t="shared" ca="1" si="31"/>
        <v>43.36</v>
      </c>
      <c r="K144" s="32">
        <f t="shared" si="28"/>
        <v>31</v>
      </c>
      <c r="L144" s="156">
        <f>'Rate Class Customer Model'!H69</f>
        <v>335.89059036630448</v>
      </c>
      <c r="M144" s="156">
        <f>Economic!F143</f>
        <v>3624.0429000000004</v>
      </c>
      <c r="N144" s="199">
        <f t="shared" si="32"/>
        <v>0.375</v>
      </c>
      <c r="O144" s="32">
        <f t="shared" ca="1" si="29"/>
        <v>19782940.390704155</v>
      </c>
      <c r="P144" s="32">
        <f t="shared" ca="1" si="30"/>
        <v>18208079.408285942</v>
      </c>
      <c r="Q144" s="51"/>
      <c r="R144" s="50"/>
      <c r="T144">
        <f>'GS &gt; 50 kW'!Q144</f>
        <v>0.75</v>
      </c>
    </row>
    <row r="145" spans="1:20" x14ac:dyDescent="0.2">
      <c r="A145" s="2">
        <v>44866</v>
      </c>
      <c r="B145">
        <f t="shared" si="24"/>
        <v>2022</v>
      </c>
      <c r="C145">
        <f t="shared" si="25"/>
        <v>11</v>
      </c>
      <c r="D145" s="56"/>
      <c r="E145" s="56">
        <f t="shared" si="33"/>
        <v>1574860.9824182142</v>
      </c>
      <c r="G145" s="55">
        <f ca="1">Weather!DK85</f>
        <v>193.53736842105263</v>
      </c>
      <c r="H145" s="55">
        <f ca="1">Weather!CX85</f>
        <v>3.8163157894736628</v>
      </c>
      <c r="I145" s="251">
        <f t="shared" ca="1" si="31"/>
        <v>193.95999999999998</v>
      </c>
      <c r="J145" s="251">
        <f t="shared" ca="1" si="31"/>
        <v>2.7399999999999998</v>
      </c>
      <c r="K145" s="32">
        <f t="shared" si="28"/>
        <v>30</v>
      </c>
      <c r="L145" s="156">
        <f>'Rate Class Customer Model'!H70</f>
        <v>336.80998758928905</v>
      </c>
      <c r="M145" s="156">
        <f>Economic!F144</f>
        <v>3637.8150500000002</v>
      </c>
      <c r="N145" s="199">
        <f t="shared" si="32"/>
        <v>0.375</v>
      </c>
      <c r="O145" s="32">
        <f t="shared" ca="1" si="29"/>
        <v>20029331.176790971</v>
      </c>
      <c r="P145" s="32">
        <f t="shared" ca="1" si="30"/>
        <v>18454470.194372758</v>
      </c>
      <c r="Q145" s="51"/>
      <c r="R145" s="50"/>
      <c r="T145">
        <f>'GS &gt; 50 kW'!Q145</f>
        <v>0.75</v>
      </c>
    </row>
    <row r="146" spans="1:20" x14ac:dyDescent="0.2">
      <c r="A146" s="2">
        <v>44896</v>
      </c>
      <c r="B146">
        <f t="shared" si="24"/>
        <v>2022</v>
      </c>
      <c r="C146">
        <f t="shared" si="25"/>
        <v>12</v>
      </c>
      <c r="D146" s="56"/>
      <c r="E146" s="56">
        <f t="shared" si="33"/>
        <v>1574860.9824182142</v>
      </c>
      <c r="G146" s="55">
        <f ca="1">Weather!DK86</f>
        <v>313.92473684210563</v>
      </c>
      <c r="H146" s="55">
        <f ca="1">Weather!CX86</f>
        <v>0</v>
      </c>
      <c r="I146" s="251">
        <f t="shared" ca="1" si="31"/>
        <v>327.48000000000008</v>
      </c>
      <c r="J146" s="251">
        <f t="shared" ca="1" si="31"/>
        <v>0</v>
      </c>
      <c r="K146" s="32">
        <f t="shared" si="28"/>
        <v>31</v>
      </c>
      <c r="L146" s="156">
        <f>'Rate Class Customer Model'!H71</f>
        <v>337.73190137950678</v>
      </c>
      <c r="M146" s="156">
        <f>Economic!F145</f>
        <v>3664.8416000000002</v>
      </c>
      <c r="N146" s="199">
        <f t="shared" si="32"/>
        <v>0.375</v>
      </c>
      <c r="O146" s="32">
        <f t="shared" ca="1" si="29"/>
        <v>21120079.663686685</v>
      </c>
      <c r="P146" s="32">
        <f t="shared" ca="1" si="30"/>
        <v>19545218.681268472</v>
      </c>
      <c r="Q146" s="51"/>
      <c r="R146" s="50"/>
      <c r="T146">
        <f>'GS &gt; 50 kW'!Q146</f>
        <v>0.75</v>
      </c>
    </row>
    <row r="147" spans="1:20" x14ac:dyDescent="0.2">
      <c r="A147" s="2">
        <v>44927</v>
      </c>
      <c r="B147">
        <f t="shared" si="24"/>
        <v>2023</v>
      </c>
      <c r="C147">
        <f t="shared" si="25"/>
        <v>1</v>
      </c>
      <c r="D147" s="56"/>
      <c r="E147" s="56">
        <f>'Historic CDM'!O17/12</f>
        <v>1485110.1636557465</v>
      </c>
      <c r="G147" s="55">
        <f ca="1">Weather!DK61</f>
        <v>431.90721804511259</v>
      </c>
      <c r="H147" s="55">
        <f ca="1">Weather!CX61</f>
        <v>0</v>
      </c>
      <c r="I147" s="251">
        <f t="shared" ca="1" si="31"/>
        <v>433.7978947368415</v>
      </c>
      <c r="J147" s="251">
        <f t="shared" ca="1" si="31"/>
        <v>0</v>
      </c>
      <c r="K147" s="32">
        <f t="shared" si="28"/>
        <v>31</v>
      </c>
      <c r="L147" s="156">
        <f>'Rate Class Customer Model'!H72</f>
        <v>338.65633862528671</v>
      </c>
      <c r="M147" s="156">
        <f>Economic!F146</f>
        <v>3489.7271595000002</v>
      </c>
      <c r="N147" s="199">
        <f t="shared" si="32"/>
        <v>0.25</v>
      </c>
      <c r="O147" s="32">
        <f t="shared" ca="1" si="29"/>
        <v>21178239.11016117</v>
      </c>
      <c r="P147" s="32">
        <f t="shared" ca="1" si="30"/>
        <v>19693128.946505424</v>
      </c>
      <c r="Q147" s="51"/>
      <c r="R147" s="50"/>
      <c r="T147">
        <f>'GS &gt; 50 kW'!Q147</f>
        <v>0.5</v>
      </c>
    </row>
    <row r="148" spans="1:20" x14ac:dyDescent="0.2">
      <c r="A148" s="2">
        <v>44958</v>
      </c>
      <c r="B148">
        <f t="shared" si="24"/>
        <v>2023</v>
      </c>
      <c r="C148">
        <f t="shared" si="25"/>
        <v>2</v>
      </c>
      <c r="D148" s="56"/>
      <c r="E148" s="56">
        <f>E147</f>
        <v>1485110.1636557465</v>
      </c>
      <c r="G148" s="55">
        <f ca="1">Weather!DK62</f>
        <v>400.32278195488743</v>
      </c>
      <c r="H148" s="55">
        <f ca="1">Weather!CX62</f>
        <v>0</v>
      </c>
      <c r="I148" s="251">
        <f t="shared" ca="1" si="31"/>
        <v>403.5</v>
      </c>
      <c r="J148" s="251">
        <f t="shared" ca="1" si="31"/>
        <v>0</v>
      </c>
      <c r="K148" s="32">
        <f t="shared" si="28"/>
        <v>28</v>
      </c>
      <c r="L148" s="156">
        <f>'Rate Class Customer Model'!H73</f>
        <v>339.58330623381266</v>
      </c>
      <c r="M148" s="156">
        <f>Economic!F147</f>
        <v>3449.3536358000001</v>
      </c>
      <c r="N148" s="199">
        <f t="shared" si="32"/>
        <v>0.25</v>
      </c>
      <c r="O148" s="32">
        <f t="shared" ca="1" si="29"/>
        <v>19803725.806357421</v>
      </c>
      <c r="P148" s="32">
        <f t="shared" ca="1" si="30"/>
        <v>18318615.642701674</v>
      </c>
      <c r="Q148" s="51"/>
      <c r="R148" s="50"/>
      <c r="T148">
        <f>'GS &gt; 50 kW'!Q148</f>
        <v>0.5</v>
      </c>
    </row>
    <row r="149" spans="1:20" x14ac:dyDescent="0.2">
      <c r="A149" s="2">
        <v>44986</v>
      </c>
      <c r="B149">
        <f t="shared" si="24"/>
        <v>2023</v>
      </c>
      <c r="C149">
        <f t="shared" si="25"/>
        <v>3</v>
      </c>
      <c r="D149" s="56"/>
      <c r="E149" s="56">
        <f t="shared" ref="E149:E158" si="34">E148</f>
        <v>1485110.1636557465</v>
      </c>
      <c r="G149" s="55">
        <f ca="1">Weather!DK63</f>
        <v>279.42180451127797</v>
      </c>
      <c r="H149" s="55">
        <f ca="1">Weather!CX63</f>
        <v>2.1322556390977496</v>
      </c>
      <c r="I149" s="251">
        <f t="shared" ca="1" si="31"/>
        <v>291.06</v>
      </c>
      <c r="J149" s="251">
        <f t="shared" ca="1" si="31"/>
        <v>2.8099999999999996</v>
      </c>
      <c r="K149" s="32">
        <f t="shared" si="28"/>
        <v>31</v>
      </c>
      <c r="L149" s="156">
        <f>'Rate Class Customer Model'!H74</f>
        <v>340.51281113117466</v>
      </c>
      <c r="M149" s="156">
        <f>Economic!F148</f>
        <v>3448.7211524000004</v>
      </c>
      <c r="N149" s="199">
        <f t="shared" si="32"/>
        <v>0.25</v>
      </c>
      <c r="O149" s="32">
        <f t="shared" ca="1" si="29"/>
        <v>20268980.035339225</v>
      </c>
      <c r="P149" s="32">
        <f t="shared" ca="1" si="30"/>
        <v>18783869.871683478</v>
      </c>
      <c r="Q149" s="51"/>
      <c r="R149" s="50"/>
      <c r="T149">
        <f>'GS &gt; 50 kW'!Q149</f>
        <v>0.5</v>
      </c>
    </row>
    <row r="150" spans="1:20" x14ac:dyDescent="0.2">
      <c r="A150" s="2">
        <v>45017</v>
      </c>
      <c r="B150">
        <f t="shared" si="24"/>
        <v>2023</v>
      </c>
      <c r="C150">
        <f t="shared" si="25"/>
        <v>4</v>
      </c>
      <c r="D150" s="56"/>
      <c r="E150" s="56">
        <f t="shared" si="34"/>
        <v>1485110.1636557465</v>
      </c>
      <c r="G150" s="55">
        <f ca="1">Weather!DK64</f>
        <v>116.88744360902251</v>
      </c>
      <c r="H150" s="55">
        <f ca="1">Weather!CX64</f>
        <v>0.86015037593983834</v>
      </c>
      <c r="I150" s="251">
        <f t="shared" ca="1" si="31"/>
        <v>120.71999999999998</v>
      </c>
      <c r="J150" s="251">
        <f t="shared" ca="1" si="31"/>
        <v>6.58</v>
      </c>
      <c r="K150" s="32">
        <f t="shared" si="28"/>
        <v>30</v>
      </c>
      <c r="L150" s="156">
        <f>'Rate Class Customer Model'!H75</f>
        <v>341.44486026242083</v>
      </c>
      <c r="M150" s="156">
        <f>Economic!F149</f>
        <v>3453.8864335000003</v>
      </c>
      <c r="N150" s="199">
        <f t="shared" si="32"/>
        <v>0.25</v>
      </c>
      <c r="O150" s="32">
        <f t="shared" ca="1" si="29"/>
        <v>19105522.963069301</v>
      </c>
      <c r="P150" s="32">
        <f t="shared" ca="1" si="30"/>
        <v>17620412.799413554</v>
      </c>
      <c r="Q150" s="51"/>
      <c r="R150" s="50"/>
      <c r="T150">
        <f>'GS &gt; 50 kW'!Q150</f>
        <v>0.5</v>
      </c>
    </row>
    <row r="151" spans="1:20" x14ac:dyDescent="0.2">
      <c r="A151" s="2">
        <v>45047</v>
      </c>
      <c r="B151">
        <f t="shared" si="24"/>
        <v>2023</v>
      </c>
      <c r="C151">
        <f t="shared" si="25"/>
        <v>5</v>
      </c>
      <c r="D151" s="56"/>
      <c r="E151" s="56">
        <f t="shared" si="34"/>
        <v>1485110.1636557465</v>
      </c>
      <c r="G151" s="55">
        <f ca="1">Weather!DK65</f>
        <v>18.215864661654166</v>
      </c>
      <c r="H151" s="55">
        <f ca="1">Weather!CX65</f>
        <v>120.24037593985031</v>
      </c>
      <c r="I151" s="251">
        <f t="shared" ca="1" si="31"/>
        <v>16.330000000000002</v>
      </c>
      <c r="J151" s="251">
        <f t="shared" ca="1" si="31"/>
        <v>107.25</v>
      </c>
      <c r="K151" s="32">
        <f t="shared" si="28"/>
        <v>31</v>
      </c>
      <c r="L151" s="156">
        <f>'Rate Class Customer Model'!H76</f>
        <v>342.37946059160925</v>
      </c>
      <c r="M151" s="156">
        <f>Economic!F150</f>
        <v>3455.5730559000003</v>
      </c>
      <c r="N151" s="199">
        <f t="shared" si="32"/>
        <v>0.25</v>
      </c>
      <c r="O151" s="32">
        <f t="shared" ca="1" si="29"/>
        <v>19766991.75818447</v>
      </c>
      <c r="P151" s="32">
        <f t="shared" ca="1" si="30"/>
        <v>18281881.594528724</v>
      </c>
      <c r="Q151" s="51"/>
      <c r="R151" s="50"/>
      <c r="T151">
        <f>'GS &gt; 50 kW'!Q151</f>
        <v>0.5</v>
      </c>
    </row>
    <row r="152" spans="1:20" x14ac:dyDescent="0.2">
      <c r="A152" s="2">
        <v>45078</v>
      </c>
      <c r="B152">
        <f t="shared" si="24"/>
        <v>2023</v>
      </c>
      <c r="C152">
        <f t="shared" si="25"/>
        <v>6</v>
      </c>
      <c r="D152" s="56"/>
      <c r="E152" s="56">
        <f t="shared" si="34"/>
        <v>1485110.1636557465</v>
      </c>
      <c r="G152" s="55">
        <f ca="1">Weather!DK66</f>
        <v>0</v>
      </c>
      <c r="H152" s="55">
        <f ca="1">Weather!CX66</f>
        <v>237.27142857142849</v>
      </c>
      <c r="I152" s="251">
        <f t="shared" ref="I152:J158" ca="1" si="35">I140</f>
        <v>0</v>
      </c>
      <c r="J152" s="251">
        <f t="shared" ca="1" si="35"/>
        <v>230.10000000000005</v>
      </c>
      <c r="K152" s="32">
        <f t="shared" si="28"/>
        <v>30</v>
      </c>
      <c r="L152" s="156">
        <f>'Rate Class Customer Model'!H77</f>
        <v>343.31661910185989</v>
      </c>
      <c r="M152" s="156">
        <f>Economic!F151</f>
        <v>3466.5361015000003</v>
      </c>
      <c r="N152" s="199">
        <f t="shared" si="32"/>
        <v>0.25</v>
      </c>
      <c r="O152" s="32">
        <f t="shared" ca="1" si="29"/>
        <v>20163602.275871485</v>
      </c>
      <c r="P152" s="32">
        <f t="shared" ca="1" si="30"/>
        <v>18678492.112215739</v>
      </c>
      <c r="Q152" s="51"/>
      <c r="R152" s="50"/>
      <c r="T152">
        <f>'GS &gt; 50 kW'!Q152</f>
        <v>0.5</v>
      </c>
    </row>
    <row r="153" spans="1:20" x14ac:dyDescent="0.2">
      <c r="A153" s="2">
        <v>45108</v>
      </c>
      <c r="B153">
        <f t="shared" si="24"/>
        <v>2023</v>
      </c>
      <c r="C153">
        <f t="shared" si="25"/>
        <v>7</v>
      </c>
      <c r="D153" s="56"/>
      <c r="E153" s="56">
        <f t="shared" si="34"/>
        <v>1485110.1636557465</v>
      </c>
      <c r="G153" s="55">
        <f ca="1">Weather!DK67</f>
        <v>0</v>
      </c>
      <c r="H153" s="55">
        <f ca="1">Weather!CX67</f>
        <v>336.61368421052634</v>
      </c>
      <c r="I153" s="251">
        <f t="shared" ca="1" si="35"/>
        <v>0</v>
      </c>
      <c r="J153" s="251">
        <f t="shared" ca="1" si="35"/>
        <v>331.41</v>
      </c>
      <c r="K153" s="32">
        <f t="shared" si="28"/>
        <v>31</v>
      </c>
      <c r="L153" s="156">
        <f>'Rate Class Customer Model'!H78</f>
        <v>344.25634279540691</v>
      </c>
      <c r="M153" s="156">
        <f>Economic!F152</f>
        <v>3513.3398731000002</v>
      </c>
      <c r="N153" s="199">
        <f t="shared" si="32"/>
        <v>0.25</v>
      </c>
      <c r="O153" s="32">
        <f t="shared" ca="1" si="29"/>
        <v>21396919.443583786</v>
      </c>
      <c r="P153" s="32">
        <f t="shared" ca="1" si="30"/>
        <v>19911809.27992804</v>
      </c>
      <c r="Q153" s="51"/>
      <c r="R153" s="50"/>
      <c r="T153">
        <f>'GS &gt; 50 kW'!Q153</f>
        <v>0.5</v>
      </c>
    </row>
    <row r="154" spans="1:20" x14ac:dyDescent="0.2">
      <c r="A154" s="2">
        <v>45139</v>
      </c>
      <c r="B154">
        <f t="shared" si="24"/>
        <v>2023</v>
      </c>
      <c r="C154">
        <f t="shared" si="25"/>
        <v>8</v>
      </c>
      <c r="D154" s="56"/>
      <c r="E154" s="56">
        <f t="shared" si="34"/>
        <v>1485110.1636557465</v>
      </c>
      <c r="G154" s="55">
        <f ca="1">Weather!DK68</f>
        <v>0</v>
      </c>
      <c r="H154" s="55">
        <f ca="1">Weather!CX68</f>
        <v>316.56398496240627</v>
      </c>
      <c r="I154" s="251">
        <f t="shared" ca="1" si="35"/>
        <v>0</v>
      </c>
      <c r="J154" s="251">
        <f t="shared" ca="1" si="35"/>
        <v>304.46000000000004</v>
      </c>
      <c r="K154" s="32">
        <f t="shared" si="28"/>
        <v>31</v>
      </c>
      <c r="L154" s="156">
        <f>'Rate Class Customer Model'!H79</f>
        <v>345.19863869365093</v>
      </c>
      <c r="M154" s="156">
        <f>Economic!F153</f>
        <v>3587.7620865000004</v>
      </c>
      <c r="N154" s="199">
        <f t="shared" si="32"/>
        <v>0.25</v>
      </c>
      <c r="O154" s="32">
        <f t="shared" ca="1" si="29"/>
        <v>21601947.84693478</v>
      </c>
      <c r="P154" s="32">
        <f t="shared" ca="1" si="30"/>
        <v>20116837.683279034</v>
      </c>
      <c r="Q154" s="51"/>
      <c r="R154" s="50"/>
      <c r="T154">
        <f>'GS &gt; 50 kW'!Q154</f>
        <v>0.5</v>
      </c>
    </row>
    <row r="155" spans="1:20" x14ac:dyDescent="0.2">
      <c r="A155" s="2">
        <v>45170</v>
      </c>
      <c r="B155">
        <f t="shared" si="24"/>
        <v>2023</v>
      </c>
      <c r="C155">
        <f t="shared" si="25"/>
        <v>9</v>
      </c>
      <c r="D155" s="56"/>
      <c r="E155" s="56">
        <f t="shared" si="34"/>
        <v>1485110.1636557465</v>
      </c>
      <c r="G155" s="55">
        <f ca="1">Weather!DK69</f>
        <v>0.16639097744361209</v>
      </c>
      <c r="H155" s="55">
        <f ca="1">Weather!CX69</f>
        <v>172.72120300751877</v>
      </c>
      <c r="I155" s="251">
        <f t="shared" ca="1" si="35"/>
        <v>0.24999999999999983</v>
      </c>
      <c r="J155" s="251">
        <f t="shared" ca="1" si="35"/>
        <v>176.51</v>
      </c>
      <c r="K155" s="32">
        <f t="shared" si="28"/>
        <v>30</v>
      </c>
      <c r="L155" s="156">
        <f>'Rate Class Customer Model'!H80</f>
        <v>346.14351383721151</v>
      </c>
      <c r="M155" s="156">
        <f>Economic!F154</f>
        <v>3644.2639369000003</v>
      </c>
      <c r="N155" s="199">
        <f t="shared" si="32"/>
        <v>0.25</v>
      </c>
      <c r="O155" s="32">
        <f t="shared" ca="1" si="29"/>
        <v>20557081.137176618</v>
      </c>
      <c r="P155" s="32">
        <f t="shared" ca="1" si="30"/>
        <v>19071970.973520871</v>
      </c>
      <c r="Q155" s="51"/>
      <c r="R155" s="50"/>
      <c r="T155">
        <f>'GS &gt; 50 kW'!Q155</f>
        <v>0.5</v>
      </c>
    </row>
    <row r="156" spans="1:20" x14ac:dyDescent="0.2">
      <c r="A156" s="2">
        <v>45200</v>
      </c>
      <c r="B156">
        <f t="shared" si="24"/>
        <v>2023</v>
      </c>
      <c r="C156">
        <f t="shared" si="25"/>
        <v>10</v>
      </c>
      <c r="D156" s="56"/>
      <c r="E156" s="56">
        <f t="shared" si="34"/>
        <v>1485110.1636557465</v>
      </c>
      <c r="G156" s="55">
        <f ca="1">Weather!DK70</f>
        <v>36.129097744360934</v>
      </c>
      <c r="H156" s="55">
        <f ca="1">Weather!CX70</f>
        <v>48.954285714285788</v>
      </c>
      <c r="I156" s="251">
        <f t="shared" ca="1" si="35"/>
        <v>44.309999999999995</v>
      </c>
      <c r="J156" s="251">
        <f t="shared" ca="1" si="35"/>
        <v>43.36</v>
      </c>
      <c r="K156" s="32">
        <f t="shared" si="28"/>
        <v>31</v>
      </c>
      <c r="L156" s="156">
        <f>'Rate Class Customer Model'!H81</f>
        <v>347.09097528597971</v>
      </c>
      <c r="M156" s="156">
        <f>Economic!F155</f>
        <v>3689.2756722000004</v>
      </c>
      <c r="N156" s="199">
        <f t="shared" si="32"/>
        <v>0.25</v>
      </c>
      <c r="O156" s="32">
        <f t="shared" ca="1" si="29"/>
        <v>20489986.864880536</v>
      </c>
      <c r="P156" s="32">
        <f t="shared" ca="1" si="30"/>
        <v>19004876.701224789</v>
      </c>
      <c r="Q156" s="51"/>
      <c r="R156" s="50"/>
      <c r="T156">
        <f>'GS &gt; 50 kW'!Q156</f>
        <v>0.5</v>
      </c>
    </row>
    <row r="157" spans="1:20" x14ac:dyDescent="0.2">
      <c r="A157" s="2">
        <v>45231</v>
      </c>
      <c r="B157">
        <f t="shared" si="24"/>
        <v>2023</v>
      </c>
      <c r="C157">
        <f t="shared" si="25"/>
        <v>11</v>
      </c>
      <c r="D157" s="56"/>
      <c r="E157" s="56">
        <f t="shared" si="34"/>
        <v>1485110.1636557465</v>
      </c>
      <c r="G157" s="55">
        <f ca="1">Weather!DK71</f>
        <v>194.78330827067657</v>
      </c>
      <c r="H157" s="55">
        <f ca="1">Weather!CX71</f>
        <v>3.9940601503759012</v>
      </c>
      <c r="I157" s="251">
        <f t="shared" ca="1" si="35"/>
        <v>193.95999999999998</v>
      </c>
      <c r="J157" s="251">
        <f t="shared" ca="1" si="35"/>
        <v>2.7399999999999998</v>
      </c>
      <c r="K157" s="32">
        <f t="shared" si="28"/>
        <v>30</v>
      </c>
      <c r="L157" s="156">
        <f>'Rate Class Customer Model'!H82</f>
        <v>348.0410301191709</v>
      </c>
      <c r="M157" s="156">
        <f>Economic!F156</f>
        <v>3703.2957209000001</v>
      </c>
      <c r="N157" s="199">
        <f t="shared" si="32"/>
        <v>0.25</v>
      </c>
      <c r="O157" s="32">
        <f t="shared" ca="1" si="29"/>
        <v>20745142.697434735</v>
      </c>
      <c r="P157" s="32">
        <f t="shared" ca="1" si="30"/>
        <v>19260032.533778988</v>
      </c>
      <c r="Q157" s="51"/>
      <c r="R157" s="50"/>
      <c r="T157">
        <f>'GS &gt; 50 kW'!Q157</f>
        <v>0.5</v>
      </c>
    </row>
    <row r="158" spans="1:20" x14ac:dyDescent="0.2">
      <c r="A158" s="2">
        <v>45261</v>
      </c>
      <c r="B158">
        <f t="shared" si="24"/>
        <v>2023</v>
      </c>
      <c r="C158">
        <f t="shared" si="25"/>
        <v>12</v>
      </c>
      <c r="D158" s="56"/>
      <c r="E158" s="56">
        <f t="shared" si="34"/>
        <v>1485110.1636557465</v>
      </c>
      <c r="G158" s="55">
        <f ca="1">Weather!DK72</f>
        <v>310.90947368421075</v>
      </c>
      <c r="H158" s="55">
        <f ca="1">Weather!CX72</f>
        <v>0</v>
      </c>
      <c r="I158" s="251">
        <f t="shared" ca="1" si="35"/>
        <v>327.48000000000008</v>
      </c>
      <c r="J158" s="251">
        <f t="shared" ca="1" si="35"/>
        <v>0</v>
      </c>
      <c r="K158" s="32">
        <f t="shared" si="28"/>
        <v>31</v>
      </c>
      <c r="L158" s="156">
        <f>'Rate Class Customer Model'!H83</f>
        <v>348.99368543537759</v>
      </c>
      <c r="M158" s="156">
        <f>Economic!F157</f>
        <v>3730.8087488000001</v>
      </c>
      <c r="N158" s="199">
        <f t="shared" si="32"/>
        <v>0.25</v>
      </c>
      <c r="O158" s="32">
        <f t="shared" ca="1" si="29"/>
        <v>21815338.569938786</v>
      </c>
      <c r="P158" s="32">
        <f t="shared" ca="1" si="30"/>
        <v>20330228.40628304</v>
      </c>
      <c r="Q158" s="51"/>
      <c r="R158" s="50"/>
      <c r="T158">
        <f>'GS &gt; 50 kW'!Q158</f>
        <v>0.5</v>
      </c>
    </row>
    <row r="159" spans="1:20" x14ac:dyDescent="0.2">
      <c r="A159" s="2"/>
      <c r="B159" s="2"/>
      <c r="C159" s="2"/>
      <c r="D159" s="56"/>
      <c r="E159" s="56"/>
      <c r="G159" s="52"/>
      <c r="H159" s="52"/>
      <c r="I159" s="52"/>
      <c r="J159" s="52"/>
      <c r="K159" s="32"/>
      <c r="L159" s="32"/>
      <c r="M159" s="32"/>
      <c r="O159" s="32"/>
      <c r="P159" s="32"/>
      <c r="Q159" s="51"/>
      <c r="R159" s="116"/>
    </row>
    <row r="160" spans="1:20" x14ac:dyDescent="0.2">
      <c r="A160" s="2"/>
      <c r="B160" s="2"/>
      <c r="C160" s="2"/>
      <c r="D160" s="2"/>
      <c r="E160" s="2"/>
      <c r="G160" s="52">
        <f ca="1">SUM(G3:G159)</f>
        <v>23802.258646616545</v>
      </c>
      <c r="H160" s="52">
        <f ca="1">SUM(H3:H159)</f>
        <v>15741.181428571428</v>
      </c>
      <c r="I160" s="52"/>
      <c r="J160" s="52"/>
      <c r="K160" s="32"/>
      <c r="L160" s="32"/>
      <c r="M160" s="32"/>
      <c r="O160" s="32"/>
      <c r="P160" s="32"/>
      <c r="Q160" s="51"/>
      <c r="R160" s="50"/>
    </row>
    <row r="161" spans="1:40" x14ac:dyDescent="0.2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32"/>
      <c r="M161" s="32"/>
      <c r="O161" s="32"/>
      <c r="P161" s="32"/>
      <c r="Q161" s="51"/>
      <c r="R161" s="50"/>
    </row>
    <row r="162" spans="1:40" x14ac:dyDescent="0.2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32"/>
      <c r="M162" s="32"/>
      <c r="O162" s="32"/>
      <c r="P162" s="32"/>
      <c r="Q162" s="51"/>
      <c r="R162" s="50"/>
    </row>
    <row r="163" spans="1:40" x14ac:dyDescent="0.2">
      <c r="A163" s="2"/>
      <c r="B163" s="2"/>
      <c r="C163" s="2"/>
      <c r="D163" s="2"/>
      <c r="E163" s="2"/>
      <c r="K163" s="26"/>
      <c r="N163" s="26"/>
      <c r="AF163" s="39"/>
      <c r="AG163" s="39"/>
      <c r="AH163" s="39"/>
    </row>
    <row r="164" spans="1:40" x14ac:dyDescent="0.2">
      <c r="A164" s="2"/>
      <c r="B164" s="2"/>
      <c r="C164" s="2"/>
      <c r="D164" s="2"/>
      <c r="E164" s="2"/>
      <c r="H164" s="320" t="s">
        <v>287</v>
      </c>
      <c r="I164" s="320"/>
      <c r="J164" s="320"/>
      <c r="K164" s="320"/>
      <c r="O164" s="26">
        <f ca="1">SUM(O3:O158)</f>
        <v>2886225784.5986247</v>
      </c>
      <c r="P164" s="26"/>
      <c r="AF164"/>
      <c r="AG164"/>
      <c r="AH164"/>
      <c r="AI164"/>
      <c r="AJ164"/>
      <c r="AK164"/>
      <c r="AL164"/>
      <c r="AM164"/>
      <c r="AN164"/>
    </row>
    <row r="165" spans="1:40" x14ac:dyDescent="0.2">
      <c r="A165" s="2"/>
      <c r="B165" s="2"/>
      <c r="C165" s="2"/>
      <c r="D165" s="2"/>
      <c r="E165" s="2"/>
      <c r="AF165"/>
      <c r="AG165"/>
      <c r="AH165"/>
      <c r="AI165"/>
      <c r="AJ165"/>
      <c r="AK165"/>
      <c r="AL165"/>
      <c r="AM165"/>
      <c r="AN165"/>
    </row>
    <row r="166" spans="1:40" x14ac:dyDescent="0.2">
      <c r="A166" s="2"/>
      <c r="B166" s="2"/>
      <c r="C166" s="2"/>
      <c r="D166" s="148" t="s">
        <v>288</v>
      </c>
      <c r="E166" s="148" t="s">
        <v>270</v>
      </c>
      <c r="F166" s="39" t="s">
        <v>271</v>
      </c>
      <c r="O166" s="57"/>
      <c r="Q166" s="80" t="s">
        <v>289</v>
      </c>
      <c r="R166" s="80" t="s">
        <v>270</v>
      </c>
      <c r="S166" s="80" t="s">
        <v>290</v>
      </c>
      <c r="T166" s="260" t="s">
        <v>337</v>
      </c>
      <c r="U166" s="260" t="s">
        <v>338</v>
      </c>
      <c r="AF166"/>
      <c r="AG166"/>
      <c r="AH166"/>
      <c r="AI166"/>
      <c r="AJ166"/>
      <c r="AK166"/>
      <c r="AL166"/>
      <c r="AM166"/>
      <c r="AN166"/>
    </row>
    <row r="167" spans="1:40" x14ac:dyDescent="0.2">
      <c r="A167" s="11">
        <v>2011</v>
      </c>
      <c r="B167" s="11"/>
      <c r="C167" s="11"/>
      <c r="D167" s="41">
        <f>SUMIF(B:B,A167,D:D)</f>
        <v>192782769.75999996</v>
      </c>
      <c r="E167" s="41">
        <f>SUMIF(B:B,A167,E:E)</f>
        <v>1113393.2546150328</v>
      </c>
      <c r="F167" s="5">
        <f>SUMIF(B:B,A167,F:F)</f>
        <v>193896163.01461503</v>
      </c>
      <c r="O167" s="57"/>
      <c r="Q167" s="5">
        <f ca="1">SUMIF(B:B,A167,O:O)</f>
        <v>193767586.73445946</v>
      </c>
      <c r="R167" s="57">
        <f>'Historic CDM'!O5</f>
        <v>1113393.2546150328</v>
      </c>
      <c r="S167" s="57">
        <f ca="1">SUMIF(B:B,A167,P:P)</f>
        <v>192654193.47984442</v>
      </c>
      <c r="AF167"/>
      <c r="AG167"/>
      <c r="AH167"/>
      <c r="AI167"/>
      <c r="AJ167"/>
      <c r="AK167"/>
      <c r="AL167"/>
      <c r="AM167"/>
      <c r="AN167"/>
    </row>
    <row r="168" spans="1:40" x14ac:dyDescent="0.2">
      <c r="A168" s="11">
        <f>A167+1</f>
        <v>2012</v>
      </c>
      <c r="B168" s="11"/>
      <c r="C168" s="11"/>
      <c r="D168" s="41">
        <f t="shared" ref="D168:D176" si="36">SUMIF(B:B,A168,D:D)</f>
        <v>194206572.97999996</v>
      </c>
      <c r="E168" s="41">
        <f t="shared" ref="E168:E177" si="37">SUMIF(B:B,A168,E:E)</f>
        <v>2745090.4018907608</v>
      </c>
      <c r="F168" s="5">
        <f t="shared" ref="F168:F177" si="38">SUMIF(B:B,A168,F:F)</f>
        <v>196951663.38189071</v>
      </c>
      <c r="O168" s="57"/>
      <c r="Q168" s="5">
        <f t="shared" ref="Q168:Q179" ca="1" si="39">SUMIF(B:B,A168,O:O)</f>
        <v>198469050.7049278</v>
      </c>
      <c r="R168" s="57">
        <f>'Historic CDM'!O6</f>
        <v>2745090.4018907612</v>
      </c>
      <c r="S168" s="57">
        <f t="shared" ref="S168:S179" ca="1" si="40">SUMIF(B:B,A168,P:P)</f>
        <v>195723960.30303705</v>
      </c>
      <c r="AF168"/>
      <c r="AG168"/>
      <c r="AH168"/>
      <c r="AI168"/>
      <c r="AJ168"/>
      <c r="AK168"/>
      <c r="AL168"/>
      <c r="AM168"/>
      <c r="AN168"/>
    </row>
    <row r="169" spans="1:40" x14ac:dyDescent="0.2">
      <c r="A169" s="11">
        <f t="shared" ref="A169:A179" si="41">A168+1</f>
        <v>2013</v>
      </c>
      <c r="B169" s="11"/>
      <c r="C169" s="11"/>
      <c r="D169" s="41">
        <f t="shared" si="36"/>
        <v>203179610.86000001</v>
      </c>
      <c r="E169" s="41">
        <f t="shared" si="37"/>
        <v>4136126.0645098011</v>
      </c>
      <c r="F169" s="5">
        <f t="shared" si="38"/>
        <v>207315736.92450976</v>
      </c>
      <c r="O169" s="57"/>
      <c r="Q169" s="5">
        <f t="shared" ca="1" si="39"/>
        <v>207322270.70030788</v>
      </c>
      <c r="R169" s="57">
        <f>'Historic CDM'!O7</f>
        <v>4136126.0645098006</v>
      </c>
      <c r="S169" s="57">
        <f t="shared" ca="1" si="40"/>
        <v>203186144.63579804</v>
      </c>
      <c r="AF169"/>
      <c r="AG169"/>
      <c r="AH169"/>
      <c r="AI169"/>
      <c r="AJ169"/>
      <c r="AK169"/>
      <c r="AL169"/>
      <c r="AM169"/>
      <c r="AN169"/>
    </row>
    <row r="170" spans="1:40" x14ac:dyDescent="0.2">
      <c r="A170" s="11">
        <f t="shared" si="41"/>
        <v>2014</v>
      </c>
      <c r="D170" s="41">
        <f t="shared" si="36"/>
        <v>204924669.72999999</v>
      </c>
      <c r="E170" s="41">
        <f t="shared" si="37"/>
        <v>5768742.227565065</v>
      </c>
      <c r="F170" s="5">
        <f t="shared" si="38"/>
        <v>210693411.95756504</v>
      </c>
      <c r="O170" s="57"/>
      <c r="Q170" s="5">
        <f t="shared" ca="1" si="39"/>
        <v>209685622.49223757</v>
      </c>
      <c r="R170" s="57">
        <f>'Historic CDM'!O8</f>
        <v>5768742.227565066</v>
      </c>
      <c r="S170" s="57">
        <f t="shared" ca="1" si="40"/>
        <v>203916880.26467252</v>
      </c>
      <c r="AF170"/>
      <c r="AG170"/>
      <c r="AH170"/>
      <c r="AI170"/>
      <c r="AJ170"/>
      <c r="AK170"/>
      <c r="AL170"/>
      <c r="AM170"/>
      <c r="AN170"/>
    </row>
    <row r="171" spans="1:40" x14ac:dyDescent="0.2">
      <c r="A171" s="11">
        <f t="shared" si="41"/>
        <v>2015</v>
      </c>
      <c r="B171" s="11"/>
      <c r="C171" s="11"/>
      <c r="D171" s="41">
        <f t="shared" si="36"/>
        <v>205449544.32771084</v>
      </c>
      <c r="E171" s="41">
        <f t="shared" si="37"/>
        <v>6660535.9734396851</v>
      </c>
      <c r="F171" s="5">
        <f t="shared" si="38"/>
        <v>212110080.3011505</v>
      </c>
      <c r="O171" s="57"/>
      <c r="Q171" s="5">
        <f t="shared" ca="1" si="39"/>
        <v>211640671.0567247</v>
      </c>
      <c r="R171" s="57">
        <f>'Historic CDM'!O9</f>
        <v>6660535.9734396851</v>
      </c>
      <c r="S171" s="57">
        <f t="shared" ca="1" si="40"/>
        <v>204980135.08328506</v>
      </c>
      <c r="AF171"/>
      <c r="AG171"/>
      <c r="AH171"/>
      <c r="AI171"/>
      <c r="AJ171"/>
      <c r="AK171"/>
      <c r="AL171"/>
      <c r="AM171"/>
      <c r="AN171"/>
    </row>
    <row r="172" spans="1:40" x14ac:dyDescent="0.2">
      <c r="A172" s="11">
        <f t="shared" si="41"/>
        <v>2016</v>
      </c>
      <c r="D172" s="41">
        <f t="shared" si="36"/>
        <v>204715589.59036142</v>
      </c>
      <c r="E172" s="41">
        <f t="shared" si="37"/>
        <v>7892962.8518290883</v>
      </c>
      <c r="F172" s="5">
        <f t="shared" si="38"/>
        <v>212608552.4421905</v>
      </c>
      <c r="O172" s="57"/>
      <c r="Q172" s="5">
        <f t="shared" ca="1" si="39"/>
        <v>211977098.2725001</v>
      </c>
      <c r="R172" s="57">
        <f>'Historic CDM'!O10</f>
        <v>7892962.8518290874</v>
      </c>
      <c r="S172" s="57">
        <f t="shared" ca="1" si="40"/>
        <v>204084135.42067096</v>
      </c>
      <c r="AF172"/>
      <c r="AG172"/>
      <c r="AH172"/>
      <c r="AI172"/>
      <c r="AJ172"/>
      <c r="AK172"/>
      <c r="AL172"/>
      <c r="AM172"/>
      <c r="AN172"/>
    </row>
    <row r="173" spans="1:40" x14ac:dyDescent="0.2">
      <c r="A173" s="11">
        <f t="shared" si="41"/>
        <v>2017</v>
      </c>
      <c r="B173" s="11"/>
      <c r="C173" s="11"/>
      <c r="D173" s="41">
        <f t="shared" si="36"/>
        <v>213633991.96144572</v>
      </c>
      <c r="E173" s="41">
        <f t="shared" si="37"/>
        <v>12308944.998419365</v>
      </c>
      <c r="F173" s="5">
        <f t="shared" si="38"/>
        <v>225942936.95986509</v>
      </c>
      <c r="O173" s="57"/>
      <c r="Q173" s="5">
        <f t="shared" ca="1" si="39"/>
        <v>226834816.02063075</v>
      </c>
      <c r="R173" s="57">
        <f>'Historic CDM'!O11</f>
        <v>12308944.998419363</v>
      </c>
      <c r="S173" s="57">
        <f t="shared" ca="1" si="40"/>
        <v>214525871.02221137</v>
      </c>
      <c r="AF173"/>
      <c r="AG173"/>
      <c r="AH173"/>
      <c r="AI173"/>
      <c r="AJ173"/>
      <c r="AK173"/>
      <c r="AL173"/>
      <c r="AM173"/>
      <c r="AN173"/>
    </row>
    <row r="174" spans="1:40" x14ac:dyDescent="0.2">
      <c r="A174" s="11">
        <f t="shared" si="41"/>
        <v>2018</v>
      </c>
      <c r="D174" s="41">
        <f t="shared" si="36"/>
        <v>221806792.86746988</v>
      </c>
      <c r="E174" s="41">
        <f t="shared" si="37"/>
        <v>17083005.325519945</v>
      </c>
      <c r="F174" s="5">
        <f t="shared" si="38"/>
        <v>238889798.19298983</v>
      </c>
      <c r="O174" s="57"/>
      <c r="Q174" s="5">
        <f t="shared" ca="1" si="39"/>
        <v>237350068.22221723</v>
      </c>
      <c r="R174" s="57">
        <f>'Historic CDM'!O12</f>
        <v>17083005.325519945</v>
      </c>
      <c r="S174" s="57">
        <f t="shared" ca="1" si="40"/>
        <v>220267062.89669731</v>
      </c>
      <c r="AF174"/>
      <c r="AG174"/>
      <c r="AH174"/>
      <c r="AI174"/>
      <c r="AJ174"/>
      <c r="AK174"/>
      <c r="AL174"/>
      <c r="AM174"/>
      <c r="AN174"/>
    </row>
    <row r="175" spans="1:40" x14ac:dyDescent="0.2">
      <c r="A175" s="11">
        <f t="shared" si="41"/>
        <v>2019</v>
      </c>
      <c r="B175" s="11"/>
      <c r="C175" s="11"/>
      <c r="D175" s="41">
        <f t="shared" si="36"/>
        <v>220154820.13493976</v>
      </c>
      <c r="E175" s="41">
        <f t="shared" si="37"/>
        <v>19187967.141494256</v>
      </c>
      <c r="F175" s="5">
        <f t="shared" si="38"/>
        <v>239342787.27643397</v>
      </c>
      <c r="O175" s="57"/>
      <c r="Q175" s="5">
        <f t="shared" ca="1" si="39"/>
        <v>239331013.06031072</v>
      </c>
      <c r="R175" s="57">
        <f>'Historic CDM'!O13</f>
        <v>19187967.141494252</v>
      </c>
      <c r="S175" s="57">
        <f t="shared" ca="1" si="40"/>
        <v>220143045.91881645</v>
      </c>
      <c r="AF175"/>
      <c r="AG175"/>
      <c r="AH175"/>
      <c r="AI175"/>
      <c r="AJ175"/>
      <c r="AK175"/>
      <c r="AL175"/>
      <c r="AM175"/>
      <c r="AN175"/>
    </row>
    <row r="176" spans="1:40" x14ac:dyDescent="0.2">
      <c r="A176" s="11">
        <f t="shared" si="41"/>
        <v>2020</v>
      </c>
      <c r="D176" s="41">
        <f t="shared" si="36"/>
        <v>209733279.5373494</v>
      </c>
      <c r="E176" s="41">
        <f t="shared" si="37"/>
        <v>19633009.963500582</v>
      </c>
      <c r="F176" s="5">
        <f t="shared" si="38"/>
        <v>229366289.50085002</v>
      </c>
      <c r="O176" s="57"/>
      <c r="Q176" s="5">
        <f t="shared" ca="1" si="39"/>
        <v>230198300.05135193</v>
      </c>
      <c r="R176" s="57">
        <f>'Historic CDM'!O14</f>
        <v>19633009.963500582</v>
      </c>
      <c r="S176" s="57">
        <f t="shared" ca="1" si="40"/>
        <v>210565290.08785135</v>
      </c>
      <c r="T176" s="5"/>
      <c r="AF176"/>
      <c r="AG176"/>
      <c r="AH176"/>
      <c r="AI176"/>
      <c r="AJ176"/>
      <c r="AK176"/>
      <c r="AL176"/>
      <c r="AM176"/>
      <c r="AN176"/>
    </row>
    <row r="177" spans="1:40" x14ac:dyDescent="0.2">
      <c r="A177" s="11">
        <f t="shared" si="41"/>
        <v>2021</v>
      </c>
      <c r="B177" s="11"/>
      <c r="C177" s="11"/>
      <c r="D177" s="41">
        <f>SUMIF(B:B,A177,D:D)</f>
        <v>214209551.57590359</v>
      </c>
      <c r="E177" s="41">
        <f t="shared" si="37"/>
        <v>19572923.582774989</v>
      </c>
      <c r="F177" s="5">
        <f t="shared" si="38"/>
        <v>233782475.15867856</v>
      </c>
      <c r="O177" s="57"/>
      <c r="Q177" s="5">
        <f t="shared" ca="1" si="39"/>
        <v>234194821.5149155</v>
      </c>
      <c r="R177" s="57">
        <f>'Historic CDM'!O15</f>
        <v>19572923.582774989</v>
      </c>
      <c r="S177" s="57">
        <f t="shared" ca="1" si="40"/>
        <v>214621897.93214053</v>
      </c>
      <c r="T177" s="5"/>
      <c r="AF177"/>
      <c r="AG177"/>
      <c r="AH177"/>
      <c r="AI177"/>
      <c r="AJ177"/>
      <c r="AK177"/>
      <c r="AL177"/>
      <c r="AM177"/>
      <c r="AN177"/>
    </row>
    <row r="178" spans="1:40" x14ac:dyDescent="0.2">
      <c r="A178" s="11">
        <f t="shared" si="41"/>
        <v>2022</v>
      </c>
      <c r="B178" s="11"/>
      <c r="C178" s="11"/>
      <c r="D178" s="41"/>
      <c r="E178" s="41"/>
      <c r="O178" s="57"/>
      <c r="Q178" s="5">
        <f t="shared" ca="1" si="39"/>
        <v>238560987.25910881</v>
      </c>
      <c r="R178" s="57">
        <f>'Historic CDM'!O16</f>
        <v>18898331.789018571</v>
      </c>
      <c r="S178" s="57">
        <f t="shared" ca="1" si="40"/>
        <v>219662655.4700903</v>
      </c>
      <c r="T178" s="29">
        <f>'Rate Class Energy Model'!$E$20</f>
        <v>8236461.1556725316</v>
      </c>
      <c r="U178" s="62">
        <f ca="1">S178-T178</f>
        <v>211426194.31441778</v>
      </c>
      <c r="AF178"/>
      <c r="AG178"/>
      <c r="AH178"/>
      <c r="AI178"/>
      <c r="AJ178"/>
      <c r="AK178"/>
      <c r="AL178"/>
      <c r="AM178"/>
      <c r="AN178"/>
    </row>
    <row r="179" spans="1:40" x14ac:dyDescent="0.2">
      <c r="A179" s="11">
        <f t="shared" si="41"/>
        <v>2023</v>
      </c>
      <c r="D179" s="41"/>
      <c r="E179" s="41"/>
      <c r="K179" s="43"/>
      <c r="L179" s="43"/>
      <c r="M179" s="43"/>
      <c r="O179" s="54"/>
      <c r="P179" s="43"/>
      <c r="Q179" s="5">
        <f t="shared" ca="1" si="39"/>
        <v>246893478.50893232</v>
      </c>
      <c r="R179" s="57">
        <f>'Historic CDM'!O17</f>
        <v>17821321.963868957</v>
      </c>
      <c r="S179" s="57">
        <f t="shared" ca="1" si="40"/>
        <v>229072156.54506338</v>
      </c>
      <c r="T179" s="29">
        <f>'Rate Class Energy Model'!$E$20</f>
        <v>8236461.1556725316</v>
      </c>
      <c r="U179" s="62">
        <f ca="1">S179-T179</f>
        <v>220835695.38939086</v>
      </c>
      <c r="AF179"/>
      <c r="AG179"/>
      <c r="AH179"/>
      <c r="AI179"/>
      <c r="AJ179"/>
      <c r="AK179"/>
      <c r="AL179"/>
      <c r="AM179"/>
      <c r="AN179"/>
    </row>
    <row r="180" spans="1:40" x14ac:dyDescent="0.2">
      <c r="A180" s="28" t="s">
        <v>300</v>
      </c>
      <c r="B180" s="28"/>
      <c r="C180" s="28"/>
      <c r="D180" s="28"/>
      <c r="E180" s="28"/>
      <c r="L180" s="57"/>
      <c r="M180" s="57"/>
      <c r="P180" s="5"/>
      <c r="Q180" s="5"/>
      <c r="R180" s="5"/>
      <c r="S180" s="1"/>
      <c r="AF180"/>
      <c r="AG180"/>
      <c r="AH180"/>
      <c r="AI180"/>
      <c r="AJ180"/>
      <c r="AK180"/>
      <c r="AL180"/>
      <c r="AM180"/>
      <c r="AN180"/>
    </row>
    <row r="181" spans="1:40" x14ac:dyDescent="0.2">
      <c r="L181" s="57"/>
      <c r="M181" s="57"/>
      <c r="S181" s="1"/>
      <c r="AF181"/>
      <c r="AG181"/>
      <c r="AH181"/>
      <c r="AI181"/>
      <c r="AJ181"/>
      <c r="AK181"/>
      <c r="AL181"/>
      <c r="AM181"/>
      <c r="AN181"/>
    </row>
    <row r="182" spans="1:40" x14ac:dyDescent="0.2">
      <c r="G182" s="53"/>
      <c r="H182" s="43"/>
      <c r="I182" s="43"/>
      <c r="J182" s="43"/>
      <c r="K182" s="43"/>
      <c r="L182" s="54"/>
      <c r="M182" s="54"/>
      <c r="N182" s="43"/>
      <c r="S182" s="41"/>
    </row>
    <row r="184" spans="1:40" x14ac:dyDescent="0.2">
      <c r="S184" s="41"/>
    </row>
    <row r="185" spans="1:40" x14ac:dyDescent="0.2">
      <c r="S185" s="41"/>
    </row>
    <row r="190" spans="1:40" x14ac:dyDescent="0.2">
      <c r="AF190" s="39"/>
      <c r="AG190" s="39"/>
      <c r="AH190" s="39"/>
    </row>
  </sheetData>
  <mergeCells count="4">
    <mergeCell ref="A1:G1"/>
    <mergeCell ref="AF4:AG4"/>
    <mergeCell ref="AH19:AI19"/>
    <mergeCell ref="H164:K164"/>
  </mergeCells>
  <pageMargins left="0.39370078740157483" right="0.74803149606299213" top="0.55118110236220474" bottom="0.55118110236220474" header="0.51181102362204722" footer="0.51181102362204722"/>
  <pageSetup orientation="portrait" r:id="rId1"/>
  <headerFooter alignWithMargins="0"/>
  <rowBreaks count="1" manualBreakCount="1">
    <brk id="110" max="38" man="1"/>
  </rowBreaks>
  <colBreaks count="2" manualBreakCount="2">
    <brk id="18" max="1048575" man="1"/>
    <brk id="28" max="222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E5B94-55EE-4FA7-912F-69482BDDAD0A}">
  <sheetPr>
    <tabColor rgb="FFFFFF00"/>
  </sheetPr>
  <dimension ref="B1:AI46"/>
  <sheetViews>
    <sheetView topLeftCell="J1" workbookViewId="0">
      <selection activeCell="C30" sqref="C30"/>
    </sheetView>
  </sheetViews>
  <sheetFormatPr defaultRowHeight="12.75" x14ac:dyDescent="0.2"/>
  <cols>
    <col min="2" max="2" width="32.28515625" customWidth="1"/>
    <col min="3" max="3" width="23.28515625" customWidth="1"/>
    <col min="4" max="4" width="16.7109375" customWidth="1"/>
    <col min="5" max="5" width="18" customWidth="1"/>
    <col min="7" max="7" width="3.5703125" customWidth="1"/>
    <col min="8" max="8" width="24.85546875" customWidth="1"/>
    <col min="10" max="10" width="11.28515625" customWidth="1"/>
    <col min="11" max="13" width="12" customWidth="1"/>
    <col min="14" max="14" width="12" hidden="1" customWidth="1"/>
    <col min="15" max="19" width="12" customWidth="1"/>
    <col min="20" max="20" width="4.28515625" customWidth="1"/>
    <col min="22" max="22" width="4.85546875" customWidth="1"/>
    <col min="23" max="23" width="25.85546875" customWidth="1"/>
    <col min="25" max="25" width="10.28515625" bestFit="1" customWidth="1"/>
    <col min="26" max="26" width="12.140625" customWidth="1"/>
    <col min="27" max="28" width="10" customWidth="1"/>
    <col min="29" max="29" width="10" hidden="1" customWidth="1"/>
    <col min="30" max="33" width="10" customWidth="1"/>
    <col min="34" max="34" width="11.5703125" customWidth="1"/>
    <col min="35" max="35" width="7.5703125" customWidth="1"/>
  </cols>
  <sheetData>
    <row r="1" spans="2:35" ht="13.5" thickBot="1" x14ac:dyDescent="0.25"/>
    <row r="2" spans="2:35" x14ac:dyDescent="0.2">
      <c r="G2" s="275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7"/>
      <c r="V2" s="275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7"/>
    </row>
    <row r="3" spans="2:35" ht="15" x14ac:dyDescent="0.25">
      <c r="G3" s="278"/>
      <c r="H3" s="335" t="s">
        <v>345</v>
      </c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279"/>
      <c r="V3" s="278"/>
      <c r="W3" s="335" t="s">
        <v>346</v>
      </c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279"/>
    </row>
    <row r="4" spans="2:35" ht="13.5" thickBot="1" x14ac:dyDescent="0.25">
      <c r="G4" s="278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79"/>
      <c r="V4" s="278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79"/>
    </row>
    <row r="5" spans="2:35" ht="13.5" thickBot="1" x14ac:dyDescent="0.25">
      <c r="G5" s="278"/>
      <c r="H5" s="280"/>
      <c r="I5" s="280"/>
      <c r="J5" s="281"/>
      <c r="K5" s="164">
        <v>1</v>
      </c>
      <c r="L5" s="165">
        <v>2</v>
      </c>
      <c r="M5" s="165">
        <v>3</v>
      </c>
      <c r="N5" s="165">
        <v>4</v>
      </c>
      <c r="O5" s="165">
        <v>5</v>
      </c>
      <c r="P5" s="165">
        <v>6</v>
      </c>
      <c r="Q5" s="165">
        <v>7</v>
      </c>
      <c r="R5" s="165">
        <v>8</v>
      </c>
      <c r="S5" s="165">
        <v>9</v>
      </c>
      <c r="T5" s="279"/>
      <c r="V5" s="278"/>
      <c r="W5" s="280"/>
      <c r="X5" s="280"/>
      <c r="Y5" s="281"/>
      <c r="Z5" s="164">
        <v>1</v>
      </c>
      <c r="AA5" s="165">
        <v>2</v>
      </c>
      <c r="AB5" s="165">
        <v>3</v>
      </c>
      <c r="AC5" s="165">
        <v>4</v>
      </c>
      <c r="AD5" s="165">
        <v>5</v>
      </c>
      <c r="AE5" s="165">
        <v>6</v>
      </c>
      <c r="AF5" s="165">
        <v>7</v>
      </c>
      <c r="AG5" s="165">
        <v>8</v>
      </c>
      <c r="AH5" s="165">
        <v>9</v>
      </c>
      <c r="AI5" s="279"/>
    </row>
    <row r="6" spans="2:35" ht="45.75" customHeight="1" thickBot="1" x14ac:dyDescent="0.3">
      <c r="B6" s="157" t="s">
        <v>205</v>
      </c>
      <c r="C6" s="157" t="s">
        <v>206</v>
      </c>
      <c r="D6" s="158" t="s">
        <v>207</v>
      </c>
      <c r="E6" s="158" t="s">
        <v>208</v>
      </c>
      <c r="G6" s="278"/>
      <c r="H6" s="336" t="s">
        <v>209</v>
      </c>
      <c r="I6" s="336"/>
      <c r="J6" s="166" t="s">
        <v>63</v>
      </c>
      <c r="K6" s="167" t="s">
        <v>57</v>
      </c>
      <c r="L6" s="168" t="s">
        <v>210</v>
      </c>
      <c r="M6" s="168" t="s">
        <v>59</v>
      </c>
      <c r="N6" s="168" t="s">
        <v>211</v>
      </c>
      <c r="O6" s="168" t="s">
        <v>60</v>
      </c>
      <c r="P6" s="168" t="s">
        <v>212</v>
      </c>
      <c r="Q6" s="168" t="s">
        <v>213</v>
      </c>
      <c r="R6" s="168" t="s">
        <v>214</v>
      </c>
      <c r="S6" s="168" t="s">
        <v>215</v>
      </c>
      <c r="T6" s="279"/>
      <c r="V6" s="278"/>
      <c r="W6" s="336" t="s">
        <v>209</v>
      </c>
      <c r="X6" s="336"/>
      <c r="Y6" s="166" t="s">
        <v>63</v>
      </c>
      <c r="Z6" s="167" t="s">
        <v>57</v>
      </c>
      <c r="AA6" s="168" t="s">
        <v>210</v>
      </c>
      <c r="AB6" s="168" t="s">
        <v>59</v>
      </c>
      <c r="AC6" s="168" t="s">
        <v>211</v>
      </c>
      <c r="AD6" s="168" t="s">
        <v>60</v>
      </c>
      <c r="AE6" s="168" t="s">
        <v>212</v>
      </c>
      <c r="AF6" s="168" t="s">
        <v>213</v>
      </c>
      <c r="AG6" s="168" t="s">
        <v>214</v>
      </c>
      <c r="AH6" s="168" t="s">
        <v>215</v>
      </c>
      <c r="AI6" s="279"/>
    </row>
    <row r="7" spans="2:35" x14ac:dyDescent="0.2">
      <c r="B7" s="159" t="s">
        <v>57</v>
      </c>
      <c r="C7" s="160">
        <v>180727341</v>
      </c>
      <c r="D7" s="160">
        <v>309752959</v>
      </c>
      <c r="E7" s="161" t="s">
        <v>216</v>
      </c>
      <c r="G7" s="278"/>
      <c r="H7" s="280"/>
      <c r="I7" s="280"/>
      <c r="J7" s="169"/>
      <c r="K7" s="282"/>
      <c r="L7" s="282"/>
      <c r="M7" s="282"/>
      <c r="N7" s="282"/>
      <c r="O7" s="282"/>
      <c r="P7" s="282"/>
      <c r="Q7" s="282"/>
      <c r="R7" s="282"/>
      <c r="S7" s="282"/>
      <c r="T7" s="279"/>
      <c r="V7" s="278"/>
      <c r="W7" s="280"/>
      <c r="X7" s="280"/>
      <c r="Y7" s="169"/>
      <c r="Z7" s="282"/>
      <c r="AA7" s="282"/>
      <c r="AB7" s="282"/>
      <c r="AC7" s="282"/>
      <c r="AD7" s="282"/>
      <c r="AE7" s="282"/>
      <c r="AF7" s="282"/>
      <c r="AG7" s="282"/>
      <c r="AH7" s="282"/>
      <c r="AI7" s="279"/>
    </row>
    <row r="8" spans="2:35" x14ac:dyDescent="0.2">
      <c r="B8" s="159" t="s">
        <v>217</v>
      </c>
      <c r="C8" s="160">
        <v>63397758</v>
      </c>
      <c r="D8" s="160">
        <v>92617956</v>
      </c>
      <c r="E8" s="161" t="s">
        <v>218</v>
      </c>
      <c r="G8" s="278"/>
      <c r="H8" s="280"/>
      <c r="I8" s="283"/>
      <c r="J8" s="170"/>
      <c r="K8" s="284"/>
      <c r="L8" s="282"/>
      <c r="M8" s="284"/>
      <c r="N8" s="282"/>
      <c r="O8" s="284"/>
      <c r="P8" s="282"/>
      <c r="Q8" s="284"/>
      <c r="R8" s="284"/>
      <c r="S8" s="282"/>
      <c r="T8" s="279"/>
      <c r="V8" s="278"/>
      <c r="W8" s="280"/>
      <c r="X8" s="283"/>
      <c r="Y8" s="170"/>
      <c r="Z8" s="284"/>
      <c r="AA8" s="282"/>
      <c r="AB8" s="284"/>
      <c r="AC8" s="282"/>
      <c r="AD8" s="284"/>
      <c r="AE8" s="282"/>
      <c r="AF8" s="284"/>
      <c r="AG8" s="284"/>
      <c r="AH8" s="282"/>
      <c r="AI8" s="279"/>
    </row>
    <row r="9" spans="2:35" ht="13.5" thickBot="1" x14ac:dyDescent="0.25">
      <c r="B9" s="159" t="s">
        <v>219</v>
      </c>
      <c r="C9" s="160">
        <v>164770833</v>
      </c>
      <c r="D9" s="160">
        <v>205340394</v>
      </c>
      <c r="E9" s="161" t="s">
        <v>220</v>
      </c>
      <c r="G9" s="278"/>
      <c r="H9" s="280"/>
      <c r="I9" s="283"/>
      <c r="J9" s="170"/>
      <c r="K9" s="284"/>
      <c r="L9" s="282"/>
      <c r="M9" s="284"/>
      <c r="N9" s="282"/>
      <c r="O9" s="284"/>
      <c r="P9" s="282"/>
      <c r="Q9" s="284"/>
      <c r="R9" s="284"/>
      <c r="S9" s="282"/>
      <c r="T9" s="279"/>
      <c r="V9" s="278"/>
      <c r="W9" s="280"/>
      <c r="X9" s="283"/>
      <c r="Y9" s="170"/>
      <c r="Z9" s="284"/>
      <c r="AA9" s="282"/>
      <c r="AB9" s="284"/>
      <c r="AC9" s="282"/>
      <c r="AD9" s="284"/>
      <c r="AE9" s="282"/>
      <c r="AF9" s="284"/>
      <c r="AG9" s="284"/>
      <c r="AH9" s="282"/>
      <c r="AI9" s="279"/>
    </row>
    <row r="10" spans="2:35" ht="14.25" thickTop="1" thickBot="1" x14ac:dyDescent="0.25">
      <c r="B10" s="159" t="s">
        <v>221</v>
      </c>
      <c r="C10" s="160">
        <v>119214676</v>
      </c>
      <c r="D10" s="160">
        <v>109869211</v>
      </c>
      <c r="E10" s="161" t="s">
        <v>222</v>
      </c>
      <c r="G10" s="278"/>
      <c r="H10" s="337" t="s">
        <v>223</v>
      </c>
      <c r="I10" s="338"/>
      <c r="J10" s="171"/>
      <c r="K10" s="286"/>
      <c r="L10" s="287"/>
      <c r="M10" s="286"/>
      <c r="N10" s="287"/>
      <c r="O10" s="286"/>
      <c r="P10" s="287"/>
      <c r="Q10" s="286"/>
      <c r="R10" s="286"/>
      <c r="S10" s="287"/>
      <c r="T10" s="279"/>
      <c r="V10" s="278"/>
      <c r="W10" s="337" t="s">
        <v>223</v>
      </c>
      <c r="X10" s="338"/>
      <c r="Y10" s="171"/>
      <c r="Z10" s="285">
        <f ca="1">OFFSET($E$18,COLUMN()-COLUMN($Z$13),0)</f>
        <v>1.1409910647547061</v>
      </c>
      <c r="AA10" s="285">
        <f ca="1">OFFSET($E$18,COLUMN()-COLUMN($Z$13),0)</f>
        <v>0.94729990582703671</v>
      </c>
      <c r="AB10" s="285">
        <f ca="1">OFFSET($E$18,COLUMN()-COLUMN($Z$13),0)</f>
        <v>1.0755839047978588</v>
      </c>
      <c r="AC10" s="285"/>
      <c r="AD10" s="285">
        <f ca="1">OFFSET($E$18,COLUMN()-COLUMN($Z$13)-1,0)</f>
        <v>0.94309779993891796</v>
      </c>
      <c r="AE10" s="285">
        <f ca="1">OFFSET($E$18,COLUMN()-COLUMN($Z$13)-1,0)</f>
        <v>0.98438969323180392</v>
      </c>
      <c r="AF10" s="285">
        <f ca="1">OFFSET($E$18,COLUMN()-COLUMN($Z$13)-1,0)</f>
        <v>0.90142394181969676</v>
      </c>
      <c r="AG10" s="285">
        <f ca="1">OFFSET($E$18,COLUMN()-COLUMN($Z$13)-1,0)</f>
        <v>0.92532925761852325</v>
      </c>
      <c r="AH10" s="285">
        <f ca="1">OFFSET($E$18,COLUMN()-COLUMN($Z$13)-1,0)</f>
        <v>0.973886228804</v>
      </c>
      <c r="AI10" s="279"/>
    </row>
    <row r="11" spans="2:35" ht="13.5" thickTop="1" x14ac:dyDescent="0.2">
      <c r="B11" s="159" t="s">
        <v>201</v>
      </c>
      <c r="C11" s="160">
        <v>84667930</v>
      </c>
      <c r="D11" s="160">
        <v>133210761</v>
      </c>
      <c r="E11" s="161" t="s">
        <v>224</v>
      </c>
      <c r="G11" s="278"/>
      <c r="H11" s="172"/>
      <c r="I11" s="173"/>
      <c r="J11" s="171"/>
      <c r="K11" s="286"/>
      <c r="L11" s="287"/>
      <c r="M11" s="286"/>
      <c r="N11" s="287"/>
      <c r="O11" s="286"/>
      <c r="P11" s="287"/>
      <c r="Q11" s="286"/>
      <c r="R11" s="286"/>
      <c r="S11" s="287"/>
      <c r="T11" s="279"/>
      <c r="V11" s="278"/>
      <c r="W11" s="172"/>
      <c r="X11" s="173"/>
      <c r="Y11" s="171"/>
      <c r="Z11" s="286"/>
      <c r="AA11" s="287"/>
      <c r="AB11" s="286"/>
      <c r="AC11" s="287"/>
      <c r="AD11" s="286"/>
      <c r="AE11" s="287"/>
      <c r="AF11" s="286"/>
      <c r="AG11" s="286"/>
      <c r="AH11" s="287"/>
      <c r="AI11" s="279"/>
    </row>
    <row r="12" spans="2:35" x14ac:dyDescent="0.2">
      <c r="B12" s="159" t="s">
        <v>225</v>
      </c>
      <c r="C12" s="160">
        <v>3780661</v>
      </c>
      <c r="D12" s="160">
        <v>5632779</v>
      </c>
      <c r="E12" s="161" t="s">
        <v>226</v>
      </c>
      <c r="G12" s="278"/>
      <c r="H12" s="174" t="s">
        <v>227</v>
      </c>
      <c r="I12" s="173"/>
      <c r="J12" s="171"/>
      <c r="K12" s="286"/>
      <c r="L12" s="287"/>
      <c r="M12" s="286"/>
      <c r="N12" s="287"/>
      <c r="O12" s="286"/>
      <c r="P12" s="287"/>
      <c r="Q12" s="286"/>
      <c r="R12" s="286"/>
      <c r="S12" s="287"/>
      <c r="T12" s="279"/>
      <c r="V12" s="278"/>
      <c r="W12" s="174" t="s">
        <v>227</v>
      </c>
      <c r="X12" s="173"/>
      <c r="Y12" s="171"/>
      <c r="Z12" s="286"/>
      <c r="AA12" s="287"/>
      <c r="AB12" s="286"/>
      <c r="AC12" s="287"/>
      <c r="AD12" s="286"/>
      <c r="AE12" s="287"/>
      <c r="AF12" s="286"/>
      <c r="AG12" s="286"/>
      <c r="AH12" s="287"/>
      <c r="AI12" s="279"/>
    </row>
    <row r="13" spans="2:35" x14ac:dyDescent="0.2">
      <c r="B13" s="159" t="s">
        <v>228</v>
      </c>
      <c r="C13" s="160">
        <v>197795</v>
      </c>
      <c r="D13" s="160">
        <v>145711</v>
      </c>
      <c r="E13" s="161" t="s">
        <v>229</v>
      </c>
      <c r="G13" s="278"/>
      <c r="H13" s="175" t="s">
        <v>230</v>
      </c>
      <c r="I13" s="176" t="s">
        <v>231</v>
      </c>
      <c r="J13" s="177">
        <v>138970.54260865389</v>
      </c>
      <c r="K13" s="178">
        <v>60388.431122539827</v>
      </c>
      <c r="L13" s="179">
        <v>17163.903465253454</v>
      </c>
      <c r="M13" s="180">
        <v>27226.332662824832</v>
      </c>
      <c r="N13" s="179"/>
      <c r="O13" s="180">
        <v>13518.793512266786</v>
      </c>
      <c r="P13" s="179">
        <v>19177.042298211614</v>
      </c>
      <c r="Q13" s="180">
        <v>1324.5072348313104</v>
      </c>
      <c r="R13" s="180">
        <v>30.615945076275445</v>
      </c>
      <c r="S13" s="180">
        <v>140.9163676498018</v>
      </c>
      <c r="T13" s="279"/>
      <c r="V13" s="278"/>
      <c r="W13" s="175" t="s">
        <v>230</v>
      </c>
      <c r="X13" s="176" t="s">
        <v>231</v>
      </c>
      <c r="Y13" s="177">
        <f ca="1">SUM(Z13:AH13)</f>
        <v>147432.965736902</v>
      </c>
      <c r="Z13" s="178">
        <f ca="1">K13*Z$10</f>
        <v>68902.660325372955</v>
      </c>
      <c r="AA13" s="179">
        <f t="shared" ref="AA13:AA15" ca="1" si="0">L13*AA$10</f>
        <v>16259.364136258946</v>
      </c>
      <c r="AB13" s="180">
        <f t="shared" ref="AB13:AB15" ca="1" si="1">M13*AB$10</f>
        <v>29284.20519880662</v>
      </c>
      <c r="AC13" s="179">
        <f t="shared" ref="AC13:AC15" si="2">N13*AC$10</f>
        <v>0</v>
      </c>
      <c r="AD13" s="180">
        <f t="shared" ref="AD13:AD15" ca="1" si="3">O13*AD$10</f>
        <v>12749.544419247324</v>
      </c>
      <c r="AE13" s="179">
        <f t="shared" ref="AE13:AE15" ca="1" si="4">P13*AE$10</f>
        <v>18877.682785029858</v>
      </c>
      <c r="AF13" s="180">
        <f t="shared" ref="AF13:AF15" ca="1" si="5">Q13*AF$10</f>
        <v>1193.9425325903464</v>
      </c>
      <c r="AG13" s="180">
        <f t="shared" ref="AG13:AG15" ca="1" si="6">R13*AG$10</f>
        <v>28.329829728719439</v>
      </c>
      <c r="AH13" s="180">
        <f t="shared" ref="AH13:AH15" ca="1" si="7">S13*AH$10</f>
        <v>137.23650986722345</v>
      </c>
      <c r="AI13" s="279"/>
    </row>
    <row r="14" spans="2:35" x14ac:dyDescent="0.2">
      <c r="B14" s="159" t="s">
        <v>232</v>
      </c>
      <c r="C14" s="160">
        <v>942956</v>
      </c>
      <c r="D14" s="160">
        <v>1096423</v>
      </c>
      <c r="E14" s="161" t="s">
        <v>233</v>
      </c>
      <c r="G14" s="278"/>
      <c r="H14" s="181" t="s">
        <v>234</v>
      </c>
      <c r="I14" s="182" t="s">
        <v>235</v>
      </c>
      <c r="J14" s="183">
        <v>138970.54260865389</v>
      </c>
      <c r="K14" s="178">
        <v>60388.431122539827</v>
      </c>
      <c r="L14" s="179">
        <v>17163.903465253454</v>
      </c>
      <c r="M14" s="180">
        <v>27226.332662824832</v>
      </c>
      <c r="N14" s="180"/>
      <c r="O14" s="180">
        <v>13518.793512266786</v>
      </c>
      <c r="P14" s="179">
        <v>19177.042298211614</v>
      </c>
      <c r="Q14" s="180">
        <v>1324.5072348313104</v>
      </c>
      <c r="R14" s="180">
        <v>30.615945076275445</v>
      </c>
      <c r="S14" s="180">
        <v>140.9163676498018</v>
      </c>
      <c r="T14" s="279"/>
      <c r="V14" s="278"/>
      <c r="W14" s="181" t="s">
        <v>234</v>
      </c>
      <c r="X14" s="182" t="s">
        <v>235</v>
      </c>
      <c r="Y14" s="177">
        <f t="shared" ref="Y14:Y15" ca="1" si="8">SUM(Z14:AH14)</f>
        <v>147432.965736902</v>
      </c>
      <c r="Z14" s="178">
        <f t="shared" ref="Z14:Z15" ca="1" si="9">K14*Z$10</f>
        <v>68902.660325372955</v>
      </c>
      <c r="AA14" s="179">
        <f t="shared" ca="1" si="0"/>
        <v>16259.364136258946</v>
      </c>
      <c r="AB14" s="180">
        <f t="shared" ca="1" si="1"/>
        <v>29284.20519880662</v>
      </c>
      <c r="AC14" s="179">
        <f t="shared" si="2"/>
        <v>0</v>
      </c>
      <c r="AD14" s="180">
        <f t="shared" ca="1" si="3"/>
        <v>12749.544419247324</v>
      </c>
      <c r="AE14" s="179">
        <f t="shared" ca="1" si="4"/>
        <v>18877.682785029858</v>
      </c>
      <c r="AF14" s="180">
        <f t="shared" ca="1" si="5"/>
        <v>1193.9425325903464</v>
      </c>
      <c r="AG14" s="180">
        <f t="shared" ca="1" si="6"/>
        <v>28.329829728719439</v>
      </c>
      <c r="AH14" s="180">
        <f t="shared" ca="1" si="7"/>
        <v>137.23650986722345</v>
      </c>
      <c r="AI14" s="279"/>
    </row>
    <row r="15" spans="2:35" x14ac:dyDescent="0.2">
      <c r="B15" s="159" t="s">
        <v>63</v>
      </c>
      <c r="C15" s="160">
        <v>617699951</v>
      </c>
      <c r="D15" s="160">
        <v>857666193</v>
      </c>
      <c r="E15" s="161" t="s">
        <v>236</v>
      </c>
      <c r="G15" s="278"/>
      <c r="H15" s="181" t="s">
        <v>237</v>
      </c>
      <c r="I15" s="182" t="s">
        <v>238</v>
      </c>
      <c r="J15" s="183">
        <v>138970.54260865389</v>
      </c>
      <c r="K15" s="178">
        <v>60388.431122539827</v>
      </c>
      <c r="L15" s="179">
        <v>17163.903465253454</v>
      </c>
      <c r="M15" s="180">
        <v>27226.332662824832</v>
      </c>
      <c r="N15" s="180"/>
      <c r="O15" s="180">
        <v>13518.793512266786</v>
      </c>
      <c r="P15" s="179">
        <v>19177.042298211614</v>
      </c>
      <c r="Q15" s="180">
        <v>1324.5072348313104</v>
      </c>
      <c r="R15" s="180">
        <v>30.615945076275445</v>
      </c>
      <c r="S15" s="180">
        <v>140.9163676498018</v>
      </c>
      <c r="T15" s="279"/>
      <c r="V15" s="278"/>
      <c r="W15" s="181" t="s">
        <v>237</v>
      </c>
      <c r="X15" s="182" t="s">
        <v>238</v>
      </c>
      <c r="Y15" s="177">
        <f t="shared" ca="1" si="8"/>
        <v>147432.965736902</v>
      </c>
      <c r="Z15" s="178">
        <f t="shared" ca="1" si="9"/>
        <v>68902.660325372955</v>
      </c>
      <c r="AA15" s="179">
        <f t="shared" ca="1" si="0"/>
        <v>16259.364136258946</v>
      </c>
      <c r="AB15" s="180">
        <f t="shared" ca="1" si="1"/>
        <v>29284.20519880662</v>
      </c>
      <c r="AC15" s="179">
        <f t="shared" si="2"/>
        <v>0</v>
      </c>
      <c r="AD15" s="180">
        <f t="shared" ca="1" si="3"/>
        <v>12749.544419247324</v>
      </c>
      <c r="AE15" s="179">
        <f t="shared" ca="1" si="4"/>
        <v>18877.682785029858</v>
      </c>
      <c r="AF15" s="180">
        <f t="shared" ca="1" si="5"/>
        <v>1193.9425325903464</v>
      </c>
      <c r="AG15" s="180">
        <f t="shared" ca="1" si="6"/>
        <v>28.329829728719439</v>
      </c>
      <c r="AH15" s="180">
        <f t="shared" ca="1" si="7"/>
        <v>137.23650986722345</v>
      </c>
      <c r="AI15" s="279"/>
    </row>
    <row r="16" spans="2:35" x14ac:dyDescent="0.2">
      <c r="G16" s="278"/>
      <c r="H16" s="172"/>
      <c r="I16" s="173"/>
      <c r="J16" s="184"/>
      <c r="K16" s="185"/>
      <c r="L16" s="287"/>
      <c r="M16" s="286"/>
      <c r="N16" s="287"/>
      <c r="O16" s="286"/>
      <c r="P16" s="287"/>
      <c r="Q16" s="286"/>
      <c r="R16" s="286"/>
      <c r="S16" s="287"/>
      <c r="T16" s="279"/>
      <c r="V16" s="278"/>
      <c r="W16" s="172"/>
      <c r="X16" s="173"/>
      <c r="Y16" s="184"/>
      <c r="Z16" s="185"/>
      <c r="AA16" s="287"/>
      <c r="AB16" s="286"/>
      <c r="AC16" s="287"/>
      <c r="AD16" s="286"/>
      <c r="AE16" s="287"/>
      <c r="AF16" s="286"/>
      <c r="AG16" s="286"/>
      <c r="AH16" s="287"/>
      <c r="AI16" s="279"/>
    </row>
    <row r="17" spans="2:35" ht="36" x14ac:dyDescent="0.2">
      <c r="B17" s="157" t="s">
        <v>205</v>
      </c>
      <c r="C17" s="157" t="str">
        <f t="shared" ref="C17:C26" si="10">D6</f>
        <v>2016 Weather Normal Values (kWh)</v>
      </c>
      <c r="D17" s="158" t="s">
        <v>239</v>
      </c>
      <c r="E17" s="158" t="s">
        <v>208</v>
      </c>
      <c r="G17" s="278"/>
      <c r="H17" s="174" t="s">
        <v>240</v>
      </c>
      <c r="I17" s="173"/>
      <c r="J17" s="184"/>
      <c r="K17" s="185"/>
      <c r="L17" s="287"/>
      <c r="M17" s="286"/>
      <c r="N17" s="287"/>
      <c r="O17" s="286"/>
      <c r="P17" s="287"/>
      <c r="Q17" s="286"/>
      <c r="R17" s="286"/>
      <c r="S17" s="287"/>
      <c r="T17" s="279"/>
      <c r="V17" s="278"/>
      <c r="W17" s="174" t="s">
        <v>240</v>
      </c>
      <c r="X17" s="173"/>
      <c r="Y17" s="184"/>
      <c r="Z17" s="185"/>
      <c r="AA17" s="287"/>
      <c r="AB17" s="286"/>
      <c r="AC17" s="287"/>
      <c r="AD17" s="286"/>
      <c r="AE17" s="287"/>
      <c r="AF17" s="286"/>
      <c r="AG17" s="286"/>
      <c r="AH17" s="287"/>
      <c r="AI17" s="279"/>
    </row>
    <row r="18" spans="2:35" x14ac:dyDescent="0.2">
      <c r="B18" s="159" t="s">
        <v>57</v>
      </c>
      <c r="C18" s="160">
        <f t="shared" si="10"/>
        <v>309752959</v>
      </c>
      <c r="D18" s="160">
        <f ca="1">Summary!O12</f>
        <v>353425358.50033087</v>
      </c>
      <c r="E18" s="163">
        <f t="shared" ref="E18:E26" ca="1" si="11">D18/C18</f>
        <v>1.1409910647547061</v>
      </c>
      <c r="G18" s="278"/>
      <c r="H18" s="175" t="s">
        <v>230</v>
      </c>
      <c r="I18" s="176" t="s">
        <v>241</v>
      </c>
      <c r="J18" s="177">
        <v>549835.13915420708</v>
      </c>
      <c r="K18" s="178">
        <v>246987.98121033024</v>
      </c>
      <c r="L18" s="179">
        <v>68548.301196739776</v>
      </c>
      <c r="M18" s="180">
        <v>111081.15925857512</v>
      </c>
      <c r="N18" s="179"/>
      <c r="O18" s="180">
        <v>49878.166403347132</v>
      </c>
      <c r="P18" s="179">
        <v>68717.711794781848</v>
      </c>
      <c r="Q18" s="180">
        <v>3967.2618291559329</v>
      </c>
      <c r="R18" s="180">
        <v>100.7493197949494</v>
      </c>
      <c r="S18" s="180">
        <v>553.80814148210914</v>
      </c>
      <c r="T18" s="279"/>
      <c r="V18" s="278"/>
      <c r="W18" s="175" t="s">
        <v>230</v>
      </c>
      <c r="X18" s="176" t="s">
        <v>241</v>
      </c>
      <c r="Y18" s="177">
        <f ca="1">SUM(Z18:AH18)</f>
        <v>585117.73940106574</v>
      </c>
      <c r="Z18" s="178">
        <f ca="1">K18*Z$10</f>
        <v>281811.07966279006</v>
      </c>
      <c r="AA18" s="179">
        <f t="shared" ref="AA18:AA20" ca="1" si="12">L18*AA$10</f>
        <v>64935.799268274939</v>
      </c>
      <c r="AB18" s="180">
        <f t="shared" ref="AB18:AB20" ca="1" si="13">M18*AB$10</f>
        <v>119477.10702481106</v>
      </c>
      <c r="AC18" s="179">
        <f t="shared" ref="AC18:AC20" si="14">N18*AC$10</f>
        <v>0</v>
      </c>
      <c r="AD18" s="180">
        <f t="shared" ref="AD18:AD20" ca="1" si="15">O18*AD$10</f>
        <v>47039.988999983929</v>
      </c>
      <c r="AE18" s="179">
        <f t="shared" ref="AE18:AE20" ca="1" si="16">P18*AE$10</f>
        <v>67645.007233256823</v>
      </c>
      <c r="AF18" s="180">
        <f t="shared" ref="AF18:AF20" ca="1" si="17">Q18*AF$10</f>
        <v>3576.1847962685615</v>
      </c>
      <c r="AG18" s="180">
        <f t="shared" ref="AG18:AG20" ca="1" si="18">R18*AG$10</f>
        <v>93.226293291431716</v>
      </c>
      <c r="AH18" s="180">
        <f t="shared" ref="AH18:AH20" ca="1" si="19">S18*AH$10</f>
        <v>539.34612238896329</v>
      </c>
      <c r="AI18" s="279"/>
    </row>
    <row r="19" spans="2:35" x14ac:dyDescent="0.2">
      <c r="B19" s="159" t="s">
        <v>217</v>
      </c>
      <c r="C19" s="160">
        <f t="shared" si="10"/>
        <v>92617956</v>
      </c>
      <c r="D19" s="160">
        <f ca="1">Summary!O16</f>
        <v>87736980.996692628</v>
      </c>
      <c r="E19" s="163">
        <f t="shared" ca="1" si="11"/>
        <v>0.94729990582703671</v>
      </c>
      <c r="G19" s="278"/>
      <c r="H19" s="181" t="s">
        <v>234</v>
      </c>
      <c r="I19" s="182" t="s">
        <v>242</v>
      </c>
      <c r="J19" s="183">
        <v>549835.13915420708</v>
      </c>
      <c r="K19" s="178">
        <v>246987.98121033024</v>
      </c>
      <c r="L19" s="179">
        <v>68548.301196739776</v>
      </c>
      <c r="M19" s="180">
        <v>111081.15925857512</v>
      </c>
      <c r="N19" s="179"/>
      <c r="O19" s="180">
        <v>49878.166403347132</v>
      </c>
      <c r="P19" s="179">
        <v>68717.711794781848</v>
      </c>
      <c r="Q19" s="180">
        <v>3967.2618291559329</v>
      </c>
      <c r="R19" s="180">
        <v>100.7493197949494</v>
      </c>
      <c r="S19" s="180">
        <v>553.80814148210914</v>
      </c>
      <c r="T19" s="279"/>
      <c r="V19" s="278"/>
      <c r="W19" s="181" t="s">
        <v>234</v>
      </c>
      <c r="X19" s="182" t="s">
        <v>242</v>
      </c>
      <c r="Y19" s="177">
        <f t="shared" ref="Y19:Y20" ca="1" si="20">SUM(Z19:AH19)</f>
        <v>585117.73940106574</v>
      </c>
      <c r="Z19" s="178">
        <f t="shared" ref="Z19:Z20" ca="1" si="21">K19*Z$10</f>
        <v>281811.07966279006</v>
      </c>
      <c r="AA19" s="179">
        <f t="shared" ca="1" si="12"/>
        <v>64935.799268274939</v>
      </c>
      <c r="AB19" s="180">
        <f t="shared" ca="1" si="13"/>
        <v>119477.10702481106</v>
      </c>
      <c r="AC19" s="179">
        <f t="shared" si="14"/>
        <v>0</v>
      </c>
      <c r="AD19" s="180">
        <f t="shared" ca="1" si="15"/>
        <v>47039.988999983929</v>
      </c>
      <c r="AE19" s="179">
        <f t="shared" ca="1" si="16"/>
        <v>67645.007233256823</v>
      </c>
      <c r="AF19" s="180">
        <f t="shared" ca="1" si="17"/>
        <v>3576.1847962685615</v>
      </c>
      <c r="AG19" s="180">
        <f t="shared" ca="1" si="18"/>
        <v>93.226293291431716</v>
      </c>
      <c r="AH19" s="180">
        <f t="shared" ca="1" si="19"/>
        <v>539.34612238896329</v>
      </c>
      <c r="AI19" s="279"/>
    </row>
    <row r="20" spans="2:35" x14ac:dyDescent="0.2">
      <c r="B20" s="159" t="s">
        <v>219</v>
      </c>
      <c r="C20" s="160">
        <f t="shared" si="10"/>
        <v>205340394</v>
      </c>
      <c r="D20" s="160">
        <f ca="1">Summary!O20</f>
        <v>220860822.79125082</v>
      </c>
      <c r="E20" s="163">
        <f t="shared" ca="1" si="11"/>
        <v>1.0755839047978588</v>
      </c>
      <c r="G20" s="278"/>
      <c r="H20" s="181" t="s">
        <v>237</v>
      </c>
      <c r="I20" s="182" t="s">
        <v>243</v>
      </c>
      <c r="J20" s="183">
        <v>549835.13915420708</v>
      </c>
      <c r="K20" s="178">
        <v>246987.98121033024</v>
      </c>
      <c r="L20" s="179">
        <v>68548.301196739776</v>
      </c>
      <c r="M20" s="180">
        <v>111081.15925857512</v>
      </c>
      <c r="N20" s="179"/>
      <c r="O20" s="180">
        <v>49878.166403347132</v>
      </c>
      <c r="P20" s="179">
        <v>68717.711794781848</v>
      </c>
      <c r="Q20" s="180">
        <v>3967.2618291559329</v>
      </c>
      <c r="R20" s="180">
        <v>100.7493197949494</v>
      </c>
      <c r="S20" s="180">
        <v>553.80814148210914</v>
      </c>
      <c r="T20" s="279"/>
      <c r="V20" s="278"/>
      <c r="W20" s="181" t="s">
        <v>237</v>
      </c>
      <c r="X20" s="182" t="s">
        <v>243</v>
      </c>
      <c r="Y20" s="177">
        <f t="shared" ca="1" si="20"/>
        <v>585117.73940106574</v>
      </c>
      <c r="Z20" s="178">
        <f t="shared" ca="1" si="21"/>
        <v>281811.07966279006</v>
      </c>
      <c r="AA20" s="179">
        <f t="shared" ca="1" si="12"/>
        <v>64935.799268274939</v>
      </c>
      <c r="AB20" s="180">
        <f t="shared" ca="1" si="13"/>
        <v>119477.10702481106</v>
      </c>
      <c r="AC20" s="179">
        <f t="shared" si="14"/>
        <v>0</v>
      </c>
      <c r="AD20" s="180">
        <f t="shared" ca="1" si="15"/>
        <v>47039.988999983929</v>
      </c>
      <c r="AE20" s="179">
        <f t="shared" ca="1" si="16"/>
        <v>67645.007233256823</v>
      </c>
      <c r="AF20" s="180">
        <f t="shared" ca="1" si="17"/>
        <v>3576.1847962685615</v>
      </c>
      <c r="AG20" s="180">
        <f t="shared" ca="1" si="18"/>
        <v>93.226293291431716</v>
      </c>
      <c r="AH20" s="180">
        <f t="shared" ca="1" si="19"/>
        <v>539.34612238896329</v>
      </c>
      <c r="AI20" s="279"/>
    </row>
    <row r="21" spans="2:35" x14ac:dyDescent="0.2">
      <c r="B21" s="159" t="s">
        <v>221</v>
      </c>
      <c r="C21" s="160">
        <f t="shared" si="10"/>
        <v>109869211</v>
      </c>
      <c r="D21" s="160">
        <f ca="1">Summary!O25</f>
        <v>103617411.17512476</v>
      </c>
      <c r="E21" s="163">
        <f t="shared" ca="1" si="11"/>
        <v>0.94309779993891796</v>
      </c>
      <c r="G21" s="278"/>
      <c r="H21" s="172"/>
      <c r="I21" s="173"/>
      <c r="J21" s="184"/>
      <c r="K21" s="185"/>
      <c r="L21" s="287"/>
      <c r="M21" s="286"/>
      <c r="N21" s="287"/>
      <c r="O21" s="286"/>
      <c r="P21" s="287"/>
      <c r="Q21" s="286"/>
      <c r="R21" s="286"/>
      <c r="S21" s="287"/>
      <c r="T21" s="279"/>
      <c r="V21" s="278"/>
      <c r="W21" s="172"/>
      <c r="X21" s="173"/>
      <c r="Y21" s="184"/>
      <c r="Z21" s="185"/>
      <c r="AA21" s="287"/>
      <c r="AB21" s="286"/>
      <c r="AC21" s="287"/>
      <c r="AD21" s="286"/>
      <c r="AE21" s="287"/>
      <c r="AF21" s="286"/>
      <c r="AG21" s="286"/>
      <c r="AH21" s="287"/>
      <c r="AI21" s="279"/>
    </row>
    <row r="22" spans="2:35" x14ac:dyDescent="0.2">
      <c r="B22" s="159" t="s">
        <v>201</v>
      </c>
      <c r="C22" s="160">
        <f t="shared" si="10"/>
        <v>133210761</v>
      </c>
      <c r="D22" s="160">
        <f ca="1">Summary!O30</f>
        <v>131131300.15596515</v>
      </c>
      <c r="E22" s="163">
        <f t="shared" ca="1" si="11"/>
        <v>0.98438969323180392</v>
      </c>
      <c r="G22" s="278"/>
      <c r="H22" s="174" t="s">
        <v>244</v>
      </c>
      <c r="I22" s="186"/>
      <c r="J22" s="184"/>
      <c r="K22" s="185"/>
      <c r="L22" s="287"/>
      <c r="M22" s="286"/>
      <c r="N22" s="287"/>
      <c r="O22" s="286"/>
      <c r="P22" s="287"/>
      <c r="Q22" s="286"/>
      <c r="R22" s="286"/>
      <c r="S22" s="287"/>
      <c r="T22" s="279"/>
      <c r="V22" s="278"/>
      <c r="W22" s="174" t="s">
        <v>244</v>
      </c>
      <c r="X22" s="186"/>
      <c r="Y22" s="184"/>
      <c r="Z22" s="185"/>
      <c r="AA22" s="287"/>
      <c r="AB22" s="286"/>
      <c r="AC22" s="287"/>
      <c r="AD22" s="286"/>
      <c r="AE22" s="287"/>
      <c r="AF22" s="286"/>
      <c r="AG22" s="286"/>
      <c r="AH22" s="287"/>
      <c r="AI22" s="279"/>
    </row>
    <row r="23" spans="2:35" x14ac:dyDescent="0.2">
      <c r="B23" s="159" t="s">
        <v>225</v>
      </c>
      <c r="C23" s="160">
        <f t="shared" si="10"/>
        <v>5632779</v>
      </c>
      <c r="D23" s="160">
        <f ca="1">Summary!O35</f>
        <v>5077521.8495792095</v>
      </c>
      <c r="E23" s="163">
        <f t="shared" ca="1" si="11"/>
        <v>0.90142394181969676</v>
      </c>
      <c r="G23" s="278"/>
      <c r="H23" s="175" t="s">
        <v>230</v>
      </c>
      <c r="I23" s="176" t="s">
        <v>245</v>
      </c>
      <c r="J23" s="177">
        <v>1570323.5427329561</v>
      </c>
      <c r="K23" s="178">
        <v>683634.53700457129</v>
      </c>
      <c r="L23" s="179">
        <v>189310.44143474163</v>
      </c>
      <c r="M23" s="180">
        <v>315958.77463738591</v>
      </c>
      <c r="N23" s="179"/>
      <c r="O23" s="180">
        <v>159279.62605987454</v>
      </c>
      <c r="P23" s="179">
        <v>208333.18719560531</v>
      </c>
      <c r="Q23" s="180">
        <v>11856.809628538675</v>
      </c>
      <c r="R23" s="180">
        <v>307.12787433517292</v>
      </c>
      <c r="S23" s="180">
        <v>1643.0388979032314</v>
      </c>
      <c r="T23" s="279"/>
      <c r="V23" s="278"/>
      <c r="W23" s="175" t="s">
        <v>230</v>
      </c>
      <c r="X23" s="176" t="s">
        <v>245</v>
      </c>
      <c r="Y23" s="177">
        <f ca="1">SUM(Z23:AH23)</f>
        <v>1667064.4807851885</v>
      </c>
      <c r="Z23" s="178">
        <f ca="1">K23*Z$10</f>
        <v>780020.8982799364</v>
      </c>
      <c r="AA23" s="179">
        <f t="shared" ref="AA23:AA25" ca="1" si="22">L23*AA$10</f>
        <v>179333.7633432055</v>
      </c>
      <c r="AB23" s="180">
        <f t="shared" ref="AB23:AB25" ca="1" si="23">M23*AB$10</f>
        <v>339840.1725796262</v>
      </c>
      <c r="AC23" s="179">
        <f t="shared" ref="AC23:AC25" si="24">N23*AC$10</f>
        <v>0</v>
      </c>
      <c r="AD23" s="180">
        <f t="shared" ref="AD23:AD25" ca="1" si="25">O23*AD$10</f>
        <v>150216.26491216122</v>
      </c>
      <c r="AE23" s="179">
        <f t="shared" ref="AE23:AE25" ca="1" si="26">P23*AE$10</f>
        <v>205081.0422334859</v>
      </c>
      <c r="AF23" s="180">
        <f t="shared" ref="AF23:AF25" ca="1" si="27">Q23*AF$10</f>
        <v>10688.012072763067</v>
      </c>
      <c r="AG23" s="180">
        <f t="shared" ref="AG23:AG25" ca="1" si="28">R23*AG$10</f>
        <v>284.19440795252063</v>
      </c>
      <c r="AH23" s="180">
        <f t="shared" ref="AH23:AH25" ca="1" si="29">S23*AH$10</f>
        <v>1600.1329560572583</v>
      </c>
      <c r="AI23" s="279"/>
    </row>
    <row r="24" spans="2:35" x14ac:dyDescent="0.2">
      <c r="B24" s="159" t="s">
        <v>228</v>
      </c>
      <c r="C24" s="160">
        <f t="shared" si="10"/>
        <v>145711</v>
      </c>
      <c r="D24" s="160">
        <f ca="1">Summary!O40</f>
        <v>134830.65145685265</v>
      </c>
      <c r="E24" s="163">
        <f t="shared" ca="1" si="11"/>
        <v>0.92532925761852325</v>
      </c>
      <c r="G24" s="278"/>
      <c r="H24" s="181" t="s">
        <v>234</v>
      </c>
      <c r="I24" s="182" t="s">
        <v>246</v>
      </c>
      <c r="J24" s="183">
        <v>1570323.5427329561</v>
      </c>
      <c r="K24" s="178">
        <v>683634.53700457129</v>
      </c>
      <c r="L24" s="179">
        <v>189310.44143474163</v>
      </c>
      <c r="M24" s="180">
        <v>315958.77463738591</v>
      </c>
      <c r="N24" s="179"/>
      <c r="O24" s="180">
        <v>159279.62605987454</v>
      </c>
      <c r="P24" s="179">
        <v>208333.18719560531</v>
      </c>
      <c r="Q24" s="180">
        <v>11856.809628538675</v>
      </c>
      <c r="R24" s="180">
        <v>307.12787433517292</v>
      </c>
      <c r="S24" s="180">
        <v>1643.0388979032314</v>
      </c>
      <c r="T24" s="279"/>
      <c r="V24" s="278"/>
      <c r="W24" s="181" t="s">
        <v>234</v>
      </c>
      <c r="X24" s="182" t="s">
        <v>246</v>
      </c>
      <c r="Y24" s="177">
        <f t="shared" ref="Y24:Y25" ca="1" si="30">SUM(Z24:AH24)</f>
        <v>1667064.4807851885</v>
      </c>
      <c r="Z24" s="178">
        <f t="shared" ref="Z24:Z25" ca="1" si="31">K24*Z$10</f>
        <v>780020.8982799364</v>
      </c>
      <c r="AA24" s="179">
        <f t="shared" ca="1" si="22"/>
        <v>179333.7633432055</v>
      </c>
      <c r="AB24" s="180">
        <f t="shared" ca="1" si="23"/>
        <v>339840.1725796262</v>
      </c>
      <c r="AC24" s="179">
        <f t="shared" si="24"/>
        <v>0</v>
      </c>
      <c r="AD24" s="180">
        <f t="shared" ca="1" si="25"/>
        <v>150216.26491216122</v>
      </c>
      <c r="AE24" s="179">
        <f t="shared" ca="1" si="26"/>
        <v>205081.0422334859</v>
      </c>
      <c r="AF24" s="180">
        <f t="shared" ca="1" si="27"/>
        <v>10688.012072763067</v>
      </c>
      <c r="AG24" s="180">
        <f t="shared" ca="1" si="28"/>
        <v>284.19440795252063</v>
      </c>
      <c r="AH24" s="180">
        <f t="shared" ca="1" si="29"/>
        <v>1600.1329560572583</v>
      </c>
      <c r="AI24" s="279"/>
    </row>
    <row r="25" spans="2:35" x14ac:dyDescent="0.2">
      <c r="B25" s="159" t="s">
        <v>232</v>
      </c>
      <c r="C25" s="160">
        <f t="shared" si="10"/>
        <v>1096423</v>
      </c>
      <c r="D25" s="160">
        <f ca="1">Summary!O45</f>
        <v>1067791.2606439681</v>
      </c>
      <c r="E25" s="163">
        <f t="shared" ca="1" si="11"/>
        <v>0.973886228804</v>
      </c>
      <c r="G25" s="278"/>
      <c r="H25" s="181" t="s">
        <v>237</v>
      </c>
      <c r="I25" s="182" t="s">
        <v>247</v>
      </c>
      <c r="J25" s="183">
        <v>1570323.5427329561</v>
      </c>
      <c r="K25" s="178">
        <v>683634.53700457129</v>
      </c>
      <c r="L25" s="179">
        <v>189310.44143474163</v>
      </c>
      <c r="M25" s="180">
        <v>315958.77463738591</v>
      </c>
      <c r="N25" s="179"/>
      <c r="O25" s="180">
        <v>159279.62605987454</v>
      </c>
      <c r="P25" s="179">
        <v>208333.18719560531</v>
      </c>
      <c r="Q25" s="180">
        <v>11856.809628538675</v>
      </c>
      <c r="R25" s="180">
        <v>307.12787433517292</v>
      </c>
      <c r="S25" s="180">
        <v>1643.0388979032314</v>
      </c>
      <c r="T25" s="279"/>
      <c r="V25" s="278"/>
      <c r="W25" s="181" t="s">
        <v>237</v>
      </c>
      <c r="X25" s="182" t="s">
        <v>247</v>
      </c>
      <c r="Y25" s="177">
        <f t="shared" ca="1" si="30"/>
        <v>1667064.4807851885</v>
      </c>
      <c r="Z25" s="178">
        <f t="shared" ca="1" si="31"/>
        <v>780020.8982799364</v>
      </c>
      <c r="AA25" s="179">
        <f t="shared" ca="1" si="22"/>
        <v>179333.7633432055</v>
      </c>
      <c r="AB25" s="180">
        <f t="shared" ca="1" si="23"/>
        <v>339840.1725796262</v>
      </c>
      <c r="AC25" s="179">
        <f t="shared" si="24"/>
        <v>0</v>
      </c>
      <c r="AD25" s="180">
        <f t="shared" ca="1" si="25"/>
        <v>150216.26491216122</v>
      </c>
      <c r="AE25" s="179">
        <f t="shared" ca="1" si="26"/>
        <v>205081.0422334859</v>
      </c>
      <c r="AF25" s="180">
        <f t="shared" ca="1" si="27"/>
        <v>10688.012072763067</v>
      </c>
      <c r="AG25" s="180">
        <f t="shared" ca="1" si="28"/>
        <v>284.19440795252063</v>
      </c>
      <c r="AH25" s="180">
        <f t="shared" ca="1" si="29"/>
        <v>1600.1329560572583</v>
      </c>
      <c r="AI25" s="279"/>
    </row>
    <row r="26" spans="2:35" ht="13.5" thickBot="1" x14ac:dyDescent="0.25">
      <c r="B26" s="159" t="s">
        <v>63</v>
      </c>
      <c r="C26" s="160">
        <f t="shared" si="10"/>
        <v>857666193</v>
      </c>
      <c r="D26" s="160">
        <f ca="1">Summary!O49</f>
        <v>903052017.38104427</v>
      </c>
      <c r="E26" s="163">
        <f t="shared" ca="1" si="11"/>
        <v>1.0529178190203472</v>
      </c>
      <c r="G26" s="278"/>
      <c r="H26" s="172"/>
      <c r="I26" s="186"/>
      <c r="J26" s="187"/>
      <c r="K26" s="188"/>
      <c r="L26" s="287"/>
      <c r="M26" s="287"/>
      <c r="N26" s="287"/>
      <c r="O26" s="287"/>
      <c r="P26" s="287"/>
      <c r="Q26" s="287"/>
      <c r="R26" s="287"/>
      <c r="S26" s="287"/>
      <c r="T26" s="279"/>
      <c r="V26" s="278"/>
      <c r="W26" s="172"/>
      <c r="X26" s="186"/>
      <c r="Y26" s="187"/>
      <c r="Z26" s="188"/>
      <c r="AA26" s="287"/>
      <c r="AB26" s="287"/>
      <c r="AC26" s="287"/>
      <c r="AD26" s="287"/>
      <c r="AE26" s="287"/>
      <c r="AF26" s="287"/>
      <c r="AG26" s="287"/>
      <c r="AH26" s="287"/>
      <c r="AI26" s="279"/>
    </row>
    <row r="27" spans="2:35" ht="14.25" thickTop="1" thickBot="1" x14ac:dyDescent="0.25">
      <c r="C27" s="162"/>
      <c r="D27" s="162"/>
      <c r="E27" s="162"/>
      <c r="G27" s="278"/>
      <c r="H27" s="337" t="s">
        <v>248</v>
      </c>
      <c r="I27" s="338"/>
      <c r="J27" s="187"/>
      <c r="K27" s="188"/>
      <c r="L27" s="287"/>
      <c r="M27" s="287"/>
      <c r="N27" s="287"/>
      <c r="O27" s="287"/>
      <c r="P27" s="287"/>
      <c r="Q27" s="287"/>
      <c r="R27" s="287"/>
      <c r="S27" s="287"/>
      <c r="T27" s="279"/>
      <c r="V27" s="278"/>
      <c r="W27" s="337" t="s">
        <v>248</v>
      </c>
      <c r="X27" s="338"/>
      <c r="Y27" s="187"/>
      <c r="Z27" s="188"/>
      <c r="AA27" s="287"/>
      <c r="AB27" s="287"/>
      <c r="AC27" s="287"/>
      <c r="AD27" s="287"/>
      <c r="AE27" s="287"/>
      <c r="AF27" s="287"/>
      <c r="AG27" s="287"/>
      <c r="AH27" s="287"/>
      <c r="AI27" s="279"/>
    </row>
    <row r="28" spans="2:35" ht="13.5" thickTop="1" x14ac:dyDescent="0.2">
      <c r="C28" s="162"/>
      <c r="D28" s="162"/>
      <c r="E28" s="162"/>
      <c r="G28" s="278"/>
      <c r="H28" s="174"/>
      <c r="I28" s="186"/>
      <c r="J28" s="187"/>
      <c r="K28" s="188"/>
      <c r="L28" s="287"/>
      <c r="M28" s="287"/>
      <c r="N28" s="287"/>
      <c r="O28" s="287"/>
      <c r="P28" s="287"/>
      <c r="Q28" s="287"/>
      <c r="R28" s="287"/>
      <c r="S28" s="287"/>
      <c r="T28" s="279"/>
      <c r="V28" s="278"/>
      <c r="W28" s="174"/>
      <c r="X28" s="186"/>
      <c r="Y28" s="187"/>
      <c r="Z28" s="188"/>
      <c r="AA28" s="287"/>
      <c r="AB28" s="287"/>
      <c r="AC28" s="287"/>
      <c r="AD28" s="287"/>
      <c r="AE28" s="287"/>
      <c r="AF28" s="287"/>
      <c r="AG28" s="287"/>
      <c r="AH28" s="287"/>
      <c r="AI28" s="279"/>
    </row>
    <row r="29" spans="2:35" x14ac:dyDescent="0.2">
      <c r="C29" s="162"/>
      <c r="D29" s="162"/>
      <c r="E29" s="162"/>
      <c r="G29" s="278"/>
      <c r="H29" s="174" t="s">
        <v>249</v>
      </c>
      <c r="I29" s="186"/>
      <c r="J29" s="187"/>
      <c r="K29" s="188"/>
      <c r="L29" s="287"/>
      <c r="M29" s="287"/>
      <c r="N29" s="287"/>
      <c r="O29" s="287"/>
      <c r="P29" s="287"/>
      <c r="Q29" s="287"/>
      <c r="R29" s="287"/>
      <c r="S29" s="287"/>
      <c r="T29" s="279"/>
      <c r="V29" s="278"/>
      <c r="W29" s="174" t="s">
        <v>249</v>
      </c>
      <c r="X29" s="186"/>
      <c r="Y29" s="187"/>
      <c r="Z29" s="188"/>
      <c r="AA29" s="287"/>
      <c r="AB29" s="287"/>
      <c r="AC29" s="287"/>
      <c r="AD29" s="287"/>
      <c r="AE29" s="287"/>
      <c r="AF29" s="287"/>
      <c r="AG29" s="287"/>
      <c r="AH29" s="287"/>
      <c r="AI29" s="279"/>
    </row>
    <row r="30" spans="2:35" ht="25.5" x14ac:dyDescent="0.2">
      <c r="G30" s="278"/>
      <c r="H30" s="189" t="s">
        <v>250</v>
      </c>
      <c r="I30" s="176" t="s">
        <v>251</v>
      </c>
      <c r="J30" s="177">
        <v>171605.08866137348</v>
      </c>
      <c r="K30" s="178">
        <v>70367.211628405057</v>
      </c>
      <c r="L30" s="179">
        <v>24854.332350792902</v>
      </c>
      <c r="M30" s="180">
        <v>36636.371363140184</v>
      </c>
      <c r="N30" s="179"/>
      <c r="O30" s="180">
        <v>16165.428586093394</v>
      </c>
      <c r="P30" s="180">
        <v>22055.493703806485</v>
      </c>
      <c r="Q30" s="180">
        <v>1334.6388356692275</v>
      </c>
      <c r="R30" s="180">
        <v>36.215938374071939</v>
      </c>
      <c r="S30" s="180">
        <v>155.39625509215227</v>
      </c>
      <c r="T30" s="279"/>
      <c r="V30" s="278"/>
      <c r="W30" s="189" t="s">
        <v>250</v>
      </c>
      <c r="X30" s="176" t="s">
        <v>251</v>
      </c>
      <c r="Y30" s="177">
        <f ca="1">SUM(Z30:AH30)</f>
        <v>181583.06393955101</v>
      </c>
      <c r="Z30" s="178">
        <f ca="1">K30*Z$10</f>
        <v>80288.359719713626</v>
      </c>
      <c r="AA30" s="179">
        <f t="shared" ref="AA30:AA33" ca="1" si="32">L30*AA$10</f>
        <v>23544.506695299988</v>
      </c>
      <c r="AB30" s="180">
        <f t="shared" ref="AB30:AB33" ca="1" si="33">M30*AB$10</f>
        <v>39405.491368390773</v>
      </c>
      <c r="AC30" s="179">
        <f t="shared" ref="AC30:AC33" si="34">N30*AC$10</f>
        <v>0</v>
      </c>
      <c r="AD30" s="180">
        <f t="shared" ref="AD30:AD33" ca="1" si="35">O30*AD$10</f>
        <v>15245.580134614373</v>
      </c>
      <c r="AE30" s="179">
        <f t="shared" ref="AE30:AE33" ca="1" si="36">P30*AE$10</f>
        <v>21711.20068116605</v>
      </c>
      <c r="AF30" s="180">
        <f t="shared" ref="AF30:AF33" ca="1" si="37">Q30*AF$10</f>
        <v>1203.0754001546056</v>
      </c>
      <c r="AG30" s="180">
        <f t="shared" ref="AG30:AG33" ca="1" si="38">R30*AG$10</f>
        <v>33.511667369638175</v>
      </c>
      <c r="AH30" s="180">
        <f t="shared" ref="AH30:AH33" ca="1" si="39">S30*AH$10</f>
        <v>151.33827284196056</v>
      </c>
      <c r="AI30" s="279"/>
    </row>
    <row r="31" spans="2:35" x14ac:dyDescent="0.2">
      <c r="G31" s="278"/>
      <c r="H31" s="181" t="s">
        <v>252</v>
      </c>
      <c r="I31" s="182" t="s">
        <v>253</v>
      </c>
      <c r="J31" s="183">
        <v>171605.08866137348</v>
      </c>
      <c r="K31" s="178">
        <v>70367.211628405057</v>
      </c>
      <c r="L31" s="179">
        <v>24854.332350792902</v>
      </c>
      <c r="M31" s="180">
        <v>36636.371363140184</v>
      </c>
      <c r="N31" s="180"/>
      <c r="O31" s="180">
        <v>16165.428586093394</v>
      </c>
      <c r="P31" s="180">
        <v>22055.493703806485</v>
      </c>
      <c r="Q31" s="180">
        <v>1334.6388356692275</v>
      </c>
      <c r="R31" s="180">
        <v>36.215938374071939</v>
      </c>
      <c r="S31" s="180">
        <v>155.39625509215227</v>
      </c>
      <c r="T31" s="279"/>
      <c r="V31" s="278"/>
      <c r="W31" s="181" t="s">
        <v>252</v>
      </c>
      <c r="X31" s="182" t="s">
        <v>253</v>
      </c>
      <c r="Y31" s="177">
        <f t="shared" ref="Y31:Y32" ca="1" si="40">SUM(Z31:AH31)</f>
        <v>181583.06393955101</v>
      </c>
      <c r="Z31" s="178">
        <f ca="1">K31*Z$10</f>
        <v>80288.359719713626</v>
      </c>
      <c r="AA31" s="179">
        <f t="shared" ca="1" si="32"/>
        <v>23544.506695299988</v>
      </c>
      <c r="AB31" s="180">
        <f t="shared" ca="1" si="33"/>
        <v>39405.491368390773</v>
      </c>
      <c r="AC31" s="179">
        <f t="shared" si="34"/>
        <v>0</v>
      </c>
      <c r="AD31" s="180">
        <f t="shared" ca="1" si="35"/>
        <v>15245.580134614373</v>
      </c>
      <c r="AE31" s="179">
        <f t="shared" ca="1" si="36"/>
        <v>21711.20068116605</v>
      </c>
      <c r="AF31" s="180">
        <f t="shared" ca="1" si="37"/>
        <v>1203.0754001546056</v>
      </c>
      <c r="AG31" s="180">
        <f t="shared" ca="1" si="38"/>
        <v>33.511667369638175</v>
      </c>
      <c r="AH31" s="180">
        <f t="shared" ca="1" si="39"/>
        <v>151.33827284196056</v>
      </c>
      <c r="AI31" s="279"/>
    </row>
    <row r="32" spans="2:35" x14ac:dyDescent="0.2">
      <c r="G32" s="278"/>
      <c r="H32" s="181" t="s">
        <v>254</v>
      </c>
      <c r="I32" s="182" t="s">
        <v>255</v>
      </c>
      <c r="J32" s="183">
        <v>134731.28542031473</v>
      </c>
      <c r="K32" s="178">
        <v>70367.211628405057</v>
      </c>
      <c r="L32" s="179">
        <v>24854.332350792902</v>
      </c>
      <c r="M32" s="180">
        <v>36636.371363140184</v>
      </c>
      <c r="N32" s="180"/>
      <c r="O32" s="180">
        <v>1347.1190488411162</v>
      </c>
      <c r="P32" s="180"/>
      <c r="Q32" s="180">
        <v>1334.6388356692275</v>
      </c>
      <c r="R32" s="180">
        <v>36.215938374071939</v>
      </c>
      <c r="S32" s="180">
        <v>155.39625509215227</v>
      </c>
      <c r="T32" s="279"/>
      <c r="V32" s="278"/>
      <c r="W32" s="181" t="s">
        <v>254</v>
      </c>
      <c r="X32" s="182" t="s">
        <v>255</v>
      </c>
      <c r="Y32" s="177">
        <f t="shared" ca="1" si="40"/>
        <v>145896.74813498845</v>
      </c>
      <c r="Z32" s="178">
        <f t="shared" ref="Z32:Z33" ca="1" si="41">K32*Z$10</f>
        <v>80288.359719713626</v>
      </c>
      <c r="AA32" s="179">
        <f t="shared" ca="1" si="32"/>
        <v>23544.506695299988</v>
      </c>
      <c r="AB32" s="180">
        <f t="shared" ca="1" si="33"/>
        <v>39405.491368390773</v>
      </c>
      <c r="AC32" s="179">
        <f t="shared" si="34"/>
        <v>0</v>
      </c>
      <c r="AD32" s="180">
        <f t="shared" ca="1" si="35"/>
        <v>1270.4650112178645</v>
      </c>
      <c r="AE32" s="179">
        <f t="shared" ca="1" si="36"/>
        <v>0</v>
      </c>
      <c r="AF32" s="180">
        <f t="shared" ca="1" si="37"/>
        <v>1203.0754001546056</v>
      </c>
      <c r="AG32" s="180">
        <f t="shared" ca="1" si="38"/>
        <v>33.511667369638175</v>
      </c>
      <c r="AH32" s="180">
        <f t="shared" ca="1" si="39"/>
        <v>151.33827284196056</v>
      </c>
      <c r="AI32" s="279"/>
    </row>
    <row r="33" spans="7:35" x14ac:dyDescent="0.2">
      <c r="G33" s="278"/>
      <c r="H33" s="181" t="s">
        <v>256</v>
      </c>
      <c r="I33" s="182" t="s">
        <v>257</v>
      </c>
      <c r="J33" s="183">
        <v>134731.28542031473</v>
      </c>
      <c r="K33" s="178">
        <v>70367.211628405057</v>
      </c>
      <c r="L33" s="179">
        <v>24854.332350792902</v>
      </c>
      <c r="M33" s="180">
        <v>36636.371363140184</v>
      </c>
      <c r="N33" s="180"/>
      <c r="O33" s="180">
        <v>1347.1190488411162</v>
      </c>
      <c r="P33" s="180">
        <v>0</v>
      </c>
      <c r="Q33" s="180">
        <v>1334.6388356692275</v>
      </c>
      <c r="R33" s="180">
        <v>36.215938374071939</v>
      </c>
      <c r="S33" s="180">
        <v>155.39625509215227</v>
      </c>
      <c r="T33" s="279"/>
      <c r="V33" s="278"/>
      <c r="W33" s="181" t="s">
        <v>256</v>
      </c>
      <c r="X33" s="182" t="s">
        <v>257</v>
      </c>
      <c r="Y33" s="177">
        <f ca="1">SUM(Z33:AH33)</f>
        <v>145896.74813498845</v>
      </c>
      <c r="Z33" s="178">
        <f t="shared" ca="1" si="41"/>
        <v>80288.359719713626</v>
      </c>
      <c r="AA33" s="179">
        <f t="shared" ca="1" si="32"/>
        <v>23544.506695299988</v>
      </c>
      <c r="AB33" s="180">
        <f t="shared" ca="1" si="33"/>
        <v>39405.491368390773</v>
      </c>
      <c r="AC33" s="179">
        <f t="shared" si="34"/>
        <v>0</v>
      </c>
      <c r="AD33" s="180">
        <f t="shared" ca="1" si="35"/>
        <v>1270.4650112178645</v>
      </c>
      <c r="AE33" s="179">
        <f t="shared" ca="1" si="36"/>
        <v>0</v>
      </c>
      <c r="AF33" s="180">
        <f t="shared" ca="1" si="37"/>
        <v>1203.0754001546056</v>
      </c>
      <c r="AG33" s="180">
        <f t="shared" ca="1" si="38"/>
        <v>33.511667369638175</v>
      </c>
      <c r="AH33" s="180">
        <f t="shared" ca="1" si="39"/>
        <v>151.33827284196056</v>
      </c>
      <c r="AI33" s="279"/>
    </row>
    <row r="34" spans="7:35" x14ac:dyDescent="0.2">
      <c r="G34" s="278"/>
      <c r="H34" s="172"/>
      <c r="I34" s="173"/>
      <c r="J34" s="187"/>
      <c r="K34" s="188"/>
      <c r="L34" s="287"/>
      <c r="M34" s="287"/>
      <c r="N34" s="287"/>
      <c r="O34" s="287"/>
      <c r="P34" s="287"/>
      <c r="Q34" s="287"/>
      <c r="R34" s="287"/>
      <c r="S34" s="287"/>
      <c r="T34" s="279"/>
      <c r="V34" s="278"/>
      <c r="W34" s="172"/>
      <c r="X34" s="173"/>
      <c r="Y34" s="187"/>
      <c r="Z34" s="188"/>
      <c r="AA34" s="287"/>
      <c r="AB34" s="287"/>
      <c r="AC34" s="287"/>
      <c r="AD34" s="287"/>
      <c r="AE34" s="287"/>
      <c r="AF34" s="287"/>
      <c r="AG34" s="287"/>
      <c r="AH34" s="287"/>
      <c r="AI34" s="279"/>
    </row>
    <row r="35" spans="7:35" x14ac:dyDescent="0.2">
      <c r="G35" s="278"/>
      <c r="H35" s="174" t="s">
        <v>258</v>
      </c>
      <c r="I35" s="186"/>
      <c r="J35" s="187"/>
      <c r="K35" s="188"/>
      <c r="L35" s="287"/>
      <c r="M35" s="287"/>
      <c r="N35" s="287"/>
      <c r="O35" s="287"/>
      <c r="P35" s="287"/>
      <c r="Q35" s="287"/>
      <c r="R35" s="287"/>
      <c r="S35" s="287"/>
      <c r="T35" s="279"/>
      <c r="V35" s="278"/>
      <c r="W35" s="174" t="s">
        <v>258</v>
      </c>
      <c r="X35" s="186"/>
      <c r="Y35" s="187"/>
      <c r="Z35" s="188"/>
      <c r="AA35" s="287"/>
      <c r="AB35" s="287"/>
      <c r="AC35" s="287"/>
      <c r="AD35" s="287"/>
      <c r="AE35" s="287"/>
      <c r="AF35" s="287"/>
      <c r="AG35" s="287"/>
      <c r="AH35" s="287"/>
      <c r="AI35" s="279"/>
    </row>
    <row r="36" spans="7:35" ht="25.5" x14ac:dyDescent="0.2">
      <c r="G36" s="278"/>
      <c r="H36" s="189" t="s">
        <v>250</v>
      </c>
      <c r="I36" s="176" t="s">
        <v>259</v>
      </c>
      <c r="J36" s="177">
        <v>657030.56147907872</v>
      </c>
      <c r="K36" s="178">
        <v>270654.31255647854</v>
      </c>
      <c r="L36" s="179">
        <v>85985.113329783504</v>
      </c>
      <c r="M36" s="180">
        <v>143448.30658030149</v>
      </c>
      <c r="N36" s="179"/>
      <c r="O36" s="180">
        <v>63243.327417373468</v>
      </c>
      <c r="P36" s="180">
        <v>87635.893153174446</v>
      </c>
      <c r="Q36" s="180">
        <v>5310.2960703753897</v>
      </c>
      <c r="R36" s="180">
        <v>139.55336959490199</v>
      </c>
      <c r="S36" s="180">
        <v>613.75900199708155</v>
      </c>
      <c r="T36" s="279"/>
      <c r="V36" s="278"/>
      <c r="W36" s="189" t="s">
        <v>250</v>
      </c>
      <c r="X36" s="176" t="s">
        <v>259</v>
      </c>
      <c r="Y36" s="177">
        <f ca="1">SUM(Z36:AH36)</f>
        <v>695984.73694939376</v>
      </c>
      <c r="Z36" s="178">
        <f ca="1">K36*Z$10</f>
        <v>308814.15226426948</v>
      </c>
      <c r="AA36" s="179">
        <f t="shared" ref="AA36:AA39" ca="1" si="42">L36*AA$10</f>
        <v>81453.689759830988</v>
      </c>
      <c r="AB36" s="180">
        <f t="shared" ref="AB36:AB39" ca="1" si="43">M36*AB$10</f>
        <v>154290.68972828105</v>
      </c>
      <c r="AC36" s="179">
        <f t="shared" ref="AC36:AC39" si="44">N36*AC$10</f>
        <v>0</v>
      </c>
      <c r="AD36" s="180">
        <f t="shared" ref="AD36:AD39" ca="1" si="45">O36*AD$10</f>
        <v>59644.642948141569</v>
      </c>
      <c r="AE36" s="179">
        <f t="shared" ref="AE36:AE39" ca="1" si="46">P36*AE$10</f>
        <v>86267.869977148541</v>
      </c>
      <c r="AF36" s="180">
        <f t="shared" ref="AF36:AF39" ca="1" si="47">Q36*AF$10</f>
        <v>4786.8280159874294</v>
      </c>
      <c r="AG36" s="180">
        <f t="shared" ref="AG36:AG39" ca="1" si="48">R36*AG$10</f>
        <v>129.13281588541406</v>
      </c>
      <c r="AH36" s="180">
        <f t="shared" ref="AH36:AH39" ca="1" si="49">S36*AH$10</f>
        <v>597.73143984944443</v>
      </c>
      <c r="AI36" s="279"/>
    </row>
    <row r="37" spans="7:35" x14ac:dyDescent="0.2">
      <c r="G37" s="278"/>
      <c r="H37" s="181" t="s">
        <v>252</v>
      </c>
      <c r="I37" s="182" t="s">
        <v>260</v>
      </c>
      <c r="J37" s="183">
        <v>657030.56147907872</v>
      </c>
      <c r="K37" s="178">
        <v>270654.31255647854</v>
      </c>
      <c r="L37" s="179">
        <v>85985.113329783504</v>
      </c>
      <c r="M37" s="180">
        <v>143448.30658030149</v>
      </c>
      <c r="N37" s="180"/>
      <c r="O37" s="180">
        <v>63243.327417373468</v>
      </c>
      <c r="P37" s="180">
        <v>87635.893153174446</v>
      </c>
      <c r="Q37" s="180">
        <v>5310.2960703753897</v>
      </c>
      <c r="R37" s="180">
        <v>139.55336959490199</v>
      </c>
      <c r="S37" s="180">
        <v>613.75900199708155</v>
      </c>
      <c r="T37" s="279"/>
      <c r="V37" s="278"/>
      <c r="W37" s="181" t="s">
        <v>252</v>
      </c>
      <c r="X37" s="182" t="s">
        <v>260</v>
      </c>
      <c r="Y37" s="177">
        <f t="shared" ref="Y37:Y38" ca="1" si="50">SUM(Z37:AH37)</f>
        <v>695984.73694939376</v>
      </c>
      <c r="Z37" s="178">
        <f ca="1">K37*Z$10</f>
        <v>308814.15226426948</v>
      </c>
      <c r="AA37" s="179">
        <f t="shared" ca="1" si="42"/>
        <v>81453.689759830988</v>
      </c>
      <c r="AB37" s="180">
        <f t="shared" ca="1" si="43"/>
        <v>154290.68972828105</v>
      </c>
      <c r="AC37" s="179">
        <f t="shared" si="44"/>
        <v>0</v>
      </c>
      <c r="AD37" s="180">
        <f t="shared" ca="1" si="45"/>
        <v>59644.642948141569</v>
      </c>
      <c r="AE37" s="179">
        <f t="shared" ca="1" si="46"/>
        <v>86267.869977148541</v>
      </c>
      <c r="AF37" s="180">
        <f t="shared" ca="1" si="47"/>
        <v>4786.8280159874294</v>
      </c>
      <c r="AG37" s="180">
        <f t="shared" ca="1" si="48"/>
        <v>129.13281588541406</v>
      </c>
      <c r="AH37" s="180">
        <f t="shared" ca="1" si="49"/>
        <v>597.73143984944443</v>
      </c>
      <c r="AI37" s="279"/>
    </row>
    <row r="38" spans="7:35" x14ac:dyDescent="0.2">
      <c r="G38" s="278"/>
      <c r="H38" s="181" t="s">
        <v>254</v>
      </c>
      <c r="I38" s="182" t="s">
        <v>261</v>
      </c>
      <c r="J38" s="183">
        <v>511421.61819331197</v>
      </c>
      <c r="K38" s="178">
        <v>270654.31255647854</v>
      </c>
      <c r="L38" s="179">
        <v>85985.113329783504</v>
      </c>
      <c r="M38" s="180">
        <v>143448.30658030149</v>
      </c>
      <c r="N38" s="180"/>
      <c r="O38" s="180">
        <v>5270.277284781122</v>
      </c>
      <c r="P38" s="180"/>
      <c r="Q38" s="180">
        <v>5310.2960703753897</v>
      </c>
      <c r="R38" s="180">
        <v>139.55336959490199</v>
      </c>
      <c r="S38" s="180">
        <v>613.75900199708155</v>
      </c>
      <c r="T38" s="279"/>
      <c r="V38" s="278"/>
      <c r="W38" s="181" t="s">
        <v>254</v>
      </c>
      <c r="X38" s="182" t="s">
        <v>261</v>
      </c>
      <c r="Y38" s="177">
        <f t="shared" ca="1" si="50"/>
        <v>555042.61093644891</v>
      </c>
      <c r="Z38" s="178">
        <f t="shared" ref="Z38:Z39" ca="1" si="51">K38*Z$10</f>
        <v>308814.15226426948</v>
      </c>
      <c r="AA38" s="179">
        <f t="shared" ca="1" si="42"/>
        <v>81453.689759830988</v>
      </c>
      <c r="AB38" s="180">
        <f t="shared" ca="1" si="43"/>
        <v>154290.68972828105</v>
      </c>
      <c r="AC38" s="179">
        <f t="shared" si="44"/>
        <v>0</v>
      </c>
      <c r="AD38" s="180">
        <f t="shared" ca="1" si="45"/>
        <v>4970.3869123451304</v>
      </c>
      <c r="AE38" s="179">
        <f t="shared" ca="1" si="46"/>
        <v>0</v>
      </c>
      <c r="AF38" s="180">
        <f t="shared" ca="1" si="47"/>
        <v>4786.8280159874294</v>
      </c>
      <c r="AG38" s="180">
        <f t="shared" ca="1" si="48"/>
        <v>129.13281588541406</v>
      </c>
      <c r="AH38" s="180">
        <f t="shared" ca="1" si="49"/>
        <v>597.73143984944443</v>
      </c>
      <c r="AI38" s="279"/>
    </row>
    <row r="39" spans="7:35" x14ac:dyDescent="0.2">
      <c r="G39" s="278"/>
      <c r="H39" s="181" t="s">
        <v>256</v>
      </c>
      <c r="I39" s="182" t="s">
        <v>262</v>
      </c>
      <c r="J39" s="183">
        <v>511421.61819331197</v>
      </c>
      <c r="K39" s="178">
        <v>270654.31255647854</v>
      </c>
      <c r="L39" s="179">
        <v>85985.113329783504</v>
      </c>
      <c r="M39" s="180">
        <v>143448.30658030149</v>
      </c>
      <c r="N39" s="180"/>
      <c r="O39" s="180">
        <v>5270.277284781122</v>
      </c>
      <c r="P39" s="180"/>
      <c r="Q39" s="180">
        <v>5310.2960703753897</v>
      </c>
      <c r="R39" s="180">
        <v>139.55336959490199</v>
      </c>
      <c r="S39" s="180">
        <v>613.75900199708155</v>
      </c>
      <c r="T39" s="279"/>
      <c r="V39" s="278"/>
      <c r="W39" s="181" t="s">
        <v>256</v>
      </c>
      <c r="X39" s="182" t="s">
        <v>262</v>
      </c>
      <c r="Y39" s="177">
        <f ca="1">SUM(Z39:AH39)</f>
        <v>555042.61093644891</v>
      </c>
      <c r="Z39" s="178">
        <f t="shared" ca="1" si="51"/>
        <v>308814.15226426948</v>
      </c>
      <c r="AA39" s="179">
        <f t="shared" ca="1" si="42"/>
        <v>81453.689759830988</v>
      </c>
      <c r="AB39" s="180">
        <f t="shared" ca="1" si="43"/>
        <v>154290.68972828105</v>
      </c>
      <c r="AC39" s="179">
        <f t="shared" si="44"/>
        <v>0</v>
      </c>
      <c r="AD39" s="180">
        <f t="shared" ca="1" si="45"/>
        <v>4970.3869123451304</v>
      </c>
      <c r="AE39" s="179">
        <f t="shared" ca="1" si="46"/>
        <v>0</v>
      </c>
      <c r="AF39" s="180">
        <f t="shared" ca="1" si="47"/>
        <v>4786.8280159874294</v>
      </c>
      <c r="AG39" s="180">
        <f t="shared" ca="1" si="48"/>
        <v>129.13281588541406</v>
      </c>
      <c r="AH39" s="180">
        <f t="shared" ca="1" si="49"/>
        <v>597.73143984944443</v>
      </c>
      <c r="AI39" s="279"/>
    </row>
    <row r="40" spans="7:35" x14ac:dyDescent="0.2">
      <c r="G40" s="278"/>
      <c r="H40" s="172"/>
      <c r="I40" s="173"/>
      <c r="J40" s="187"/>
      <c r="K40" s="188"/>
      <c r="L40" s="287"/>
      <c r="M40" s="287"/>
      <c r="N40" s="287"/>
      <c r="O40" s="287"/>
      <c r="P40" s="287"/>
      <c r="Q40" s="287"/>
      <c r="R40" s="287"/>
      <c r="S40" s="287"/>
      <c r="T40" s="279"/>
      <c r="V40" s="278"/>
      <c r="W40" s="172"/>
      <c r="X40" s="173"/>
      <c r="Y40" s="187"/>
      <c r="Z40" s="188"/>
      <c r="AA40" s="287"/>
      <c r="AB40" s="287"/>
      <c r="AC40" s="287"/>
      <c r="AD40" s="287"/>
      <c r="AE40" s="287"/>
      <c r="AF40" s="287"/>
      <c r="AG40" s="287"/>
      <c r="AH40" s="287"/>
      <c r="AI40" s="279"/>
    </row>
    <row r="41" spans="7:35" x14ac:dyDescent="0.2">
      <c r="G41" s="278"/>
      <c r="H41" s="174" t="s">
        <v>263</v>
      </c>
      <c r="I41" s="186"/>
      <c r="J41" s="187"/>
      <c r="K41" s="188"/>
      <c r="L41" s="287"/>
      <c r="M41" s="287"/>
      <c r="N41" s="287"/>
      <c r="O41" s="287"/>
      <c r="P41" s="287"/>
      <c r="Q41" s="287"/>
      <c r="R41" s="287"/>
      <c r="S41" s="287"/>
      <c r="T41" s="279"/>
      <c r="V41" s="278"/>
      <c r="W41" s="174" t="s">
        <v>263</v>
      </c>
      <c r="X41" s="186"/>
      <c r="Y41" s="187"/>
      <c r="Z41" s="188"/>
      <c r="AA41" s="287"/>
      <c r="AB41" s="287"/>
      <c r="AC41" s="287"/>
      <c r="AD41" s="287"/>
      <c r="AE41" s="287"/>
      <c r="AF41" s="287"/>
      <c r="AG41" s="287"/>
      <c r="AH41" s="287"/>
      <c r="AI41" s="279"/>
    </row>
    <row r="42" spans="7:35" ht="25.5" x14ac:dyDescent="0.2">
      <c r="G42" s="278"/>
      <c r="H42" s="189" t="s">
        <v>250</v>
      </c>
      <c r="I42" s="176" t="s">
        <v>264</v>
      </c>
      <c r="J42" s="177">
        <v>1809129.9442482239</v>
      </c>
      <c r="K42" s="178">
        <v>723947.75671916408</v>
      </c>
      <c r="L42" s="179">
        <v>224312.5846526961</v>
      </c>
      <c r="M42" s="180">
        <v>409839.64998154616</v>
      </c>
      <c r="N42" s="179"/>
      <c r="O42" s="180">
        <v>181036.66600449101</v>
      </c>
      <c r="P42" s="180">
        <v>251927.40519364562</v>
      </c>
      <c r="Q42" s="180">
        <v>15871.932109910649</v>
      </c>
      <c r="R42" s="180">
        <v>411.13463892693335</v>
      </c>
      <c r="S42" s="180">
        <v>1782.8149478430646</v>
      </c>
      <c r="T42" s="279"/>
      <c r="V42" s="278"/>
      <c r="W42" s="189" t="s">
        <v>250</v>
      </c>
      <c r="X42" s="176" t="s">
        <v>264</v>
      </c>
      <c r="Y42" s="177">
        <f ca="1">SUM(Z42:AH42)</f>
        <v>1914480.1991268466</v>
      </c>
      <c r="Z42" s="178">
        <f ca="1">K42*Z$10</f>
        <v>826017.92176577996</v>
      </c>
      <c r="AA42" s="179">
        <f t="shared" ref="AA42:AA45" ca="1" si="52">L42*AA$10</f>
        <v>212491.2903173182</v>
      </c>
      <c r="AB42" s="180">
        <f t="shared" ref="AB42:AB45" ca="1" si="53">M42*AB$10</f>
        <v>440816.93106813909</v>
      </c>
      <c r="AC42" s="179">
        <f t="shared" ref="AC42:AC45" si="54">N42*AC$10</f>
        <v>0</v>
      </c>
      <c r="AD42" s="180">
        <f t="shared" ref="AD42:AD45" ca="1" si="55">O42*AD$10</f>
        <v>170735.28141711219</v>
      </c>
      <c r="AE42" s="179">
        <f t="shared" ref="AE42:AE45" ca="1" si="56">P42*AE$10</f>
        <v>247994.74111525717</v>
      </c>
      <c r="AF42" s="180">
        <f t="shared" ref="AF42:AF45" ca="1" si="57">Q42*AF$10</f>
        <v>14307.339606810274</v>
      </c>
      <c r="AG42" s="180">
        <f t="shared" ref="AG42:AG45" ca="1" si="58">R42*AG$10</f>
        <v>380.43491021951883</v>
      </c>
      <c r="AH42" s="180">
        <f t="shared" ref="AH42:AH45" ca="1" si="59">S42*AH$10</f>
        <v>1736.2589262102822</v>
      </c>
      <c r="AI42" s="279"/>
    </row>
    <row r="43" spans="7:35" x14ac:dyDescent="0.2">
      <c r="G43" s="278"/>
      <c r="H43" s="175" t="s">
        <v>252</v>
      </c>
      <c r="I43" s="176" t="s">
        <v>265</v>
      </c>
      <c r="J43" s="183">
        <v>1809129.9442482239</v>
      </c>
      <c r="K43" s="178">
        <v>723947.75671916408</v>
      </c>
      <c r="L43" s="179">
        <v>224312.5846526961</v>
      </c>
      <c r="M43" s="180">
        <v>409839.64998154616</v>
      </c>
      <c r="N43" s="180"/>
      <c r="O43" s="180">
        <v>181036.66600449101</v>
      </c>
      <c r="P43" s="180">
        <v>251927.40519364562</v>
      </c>
      <c r="Q43" s="180">
        <v>15871.932109910649</v>
      </c>
      <c r="R43" s="180">
        <v>411.13463892693335</v>
      </c>
      <c r="S43" s="180">
        <v>1782.8149478430646</v>
      </c>
      <c r="T43" s="279"/>
      <c r="V43" s="278"/>
      <c r="W43" s="175" t="s">
        <v>252</v>
      </c>
      <c r="X43" s="176" t="s">
        <v>265</v>
      </c>
      <c r="Y43" s="177">
        <f t="shared" ref="Y43:Y44" ca="1" si="60">SUM(Z43:AH43)</f>
        <v>1914480.1991268466</v>
      </c>
      <c r="Z43" s="178">
        <f ca="1">K43*Z$10</f>
        <v>826017.92176577996</v>
      </c>
      <c r="AA43" s="179">
        <f t="shared" ca="1" si="52"/>
        <v>212491.2903173182</v>
      </c>
      <c r="AB43" s="180">
        <f t="shared" ca="1" si="53"/>
        <v>440816.93106813909</v>
      </c>
      <c r="AC43" s="179">
        <f t="shared" si="54"/>
        <v>0</v>
      </c>
      <c r="AD43" s="180">
        <f t="shared" ca="1" si="55"/>
        <v>170735.28141711219</v>
      </c>
      <c r="AE43" s="179">
        <f t="shared" ca="1" si="56"/>
        <v>247994.74111525717</v>
      </c>
      <c r="AF43" s="180">
        <f t="shared" ca="1" si="57"/>
        <v>14307.339606810274</v>
      </c>
      <c r="AG43" s="180">
        <f t="shared" ca="1" si="58"/>
        <v>380.43491021951883</v>
      </c>
      <c r="AH43" s="180">
        <f t="shared" ca="1" si="59"/>
        <v>1736.2589262102822</v>
      </c>
      <c r="AI43" s="279"/>
    </row>
    <row r="44" spans="7:35" ht="25.5" x14ac:dyDescent="0.2">
      <c r="G44" s="278"/>
      <c r="H44" s="175" t="s">
        <v>254</v>
      </c>
      <c r="I44" s="176" t="s">
        <v>266</v>
      </c>
      <c r="J44" s="183">
        <v>1391252.2618837948</v>
      </c>
      <c r="K44" s="178">
        <v>723947.75671916408</v>
      </c>
      <c r="L44" s="179">
        <v>224312.5846526961</v>
      </c>
      <c r="M44" s="180">
        <v>409839.64998154616</v>
      </c>
      <c r="N44" s="180"/>
      <c r="O44" s="180">
        <v>15086.388833707584</v>
      </c>
      <c r="P44" s="180"/>
      <c r="Q44" s="180">
        <v>15871.932109910649</v>
      </c>
      <c r="R44" s="180">
        <v>411.13463892693335</v>
      </c>
      <c r="S44" s="180">
        <v>1782.8149478430646</v>
      </c>
      <c r="T44" s="279"/>
      <c r="V44" s="278"/>
      <c r="W44" s="175" t="s">
        <v>254</v>
      </c>
      <c r="X44" s="176" t="s">
        <v>266</v>
      </c>
      <c r="Y44" s="177">
        <f t="shared" ca="1" si="60"/>
        <v>1509978.11671257</v>
      </c>
      <c r="Z44" s="178">
        <f t="shared" ref="Z44:Z45" ca="1" si="61">K44*Z$10</f>
        <v>826017.92176577996</v>
      </c>
      <c r="AA44" s="179">
        <f t="shared" ca="1" si="52"/>
        <v>212491.2903173182</v>
      </c>
      <c r="AB44" s="180">
        <f t="shared" ca="1" si="53"/>
        <v>440816.93106813909</v>
      </c>
      <c r="AC44" s="179">
        <f t="shared" si="54"/>
        <v>0</v>
      </c>
      <c r="AD44" s="180">
        <f t="shared" ca="1" si="55"/>
        <v>14227.940118092682</v>
      </c>
      <c r="AE44" s="179">
        <f t="shared" ca="1" si="56"/>
        <v>0</v>
      </c>
      <c r="AF44" s="180">
        <f t="shared" ca="1" si="57"/>
        <v>14307.339606810274</v>
      </c>
      <c r="AG44" s="180">
        <f t="shared" ca="1" si="58"/>
        <v>380.43491021951883</v>
      </c>
      <c r="AH44" s="180">
        <f t="shared" ca="1" si="59"/>
        <v>1736.2589262102822</v>
      </c>
      <c r="AI44" s="279"/>
    </row>
    <row r="45" spans="7:35" ht="13.5" thickBot="1" x14ac:dyDescent="0.25">
      <c r="G45" s="278"/>
      <c r="H45" s="190" t="s">
        <v>256</v>
      </c>
      <c r="I45" s="191" t="s">
        <v>267</v>
      </c>
      <c r="J45" s="192">
        <v>1391252.2618837948</v>
      </c>
      <c r="K45" s="178">
        <v>723947.75671916408</v>
      </c>
      <c r="L45" s="179">
        <v>224312.5846526961</v>
      </c>
      <c r="M45" s="180">
        <v>409839.64998154616</v>
      </c>
      <c r="N45" s="180"/>
      <c r="O45" s="180">
        <v>15086.388833707584</v>
      </c>
      <c r="P45" s="180"/>
      <c r="Q45" s="180">
        <v>15871.932109910649</v>
      </c>
      <c r="R45" s="180">
        <v>411.13463892693335</v>
      </c>
      <c r="S45" s="180">
        <v>1782.8149478430646</v>
      </c>
      <c r="T45" s="279"/>
      <c r="V45" s="278"/>
      <c r="W45" s="190" t="s">
        <v>256</v>
      </c>
      <c r="X45" s="191" t="s">
        <v>267</v>
      </c>
      <c r="Y45" s="177">
        <f ca="1">SUM(Z45:AH45)</f>
        <v>1509978.11671257</v>
      </c>
      <c r="Z45" s="178">
        <f t="shared" ca="1" si="61"/>
        <v>826017.92176577996</v>
      </c>
      <c r="AA45" s="179">
        <f t="shared" ca="1" si="52"/>
        <v>212491.2903173182</v>
      </c>
      <c r="AB45" s="180">
        <f t="shared" ca="1" si="53"/>
        <v>440816.93106813909</v>
      </c>
      <c r="AC45" s="179">
        <f t="shared" si="54"/>
        <v>0</v>
      </c>
      <c r="AD45" s="180">
        <f t="shared" ca="1" si="55"/>
        <v>14227.940118092682</v>
      </c>
      <c r="AE45" s="179">
        <f t="shared" ca="1" si="56"/>
        <v>0</v>
      </c>
      <c r="AF45" s="180">
        <f t="shared" ca="1" si="57"/>
        <v>14307.339606810274</v>
      </c>
      <c r="AG45" s="180">
        <f t="shared" ca="1" si="58"/>
        <v>380.43491021951883</v>
      </c>
      <c r="AH45" s="180">
        <f t="shared" ca="1" si="59"/>
        <v>1736.2589262102822</v>
      </c>
      <c r="AI45" s="279"/>
    </row>
    <row r="46" spans="7:35" ht="13.5" thickBot="1" x14ac:dyDescent="0.25">
      <c r="G46" s="288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289"/>
      <c r="V46" s="288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289"/>
    </row>
  </sheetData>
  <mergeCells count="8">
    <mergeCell ref="H3:S3"/>
    <mergeCell ref="W3:AH3"/>
    <mergeCell ref="H6:I6"/>
    <mergeCell ref="H10:I10"/>
    <mergeCell ref="H27:I27"/>
    <mergeCell ref="W6:X6"/>
    <mergeCell ref="W10:X10"/>
    <mergeCell ref="W27:X2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489AE-EAC5-40CA-92D5-E049AD2347C2}">
  <dimension ref="A3:U107"/>
  <sheetViews>
    <sheetView topLeftCell="A15" zoomScale="110" zoomScaleNormal="110" workbookViewId="0">
      <selection activeCell="N15" sqref="N15"/>
    </sheetView>
  </sheetViews>
  <sheetFormatPr defaultRowHeight="12.75" x14ac:dyDescent="0.2"/>
  <cols>
    <col min="3" max="3" width="13" bestFit="1" customWidth="1"/>
    <col min="4" max="4" width="12.85546875" bestFit="1" customWidth="1"/>
    <col min="5" max="5" width="15.85546875" bestFit="1" customWidth="1"/>
    <col min="6" max="6" width="13.42578125" customWidth="1"/>
    <col min="7" max="7" width="12.85546875" bestFit="1" customWidth="1"/>
    <col min="8" max="8" width="10.7109375" customWidth="1"/>
    <col min="9" max="9" width="11.7109375" customWidth="1"/>
    <col min="10" max="10" width="10.28515625" bestFit="1" customWidth="1"/>
    <col min="12" max="20" width="11.28515625" bestFit="1" customWidth="1"/>
  </cols>
  <sheetData>
    <row r="3" spans="1:18" s="101" customFormat="1" ht="27.75" customHeight="1" x14ac:dyDescent="0.2">
      <c r="C3" s="101" t="s">
        <v>57</v>
      </c>
      <c r="D3" s="101" t="s">
        <v>58</v>
      </c>
      <c r="E3" s="101" t="s">
        <v>59</v>
      </c>
      <c r="F3" s="101" t="s">
        <v>60</v>
      </c>
      <c r="G3" s="101" t="s">
        <v>61</v>
      </c>
      <c r="H3" s="100" t="s">
        <v>62</v>
      </c>
      <c r="I3" s="100" t="s">
        <v>63</v>
      </c>
      <c r="M3" s="101" t="str">
        <f t="shared" ref="M3:R3" si="0">C3</f>
        <v>Residential</v>
      </c>
      <c r="N3" s="101" t="str">
        <f t="shared" si="0"/>
        <v>GS&lt;50 kW</v>
      </c>
      <c r="O3" s="101" t="str">
        <f t="shared" si="0"/>
        <v>GS 50 to 999 kW</v>
      </c>
      <c r="P3" s="101" t="str">
        <f t="shared" si="0"/>
        <v>GS 1,000 to 4,999 kW</v>
      </c>
      <c r="Q3" s="101" t="str">
        <f t="shared" si="0"/>
        <v>Large Use</v>
      </c>
      <c r="R3" s="101" t="str">
        <f t="shared" si="0"/>
        <v>Streetlights</v>
      </c>
    </row>
    <row r="5" spans="1:18" x14ac:dyDescent="0.2">
      <c r="A5">
        <v>2011</v>
      </c>
      <c r="B5">
        <v>2011</v>
      </c>
      <c r="C5" s="41">
        <v>556985.88780779741</v>
      </c>
      <c r="D5" s="41">
        <v>227222.89631766107</v>
      </c>
      <c r="E5" s="41">
        <v>2226786.5092300656</v>
      </c>
      <c r="F5" s="41">
        <v>646580.5000000007</v>
      </c>
      <c r="G5" s="41">
        <v>77430.094452273202</v>
      </c>
      <c r="I5" s="62">
        <f>SUM(C5:H5)</f>
        <v>3735005.8878077976</v>
      </c>
      <c r="L5">
        <v>2011</v>
      </c>
      <c r="M5" s="41">
        <f>SUMIFS(C:C,$B:$B,$L5)-SUMIFS(C:C,$A:$A,$L5,$B:$B,$L5)/2</f>
        <v>278492.9439038987</v>
      </c>
      <c r="N5" s="41">
        <f t="shared" ref="N5:R17" si="1">SUMIFS(D:D,$B:$B,$L5)-SUMIFS(D:D,$A:$A,$L5,$B:$B,$L5)/2</f>
        <v>113611.44815883054</v>
      </c>
      <c r="O5" s="41">
        <f t="shared" si="1"/>
        <v>1113393.2546150328</v>
      </c>
      <c r="P5" s="41">
        <f t="shared" si="1"/>
        <v>323290.25000000035</v>
      </c>
      <c r="Q5" s="41">
        <f t="shared" si="1"/>
        <v>38715.047226136601</v>
      </c>
      <c r="R5" s="41">
        <f t="shared" si="1"/>
        <v>0</v>
      </c>
    </row>
    <row r="6" spans="1:18" x14ac:dyDescent="0.2">
      <c r="A6">
        <f>A5</f>
        <v>2011</v>
      </c>
      <c r="B6">
        <f>B5+1</f>
        <v>2012</v>
      </c>
      <c r="C6" s="41">
        <v>556985.88780779741</v>
      </c>
      <c r="D6" s="41">
        <v>227222.89631766107</v>
      </c>
      <c r="E6" s="41">
        <v>2226786.5092300656</v>
      </c>
      <c r="F6" s="41">
        <v>646580.5000000007</v>
      </c>
      <c r="G6" s="41">
        <v>77430.094452273202</v>
      </c>
      <c r="H6" s="41"/>
      <c r="I6" s="41">
        <f t="shared" ref="I6:I69" si="2">SUM(C6:H6)</f>
        <v>3735005.8878077976</v>
      </c>
      <c r="L6">
        <f>L5+1</f>
        <v>2012</v>
      </c>
      <c r="M6" s="41">
        <f t="shared" ref="M6:M17" si="3">SUMIFS(C:C,$B:$B,$L6)-SUMIFS(C:C,$A:$A,$L6,$B:$B,$L6)/2</f>
        <v>721831.67732693185</v>
      </c>
      <c r="N6" s="41">
        <f t="shared" si="1"/>
        <v>385670.09388452594</v>
      </c>
      <c r="O6" s="41">
        <f t="shared" si="1"/>
        <v>2745090.4018907612</v>
      </c>
      <c r="P6" s="41">
        <f t="shared" si="1"/>
        <v>782090.84132471285</v>
      </c>
      <c r="Q6" s="41">
        <f t="shared" si="1"/>
        <v>86844.292300802481</v>
      </c>
      <c r="R6" s="41">
        <f t="shared" si="1"/>
        <v>0</v>
      </c>
    </row>
    <row r="7" spans="1:18" x14ac:dyDescent="0.2">
      <c r="A7">
        <f t="shared" ref="A7:A16" si="4">A6</f>
        <v>2011</v>
      </c>
      <c r="B7">
        <f t="shared" ref="B7:B16" si="5">B6+1</f>
        <v>2013</v>
      </c>
      <c r="C7" s="41">
        <v>556985.88780779741</v>
      </c>
      <c r="D7" s="41">
        <v>227222.89631766107</v>
      </c>
      <c r="E7" s="41">
        <v>2226786.5092300656</v>
      </c>
      <c r="F7" s="41">
        <v>646580.5000000007</v>
      </c>
      <c r="G7" s="41">
        <v>77430.094452273202</v>
      </c>
      <c r="H7" s="41"/>
      <c r="I7" s="41">
        <f t="shared" si="2"/>
        <v>3735005.8878077976</v>
      </c>
      <c r="L7">
        <f t="shared" ref="L7:L17" si="6">L6+1</f>
        <v>2013</v>
      </c>
      <c r="M7" s="41">
        <f t="shared" si="3"/>
        <v>1069944.6183750697</v>
      </c>
      <c r="N7" s="41">
        <f t="shared" si="1"/>
        <v>773377.78722497891</v>
      </c>
      <c r="O7" s="41">
        <f t="shared" si="1"/>
        <v>4136126.0645098006</v>
      </c>
      <c r="P7" s="41">
        <f t="shared" si="1"/>
        <v>999656.34136772121</v>
      </c>
      <c r="Q7" s="41">
        <f t="shared" si="1"/>
        <v>267990.57892263361</v>
      </c>
      <c r="R7" s="41">
        <f t="shared" si="1"/>
        <v>0</v>
      </c>
    </row>
    <row r="8" spans="1:18" x14ac:dyDescent="0.2">
      <c r="A8">
        <f t="shared" si="4"/>
        <v>2011</v>
      </c>
      <c r="B8">
        <f t="shared" si="5"/>
        <v>2014</v>
      </c>
      <c r="C8" s="41">
        <v>555836.14334505843</v>
      </c>
      <c r="D8" s="41">
        <v>227222.89631766107</v>
      </c>
      <c r="E8" s="41">
        <v>2226786.5092300656</v>
      </c>
      <c r="F8" s="41">
        <v>646580.5000000007</v>
      </c>
      <c r="G8" s="41">
        <v>77430.094452273202</v>
      </c>
      <c r="H8" s="41"/>
      <c r="I8" s="41">
        <f t="shared" si="2"/>
        <v>3733856.1433450589</v>
      </c>
      <c r="L8">
        <f t="shared" si="6"/>
        <v>2014</v>
      </c>
      <c r="M8" s="41">
        <f t="shared" si="3"/>
        <v>2046448.2872741348</v>
      </c>
      <c r="N8" s="41">
        <f t="shared" si="1"/>
        <v>1266618.7406463188</v>
      </c>
      <c r="O8" s="41">
        <f t="shared" si="1"/>
        <v>5768742.227565066</v>
      </c>
      <c r="P8" s="41">
        <f t="shared" si="1"/>
        <v>1183805.0130981689</v>
      </c>
      <c r="Q8" s="41">
        <f t="shared" si="1"/>
        <v>439325.45186911029</v>
      </c>
      <c r="R8" s="41">
        <f t="shared" si="1"/>
        <v>0</v>
      </c>
    </row>
    <row r="9" spans="1:18" x14ac:dyDescent="0.2">
      <c r="A9">
        <f t="shared" si="4"/>
        <v>2011</v>
      </c>
      <c r="B9">
        <f t="shared" si="5"/>
        <v>2015</v>
      </c>
      <c r="C9" s="41">
        <v>505343.07361624716</v>
      </c>
      <c r="D9" s="41">
        <v>227222.89631766107</v>
      </c>
      <c r="E9" s="41">
        <v>2226786.5092300656</v>
      </c>
      <c r="F9" s="41">
        <v>646580.5000000007</v>
      </c>
      <c r="G9" s="41">
        <v>77430.094452273202</v>
      </c>
      <c r="H9" s="41"/>
      <c r="I9" s="41">
        <f t="shared" si="2"/>
        <v>3683363.0736162476</v>
      </c>
      <c r="L9">
        <f t="shared" si="6"/>
        <v>2015</v>
      </c>
      <c r="M9" s="41">
        <f t="shared" si="3"/>
        <v>3804024.9288133159</v>
      </c>
      <c r="N9" s="41">
        <f t="shared" si="1"/>
        <v>2339249.6059254631</v>
      </c>
      <c r="O9" s="41">
        <f t="shared" si="1"/>
        <v>6660535.9734396851</v>
      </c>
      <c r="P9" s="41">
        <f t="shared" si="1"/>
        <v>1646205.695554255</v>
      </c>
      <c r="Q9" s="41">
        <f t="shared" si="1"/>
        <v>4658090.7415892594</v>
      </c>
      <c r="R9" s="41">
        <f t="shared" si="1"/>
        <v>0</v>
      </c>
    </row>
    <row r="10" spans="1:18" x14ac:dyDescent="0.2">
      <c r="A10">
        <f t="shared" si="4"/>
        <v>2011</v>
      </c>
      <c r="B10">
        <f t="shared" si="5"/>
        <v>2016</v>
      </c>
      <c r="C10" s="41">
        <v>422008</v>
      </c>
      <c r="D10" s="41">
        <v>227222.89631766107</v>
      </c>
      <c r="E10" s="41">
        <v>2226786.5092300656</v>
      </c>
      <c r="F10" s="41">
        <v>646580.5000000007</v>
      </c>
      <c r="G10" s="41">
        <v>77430.094452273202</v>
      </c>
      <c r="H10" s="41"/>
      <c r="I10" s="41">
        <f t="shared" si="2"/>
        <v>3600028.0000000009</v>
      </c>
      <c r="L10">
        <f t="shared" si="6"/>
        <v>2016</v>
      </c>
      <c r="M10" s="41">
        <f t="shared" si="3"/>
        <v>6041275.5090756072</v>
      </c>
      <c r="N10" s="41">
        <f t="shared" si="1"/>
        <v>3982403.6897298833</v>
      </c>
      <c r="O10" s="41">
        <f t="shared" si="1"/>
        <v>7892962.8518290874</v>
      </c>
      <c r="P10" s="41">
        <f t="shared" si="1"/>
        <v>2391110.7108262759</v>
      </c>
      <c r="Q10" s="41">
        <f t="shared" si="1"/>
        <v>8878673.7641234137</v>
      </c>
      <c r="R10" s="41">
        <f t="shared" si="1"/>
        <v>0</v>
      </c>
    </row>
    <row r="11" spans="1:18" x14ac:dyDescent="0.2">
      <c r="A11">
        <f t="shared" si="4"/>
        <v>2011</v>
      </c>
      <c r="B11">
        <f t="shared" si="5"/>
        <v>2017</v>
      </c>
      <c r="C11" s="41">
        <v>357757</v>
      </c>
      <c r="D11" s="41">
        <v>215701.89631766107</v>
      </c>
      <c r="E11" s="41">
        <v>2226786.5092300656</v>
      </c>
      <c r="F11" s="41">
        <v>646580.5000000007</v>
      </c>
      <c r="G11" s="41">
        <v>77430.094452273202</v>
      </c>
      <c r="H11" s="41"/>
      <c r="I11" s="41">
        <f t="shared" si="2"/>
        <v>3524256.0000000009</v>
      </c>
      <c r="L11">
        <f t="shared" si="6"/>
        <v>2017</v>
      </c>
      <c r="M11" s="41">
        <f t="shared" si="3"/>
        <v>11501759.853604492</v>
      </c>
      <c r="N11" s="41">
        <f t="shared" si="1"/>
        <v>5103921.7460673954</v>
      </c>
      <c r="O11" s="41">
        <f t="shared" si="1"/>
        <v>12308944.998419363</v>
      </c>
      <c r="P11" s="41">
        <f t="shared" si="1"/>
        <v>3335509.9354048511</v>
      </c>
      <c r="Q11" s="41">
        <f t="shared" si="1"/>
        <v>8862085.5079494044</v>
      </c>
      <c r="R11" s="41">
        <f t="shared" si="1"/>
        <v>0</v>
      </c>
    </row>
    <row r="12" spans="1:18" x14ac:dyDescent="0.2">
      <c r="A12">
        <f t="shared" si="4"/>
        <v>2011</v>
      </c>
      <c r="B12">
        <f t="shared" si="5"/>
        <v>2018</v>
      </c>
      <c r="C12" s="41">
        <v>356931</v>
      </c>
      <c r="D12" s="41">
        <v>215701.89631766107</v>
      </c>
      <c r="E12" s="41">
        <v>2226786.5092300656</v>
      </c>
      <c r="F12" s="41">
        <v>646580.5000000007</v>
      </c>
      <c r="G12" s="41">
        <v>77430.094452273202</v>
      </c>
      <c r="H12" s="41"/>
      <c r="I12" s="41">
        <f t="shared" si="2"/>
        <v>3523430.0000000009</v>
      </c>
      <c r="L12">
        <f t="shared" si="6"/>
        <v>2018</v>
      </c>
      <c r="M12" s="41">
        <f t="shared" si="3"/>
        <v>15382195.680825928</v>
      </c>
      <c r="N12" s="41">
        <f t="shared" si="1"/>
        <v>6203925.3663804261</v>
      </c>
      <c r="O12" s="41">
        <f t="shared" si="1"/>
        <v>17083005.325519945</v>
      </c>
      <c r="P12" s="41">
        <f t="shared" si="1"/>
        <v>5707452.889027141</v>
      </c>
      <c r="Q12" s="41">
        <f t="shared" si="1"/>
        <v>8872722.3412011079</v>
      </c>
      <c r="R12" s="41">
        <f t="shared" si="1"/>
        <v>0</v>
      </c>
    </row>
    <row r="13" spans="1:18" x14ac:dyDescent="0.2">
      <c r="A13">
        <f t="shared" si="4"/>
        <v>2011</v>
      </c>
      <c r="B13">
        <f t="shared" si="5"/>
        <v>2019</v>
      </c>
      <c r="C13" s="41">
        <v>416144</v>
      </c>
      <c r="D13" s="41">
        <v>215701.89631766107</v>
      </c>
      <c r="E13" s="41">
        <v>2226786.5092300656</v>
      </c>
      <c r="F13" s="41">
        <v>646580.5000000007</v>
      </c>
      <c r="G13" s="41">
        <v>77430.094452273202</v>
      </c>
      <c r="H13" s="41"/>
      <c r="I13" s="41">
        <f t="shared" si="2"/>
        <v>3582643.0000000009</v>
      </c>
      <c r="L13">
        <f t="shared" si="6"/>
        <v>2019</v>
      </c>
      <c r="M13" s="41">
        <f t="shared" si="3"/>
        <v>16904286.956643321</v>
      </c>
      <c r="N13" s="41">
        <f t="shared" si="1"/>
        <v>7283282.6936984016</v>
      </c>
      <c r="O13" s="41">
        <f t="shared" si="1"/>
        <v>19187967.141494252</v>
      </c>
      <c r="P13" s="41">
        <f t="shared" si="1"/>
        <v>8241540.2671511043</v>
      </c>
      <c r="Q13" s="41">
        <f t="shared" si="1"/>
        <v>8901717.2136891149</v>
      </c>
      <c r="R13" s="41">
        <f t="shared" si="1"/>
        <v>441657.40043133177</v>
      </c>
    </row>
    <row r="14" spans="1:18" x14ac:dyDescent="0.2">
      <c r="A14">
        <f t="shared" si="4"/>
        <v>2011</v>
      </c>
      <c r="B14">
        <f t="shared" si="5"/>
        <v>2020</v>
      </c>
      <c r="C14" s="41">
        <v>233099</v>
      </c>
      <c r="D14" s="41">
        <v>215701.89631766107</v>
      </c>
      <c r="E14" s="41">
        <v>2226786.5092300656</v>
      </c>
      <c r="F14" s="41">
        <v>646580.5000000007</v>
      </c>
      <c r="G14" s="41">
        <v>77430.094452273202</v>
      </c>
      <c r="H14" s="41"/>
      <c r="I14" s="41">
        <f t="shared" si="2"/>
        <v>3399598.0000000009</v>
      </c>
      <c r="L14">
        <f t="shared" si="6"/>
        <v>2020</v>
      </c>
      <c r="M14" s="41">
        <f t="shared" si="3"/>
        <v>16711723.878813386</v>
      </c>
      <c r="N14" s="41">
        <f t="shared" si="1"/>
        <v>7797753.6168311285</v>
      </c>
      <c r="O14" s="41">
        <f t="shared" si="1"/>
        <v>19633009.963500582</v>
      </c>
      <c r="P14" s="41">
        <f t="shared" si="1"/>
        <v>8971767.5029989928</v>
      </c>
      <c r="Q14" s="41">
        <f t="shared" si="1"/>
        <v>8893507.5605369974</v>
      </c>
      <c r="R14" s="41">
        <f t="shared" si="1"/>
        <v>1797685.2864463329</v>
      </c>
    </row>
    <row r="15" spans="1:18" x14ac:dyDescent="0.2">
      <c r="A15">
        <f t="shared" si="4"/>
        <v>2011</v>
      </c>
      <c r="B15">
        <f t="shared" si="5"/>
        <v>2021</v>
      </c>
      <c r="C15" s="41">
        <v>174544</v>
      </c>
      <c r="D15" s="41">
        <v>214883.89631766107</v>
      </c>
      <c r="E15" s="41">
        <v>2226786.5092300656</v>
      </c>
      <c r="F15" s="41">
        <v>646580.5000000007</v>
      </c>
      <c r="G15" s="41">
        <v>77430.094452273202</v>
      </c>
      <c r="H15" s="41"/>
      <c r="I15" s="41">
        <f t="shared" si="2"/>
        <v>3340225.0000000009</v>
      </c>
      <c r="L15">
        <f t="shared" si="6"/>
        <v>2021</v>
      </c>
      <c r="M15" s="41">
        <f>SUMIFS(C:C,$B:$B,$L15)-SUMIFS(C:C,$A:$A,$L15,$B:$B,$L15)/2</f>
        <v>16635686.30671192</v>
      </c>
      <c r="N15" s="41">
        <f>SUMIFS(D:D,$B:$B,$L15)-SUMIFS(D:D,$A:$A,$L15,$B:$B,$L15)/2</f>
        <v>9000615.3755871262</v>
      </c>
      <c r="O15" s="41">
        <f t="shared" si="1"/>
        <v>19572923.582774989</v>
      </c>
      <c r="P15" s="41">
        <f t="shared" si="1"/>
        <v>9068749.8355237283</v>
      </c>
      <c r="Q15" s="41">
        <f t="shared" si="1"/>
        <v>8803361.643693557</v>
      </c>
      <c r="R15" s="41">
        <f t="shared" si="1"/>
        <v>1535756.5047409057</v>
      </c>
    </row>
    <row r="16" spans="1:18" x14ac:dyDescent="0.2">
      <c r="A16">
        <f t="shared" si="4"/>
        <v>2011</v>
      </c>
      <c r="B16">
        <f t="shared" si="5"/>
        <v>2022</v>
      </c>
      <c r="C16" s="41">
        <v>170368</v>
      </c>
      <c r="D16" s="41">
        <v>134196.42735806177</v>
      </c>
      <c r="E16" s="41">
        <v>1593518.1288293025</v>
      </c>
      <c r="F16" s="41">
        <v>646580.5000000007</v>
      </c>
      <c r="G16" s="41">
        <v>46399.943812635807</v>
      </c>
      <c r="H16" s="41"/>
      <c r="I16" s="41">
        <f t="shared" si="2"/>
        <v>2591063.0000000009</v>
      </c>
      <c r="L16">
        <f t="shared" si="6"/>
        <v>2022</v>
      </c>
      <c r="M16" s="41">
        <f t="shared" si="3"/>
        <v>16657469.893573921</v>
      </c>
      <c r="N16" s="41">
        <f t="shared" si="1"/>
        <v>8981991.0753254313</v>
      </c>
      <c r="O16" s="41">
        <f t="shared" si="1"/>
        <v>18898331.789018571</v>
      </c>
      <c r="P16" s="41">
        <f t="shared" si="1"/>
        <v>9201059.2912195604</v>
      </c>
      <c r="Q16" s="41">
        <f t="shared" si="1"/>
        <v>8945935.1546847057</v>
      </c>
      <c r="R16" s="41">
        <f t="shared" si="1"/>
        <v>1517237.8217816143</v>
      </c>
    </row>
    <row r="17" spans="1:21" x14ac:dyDescent="0.2">
      <c r="A17">
        <f>A16</f>
        <v>2011</v>
      </c>
      <c r="B17">
        <f>B16+1</f>
        <v>2023</v>
      </c>
      <c r="C17" s="41">
        <v>170368</v>
      </c>
      <c r="D17" s="41">
        <v>120653.42735806176</v>
      </c>
      <c r="E17" s="41">
        <v>1593518.1288293025</v>
      </c>
      <c r="F17" s="41">
        <v>646580.5000000007</v>
      </c>
      <c r="G17" s="41">
        <v>46399.943812635807</v>
      </c>
      <c r="H17" s="41"/>
      <c r="I17" s="41">
        <f t="shared" si="2"/>
        <v>2577520.0000000009</v>
      </c>
      <c r="L17">
        <f t="shared" si="6"/>
        <v>2023</v>
      </c>
      <c r="M17" s="41">
        <f t="shared" si="3"/>
        <v>16579223.715500981</v>
      </c>
      <c r="N17" s="41">
        <f t="shared" si="1"/>
        <v>8799895.5567097496</v>
      </c>
      <c r="O17" s="41">
        <f t="shared" si="1"/>
        <v>17821321.963868957</v>
      </c>
      <c r="P17" s="41">
        <f t="shared" si="1"/>
        <v>9030219.4189006388</v>
      </c>
      <c r="Q17" s="41">
        <f t="shared" si="1"/>
        <v>8796000.5995527748</v>
      </c>
      <c r="R17" s="41">
        <f t="shared" si="1"/>
        <v>1517237.8217816143</v>
      </c>
    </row>
    <row r="18" spans="1:21" x14ac:dyDescent="0.2">
      <c r="C18" s="41"/>
      <c r="D18" s="41"/>
      <c r="E18" s="41"/>
      <c r="F18" s="41"/>
      <c r="G18" s="41"/>
      <c r="H18" s="41"/>
      <c r="I18" s="41"/>
      <c r="M18" s="41"/>
      <c r="N18" s="41"/>
    </row>
    <row r="19" spans="1:21" x14ac:dyDescent="0.2">
      <c r="A19">
        <v>2012</v>
      </c>
      <c r="B19">
        <v>2012</v>
      </c>
      <c r="C19" s="41">
        <v>329691.57903826883</v>
      </c>
      <c r="D19" s="41">
        <v>316894.39513372973</v>
      </c>
      <c r="E19" s="41">
        <v>1036607.7853213905</v>
      </c>
      <c r="F19" s="41">
        <v>271020.68264942424</v>
      </c>
      <c r="G19" s="41">
        <v>18828.395697058553</v>
      </c>
      <c r="H19" s="41"/>
      <c r="I19" s="41">
        <f t="shared" si="2"/>
        <v>1973042.8378398721</v>
      </c>
      <c r="J19" s="29"/>
      <c r="M19" s="126"/>
    </row>
    <row r="20" spans="1:21" x14ac:dyDescent="0.2">
      <c r="A20">
        <f>A19</f>
        <v>2012</v>
      </c>
      <c r="B20">
        <f>B19+1</f>
        <v>2013</v>
      </c>
      <c r="C20" s="41">
        <v>329691.57903826883</v>
      </c>
      <c r="D20" s="41">
        <v>316894.39513372973</v>
      </c>
      <c r="E20" s="41">
        <v>1036607.7853213905</v>
      </c>
      <c r="F20" s="41">
        <v>271020.68264942424</v>
      </c>
      <c r="G20" s="41">
        <v>18828.395697058553</v>
      </c>
      <c r="H20" s="41"/>
      <c r="I20" s="41">
        <f t="shared" si="2"/>
        <v>1973042.8378398721</v>
      </c>
    </row>
    <row r="21" spans="1:21" x14ac:dyDescent="0.2">
      <c r="A21">
        <f t="shared" ref="A21:A30" si="7">A20</f>
        <v>2012</v>
      </c>
      <c r="B21">
        <f t="shared" ref="B21:B30" si="8">B20+1</f>
        <v>2014</v>
      </c>
      <c r="C21" s="41">
        <v>329691.57903826883</v>
      </c>
      <c r="D21" s="41">
        <v>316894.39513372973</v>
      </c>
      <c r="E21" s="41">
        <v>1036607.7853213905</v>
      </c>
      <c r="F21" s="41">
        <v>271020.68264942424</v>
      </c>
      <c r="G21" s="41">
        <v>18828.395697058553</v>
      </c>
      <c r="H21" s="41"/>
      <c r="I21" s="41">
        <f t="shared" si="2"/>
        <v>1973042.8378398721</v>
      </c>
      <c r="L21" s="101"/>
      <c r="M21" s="101"/>
      <c r="N21" s="101"/>
      <c r="O21" s="101"/>
      <c r="P21" s="101"/>
      <c r="Q21" s="101"/>
      <c r="R21" s="101"/>
    </row>
    <row r="22" spans="1:21" x14ac:dyDescent="0.2">
      <c r="A22">
        <f t="shared" si="7"/>
        <v>2012</v>
      </c>
      <c r="B22">
        <f t="shared" si="8"/>
        <v>2015</v>
      </c>
      <c r="C22" s="41">
        <v>329372.7513825348</v>
      </c>
      <c r="D22" s="41">
        <v>316894.39513372973</v>
      </c>
      <c r="E22" s="41">
        <v>1036607.7853213905</v>
      </c>
      <c r="F22" s="41">
        <v>271020.68264942424</v>
      </c>
      <c r="G22" s="41">
        <v>18828.395697058553</v>
      </c>
      <c r="H22" s="41"/>
      <c r="I22" s="41">
        <f t="shared" si="2"/>
        <v>1972724.0101841381</v>
      </c>
    </row>
    <row r="23" spans="1:21" x14ac:dyDescent="0.2">
      <c r="A23">
        <f t="shared" si="7"/>
        <v>2012</v>
      </c>
      <c r="B23">
        <f t="shared" si="8"/>
        <v>2016</v>
      </c>
      <c r="C23" s="41">
        <v>285674</v>
      </c>
      <c r="D23" s="41">
        <v>316894.39513372973</v>
      </c>
      <c r="E23" s="41">
        <v>1036607.7853213905</v>
      </c>
      <c r="F23" s="41">
        <v>271020.68264942424</v>
      </c>
      <c r="G23" s="41">
        <v>18828.395697058553</v>
      </c>
      <c r="H23" s="41"/>
      <c r="I23" s="41">
        <f t="shared" si="2"/>
        <v>1929025.2588016032</v>
      </c>
      <c r="M23" s="41"/>
      <c r="N23" s="41"/>
      <c r="O23" s="41"/>
      <c r="P23" s="41"/>
      <c r="Q23" s="41"/>
      <c r="R23" s="41"/>
      <c r="S23" s="41"/>
      <c r="T23" s="41"/>
    </row>
    <row r="24" spans="1:21" x14ac:dyDescent="0.2">
      <c r="A24">
        <f t="shared" si="7"/>
        <v>2012</v>
      </c>
      <c r="B24">
        <f t="shared" si="8"/>
        <v>2017</v>
      </c>
      <c r="C24" s="41">
        <v>233860</v>
      </c>
      <c r="D24" s="41">
        <v>312057.72359806881</v>
      </c>
      <c r="E24" s="41">
        <v>1024240.9431058797</v>
      </c>
      <c r="F24" s="41">
        <v>267794.82118352153</v>
      </c>
      <c r="G24" s="41">
        <v>18603.770914133027</v>
      </c>
      <c r="H24" s="41"/>
      <c r="I24" s="41">
        <f t="shared" si="2"/>
        <v>1856557.258801603</v>
      </c>
      <c r="M24" s="41"/>
      <c r="N24" s="41"/>
      <c r="O24" s="41"/>
      <c r="P24" s="41"/>
      <c r="Q24" s="41"/>
      <c r="R24" s="41"/>
      <c r="S24" s="41"/>
      <c r="T24" s="41"/>
      <c r="U24" s="41"/>
    </row>
    <row r="25" spans="1:21" x14ac:dyDescent="0.2">
      <c r="A25">
        <f t="shared" si="7"/>
        <v>2012</v>
      </c>
      <c r="B25">
        <f t="shared" si="8"/>
        <v>2018</v>
      </c>
      <c r="C25" s="41">
        <v>194266</v>
      </c>
      <c r="D25" s="41">
        <v>309352.93190013664</v>
      </c>
      <c r="E25" s="41">
        <v>1015358.1364570835</v>
      </c>
      <c r="F25" s="41">
        <v>265477.76213335624</v>
      </c>
      <c r="G25" s="41">
        <v>18442.428311026739</v>
      </c>
      <c r="H25" s="41"/>
      <c r="I25" s="41">
        <f t="shared" si="2"/>
        <v>1802897.258801603</v>
      </c>
      <c r="M25" s="41"/>
      <c r="N25" s="41"/>
      <c r="O25" s="41"/>
      <c r="P25" s="41"/>
      <c r="Q25" s="41"/>
      <c r="R25" s="41"/>
      <c r="S25" s="41"/>
      <c r="T25" s="41"/>
    </row>
    <row r="26" spans="1:21" x14ac:dyDescent="0.2">
      <c r="A26">
        <f t="shared" si="7"/>
        <v>2012</v>
      </c>
      <c r="B26">
        <f t="shared" si="8"/>
        <v>2019</v>
      </c>
      <c r="C26" s="41">
        <v>194087</v>
      </c>
      <c r="D26" s="41">
        <v>309352.93190013664</v>
      </c>
      <c r="E26" s="41">
        <v>1015358.1364570835</v>
      </c>
      <c r="F26" s="41">
        <v>265477.76213335624</v>
      </c>
      <c r="G26" s="41">
        <v>18442.428311026739</v>
      </c>
      <c r="H26" s="41"/>
      <c r="I26" s="41">
        <f t="shared" si="2"/>
        <v>1802718.258801603</v>
      </c>
      <c r="M26" s="41"/>
      <c r="N26" s="41"/>
      <c r="O26" s="41"/>
      <c r="P26" s="41"/>
      <c r="Q26" s="41"/>
      <c r="R26" s="41"/>
      <c r="S26" s="41"/>
      <c r="T26" s="41"/>
    </row>
    <row r="27" spans="1:21" x14ac:dyDescent="0.2">
      <c r="A27">
        <f t="shared" si="7"/>
        <v>2012</v>
      </c>
      <c r="B27">
        <f t="shared" si="8"/>
        <v>2020</v>
      </c>
      <c r="C27" s="41">
        <v>194087</v>
      </c>
      <c r="D27" s="41">
        <v>294765.59376526286</v>
      </c>
      <c r="E27" s="41">
        <v>967451.8580284128</v>
      </c>
      <c r="F27" s="41">
        <v>252981.52300741136</v>
      </c>
      <c r="G27" s="41">
        <v>17572.284000516069</v>
      </c>
      <c r="H27" s="41"/>
      <c r="I27" s="41">
        <f t="shared" si="2"/>
        <v>1726858.2588016032</v>
      </c>
      <c r="M27" s="41"/>
      <c r="N27" s="41"/>
      <c r="O27" s="41"/>
      <c r="P27" s="41"/>
      <c r="Q27" s="41"/>
      <c r="R27" s="41"/>
      <c r="S27" s="41"/>
      <c r="T27" s="41"/>
    </row>
    <row r="28" spans="1:21" x14ac:dyDescent="0.2">
      <c r="A28">
        <f t="shared" si="7"/>
        <v>2012</v>
      </c>
      <c r="B28">
        <f t="shared" si="8"/>
        <v>2021</v>
      </c>
      <c r="C28" s="41">
        <v>156741</v>
      </c>
      <c r="D28" s="41">
        <v>258291.09505580945</v>
      </c>
      <c r="E28" s="41">
        <v>847665.95366633637</v>
      </c>
      <c r="F28" s="41">
        <v>221735.65390791919</v>
      </c>
      <c r="G28" s="41">
        <v>15396.556171537894</v>
      </c>
      <c r="H28" s="41"/>
      <c r="I28" s="41">
        <f t="shared" si="2"/>
        <v>1499830.2588016028</v>
      </c>
      <c r="M28" s="41"/>
      <c r="N28" s="41"/>
      <c r="O28" s="41"/>
      <c r="P28" s="41"/>
      <c r="Q28" s="41"/>
      <c r="R28" s="41"/>
      <c r="S28" s="41"/>
      <c r="T28" s="41"/>
    </row>
    <row r="29" spans="1:21" x14ac:dyDescent="0.2">
      <c r="A29">
        <f t="shared" si="7"/>
        <v>2012</v>
      </c>
      <c r="B29">
        <f t="shared" si="8"/>
        <v>2022</v>
      </c>
      <c r="C29" s="41">
        <v>143724</v>
      </c>
      <c r="D29" s="41">
        <v>245520.92466908428</v>
      </c>
      <c r="E29" s="41">
        <v>805727.43599631242</v>
      </c>
      <c r="F29" s="41">
        <v>210796.0910242651</v>
      </c>
      <c r="G29" s="41">
        <v>14634.807111941091</v>
      </c>
      <c r="H29" s="41"/>
      <c r="I29" s="41">
        <f t="shared" si="2"/>
        <v>1420403.258801603</v>
      </c>
      <c r="M29" s="41"/>
      <c r="N29" s="41"/>
      <c r="O29" s="41"/>
      <c r="P29" s="41"/>
      <c r="Q29" s="41"/>
      <c r="R29" s="41"/>
      <c r="T29" s="41"/>
    </row>
    <row r="30" spans="1:21" x14ac:dyDescent="0.2">
      <c r="A30">
        <f t="shared" si="7"/>
        <v>2012</v>
      </c>
      <c r="B30">
        <f t="shared" si="8"/>
        <v>2023</v>
      </c>
      <c r="C30" s="41">
        <v>142718</v>
      </c>
      <c r="D30" s="41">
        <v>245520.92466908428</v>
      </c>
      <c r="E30" s="41">
        <v>805727.43599631242</v>
      </c>
      <c r="F30" s="41">
        <v>210796.0910242651</v>
      </c>
      <c r="G30" s="41">
        <v>14634.807111941091</v>
      </c>
      <c r="H30" s="41"/>
      <c r="I30" s="41">
        <f t="shared" si="2"/>
        <v>1419397.258801603</v>
      </c>
      <c r="M30" s="41"/>
      <c r="N30" s="41"/>
      <c r="O30" s="41"/>
      <c r="P30" s="41"/>
      <c r="Q30" s="41"/>
      <c r="R30" s="41"/>
      <c r="T30" s="41"/>
    </row>
    <row r="31" spans="1:21" x14ac:dyDescent="0.2">
      <c r="C31" s="41"/>
      <c r="D31" s="41"/>
      <c r="E31" s="41"/>
      <c r="F31" s="41"/>
      <c r="G31" s="41"/>
      <c r="H31" s="41"/>
      <c r="I31" s="41"/>
      <c r="M31" s="41"/>
      <c r="N31" s="41"/>
      <c r="O31" s="41"/>
      <c r="P31" s="41"/>
      <c r="Q31" s="41"/>
      <c r="R31" s="41"/>
      <c r="T31" s="41"/>
    </row>
    <row r="32" spans="1:21" x14ac:dyDescent="0.2">
      <c r="A32">
        <v>2013</v>
      </c>
      <c r="B32">
        <v>2013</v>
      </c>
      <c r="C32" s="41">
        <v>366534.30305800645</v>
      </c>
      <c r="D32" s="41">
        <v>458520.99154717627</v>
      </c>
      <c r="E32" s="41">
        <v>1745463.5399166883</v>
      </c>
      <c r="F32" s="41">
        <v>164110.31743659242</v>
      </c>
      <c r="G32" s="41">
        <v>343464.17754660372</v>
      </c>
      <c r="H32" s="41"/>
      <c r="I32" s="41">
        <f t="shared" si="2"/>
        <v>3078093.3295050673</v>
      </c>
      <c r="J32" s="29"/>
      <c r="M32" s="41"/>
      <c r="N32" s="41"/>
      <c r="O32" s="41"/>
      <c r="P32" s="41"/>
      <c r="Q32" s="41"/>
      <c r="R32" s="41"/>
      <c r="T32" s="41"/>
    </row>
    <row r="33" spans="1:20" x14ac:dyDescent="0.2">
      <c r="A33">
        <f>A32</f>
        <v>2013</v>
      </c>
      <c r="B33">
        <f>B32+1</f>
        <v>2014</v>
      </c>
      <c r="C33" s="41">
        <v>365620.65890828345</v>
      </c>
      <c r="D33" s="41">
        <v>458058.59362573142</v>
      </c>
      <c r="E33" s="41">
        <v>1744419.4485642542</v>
      </c>
      <c r="F33" s="41">
        <v>164074.08713729659</v>
      </c>
      <c r="G33" s="41">
        <v>343066.96171977854</v>
      </c>
      <c r="H33" s="41"/>
      <c r="I33" s="41">
        <f t="shared" si="2"/>
        <v>3075239.749955344</v>
      </c>
      <c r="M33" s="41"/>
      <c r="N33" s="41"/>
      <c r="O33" s="41"/>
      <c r="P33" s="41"/>
      <c r="Q33" s="41"/>
      <c r="R33" s="41"/>
      <c r="T33" s="41"/>
    </row>
    <row r="34" spans="1:20" x14ac:dyDescent="0.2">
      <c r="A34">
        <f t="shared" ref="A34:A42" si="9">A33</f>
        <v>2013</v>
      </c>
      <c r="B34">
        <f t="shared" ref="B34:B42" si="10">B33+1</f>
        <v>2015</v>
      </c>
      <c r="C34" s="41">
        <v>357950.38658948633</v>
      </c>
      <c r="D34" s="41">
        <v>458058.59362573142</v>
      </c>
      <c r="E34" s="41">
        <v>1744419.4485642542</v>
      </c>
      <c r="F34" s="41">
        <v>164074.08713729659</v>
      </c>
      <c r="G34" s="41">
        <v>343066.96171977854</v>
      </c>
      <c r="H34" s="41"/>
      <c r="I34" s="41">
        <f t="shared" si="2"/>
        <v>3067569.4776365468</v>
      </c>
      <c r="M34" s="41"/>
      <c r="N34" s="41"/>
      <c r="O34" s="41"/>
      <c r="P34" s="41"/>
      <c r="Q34" s="41"/>
      <c r="R34" s="41"/>
      <c r="T34" s="41"/>
    </row>
    <row r="35" spans="1:20" x14ac:dyDescent="0.2">
      <c r="A35">
        <f t="shared" si="9"/>
        <v>2013</v>
      </c>
      <c r="B35">
        <f t="shared" si="10"/>
        <v>2016</v>
      </c>
      <c r="C35" s="41">
        <v>327770.85916055937</v>
      </c>
      <c r="D35" s="41">
        <v>458058.59362573142</v>
      </c>
      <c r="E35" s="41">
        <v>1744419.4485642542</v>
      </c>
      <c r="F35" s="41">
        <v>164074.08713729659</v>
      </c>
      <c r="G35" s="41">
        <v>343066.96171977854</v>
      </c>
      <c r="H35" s="41"/>
      <c r="I35" s="41">
        <f t="shared" si="2"/>
        <v>3037389.9502076199</v>
      </c>
      <c r="M35" s="41"/>
      <c r="N35" s="41"/>
      <c r="O35" s="41"/>
      <c r="P35" s="41"/>
      <c r="Q35" s="41"/>
      <c r="R35" s="41"/>
      <c r="T35" s="41"/>
    </row>
    <row r="36" spans="1:20" x14ac:dyDescent="0.2">
      <c r="A36">
        <f t="shared" si="9"/>
        <v>2013</v>
      </c>
      <c r="B36">
        <f t="shared" si="10"/>
        <v>2017</v>
      </c>
      <c r="C36" s="41">
        <v>303753.85886387789</v>
      </c>
      <c r="D36" s="41">
        <v>401455.96227480978</v>
      </c>
      <c r="E36" s="41">
        <v>1733500.6440710598</v>
      </c>
      <c r="F36" s="41">
        <v>163695.20117696491</v>
      </c>
      <c r="G36" s="41">
        <v>338912.99382741505</v>
      </c>
      <c r="H36" s="41"/>
      <c r="I36" s="41">
        <f t="shared" si="2"/>
        <v>2941318.6602141275</v>
      </c>
    </row>
    <row r="37" spans="1:20" x14ac:dyDescent="0.2">
      <c r="A37">
        <f t="shared" si="9"/>
        <v>2013</v>
      </c>
      <c r="B37">
        <f t="shared" si="10"/>
        <v>2018</v>
      </c>
      <c r="C37" s="41">
        <v>283370.23964492598</v>
      </c>
      <c r="D37" s="41">
        <v>391081.9166280473</v>
      </c>
      <c r="E37" s="41">
        <v>1710076.1197658954</v>
      </c>
      <c r="F37" s="41">
        <v>162882.36279413587</v>
      </c>
      <c r="G37" s="41">
        <v>330001.32937567111</v>
      </c>
      <c r="H37" s="41"/>
      <c r="I37" s="41">
        <f t="shared" si="2"/>
        <v>2877411.9682086757</v>
      </c>
    </row>
    <row r="38" spans="1:20" x14ac:dyDescent="0.2">
      <c r="A38">
        <f t="shared" si="9"/>
        <v>2013</v>
      </c>
      <c r="B38">
        <f t="shared" si="10"/>
        <v>2019</v>
      </c>
      <c r="C38" s="41">
        <v>282731.738408826</v>
      </c>
      <c r="D38" s="41">
        <v>391081.9166280473</v>
      </c>
      <c r="E38" s="41">
        <v>1710076.1197658954</v>
      </c>
      <c r="F38" s="41">
        <v>162882.36279413587</v>
      </c>
      <c r="G38" s="41">
        <v>330001.32937567111</v>
      </c>
      <c r="H38" s="41"/>
      <c r="I38" s="41">
        <f t="shared" si="2"/>
        <v>2876773.4669725755</v>
      </c>
    </row>
    <row r="39" spans="1:20" x14ac:dyDescent="0.2">
      <c r="A39">
        <f t="shared" si="9"/>
        <v>2013</v>
      </c>
      <c r="B39">
        <f t="shared" si="10"/>
        <v>2020</v>
      </c>
      <c r="C39" s="41">
        <v>282491.596000196</v>
      </c>
      <c r="D39" s="41">
        <v>388533.27406812762</v>
      </c>
      <c r="E39" s="41">
        <v>1704321.302250836</v>
      </c>
      <c r="F39" s="41">
        <v>162682.66881096346</v>
      </c>
      <c r="G39" s="41">
        <v>327811.95716016262</v>
      </c>
      <c r="H39" s="41"/>
      <c r="I39" s="41">
        <f t="shared" si="2"/>
        <v>2865840.7982902862</v>
      </c>
    </row>
    <row r="40" spans="1:20" x14ac:dyDescent="0.2">
      <c r="A40">
        <f t="shared" si="9"/>
        <v>2013</v>
      </c>
      <c r="B40">
        <f t="shared" si="10"/>
        <v>2021</v>
      </c>
      <c r="C40" s="41">
        <v>244458.41913872998</v>
      </c>
      <c r="D40" s="41">
        <v>364330.62256872881</v>
      </c>
      <c r="E40" s="41">
        <v>1490037.9411505365</v>
      </c>
      <c r="F40" s="41">
        <v>135631.8777382806</v>
      </c>
      <c r="G40" s="41">
        <v>307021.04141241364</v>
      </c>
      <c r="H40" s="41"/>
      <c r="I40" s="41">
        <f t="shared" si="2"/>
        <v>2541479.9020086895</v>
      </c>
    </row>
    <row r="41" spans="1:20" x14ac:dyDescent="0.2">
      <c r="A41">
        <f t="shared" si="9"/>
        <v>2013</v>
      </c>
      <c r="B41">
        <f t="shared" si="10"/>
        <v>2022</v>
      </c>
      <c r="C41" s="41">
        <v>244458.41913872998</v>
      </c>
      <c r="D41" s="41">
        <v>288706.36317191808</v>
      </c>
      <c r="E41" s="41">
        <v>1319278.8792937486</v>
      </c>
      <c r="F41" s="41">
        <v>129706.48442463811</v>
      </c>
      <c r="G41" s="41">
        <v>242057.18381011489</v>
      </c>
      <c r="H41" s="41"/>
      <c r="I41" s="41">
        <f t="shared" si="2"/>
        <v>2224207.32983915</v>
      </c>
    </row>
    <row r="42" spans="1:20" x14ac:dyDescent="0.2">
      <c r="A42">
        <f t="shared" si="9"/>
        <v>2013</v>
      </c>
      <c r="B42">
        <f t="shared" si="10"/>
        <v>2023</v>
      </c>
      <c r="C42" s="41">
        <v>229080.35706579097</v>
      </c>
      <c r="D42" s="41">
        <v>174552.23150977318</v>
      </c>
      <c r="E42" s="41">
        <v>421900.4088279588</v>
      </c>
      <c r="F42" s="41">
        <v>19973.673987038375</v>
      </c>
      <c r="G42" s="41">
        <v>143994.83168708181</v>
      </c>
      <c r="H42" s="41"/>
      <c r="I42" s="41">
        <f t="shared" si="2"/>
        <v>989501.50307764322</v>
      </c>
    </row>
    <row r="43" spans="1:20" x14ac:dyDescent="0.2">
      <c r="C43" s="41"/>
      <c r="D43" s="41"/>
      <c r="E43" s="41"/>
      <c r="F43" s="41"/>
      <c r="G43" s="41"/>
      <c r="H43" s="41"/>
      <c r="I43" s="41"/>
    </row>
    <row r="44" spans="1:20" x14ac:dyDescent="0.2">
      <c r="A44">
        <v>2014</v>
      </c>
      <c r="B44">
        <v>2014</v>
      </c>
      <c r="C44" s="41">
        <v>1590599.8119650476</v>
      </c>
      <c r="D44" s="41">
        <v>528885.71113839326</v>
      </c>
      <c r="E44" s="41">
        <v>1521856.9688987129</v>
      </c>
      <c r="F44" s="41">
        <v>204259.48662289491</v>
      </c>
      <c r="G44" s="41">
        <v>0</v>
      </c>
      <c r="H44" s="41">
        <v>0</v>
      </c>
      <c r="I44" s="41">
        <f t="shared" si="2"/>
        <v>3845601.9786250489</v>
      </c>
    </row>
    <row r="45" spans="1:20" x14ac:dyDescent="0.2">
      <c r="A45">
        <f>A44</f>
        <v>2014</v>
      </c>
      <c r="B45">
        <f>B44+1</f>
        <v>2015</v>
      </c>
      <c r="C45" s="41">
        <v>1486741.217225048</v>
      </c>
      <c r="D45" s="41">
        <v>528885.71113839326</v>
      </c>
      <c r="E45" s="41">
        <v>1521856.9688987129</v>
      </c>
      <c r="F45" s="41">
        <v>204259.48662289491</v>
      </c>
      <c r="G45" s="41"/>
      <c r="H45" s="41"/>
      <c r="I45" s="41">
        <f t="shared" si="2"/>
        <v>3741743.3838850493</v>
      </c>
    </row>
    <row r="46" spans="1:20" x14ac:dyDescent="0.2">
      <c r="A46">
        <f t="shared" ref="A46:A53" si="11">A45</f>
        <v>2014</v>
      </c>
      <c r="B46">
        <f t="shared" ref="B46:B53" si="12">B45+1</f>
        <v>2016</v>
      </c>
      <c r="C46" s="41">
        <v>1428752.1499150479</v>
      </c>
      <c r="D46" s="41">
        <v>528885.71113839326</v>
      </c>
      <c r="E46" s="41">
        <v>1521856.9688987129</v>
      </c>
      <c r="F46" s="41">
        <v>204259.48662289491</v>
      </c>
      <c r="G46" s="41"/>
      <c r="H46" s="41"/>
      <c r="I46" s="41">
        <f t="shared" si="2"/>
        <v>3683754.3165750494</v>
      </c>
    </row>
    <row r="47" spans="1:20" x14ac:dyDescent="0.2">
      <c r="A47">
        <f t="shared" si="11"/>
        <v>2014</v>
      </c>
      <c r="B47">
        <f t="shared" si="12"/>
        <v>2017</v>
      </c>
      <c r="C47" s="41">
        <v>1426844.3506750481</v>
      </c>
      <c r="D47" s="41">
        <v>524632.99472939316</v>
      </c>
      <c r="E47" s="41">
        <v>1512060.8230955177</v>
      </c>
      <c r="F47" s="41">
        <v>203392.57106509001</v>
      </c>
      <c r="G47" s="41"/>
      <c r="H47" s="41"/>
      <c r="I47" s="41">
        <f t="shared" si="2"/>
        <v>3666930.7395650488</v>
      </c>
    </row>
    <row r="48" spans="1:20" x14ac:dyDescent="0.2">
      <c r="A48">
        <f t="shared" si="11"/>
        <v>2014</v>
      </c>
      <c r="B48">
        <f t="shared" si="12"/>
        <v>2018</v>
      </c>
      <c r="C48" s="41">
        <v>1407808.2452816451</v>
      </c>
      <c r="D48" s="41">
        <v>524632.99472939316</v>
      </c>
      <c r="E48" s="41">
        <v>1446787.2530355176</v>
      </c>
      <c r="F48" s="41">
        <v>203392.57106509001</v>
      </c>
      <c r="G48" s="41"/>
      <c r="H48" s="41"/>
      <c r="I48" s="41">
        <f t="shared" si="2"/>
        <v>3582621.0641116458</v>
      </c>
    </row>
    <row r="49" spans="1:9" x14ac:dyDescent="0.2">
      <c r="A49">
        <f t="shared" si="11"/>
        <v>2014</v>
      </c>
      <c r="B49">
        <f t="shared" si="12"/>
        <v>2019</v>
      </c>
      <c r="C49" s="41">
        <v>1394722.4271730001</v>
      </c>
      <c r="D49" s="41">
        <v>524632.99472939316</v>
      </c>
      <c r="E49" s="41">
        <v>1446787.2530355176</v>
      </c>
      <c r="F49" s="41">
        <v>203392.57106509001</v>
      </c>
      <c r="G49" s="41"/>
      <c r="H49" s="41"/>
      <c r="I49" s="41">
        <f t="shared" si="2"/>
        <v>3569535.246003001</v>
      </c>
    </row>
    <row r="50" spans="1:9" x14ac:dyDescent="0.2">
      <c r="A50">
        <f t="shared" si="11"/>
        <v>2014</v>
      </c>
      <c r="B50">
        <f t="shared" si="12"/>
        <v>2020</v>
      </c>
      <c r="C50" s="41">
        <v>1394656.2008430001</v>
      </c>
      <c r="D50" s="41">
        <v>516296.19044078584</v>
      </c>
      <c r="E50" s="41">
        <v>1413267.5975201733</v>
      </c>
      <c r="F50" s="41">
        <v>200426.22986904185</v>
      </c>
      <c r="G50" s="41"/>
      <c r="H50" s="41"/>
      <c r="I50" s="41">
        <f t="shared" si="2"/>
        <v>3524646.2186730015</v>
      </c>
    </row>
    <row r="51" spans="1:9" x14ac:dyDescent="0.2">
      <c r="A51">
        <f t="shared" si="11"/>
        <v>2014</v>
      </c>
      <c r="B51">
        <f t="shared" si="12"/>
        <v>2021</v>
      </c>
      <c r="C51" s="41">
        <v>1393612.8056030001</v>
      </c>
      <c r="D51" s="41">
        <v>516296.19044078584</v>
      </c>
      <c r="E51" s="41">
        <v>1413267.5975201733</v>
      </c>
      <c r="F51" s="41">
        <v>200426.22986904185</v>
      </c>
      <c r="G51" s="41"/>
      <c r="H51" s="41"/>
      <c r="I51" s="41">
        <f t="shared" si="2"/>
        <v>3523602.8234330011</v>
      </c>
    </row>
    <row r="52" spans="1:9" x14ac:dyDescent="0.2">
      <c r="A52">
        <f t="shared" si="11"/>
        <v>2014</v>
      </c>
      <c r="B52">
        <f t="shared" si="12"/>
        <v>2022</v>
      </c>
      <c r="C52" s="41">
        <v>1374146.392465</v>
      </c>
      <c r="D52" s="41">
        <v>503912.67895772867</v>
      </c>
      <c r="E52" s="41">
        <v>1363477.4111834697</v>
      </c>
      <c r="F52" s="41">
        <v>196020.01868880261</v>
      </c>
      <c r="G52" s="41"/>
      <c r="H52" s="41"/>
      <c r="I52" s="41">
        <f t="shared" si="2"/>
        <v>3437556.5012950012</v>
      </c>
    </row>
    <row r="53" spans="1:9" x14ac:dyDescent="0.2">
      <c r="A53">
        <f t="shared" si="11"/>
        <v>2014</v>
      </c>
      <c r="B53">
        <f t="shared" si="12"/>
        <v>2023</v>
      </c>
      <c r="C53" s="41">
        <v>1314044.2764649999</v>
      </c>
      <c r="D53" s="41">
        <v>467491.34852309769</v>
      </c>
      <c r="E53" s="41">
        <v>1217038.7510786995</v>
      </c>
      <c r="F53" s="41">
        <v>183060.84522820346</v>
      </c>
      <c r="G53" s="41"/>
      <c r="H53" s="41"/>
      <c r="I53" s="41">
        <f t="shared" si="2"/>
        <v>3181635.221295001</v>
      </c>
    </row>
    <row r="54" spans="1:9" x14ac:dyDescent="0.2">
      <c r="C54" s="41"/>
      <c r="D54" s="41"/>
      <c r="E54" s="41"/>
      <c r="F54" s="41"/>
      <c r="G54" s="41"/>
      <c r="H54" s="41"/>
      <c r="I54" s="41"/>
    </row>
    <row r="55" spans="1:9" x14ac:dyDescent="0.2">
      <c r="A55">
        <v>2015</v>
      </c>
      <c r="B55">
        <v>2015</v>
      </c>
      <c r="C55" s="41">
        <v>2249235</v>
      </c>
      <c r="D55" s="41">
        <v>1616376.0194198957</v>
      </c>
      <c r="E55" s="41">
        <v>261730.52285052431</v>
      </c>
      <c r="F55" s="41">
        <v>720541.87828927755</v>
      </c>
      <c r="G55" s="41">
        <v>8437530.5794402994</v>
      </c>
      <c r="H55" s="41"/>
      <c r="I55" s="41">
        <f t="shared" si="2"/>
        <v>13285413.999999996</v>
      </c>
    </row>
    <row r="56" spans="1:9" x14ac:dyDescent="0.2">
      <c r="A56">
        <f>A55</f>
        <v>2015</v>
      </c>
      <c r="B56">
        <f>B55+1</f>
        <v>2016</v>
      </c>
      <c r="C56" s="41">
        <v>1972797</v>
      </c>
      <c r="D56" s="41">
        <v>1616376.0194198957</v>
      </c>
      <c r="E56" s="41">
        <v>261730.52285052431</v>
      </c>
      <c r="F56" s="41">
        <v>720541.87828927755</v>
      </c>
      <c r="G56" s="41">
        <v>8437530.5794402994</v>
      </c>
      <c r="H56" s="41"/>
      <c r="I56" s="41">
        <f t="shared" si="2"/>
        <v>13008975.999999996</v>
      </c>
    </row>
    <row r="57" spans="1:9" x14ac:dyDescent="0.2">
      <c r="A57">
        <f t="shared" ref="A57:A62" si="13">A56</f>
        <v>2015</v>
      </c>
      <c r="B57">
        <f t="shared" ref="B57:B62" si="14">B56+1</f>
        <v>2017</v>
      </c>
      <c r="C57" s="41">
        <v>1972653</v>
      </c>
      <c r="D57" s="41">
        <v>1632881.7202504904</v>
      </c>
      <c r="E57" s="41">
        <v>261580.35740022376</v>
      </c>
      <c r="F57" s="41">
        <v>718832.57454986672</v>
      </c>
      <c r="G57" s="41">
        <v>8422883.3477994166</v>
      </c>
      <c r="H57" s="41"/>
      <c r="I57" s="41">
        <f t="shared" si="2"/>
        <v>13008830.999999996</v>
      </c>
    </row>
    <row r="58" spans="1:9" x14ac:dyDescent="0.2">
      <c r="A58">
        <f t="shared" si="13"/>
        <v>2015</v>
      </c>
      <c r="B58">
        <f t="shared" si="14"/>
        <v>2018</v>
      </c>
      <c r="C58" s="41">
        <v>1972508</v>
      </c>
      <c r="D58" s="41">
        <v>1636334.7202504904</v>
      </c>
      <c r="E58" s="41">
        <v>261580.35740022376</v>
      </c>
      <c r="F58" s="41">
        <v>718832.57454986672</v>
      </c>
      <c r="G58" s="41">
        <v>8422883.3477994166</v>
      </c>
      <c r="H58" s="41"/>
      <c r="I58" s="41">
        <f t="shared" si="2"/>
        <v>13012138.999999996</v>
      </c>
    </row>
    <row r="59" spans="1:9" x14ac:dyDescent="0.2">
      <c r="A59">
        <f t="shared" si="13"/>
        <v>2015</v>
      </c>
      <c r="B59">
        <f t="shared" si="14"/>
        <v>2019</v>
      </c>
      <c r="C59" s="41">
        <v>1968944</v>
      </c>
      <c r="D59" s="41">
        <v>1563408.7202504904</v>
      </c>
      <c r="E59" s="41">
        <v>261580.35740022376</v>
      </c>
      <c r="F59" s="41">
        <v>718832.57454986672</v>
      </c>
      <c r="G59" s="41">
        <v>8422883.3477994166</v>
      </c>
      <c r="H59" s="41"/>
      <c r="I59" s="41">
        <f t="shared" si="2"/>
        <v>12935648.999999996</v>
      </c>
    </row>
    <row r="60" spans="1:9" x14ac:dyDescent="0.2">
      <c r="A60">
        <f t="shared" si="13"/>
        <v>2015</v>
      </c>
      <c r="B60">
        <f t="shared" si="14"/>
        <v>2020</v>
      </c>
      <c r="C60" s="41">
        <v>1964874</v>
      </c>
      <c r="D60" s="41">
        <v>1560469.1149837102</v>
      </c>
      <c r="E60" s="41">
        <v>261432.34168365167</v>
      </c>
      <c r="F60" s="41">
        <v>717147.74080600718</v>
      </c>
      <c r="G60" s="41">
        <v>8408445.8025266286</v>
      </c>
      <c r="H60" s="41"/>
      <c r="I60" s="41">
        <f t="shared" si="2"/>
        <v>12912368.999999998</v>
      </c>
    </row>
    <row r="61" spans="1:9" x14ac:dyDescent="0.2">
      <c r="A61">
        <f t="shared" si="13"/>
        <v>2015</v>
      </c>
      <c r="B61">
        <f t="shared" si="14"/>
        <v>2021</v>
      </c>
      <c r="C61" s="41">
        <v>1964874</v>
      </c>
      <c r="D61" s="41">
        <v>1913333.7956125408</v>
      </c>
      <c r="E61" s="41">
        <v>252233.16556584986</v>
      </c>
      <c r="F61" s="41">
        <v>679994.6140880856</v>
      </c>
      <c r="G61" s="41">
        <v>8101933.4247335214</v>
      </c>
      <c r="H61" s="41"/>
      <c r="I61" s="41">
        <f t="shared" si="2"/>
        <v>12912368.999999998</v>
      </c>
    </row>
    <row r="62" spans="1:9" x14ac:dyDescent="0.2">
      <c r="A62">
        <f t="shared" si="13"/>
        <v>2015</v>
      </c>
      <c r="B62">
        <f t="shared" si="14"/>
        <v>2022</v>
      </c>
      <c r="C62" s="41">
        <v>1964487</v>
      </c>
      <c r="D62" s="41">
        <v>1913333.7956125408</v>
      </c>
      <c r="E62" s="41">
        <v>252233.16556584986</v>
      </c>
      <c r="F62" s="41">
        <v>679994.6140880856</v>
      </c>
      <c r="G62" s="41">
        <v>8101933.4247335214</v>
      </c>
      <c r="H62" s="41"/>
      <c r="I62" s="41">
        <f t="shared" si="2"/>
        <v>12911981.999999998</v>
      </c>
    </row>
    <row r="63" spans="1:9" x14ac:dyDescent="0.2">
      <c r="A63">
        <f>A62</f>
        <v>2015</v>
      </c>
      <c r="B63">
        <f>B62+1</f>
        <v>2023</v>
      </c>
      <c r="C63" s="41">
        <v>1963076</v>
      </c>
      <c r="D63" s="41">
        <v>1917072.8374159373</v>
      </c>
      <c r="E63" s="41">
        <v>249161.24273400789</v>
      </c>
      <c r="F63" s="41">
        <v>673785.85994258604</v>
      </c>
      <c r="G63" s="41">
        <v>8050582.0599074662</v>
      </c>
      <c r="H63" s="41"/>
      <c r="I63" s="41">
        <f t="shared" si="2"/>
        <v>12853677.999999996</v>
      </c>
    </row>
    <row r="64" spans="1:9" x14ac:dyDescent="0.2">
      <c r="C64" s="41"/>
      <c r="D64" s="41"/>
      <c r="E64" s="41"/>
      <c r="F64" s="41"/>
      <c r="G64" s="41"/>
      <c r="H64" s="41"/>
      <c r="I64" s="41"/>
    </row>
    <row r="65" spans="1:10" x14ac:dyDescent="0.2">
      <c r="A65">
        <v>2016</v>
      </c>
      <c r="B65">
        <v>2016</v>
      </c>
      <c r="C65" s="41">
        <v>3208547</v>
      </c>
      <c r="D65" s="41">
        <v>1669932.1481889451</v>
      </c>
      <c r="E65" s="41">
        <v>2203123.233928279</v>
      </c>
      <c r="F65" s="41">
        <v>769268.15225476457</v>
      </c>
      <c r="G65" s="41">
        <v>3635.4656280084237</v>
      </c>
      <c r="H65" s="41"/>
      <c r="I65" s="41">
        <f t="shared" si="2"/>
        <v>7854505.9999999972</v>
      </c>
      <c r="J65" s="62"/>
    </row>
    <row r="66" spans="1:10" x14ac:dyDescent="0.2">
      <c r="A66">
        <f>A65</f>
        <v>2016</v>
      </c>
      <c r="B66">
        <f>B65+1</f>
        <v>2017</v>
      </c>
      <c r="C66" s="41">
        <v>3208547</v>
      </c>
      <c r="D66" s="41">
        <v>1643153.6013920081</v>
      </c>
      <c r="E66" s="41">
        <v>2251958.4912679205</v>
      </c>
      <c r="F66" s="41">
        <v>746591.60638390179</v>
      </c>
      <c r="G66" s="41">
        <v>4255.3009561672416</v>
      </c>
      <c r="H66" s="41"/>
      <c r="I66" s="41">
        <f t="shared" si="2"/>
        <v>7854505.9999999981</v>
      </c>
    </row>
    <row r="67" spans="1:10" x14ac:dyDescent="0.2">
      <c r="A67">
        <f t="shared" ref="A67:A72" si="15">A66</f>
        <v>2016</v>
      </c>
      <c r="B67">
        <f t="shared" ref="B67:B72" si="16">B66+1</f>
        <v>2018</v>
      </c>
      <c r="C67" s="41">
        <v>3208547</v>
      </c>
      <c r="D67" s="41">
        <v>1643226.9801797026</v>
      </c>
      <c r="E67" s="41">
        <v>2252293.7360149943</v>
      </c>
      <c r="F67" s="41">
        <v>746591.60638390179</v>
      </c>
      <c r="G67" s="41">
        <v>4257.6774213986191</v>
      </c>
      <c r="H67" s="41"/>
      <c r="I67" s="41">
        <f t="shared" si="2"/>
        <v>7854916.9999999972</v>
      </c>
    </row>
    <row r="68" spans="1:10" x14ac:dyDescent="0.2">
      <c r="A68">
        <f t="shared" si="15"/>
        <v>2016</v>
      </c>
      <c r="B68">
        <f t="shared" si="16"/>
        <v>2019</v>
      </c>
      <c r="C68" s="41">
        <v>3208547</v>
      </c>
      <c r="D68" s="41">
        <v>1643226.9801797026</v>
      </c>
      <c r="E68" s="41">
        <v>2252293.7360149943</v>
      </c>
      <c r="F68" s="41">
        <v>746591.60638390179</v>
      </c>
      <c r="G68" s="41">
        <v>4257.6774213986191</v>
      </c>
      <c r="H68" s="41"/>
      <c r="I68" s="41">
        <f t="shared" si="2"/>
        <v>7854916.9999999972</v>
      </c>
    </row>
    <row r="69" spans="1:10" x14ac:dyDescent="0.2">
      <c r="A69">
        <f t="shared" si="15"/>
        <v>2016</v>
      </c>
      <c r="B69">
        <f t="shared" si="16"/>
        <v>2020</v>
      </c>
      <c r="C69" s="41">
        <v>3208547</v>
      </c>
      <c r="D69" s="41">
        <v>1643226.9801797026</v>
      </c>
      <c r="E69" s="41">
        <v>2252293.7360149943</v>
      </c>
      <c r="F69" s="41">
        <v>746591.60638390179</v>
      </c>
      <c r="G69" s="41">
        <v>4257.6774213986191</v>
      </c>
      <c r="H69" s="41"/>
      <c r="I69" s="41">
        <f t="shared" si="2"/>
        <v>7854916.9999999972</v>
      </c>
    </row>
    <row r="70" spans="1:10" x14ac:dyDescent="0.2">
      <c r="A70">
        <f t="shared" si="15"/>
        <v>2016</v>
      </c>
      <c r="B70">
        <f t="shared" si="16"/>
        <v>2021</v>
      </c>
      <c r="C70" s="41">
        <v>3208547</v>
      </c>
      <c r="D70" s="41">
        <v>1633105.6933539498</v>
      </c>
      <c r="E70" s="41">
        <v>2243784.4752594735</v>
      </c>
      <c r="F70" s="41">
        <v>741593.1539651755</v>
      </c>
      <c r="G70" s="41">
        <v>4257.6774213986191</v>
      </c>
      <c r="H70" s="41"/>
      <c r="I70" s="41">
        <f t="shared" ref="I70:I102" si="17">SUM(C70:H70)</f>
        <v>7831287.9999999972</v>
      </c>
    </row>
    <row r="71" spans="1:10" x14ac:dyDescent="0.2">
      <c r="A71">
        <f t="shared" si="15"/>
        <v>2016</v>
      </c>
      <c r="B71">
        <f t="shared" si="16"/>
        <v>2022</v>
      </c>
      <c r="C71" s="41">
        <v>3208547</v>
      </c>
      <c r="D71" s="41">
        <v>1633105.6933539498</v>
      </c>
      <c r="E71" s="41">
        <v>2243784.4752594735</v>
      </c>
      <c r="F71" s="41">
        <v>741593.1539651755</v>
      </c>
      <c r="G71" s="41">
        <v>4257.6774213986191</v>
      </c>
      <c r="H71" s="41"/>
      <c r="I71" s="41">
        <f t="shared" si="17"/>
        <v>7831287.9999999972</v>
      </c>
    </row>
    <row r="72" spans="1:10" x14ac:dyDescent="0.2">
      <c r="A72">
        <f t="shared" si="15"/>
        <v>2016</v>
      </c>
      <c r="B72">
        <f t="shared" si="16"/>
        <v>2023</v>
      </c>
      <c r="C72" s="41">
        <v>3208198</v>
      </c>
      <c r="D72" s="41">
        <v>1633105.6933539498</v>
      </c>
      <c r="E72" s="41">
        <v>2243784.4752594735</v>
      </c>
      <c r="F72" s="41">
        <v>741593.1539651755</v>
      </c>
      <c r="G72" s="41">
        <v>4257.6774213986191</v>
      </c>
      <c r="H72" s="41"/>
      <c r="I72" s="41">
        <f t="shared" si="17"/>
        <v>7830938.9999999972</v>
      </c>
    </row>
    <row r="73" spans="1:10" x14ac:dyDescent="0.2">
      <c r="C73" s="41"/>
      <c r="D73" s="41"/>
      <c r="E73" s="41"/>
      <c r="F73" s="41"/>
      <c r="G73" s="41"/>
      <c r="H73" s="41"/>
      <c r="I73" s="41"/>
    </row>
    <row r="74" spans="1:10" x14ac:dyDescent="0.2">
      <c r="A74">
        <v>2017</v>
      </c>
      <c r="B74">
        <v>2017</v>
      </c>
      <c r="C74" s="41">
        <v>7996689.2881311346</v>
      </c>
      <c r="D74" s="41">
        <v>748075.69500992843</v>
      </c>
      <c r="E74" s="41">
        <v>6597634.4604973951</v>
      </c>
      <c r="F74" s="41">
        <v>1177245.3220910111</v>
      </c>
      <c r="G74" s="41">
        <v>0</v>
      </c>
      <c r="H74" s="41"/>
      <c r="I74" s="41">
        <f t="shared" si="17"/>
        <v>16519644.76572947</v>
      </c>
      <c r="J74" s="29"/>
    </row>
    <row r="75" spans="1:10" x14ac:dyDescent="0.2">
      <c r="A75">
        <f t="shared" ref="A75:A80" si="18">A74</f>
        <v>2017</v>
      </c>
      <c r="B75">
        <f t="shared" ref="B75:B80" si="19">B74+1</f>
        <v>2018</v>
      </c>
      <c r="C75" s="41">
        <v>6473277.8916459195</v>
      </c>
      <c r="D75" s="41">
        <v>748035.82646432216</v>
      </c>
      <c r="E75" s="41">
        <v>6597532.9868238382</v>
      </c>
      <c r="F75" s="41">
        <v>1177182.47787374</v>
      </c>
      <c r="G75" s="41">
        <v>0</v>
      </c>
      <c r="H75" s="41"/>
      <c r="I75" s="41">
        <f t="shared" si="17"/>
        <v>14996029.18280782</v>
      </c>
    </row>
    <row r="76" spans="1:10" x14ac:dyDescent="0.2">
      <c r="A76">
        <f t="shared" si="18"/>
        <v>2017</v>
      </c>
      <c r="B76">
        <f t="shared" si="19"/>
        <v>2019</v>
      </c>
      <c r="C76" s="41">
        <v>6473268.4951607054</v>
      </c>
      <c r="D76" s="41">
        <v>747864.5508984375</v>
      </c>
      <c r="E76" s="41">
        <v>6597097.0551740499</v>
      </c>
      <c r="F76" s="41">
        <v>1176912.4986529788</v>
      </c>
      <c r="G76" s="41">
        <v>0</v>
      </c>
      <c r="H76" s="41"/>
      <c r="I76" s="41">
        <f t="shared" si="17"/>
        <v>14995142.599886172</v>
      </c>
    </row>
    <row r="77" spans="1:10" x14ac:dyDescent="0.2">
      <c r="A77">
        <f t="shared" si="18"/>
        <v>2017</v>
      </c>
      <c r="B77">
        <f t="shared" si="19"/>
        <v>2020</v>
      </c>
      <c r="C77" s="41">
        <v>6473259.0986754913</v>
      </c>
      <c r="D77" s="41">
        <v>747693.27533255296</v>
      </c>
      <c r="E77" s="41">
        <v>6596661.1235242616</v>
      </c>
      <c r="F77" s="41">
        <v>1176642.5194322176</v>
      </c>
      <c r="G77" s="41">
        <v>0</v>
      </c>
      <c r="H77" s="41"/>
      <c r="I77" s="41">
        <f t="shared" si="17"/>
        <v>14994256.016964523</v>
      </c>
    </row>
    <row r="78" spans="1:10" x14ac:dyDescent="0.2">
      <c r="A78">
        <f t="shared" si="18"/>
        <v>2017</v>
      </c>
      <c r="B78">
        <f t="shared" si="19"/>
        <v>2021</v>
      </c>
      <c r="C78" s="41">
        <v>6472699.0986754913</v>
      </c>
      <c r="D78" s="41">
        <v>747693.27533255296</v>
      </c>
      <c r="E78" s="41">
        <v>6596661.1235242616</v>
      </c>
      <c r="F78" s="41">
        <v>1176642.5194322176</v>
      </c>
      <c r="G78" s="41">
        <v>0</v>
      </c>
      <c r="H78" s="41"/>
      <c r="I78" s="41">
        <f t="shared" si="17"/>
        <v>14993696.016964523</v>
      </c>
    </row>
    <row r="79" spans="1:10" x14ac:dyDescent="0.2">
      <c r="A79">
        <f t="shared" si="18"/>
        <v>2017</v>
      </c>
      <c r="B79">
        <f t="shared" si="19"/>
        <v>2022</v>
      </c>
      <c r="C79" s="41">
        <v>6472029.0986754913</v>
      </c>
      <c r="D79" s="41">
        <v>718914.71503991541</v>
      </c>
      <c r="E79" s="41">
        <v>6526356.0089706872</v>
      </c>
      <c r="F79" s="41">
        <v>1133101.4733716119</v>
      </c>
      <c r="G79" s="41">
        <v>0</v>
      </c>
      <c r="H79" s="41"/>
      <c r="I79" s="41">
        <f t="shared" si="17"/>
        <v>14850401.296057707</v>
      </c>
    </row>
    <row r="80" spans="1:10" x14ac:dyDescent="0.2">
      <c r="A80">
        <f t="shared" si="18"/>
        <v>2017</v>
      </c>
      <c r="B80">
        <f t="shared" si="19"/>
        <v>2023</v>
      </c>
      <c r="C80" s="41">
        <v>6472029.0986754913</v>
      </c>
      <c r="D80" s="41">
        <v>718842.71503991541</v>
      </c>
      <c r="E80" s="41">
        <v>6526356.0089706872</v>
      </c>
      <c r="F80" s="41">
        <v>1133101.4733716119</v>
      </c>
      <c r="G80" s="41">
        <v>0</v>
      </c>
      <c r="H80" s="41"/>
      <c r="I80" s="41">
        <f t="shared" si="17"/>
        <v>14850329.296057707</v>
      </c>
    </row>
    <row r="81" spans="1:9" x14ac:dyDescent="0.2">
      <c r="C81" s="41"/>
      <c r="D81" s="41"/>
      <c r="E81" s="41"/>
      <c r="F81" s="41"/>
      <c r="G81" s="41"/>
      <c r="H81" s="41"/>
      <c r="I81" s="41"/>
    </row>
    <row r="82" spans="1:9" x14ac:dyDescent="0.2">
      <c r="A82">
        <v>2018</v>
      </c>
      <c r="B82">
        <v>2018</v>
      </c>
      <c r="C82" s="41">
        <v>2970974.608506876</v>
      </c>
      <c r="D82" s="41">
        <v>1471116.1998213469</v>
      </c>
      <c r="E82" s="41">
        <v>3145180.4535846603</v>
      </c>
      <c r="F82" s="41">
        <v>3573026.0684541012</v>
      </c>
      <c r="G82" s="41">
        <v>39414.927682641035</v>
      </c>
      <c r="H82" s="41"/>
      <c r="I82" s="41">
        <f t="shared" si="17"/>
        <v>11199712.258049626</v>
      </c>
    </row>
    <row r="83" spans="1:9" x14ac:dyDescent="0.2">
      <c r="A83">
        <f>A82</f>
        <v>2018</v>
      </c>
      <c r="B83">
        <f>B82+1</f>
        <v>2019</v>
      </c>
      <c r="C83" s="41">
        <v>2965842.2959007872</v>
      </c>
      <c r="D83" s="41">
        <v>1466823.3788842938</v>
      </c>
      <c r="E83" s="41">
        <v>3135248.676535273</v>
      </c>
      <c r="F83" s="41">
        <v>3565178.7220054041</v>
      </c>
      <c r="G83" s="41">
        <v>39317.472221647018</v>
      </c>
      <c r="H83" s="41"/>
      <c r="I83" s="41">
        <f t="shared" si="17"/>
        <v>11172410.545547405</v>
      </c>
    </row>
    <row r="84" spans="1:9" x14ac:dyDescent="0.2">
      <c r="A84">
        <f>A83</f>
        <v>2018</v>
      </c>
      <c r="B84">
        <f>B83+1</f>
        <v>2020</v>
      </c>
      <c r="C84" s="41">
        <v>2960709.9832946984</v>
      </c>
      <c r="D84" s="41">
        <v>1462530.5579472408</v>
      </c>
      <c r="E84" s="41">
        <v>3125316.8994858861</v>
      </c>
      <c r="F84" s="41">
        <v>3557331.3755567074</v>
      </c>
      <c r="G84" s="41">
        <v>39220.016760653009</v>
      </c>
      <c r="H84" s="41"/>
      <c r="I84" s="41">
        <f t="shared" si="17"/>
        <v>11145108.833045186</v>
      </c>
    </row>
    <row r="85" spans="1:9" x14ac:dyDescent="0.2">
      <c r="A85">
        <f>A84</f>
        <v>2018</v>
      </c>
      <c r="B85">
        <f>B84+1</f>
        <v>2021</v>
      </c>
      <c r="C85" s="41">
        <v>2960709.9832946984</v>
      </c>
      <c r="D85" s="41">
        <v>1462530.5579472408</v>
      </c>
      <c r="E85" s="41">
        <v>3125316.8994858861</v>
      </c>
      <c r="F85" s="41">
        <v>3557331.3755567074</v>
      </c>
      <c r="G85" s="41">
        <v>39220.016760653009</v>
      </c>
      <c r="H85" s="41"/>
      <c r="I85" s="41">
        <f t="shared" si="17"/>
        <v>11145108.833045186</v>
      </c>
    </row>
    <row r="86" spans="1:9" x14ac:dyDescent="0.2">
      <c r="A86">
        <f>A85</f>
        <v>2018</v>
      </c>
      <c r="B86">
        <f>B85+1</f>
        <v>2022</v>
      </c>
      <c r="C86" s="41">
        <v>2960709.9832946984</v>
      </c>
      <c r="D86" s="41">
        <v>1462530.5579472408</v>
      </c>
      <c r="E86" s="41">
        <v>3125316.8994858861</v>
      </c>
      <c r="F86" s="41">
        <v>3557331.3755567074</v>
      </c>
      <c r="G86" s="41">
        <v>39220.016760653009</v>
      </c>
      <c r="H86" s="41"/>
      <c r="I86" s="41">
        <f t="shared" si="17"/>
        <v>11145108.833045186</v>
      </c>
    </row>
    <row r="87" spans="1:9" x14ac:dyDescent="0.2">
      <c r="A87">
        <f>A86</f>
        <v>2018</v>
      </c>
      <c r="B87">
        <f>B86+1</f>
        <v>2023</v>
      </c>
      <c r="C87" s="41">
        <v>2960709.9832946984</v>
      </c>
      <c r="D87" s="41">
        <v>1440886.4596249377</v>
      </c>
      <c r="E87" s="41">
        <v>3095196.1277386742</v>
      </c>
      <c r="F87" s="41">
        <v>3515392.2412814833</v>
      </c>
      <c r="G87" s="41">
        <v>38699.178577809638</v>
      </c>
      <c r="H87" s="41"/>
      <c r="I87" s="41">
        <f t="shared" si="17"/>
        <v>11050883.990517605</v>
      </c>
    </row>
    <row r="88" spans="1:9" x14ac:dyDescent="0.2">
      <c r="C88" s="41"/>
      <c r="D88" s="41"/>
      <c r="E88" s="41"/>
      <c r="F88" s="41"/>
      <c r="G88" s="41"/>
      <c r="H88" s="41"/>
      <c r="I88" s="41"/>
    </row>
    <row r="89" spans="1:9" x14ac:dyDescent="0.2">
      <c r="A89">
        <v>2019</v>
      </c>
      <c r="B89">
        <v>2019</v>
      </c>
      <c r="C89" s="41">
        <v>0</v>
      </c>
      <c r="D89" s="41">
        <v>842378.64782047831</v>
      </c>
      <c r="E89" s="41">
        <v>1085478.5957623029</v>
      </c>
      <c r="F89" s="41">
        <v>1511383.3391327411</v>
      </c>
      <c r="G89" s="41">
        <v>18769.728215364888</v>
      </c>
      <c r="H89" s="41">
        <v>883314.80086266354</v>
      </c>
      <c r="I89" s="41">
        <f t="shared" si="17"/>
        <v>4341325.1117935507</v>
      </c>
    </row>
    <row r="90" spans="1:9" x14ac:dyDescent="0.2">
      <c r="A90">
        <f>A89</f>
        <v>2019</v>
      </c>
      <c r="B90">
        <f>B89+1</f>
        <v>2020</v>
      </c>
      <c r="C90" s="41">
        <v>0</v>
      </c>
      <c r="D90" s="41">
        <v>946479.4815262761</v>
      </c>
      <c r="E90" s="41">
        <v>1085478.5957623029</v>
      </c>
      <c r="F90" s="41">
        <v>1511383.3391327411</v>
      </c>
      <c r="G90" s="41">
        <v>18769.728215364888</v>
      </c>
      <c r="H90" s="41">
        <v>1461959.3548752742</v>
      </c>
      <c r="I90" s="41">
        <f t="shared" si="17"/>
        <v>5024070.499511959</v>
      </c>
    </row>
    <row r="91" spans="1:9" x14ac:dyDescent="0.2">
      <c r="A91">
        <f>A90</f>
        <v>2019</v>
      </c>
      <c r="B91">
        <f>B90+1</f>
        <v>2021</v>
      </c>
      <c r="C91" s="41">
        <v>0</v>
      </c>
      <c r="D91" s="41">
        <v>1235008.6411887147</v>
      </c>
      <c r="E91" s="41">
        <v>1085700.4503109718</v>
      </c>
      <c r="F91" s="41">
        <v>1511692.2418323227</v>
      </c>
      <c r="G91" s="41">
        <v>18773.564449076097</v>
      </c>
      <c r="H91" s="41">
        <v>1173573.0157828033</v>
      </c>
      <c r="I91" s="41">
        <f t="shared" si="17"/>
        <v>5024747.9135638885</v>
      </c>
    </row>
    <row r="92" spans="1:9" x14ac:dyDescent="0.2">
      <c r="A92">
        <f>A91</f>
        <v>2019</v>
      </c>
      <c r="B92">
        <f>B91+1</f>
        <v>2022</v>
      </c>
      <c r="C92" s="41">
        <v>0</v>
      </c>
      <c r="D92" s="41">
        <v>1237297.4908004669</v>
      </c>
      <c r="E92" s="41">
        <v>1085700.4503109718</v>
      </c>
      <c r="F92" s="41">
        <v>1511692.2418323227</v>
      </c>
      <c r="G92" s="41">
        <v>18773.564449076097</v>
      </c>
      <c r="H92" s="41">
        <v>1171284.1661710513</v>
      </c>
      <c r="I92" s="41">
        <f t="shared" si="17"/>
        <v>5024747.9135638885</v>
      </c>
    </row>
    <row r="93" spans="1:9" x14ac:dyDescent="0.2">
      <c r="A93">
        <f>A92</f>
        <v>2019</v>
      </c>
      <c r="B93">
        <f>B92+1</f>
        <v>2023</v>
      </c>
      <c r="C93" s="41"/>
      <c r="D93" s="41">
        <v>1237297.4908004669</v>
      </c>
      <c r="E93" s="41">
        <v>1085700.4503109718</v>
      </c>
      <c r="F93" s="41">
        <v>1511692.2418323227</v>
      </c>
      <c r="G93" s="41">
        <v>18773.564449076097</v>
      </c>
      <c r="H93" s="41">
        <v>1171284.1661710513</v>
      </c>
      <c r="I93" s="41">
        <f t="shared" si="17"/>
        <v>5024747.9135638885</v>
      </c>
    </row>
    <row r="94" spans="1:9" x14ac:dyDescent="0.2">
      <c r="C94" s="41"/>
      <c r="D94" s="41"/>
      <c r="E94" s="41"/>
      <c r="F94" s="41"/>
      <c r="G94" s="41"/>
      <c r="H94" s="41"/>
      <c r="I94" s="41"/>
    </row>
    <row r="95" spans="1:9" x14ac:dyDescent="0.2">
      <c r="A95">
        <v>2020</v>
      </c>
      <c r="B95">
        <v>2020</v>
      </c>
      <c r="C95" s="41">
        <v>0</v>
      </c>
      <c r="D95" s="41">
        <v>44114.504539616719</v>
      </c>
      <c r="E95" s="41">
        <v>0</v>
      </c>
      <c r="F95" s="41">
        <v>0</v>
      </c>
      <c r="G95" s="41">
        <v>0</v>
      </c>
      <c r="H95" s="41">
        <v>671451.86314211774</v>
      </c>
      <c r="I95" s="41">
        <f t="shared" si="17"/>
        <v>715566.3676817345</v>
      </c>
    </row>
    <row r="96" spans="1:9" x14ac:dyDescent="0.2">
      <c r="A96">
        <f>A95</f>
        <v>2020</v>
      </c>
      <c r="B96">
        <f>B95+1</f>
        <v>2021</v>
      </c>
      <c r="C96" s="41">
        <v>0</v>
      </c>
      <c r="D96" s="41">
        <v>482040.62047129771</v>
      </c>
      <c r="E96" s="41">
        <v>0</v>
      </c>
      <c r="F96" s="41">
        <v>0</v>
      </c>
      <c r="G96" s="41">
        <v>0</v>
      </c>
      <c r="H96" s="41">
        <v>362183.48895810236</v>
      </c>
      <c r="I96" s="41">
        <f t="shared" si="17"/>
        <v>844224.10942940006</v>
      </c>
    </row>
    <row r="97" spans="1:9" x14ac:dyDescent="0.2">
      <c r="A97">
        <f>A96</f>
        <v>2020</v>
      </c>
      <c r="B97">
        <f>B96+1</f>
        <v>2022</v>
      </c>
      <c r="C97" s="41">
        <v>0</v>
      </c>
      <c r="D97" s="41">
        <v>498270.45381883718</v>
      </c>
      <c r="E97" s="41">
        <v>0</v>
      </c>
      <c r="F97" s="41">
        <v>0</v>
      </c>
      <c r="G97" s="41">
        <v>0</v>
      </c>
      <c r="H97" s="41">
        <v>345953.65561056288</v>
      </c>
      <c r="I97" s="41">
        <f t="shared" si="17"/>
        <v>844224.10942940006</v>
      </c>
    </row>
    <row r="98" spans="1:9" x14ac:dyDescent="0.2">
      <c r="A98">
        <f>A97</f>
        <v>2020</v>
      </c>
      <c r="B98">
        <f>B97+1</f>
        <v>2023</v>
      </c>
      <c r="C98" s="41"/>
      <c r="D98" s="41">
        <v>498270.45381883718</v>
      </c>
      <c r="E98" s="41">
        <v>0</v>
      </c>
      <c r="F98" s="41">
        <v>0</v>
      </c>
      <c r="G98" s="41">
        <v>0</v>
      </c>
      <c r="H98" s="41">
        <v>345953.65561056288</v>
      </c>
      <c r="I98" s="41">
        <f t="shared" si="17"/>
        <v>844224.10942940006</v>
      </c>
    </row>
    <row r="99" spans="1:9" x14ac:dyDescent="0.2">
      <c r="C99" s="41"/>
      <c r="D99" s="41"/>
      <c r="E99" s="41"/>
      <c r="F99" s="41"/>
      <c r="G99" s="41"/>
      <c r="H99" s="41"/>
      <c r="I99" s="41"/>
    </row>
    <row r="100" spans="1:9" x14ac:dyDescent="0.2">
      <c r="A100">
        <v>2021</v>
      </c>
      <c r="B100">
        <v>2021</v>
      </c>
      <c r="C100" s="41">
        <f>'CDM Forecast'!I62</f>
        <v>119000.00000000001</v>
      </c>
      <c r="D100" s="41">
        <f>'CDM Forecast'!J62</f>
        <v>346201.9745956877</v>
      </c>
      <c r="E100" s="41">
        <f>'CDM Forecast'!K62</f>
        <v>582938.93412287207</v>
      </c>
      <c r="F100" s="41">
        <f>'CDM Forecast'!L62</f>
        <v>394243.33826794964</v>
      </c>
      <c r="G100" s="41">
        <f>'CDM Forecast'!M62</f>
        <v>478658.53658536589</v>
      </c>
      <c r="H100" s="41"/>
      <c r="I100" s="41">
        <f t="shared" si="17"/>
        <v>1921042.7835718752</v>
      </c>
    </row>
    <row r="101" spans="1:9" x14ac:dyDescent="0.2">
      <c r="A101">
        <f>A100</f>
        <v>2021</v>
      </c>
      <c r="B101">
        <f>B100+1</f>
        <v>2022</v>
      </c>
      <c r="C101" s="41">
        <f>C100</f>
        <v>119000.00000000001</v>
      </c>
      <c r="D101" s="41">
        <f t="shared" ref="D101:G102" si="20">D100</f>
        <v>346201.9745956877</v>
      </c>
      <c r="E101" s="41">
        <f t="shared" si="20"/>
        <v>582938.93412287207</v>
      </c>
      <c r="F101" s="41">
        <f t="shared" si="20"/>
        <v>394243.33826794964</v>
      </c>
      <c r="G101" s="41">
        <f t="shared" si="20"/>
        <v>478658.53658536589</v>
      </c>
      <c r="H101" s="41"/>
      <c r="I101" s="41">
        <f t="shared" si="17"/>
        <v>1921042.7835718752</v>
      </c>
    </row>
    <row r="102" spans="1:9" x14ac:dyDescent="0.2">
      <c r="A102">
        <f>A101</f>
        <v>2021</v>
      </c>
      <c r="B102">
        <f>B101+1</f>
        <v>2023</v>
      </c>
      <c r="C102" s="41">
        <f>C101</f>
        <v>119000.00000000001</v>
      </c>
      <c r="D102" s="41">
        <f t="shared" si="20"/>
        <v>346201.9745956877</v>
      </c>
      <c r="E102" s="41">
        <f t="shared" si="20"/>
        <v>582938.93412287207</v>
      </c>
      <c r="F102" s="41">
        <f t="shared" si="20"/>
        <v>394243.33826794964</v>
      </c>
      <c r="G102" s="41">
        <f t="shared" si="20"/>
        <v>478658.53658536589</v>
      </c>
      <c r="H102" s="41"/>
      <c r="I102" s="41">
        <f t="shared" si="17"/>
        <v>1921042.7835718752</v>
      </c>
    </row>
    <row r="103" spans="1:9" x14ac:dyDescent="0.2">
      <c r="C103" s="41"/>
      <c r="D103" s="41"/>
      <c r="E103" s="41"/>
      <c r="F103" s="41"/>
      <c r="G103" s="41"/>
      <c r="H103" s="41"/>
      <c r="I103" s="41"/>
    </row>
    <row r="104" spans="1:9" x14ac:dyDescent="0.2">
      <c r="A104" s="143"/>
      <c r="B104" s="143"/>
      <c r="C104" s="144"/>
      <c r="D104" s="144"/>
      <c r="E104" s="144"/>
      <c r="F104" s="144"/>
      <c r="G104" s="144"/>
      <c r="H104" s="144"/>
      <c r="I104" s="41"/>
    </row>
    <row r="105" spans="1:9" x14ac:dyDescent="0.2">
      <c r="A105" s="143"/>
      <c r="B105" s="143"/>
      <c r="C105" s="144"/>
      <c r="D105" s="144"/>
      <c r="E105" s="144"/>
      <c r="F105" s="144"/>
      <c r="G105" s="144"/>
      <c r="H105" s="144"/>
      <c r="I105" s="41"/>
    </row>
    <row r="106" spans="1:9" x14ac:dyDescent="0.2">
      <c r="A106" s="143"/>
      <c r="B106" s="143"/>
      <c r="C106" s="144"/>
      <c r="D106" s="144"/>
      <c r="E106" s="144"/>
      <c r="F106" s="144"/>
      <c r="G106" s="144"/>
      <c r="H106" s="144"/>
      <c r="I106" s="41"/>
    </row>
    <row r="107" spans="1:9" x14ac:dyDescent="0.2">
      <c r="A107" s="143"/>
      <c r="B107" s="143"/>
      <c r="C107" s="143"/>
      <c r="D107" s="143"/>
      <c r="E107" s="143"/>
      <c r="F107" s="143"/>
      <c r="G107" s="143"/>
      <c r="H107" s="143"/>
      <c r="I107" s="6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93486-B4B1-4900-90C0-589B0A665333}">
  <dimension ref="A1:AP162"/>
  <sheetViews>
    <sheetView workbookViewId="0">
      <pane xSplit="1" ySplit="1" topLeftCell="B2" activePane="bottomRight" state="frozen"/>
      <selection activeCell="V159" sqref="V159"/>
      <selection pane="topRight" activeCell="V159" sqref="V159"/>
      <selection pane="bottomLeft" activeCell="V159" sqref="V159"/>
      <selection pane="bottomRight" activeCell="K31" sqref="K31"/>
    </sheetView>
  </sheetViews>
  <sheetFormatPr defaultColWidth="9.140625" defaultRowHeight="12.75" x14ac:dyDescent="0.2"/>
  <cols>
    <col min="1" max="1" width="13.5703125" style="105" customWidth="1"/>
    <col min="2" max="2" width="9.140625" style="105"/>
    <col min="3" max="3" width="11.85546875" style="105" bestFit="1" customWidth="1"/>
    <col min="4" max="4" width="13.42578125" style="105" bestFit="1" customWidth="1"/>
    <col min="5" max="5" width="10.5703125" style="105" bestFit="1" customWidth="1"/>
    <col min="6" max="9" width="8.7109375" style="105" customWidth="1"/>
    <col min="10" max="12" width="9.140625" style="105"/>
    <col min="13" max="13" width="9.42578125" style="105" bestFit="1" customWidth="1"/>
    <col min="14" max="14" width="12.5703125" style="105" customWidth="1"/>
    <col min="15" max="15" width="9.140625" style="105" customWidth="1"/>
    <col min="16" max="16" width="11.28515625" style="105" customWidth="1"/>
    <col min="17" max="17" width="9.28515625" style="105" customWidth="1"/>
    <col min="18" max="18" width="11.42578125" style="105" customWidth="1"/>
    <col min="19" max="19" width="9.28515625" style="105" customWidth="1"/>
    <col min="20" max="23" width="11.28515625" style="105" bestFit="1" customWidth="1"/>
    <col min="24" max="28" width="9.28515625" style="105" bestFit="1" customWidth="1"/>
    <col min="29" max="36" width="9.140625" style="105"/>
    <col min="37" max="37" width="14.85546875" style="105" customWidth="1"/>
    <col min="38" max="16384" width="9.140625" style="105"/>
  </cols>
  <sheetData>
    <row r="1" spans="1:42" ht="48.75" customHeight="1" x14ac:dyDescent="0.2">
      <c r="A1" s="105" t="s">
        <v>0</v>
      </c>
      <c r="B1" s="105" t="s">
        <v>1</v>
      </c>
      <c r="C1" s="105" t="s">
        <v>90</v>
      </c>
      <c r="D1" s="105" t="s">
        <v>91</v>
      </c>
      <c r="E1" s="105" t="s">
        <v>92</v>
      </c>
      <c r="F1" s="106" t="s">
        <v>93</v>
      </c>
      <c r="G1" s="106" t="s">
        <v>94</v>
      </c>
      <c r="H1" s="106" t="s">
        <v>95</v>
      </c>
      <c r="I1" s="106" t="s">
        <v>96</v>
      </c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</row>
    <row r="2" spans="1:42" x14ac:dyDescent="0.2">
      <c r="A2" s="2">
        <v>40544</v>
      </c>
      <c r="B2" s="105">
        <f>YEAR(A2)</f>
        <v>2011</v>
      </c>
      <c r="C2" s="107">
        <v>625936.9</v>
      </c>
      <c r="D2" s="29">
        <v>6580.3</v>
      </c>
      <c r="E2" s="29">
        <v>6544.8</v>
      </c>
      <c r="F2" s="29">
        <v>2928.6</v>
      </c>
      <c r="G2" s="29">
        <v>2924.8</v>
      </c>
      <c r="H2" s="29">
        <v>370</v>
      </c>
      <c r="I2" s="29">
        <v>367.9</v>
      </c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</row>
    <row r="3" spans="1:42" x14ac:dyDescent="0.2">
      <c r="A3" s="2">
        <v>40575</v>
      </c>
      <c r="B3" s="105">
        <f t="shared" ref="B3:B66" si="0">YEAR(A3)</f>
        <v>2011</v>
      </c>
      <c r="C3" s="107">
        <v>625936.9</v>
      </c>
      <c r="D3" s="29">
        <v>6596.8</v>
      </c>
      <c r="E3" s="29">
        <v>6526.6</v>
      </c>
      <c r="F3" s="29">
        <v>2938.9</v>
      </c>
      <c r="G3" s="29">
        <v>2921.9</v>
      </c>
      <c r="H3" s="29">
        <v>367.6</v>
      </c>
      <c r="I3" s="29">
        <v>363.8</v>
      </c>
      <c r="K3" s="261"/>
      <c r="L3" s="262"/>
      <c r="M3" s="290" t="s">
        <v>97</v>
      </c>
      <c r="N3" s="312" t="s">
        <v>98</v>
      </c>
      <c r="O3" s="312" t="s">
        <v>99</v>
      </c>
      <c r="P3" s="312" t="s">
        <v>100</v>
      </c>
      <c r="Q3" s="313" t="s">
        <v>101</v>
      </c>
      <c r="R3" s="291"/>
      <c r="S3" s="262" t="s">
        <v>102</v>
      </c>
      <c r="T3" s="292" t="s">
        <v>103</v>
      </c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</row>
    <row r="4" spans="1:42" x14ac:dyDescent="0.2">
      <c r="A4" s="2">
        <v>40603</v>
      </c>
      <c r="B4" s="105">
        <f t="shared" si="0"/>
        <v>2011</v>
      </c>
      <c r="C4" s="107">
        <v>625936.9</v>
      </c>
      <c r="D4" s="29">
        <v>6610.1</v>
      </c>
      <c r="E4" s="29">
        <v>6506.1</v>
      </c>
      <c r="F4" s="29">
        <v>2930.7</v>
      </c>
      <c r="G4" s="29">
        <v>2896</v>
      </c>
      <c r="H4" s="29">
        <v>367.4</v>
      </c>
      <c r="I4" s="29">
        <v>362.1</v>
      </c>
      <c r="K4" s="261"/>
      <c r="L4" s="262"/>
      <c r="M4" s="304">
        <v>44461</v>
      </c>
      <c r="N4" s="305">
        <v>44512</v>
      </c>
      <c r="O4" s="304">
        <v>44489</v>
      </c>
      <c r="P4" s="304">
        <v>44452</v>
      </c>
      <c r="Q4" s="307">
        <v>44383</v>
      </c>
      <c r="R4" s="291"/>
      <c r="S4" s="262"/>
      <c r="T4" s="292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</row>
    <row r="5" spans="1:42" x14ac:dyDescent="0.2">
      <c r="A5" s="2">
        <v>40634</v>
      </c>
      <c r="B5" s="105">
        <f t="shared" si="0"/>
        <v>2011</v>
      </c>
      <c r="C5" s="107">
        <v>625936.9</v>
      </c>
      <c r="D5" s="29">
        <v>6619.5</v>
      </c>
      <c r="E5" s="29">
        <v>6534</v>
      </c>
      <c r="F5" s="29">
        <v>2922.2</v>
      </c>
      <c r="G5" s="29">
        <v>2893.5</v>
      </c>
      <c r="H5" s="29">
        <v>369.2</v>
      </c>
      <c r="I5" s="29">
        <v>365.5</v>
      </c>
      <c r="K5" s="265"/>
      <c r="L5" s="266">
        <v>2020</v>
      </c>
      <c r="M5" s="297"/>
      <c r="N5" s="297">
        <v>-5.0999999999999997E-2</v>
      </c>
      <c r="O5" s="297">
        <v>-5.0999999999999997E-2</v>
      </c>
      <c r="P5" s="297">
        <v>-0.05</v>
      </c>
      <c r="Q5" s="308">
        <v>-0.05</v>
      </c>
      <c r="R5" s="295"/>
      <c r="S5" s="297">
        <f>AVERAGE(M5:P5)</f>
        <v>-5.0666666666666665E-2</v>
      </c>
      <c r="T5" s="298">
        <f>AVERAGE(M5:Q5)</f>
        <v>-5.0500000000000003E-2</v>
      </c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</row>
    <row r="6" spans="1:42" x14ac:dyDescent="0.2">
      <c r="A6" s="2">
        <v>40664</v>
      </c>
      <c r="B6" s="105">
        <f t="shared" si="0"/>
        <v>2011</v>
      </c>
      <c r="C6" s="107">
        <v>625936.9</v>
      </c>
      <c r="D6" s="29">
        <v>6629.8</v>
      </c>
      <c r="E6" s="29">
        <v>6596.7</v>
      </c>
      <c r="F6" s="29">
        <v>2920.1</v>
      </c>
      <c r="G6" s="29">
        <v>2907.4</v>
      </c>
      <c r="H6" s="29">
        <v>372.3</v>
      </c>
      <c r="I6" s="29">
        <v>373</v>
      </c>
      <c r="K6" s="299" t="s">
        <v>104</v>
      </c>
      <c r="L6" s="266">
        <v>2021</v>
      </c>
      <c r="M6" s="297">
        <v>4.3999999999999997E-2</v>
      </c>
      <c r="N6" s="297">
        <v>4.4999999999999998E-2</v>
      </c>
      <c r="O6" s="297">
        <v>4.3999999999999997E-2</v>
      </c>
      <c r="P6" s="297">
        <v>0.05</v>
      </c>
      <c r="Q6" s="308">
        <v>5.6000000000000001E-2</v>
      </c>
      <c r="R6" s="295"/>
      <c r="S6" s="297">
        <f>AVERAGE(M6:P6)</f>
        <v>4.5749999999999999E-2</v>
      </c>
      <c r="T6" s="298">
        <f>AVERAGE(M6:Q6)</f>
        <v>4.7799999999999995E-2</v>
      </c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</row>
    <row r="7" spans="1:42" x14ac:dyDescent="0.2">
      <c r="A7" s="2">
        <v>40695</v>
      </c>
      <c r="B7" s="105">
        <f t="shared" si="0"/>
        <v>2011</v>
      </c>
      <c r="C7" s="107">
        <v>625936.9</v>
      </c>
      <c r="D7" s="29">
        <v>6647</v>
      </c>
      <c r="E7" s="29">
        <v>6693.4</v>
      </c>
      <c r="F7" s="29">
        <v>2927.5</v>
      </c>
      <c r="G7" s="29">
        <v>2938.3</v>
      </c>
      <c r="H7" s="29">
        <v>373.2</v>
      </c>
      <c r="I7" s="29">
        <v>377.7</v>
      </c>
      <c r="K7" s="265"/>
      <c r="L7" s="266">
        <v>2022</v>
      </c>
      <c r="M7" s="297">
        <v>0.05</v>
      </c>
      <c r="N7" s="297">
        <v>4.7E-2</v>
      </c>
      <c r="O7" s="297">
        <v>4.2000000000000003E-2</v>
      </c>
      <c r="P7" s="297">
        <v>4.4999999999999998E-2</v>
      </c>
      <c r="Q7" s="308">
        <v>4.3999999999999997E-2</v>
      </c>
      <c r="R7" s="295"/>
      <c r="S7" s="297">
        <f>AVERAGE(M7:P7)</f>
        <v>4.5999999999999999E-2</v>
      </c>
      <c r="T7" s="298">
        <f>AVERAGE(M7:Q7)</f>
        <v>4.5599999999999995E-2</v>
      </c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</row>
    <row r="8" spans="1:42" x14ac:dyDescent="0.2">
      <c r="A8" s="2">
        <v>40725</v>
      </c>
      <c r="B8" s="105">
        <f t="shared" si="0"/>
        <v>2011</v>
      </c>
      <c r="C8" s="107">
        <v>625936.9</v>
      </c>
      <c r="D8" s="29">
        <v>6648.8</v>
      </c>
      <c r="E8" s="29">
        <v>6739.7</v>
      </c>
      <c r="F8" s="29">
        <v>2923.6</v>
      </c>
      <c r="G8" s="29">
        <v>2945.7</v>
      </c>
      <c r="H8" s="29">
        <v>373.3</v>
      </c>
      <c r="I8" s="29">
        <v>377.7</v>
      </c>
      <c r="K8" s="265"/>
      <c r="L8" s="295">
        <v>2023</v>
      </c>
      <c r="M8" s="297">
        <v>2.7999999999999997E-2</v>
      </c>
      <c r="N8" s="297">
        <v>3.2000000000000001E-2</v>
      </c>
      <c r="O8" s="297">
        <v>3.4000000000000002E-2</v>
      </c>
      <c r="P8" s="266"/>
      <c r="Q8" s="309"/>
      <c r="R8" s="295"/>
      <c r="S8" s="297">
        <f>AVERAGE(M8:P8)</f>
        <v>3.1333333333333331E-2</v>
      </c>
      <c r="T8" s="298">
        <f>AVERAGE(M8:Q8)</f>
        <v>3.1333333333333331E-2</v>
      </c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</row>
    <row r="9" spans="1:42" x14ac:dyDescent="0.2">
      <c r="A9" s="2">
        <v>40756</v>
      </c>
      <c r="B9" s="105">
        <f t="shared" si="0"/>
        <v>2011</v>
      </c>
      <c r="C9" s="107">
        <v>625936.9</v>
      </c>
      <c r="D9" s="29">
        <v>6659</v>
      </c>
      <c r="E9" s="29">
        <v>6759.5</v>
      </c>
      <c r="F9" s="29">
        <v>2920.2</v>
      </c>
      <c r="G9" s="29">
        <v>2952.8</v>
      </c>
      <c r="H9" s="29">
        <v>370.4</v>
      </c>
      <c r="I9" s="29">
        <v>371</v>
      </c>
      <c r="K9" s="271"/>
      <c r="L9" s="272"/>
      <c r="M9" s="272"/>
      <c r="N9" s="272"/>
      <c r="O9" s="272"/>
      <c r="P9" s="272"/>
      <c r="Q9" s="310"/>
      <c r="R9" s="301"/>
      <c r="S9" s="272"/>
      <c r="T9" s="306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</row>
    <row r="10" spans="1:42" x14ac:dyDescent="0.2">
      <c r="A10" s="2">
        <v>40787</v>
      </c>
      <c r="B10" s="105">
        <f t="shared" si="0"/>
        <v>2011</v>
      </c>
      <c r="C10" s="107">
        <v>625936.9</v>
      </c>
      <c r="D10" s="29">
        <v>6653.4</v>
      </c>
      <c r="E10" s="29">
        <v>6708.4</v>
      </c>
      <c r="F10" s="29">
        <v>2915.3</v>
      </c>
      <c r="G10" s="29">
        <v>2931.8</v>
      </c>
      <c r="H10" s="29">
        <v>370.9</v>
      </c>
      <c r="I10" s="29">
        <v>369</v>
      </c>
      <c r="K10" s="265"/>
      <c r="L10" s="266"/>
      <c r="M10" s="293">
        <v>44461</v>
      </c>
      <c r="N10" s="294">
        <v>44512</v>
      </c>
      <c r="O10" s="293">
        <v>44489</v>
      </c>
      <c r="P10" s="293">
        <v>44452</v>
      </c>
      <c r="Q10" s="309"/>
      <c r="R10" s="295"/>
      <c r="S10" s="266"/>
      <c r="T10" s="296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</row>
    <row r="11" spans="1:42" x14ac:dyDescent="0.2">
      <c r="A11" s="2">
        <v>40817</v>
      </c>
      <c r="B11" s="105">
        <f t="shared" si="0"/>
        <v>2011</v>
      </c>
      <c r="C11" s="107">
        <v>625936.9</v>
      </c>
      <c r="D11" s="29">
        <v>6647</v>
      </c>
      <c r="E11" s="29">
        <v>6675.7</v>
      </c>
      <c r="F11" s="29">
        <v>2906.1</v>
      </c>
      <c r="G11" s="29">
        <v>2916</v>
      </c>
      <c r="H11" s="29">
        <v>373.7</v>
      </c>
      <c r="I11" s="29">
        <v>371.2</v>
      </c>
      <c r="K11" s="265"/>
      <c r="L11" s="266">
        <v>2020</v>
      </c>
      <c r="M11" s="297"/>
      <c r="N11" s="297">
        <v>-4.7E-2</v>
      </c>
      <c r="O11" s="297">
        <v>-4.8000000000000001E-2</v>
      </c>
      <c r="P11" s="297">
        <v>-4.8000000000000001E-2</v>
      </c>
      <c r="Q11" s="309"/>
      <c r="R11" s="295"/>
      <c r="S11" s="297">
        <f>AVERAGE(M11:P11)</f>
        <v>-4.766666666666667E-2</v>
      </c>
      <c r="T11" s="298">
        <f>AVERAGE(M11:Q11)</f>
        <v>-4.766666666666667E-2</v>
      </c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</row>
    <row r="12" spans="1:42" x14ac:dyDescent="0.2">
      <c r="A12" s="2">
        <v>40848</v>
      </c>
      <c r="B12" s="105">
        <f t="shared" si="0"/>
        <v>2011</v>
      </c>
      <c r="C12" s="107">
        <v>625936.9</v>
      </c>
      <c r="D12" s="29">
        <v>6642.9</v>
      </c>
      <c r="E12" s="29">
        <v>6644.1</v>
      </c>
      <c r="F12" s="29">
        <v>2901.5</v>
      </c>
      <c r="G12" s="29">
        <v>2899.1</v>
      </c>
      <c r="H12" s="29">
        <v>381.5</v>
      </c>
      <c r="I12" s="29">
        <v>379.7</v>
      </c>
      <c r="K12" s="299" t="s">
        <v>105</v>
      </c>
      <c r="L12" s="266">
        <v>2021</v>
      </c>
      <c r="M12" s="297">
        <v>4.3999999999999997E-2</v>
      </c>
      <c r="N12" s="297">
        <v>4.7E-2</v>
      </c>
      <c r="O12" s="297">
        <v>4.4999999999999998E-2</v>
      </c>
      <c r="P12" s="297">
        <v>5.1999999999999998E-2</v>
      </c>
      <c r="Q12" s="309"/>
      <c r="R12" s="295"/>
      <c r="S12" s="297">
        <f>AVERAGE(M12:P12)</f>
        <v>4.7E-2</v>
      </c>
      <c r="T12" s="298">
        <f>AVERAGE(M12:Q12)</f>
        <v>4.7E-2</v>
      </c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</row>
    <row r="13" spans="1:42" x14ac:dyDescent="0.2">
      <c r="A13" s="2">
        <v>40878</v>
      </c>
      <c r="B13" s="105">
        <f t="shared" si="0"/>
        <v>2011</v>
      </c>
      <c r="C13" s="107">
        <v>625936.9</v>
      </c>
      <c r="D13" s="29">
        <v>6643.1</v>
      </c>
      <c r="E13" s="29">
        <v>6644.7</v>
      </c>
      <c r="F13" s="29">
        <v>2893.8</v>
      </c>
      <c r="G13" s="29">
        <v>2900.6</v>
      </c>
      <c r="H13" s="29">
        <v>385.5</v>
      </c>
      <c r="I13" s="29">
        <v>384.2</v>
      </c>
      <c r="K13" s="265"/>
      <c r="L13" s="266">
        <v>2022</v>
      </c>
      <c r="M13" s="297">
        <v>3.7999999999999999E-2</v>
      </c>
      <c r="N13" s="297">
        <v>3.7999999999999999E-2</v>
      </c>
      <c r="O13" s="297">
        <v>3.6999999999999998E-2</v>
      </c>
      <c r="P13" s="297">
        <v>2.9000000000000001E-2</v>
      </c>
      <c r="Q13" s="309"/>
      <c r="R13" s="295"/>
      <c r="S13" s="297">
        <f>AVERAGE(M13:P13)</f>
        <v>3.5499999999999997E-2</v>
      </c>
      <c r="T13" s="298">
        <f>AVERAGE(M13:Q13)</f>
        <v>3.5499999999999997E-2</v>
      </c>
    </row>
    <row r="14" spans="1:42" x14ac:dyDescent="0.2">
      <c r="A14" s="2">
        <v>40909</v>
      </c>
      <c r="B14" s="105">
        <f t="shared" si="0"/>
        <v>2012</v>
      </c>
      <c r="C14" s="107">
        <v>634944.30000000005</v>
      </c>
      <c r="D14" s="29">
        <v>6646.5</v>
      </c>
      <c r="E14" s="29">
        <v>6611.1</v>
      </c>
      <c r="F14" s="29">
        <v>2892.7</v>
      </c>
      <c r="G14" s="29">
        <v>2888.2</v>
      </c>
      <c r="H14" s="29">
        <v>387.4</v>
      </c>
      <c r="I14" s="29">
        <v>385.4</v>
      </c>
      <c r="K14" s="300"/>
      <c r="L14" s="301">
        <v>2023</v>
      </c>
      <c r="M14" s="302">
        <v>1.4999999999999999E-2</v>
      </c>
      <c r="N14" s="302">
        <v>1.9E-2</v>
      </c>
      <c r="O14" s="302">
        <v>0.02</v>
      </c>
      <c r="P14" s="302"/>
      <c r="Q14" s="311"/>
      <c r="R14" s="301"/>
      <c r="S14" s="302">
        <f>AVERAGE(M14:P14)</f>
        <v>1.8000000000000002E-2</v>
      </c>
      <c r="T14" s="303">
        <f>AVERAGE(M14:Q14)</f>
        <v>1.8000000000000002E-2</v>
      </c>
    </row>
    <row r="15" spans="1:42" x14ac:dyDescent="0.2">
      <c r="A15" s="2">
        <v>40940</v>
      </c>
      <c r="B15" s="105">
        <f t="shared" si="0"/>
        <v>2012</v>
      </c>
      <c r="C15" s="107">
        <v>634944.30000000005</v>
      </c>
      <c r="D15" s="29">
        <v>6641.1</v>
      </c>
      <c r="E15" s="29">
        <v>6571.2</v>
      </c>
      <c r="F15" s="29">
        <v>2889.3</v>
      </c>
      <c r="G15" s="29">
        <v>2870.1</v>
      </c>
      <c r="H15" s="29">
        <v>386</v>
      </c>
      <c r="I15" s="29">
        <v>383.8</v>
      </c>
    </row>
    <row r="16" spans="1:42" x14ac:dyDescent="0.2">
      <c r="A16" s="2">
        <v>40969</v>
      </c>
      <c r="B16" s="105">
        <f t="shared" si="0"/>
        <v>2012</v>
      </c>
      <c r="C16" s="107">
        <v>634944.30000000005</v>
      </c>
      <c r="D16" s="29">
        <v>6644.1</v>
      </c>
      <c r="E16" s="29">
        <v>6541.5</v>
      </c>
      <c r="F16" s="29">
        <v>2893.8</v>
      </c>
      <c r="G16" s="29">
        <v>2857.3</v>
      </c>
      <c r="H16" s="29">
        <v>382.5</v>
      </c>
      <c r="I16" s="29">
        <v>378.7</v>
      </c>
      <c r="Q16" s="105" t="s">
        <v>347</v>
      </c>
    </row>
    <row r="17" spans="1:9" x14ac:dyDescent="0.2">
      <c r="A17" s="2">
        <v>41000</v>
      </c>
      <c r="B17" s="105">
        <f t="shared" si="0"/>
        <v>2012</v>
      </c>
      <c r="C17" s="107">
        <v>634944.30000000005</v>
      </c>
      <c r="D17" s="29">
        <v>6654.6</v>
      </c>
      <c r="E17" s="29">
        <v>6574.2</v>
      </c>
      <c r="F17" s="29">
        <v>2898.4</v>
      </c>
      <c r="G17" s="29">
        <v>2870.4</v>
      </c>
      <c r="H17" s="29">
        <v>380.5</v>
      </c>
      <c r="I17" s="29">
        <v>376.5</v>
      </c>
    </row>
    <row r="18" spans="1:9" x14ac:dyDescent="0.2">
      <c r="A18" s="2">
        <v>41030</v>
      </c>
      <c r="B18" s="105">
        <f t="shared" si="0"/>
        <v>2012</v>
      </c>
      <c r="C18" s="107">
        <v>634944.30000000005</v>
      </c>
      <c r="D18" s="29">
        <v>6655.4</v>
      </c>
      <c r="E18" s="29">
        <v>6626.1</v>
      </c>
      <c r="F18" s="29">
        <v>2901.7</v>
      </c>
      <c r="G18" s="29">
        <v>2889.4</v>
      </c>
      <c r="H18" s="29">
        <v>373.7</v>
      </c>
      <c r="I18" s="29">
        <v>372.6</v>
      </c>
    </row>
    <row r="19" spans="1:9" x14ac:dyDescent="0.2">
      <c r="A19" s="2">
        <v>41061</v>
      </c>
      <c r="B19" s="105">
        <f t="shared" si="0"/>
        <v>2012</v>
      </c>
      <c r="C19" s="107">
        <v>634944.30000000005</v>
      </c>
      <c r="D19" s="29">
        <v>6655.3</v>
      </c>
      <c r="E19" s="29">
        <v>6702</v>
      </c>
      <c r="F19" s="29">
        <v>2910.2</v>
      </c>
      <c r="G19" s="29">
        <v>2923.1</v>
      </c>
      <c r="H19" s="29">
        <v>368.7</v>
      </c>
      <c r="I19" s="29">
        <v>370.9</v>
      </c>
    </row>
    <row r="20" spans="1:9" x14ac:dyDescent="0.2">
      <c r="A20" s="2">
        <v>41091</v>
      </c>
      <c r="B20" s="105">
        <f t="shared" si="0"/>
        <v>2012</v>
      </c>
      <c r="C20" s="107">
        <v>634944.30000000005</v>
      </c>
      <c r="D20" s="29">
        <v>6654</v>
      </c>
      <c r="E20" s="29">
        <v>6741.1</v>
      </c>
      <c r="F20" s="29">
        <v>2925.1</v>
      </c>
      <c r="G20" s="29">
        <v>2948.9</v>
      </c>
      <c r="H20" s="29">
        <v>365</v>
      </c>
      <c r="I20" s="29">
        <v>369.8</v>
      </c>
    </row>
    <row r="21" spans="1:9" x14ac:dyDescent="0.2">
      <c r="A21" s="2">
        <v>41122</v>
      </c>
      <c r="B21" s="105">
        <f t="shared" si="0"/>
        <v>2012</v>
      </c>
      <c r="C21" s="107">
        <v>634944.30000000005</v>
      </c>
      <c r="D21" s="29">
        <v>6661.5</v>
      </c>
      <c r="E21" s="29">
        <v>6758.8</v>
      </c>
      <c r="F21" s="29">
        <v>2942.6</v>
      </c>
      <c r="G21" s="29">
        <v>2978.6</v>
      </c>
      <c r="H21" s="29">
        <v>368.9</v>
      </c>
      <c r="I21" s="29">
        <v>371.1</v>
      </c>
    </row>
    <row r="22" spans="1:9" x14ac:dyDescent="0.2">
      <c r="A22" s="2">
        <v>41153</v>
      </c>
      <c r="B22" s="105">
        <f t="shared" si="0"/>
        <v>2012</v>
      </c>
      <c r="C22" s="107">
        <v>634944.30000000005</v>
      </c>
      <c r="D22" s="29">
        <v>6671.5</v>
      </c>
      <c r="E22" s="29">
        <v>6722.8</v>
      </c>
      <c r="F22" s="29">
        <v>2963.5</v>
      </c>
      <c r="G22" s="29">
        <v>2981</v>
      </c>
      <c r="H22" s="29">
        <v>374</v>
      </c>
      <c r="I22" s="29">
        <v>373.1</v>
      </c>
    </row>
    <row r="23" spans="1:9" x14ac:dyDescent="0.2">
      <c r="A23" s="2">
        <v>41183</v>
      </c>
      <c r="B23" s="105">
        <f t="shared" si="0"/>
        <v>2012</v>
      </c>
      <c r="C23" s="107">
        <v>634944.30000000005</v>
      </c>
      <c r="D23" s="29">
        <v>6675.2</v>
      </c>
      <c r="E23" s="29">
        <v>6699.2</v>
      </c>
      <c r="F23" s="29">
        <v>2982.9</v>
      </c>
      <c r="G23" s="29">
        <v>2990.7</v>
      </c>
      <c r="H23" s="29">
        <v>376.1</v>
      </c>
      <c r="I23" s="29">
        <v>372.4</v>
      </c>
    </row>
    <row r="24" spans="1:9" x14ac:dyDescent="0.2">
      <c r="A24" s="2">
        <v>41214</v>
      </c>
      <c r="B24" s="105">
        <f t="shared" si="0"/>
        <v>2012</v>
      </c>
      <c r="C24" s="107">
        <v>634944.30000000005</v>
      </c>
      <c r="D24" s="29">
        <v>6686.6</v>
      </c>
      <c r="E24" s="29">
        <v>6685.6</v>
      </c>
      <c r="F24" s="29">
        <v>3000.2</v>
      </c>
      <c r="G24" s="29">
        <v>2995.8</v>
      </c>
      <c r="H24" s="29">
        <v>374.4</v>
      </c>
      <c r="I24" s="29">
        <v>370</v>
      </c>
    </row>
    <row r="25" spans="1:9" x14ac:dyDescent="0.2">
      <c r="A25" s="2">
        <v>41244</v>
      </c>
      <c r="B25" s="105">
        <f t="shared" si="0"/>
        <v>2012</v>
      </c>
      <c r="C25" s="107">
        <v>634944.30000000005</v>
      </c>
      <c r="D25" s="29">
        <v>6697</v>
      </c>
      <c r="E25" s="29">
        <v>6700.5</v>
      </c>
      <c r="F25" s="29">
        <v>3005.9</v>
      </c>
      <c r="G25" s="29">
        <v>3010.4</v>
      </c>
      <c r="H25" s="29">
        <v>375.3</v>
      </c>
      <c r="I25" s="29">
        <v>372</v>
      </c>
    </row>
    <row r="26" spans="1:9" x14ac:dyDescent="0.2">
      <c r="A26" s="2">
        <v>41275</v>
      </c>
      <c r="B26" s="105">
        <f t="shared" si="0"/>
        <v>2013</v>
      </c>
      <c r="C26" s="107">
        <v>643937</v>
      </c>
      <c r="D26" s="29">
        <v>6711.6</v>
      </c>
      <c r="E26" s="29">
        <v>6680.9</v>
      </c>
      <c r="F26" s="29">
        <v>3014.1</v>
      </c>
      <c r="G26" s="29">
        <v>3006.6</v>
      </c>
      <c r="H26" s="29">
        <v>377</v>
      </c>
      <c r="I26" s="29">
        <v>374.7</v>
      </c>
    </row>
    <row r="27" spans="1:9" x14ac:dyDescent="0.2">
      <c r="A27" s="2">
        <v>41306</v>
      </c>
      <c r="B27" s="105">
        <f t="shared" si="0"/>
        <v>2013</v>
      </c>
      <c r="C27" s="107">
        <v>643937</v>
      </c>
      <c r="D27" s="29">
        <v>6728.5</v>
      </c>
      <c r="E27" s="29">
        <v>6660.8</v>
      </c>
      <c r="F27" s="29">
        <v>3018.3</v>
      </c>
      <c r="G27" s="29">
        <v>2995.1</v>
      </c>
      <c r="H27" s="29">
        <v>378.9</v>
      </c>
      <c r="I27" s="29">
        <v>378.6</v>
      </c>
    </row>
    <row r="28" spans="1:9" x14ac:dyDescent="0.2">
      <c r="A28" s="2">
        <v>41334</v>
      </c>
      <c r="B28" s="105">
        <f t="shared" si="0"/>
        <v>2013</v>
      </c>
      <c r="C28" s="107">
        <v>643937</v>
      </c>
      <c r="D28" s="29">
        <v>6735.1</v>
      </c>
      <c r="E28" s="29">
        <v>6634.8</v>
      </c>
      <c r="F28" s="29">
        <v>3023.1</v>
      </c>
      <c r="G28" s="29">
        <v>2983.8</v>
      </c>
      <c r="H28" s="29">
        <v>377.1</v>
      </c>
      <c r="I28" s="29">
        <v>375.3</v>
      </c>
    </row>
    <row r="29" spans="1:9" x14ac:dyDescent="0.2">
      <c r="A29" s="2">
        <v>41365</v>
      </c>
      <c r="B29" s="105">
        <f t="shared" si="0"/>
        <v>2013</v>
      </c>
      <c r="C29" s="107">
        <v>643937</v>
      </c>
      <c r="D29" s="29">
        <v>6742.7</v>
      </c>
      <c r="E29" s="29">
        <v>6662.1</v>
      </c>
      <c r="F29" s="29">
        <v>3031.4</v>
      </c>
      <c r="G29" s="29">
        <v>3003</v>
      </c>
      <c r="H29" s="29">
        <v>373.7</v>
      </c>
      <c r="I29" s="29">
        <v>371.4</v>
      </c>
    </row>
    <row r="30" spans="1:9" x14ac:dyDescent="0.2">
      <c r="A30" s="2">
        <v>41395</v>
      </c>
      <c r="B30" s="105">
        <f t="shared" si="0"/>
        <v>2013</v>
      </c>
      <c r="C30" s="107">
        <v>643937</v>
      </c>
      <c r="D30" s="29">
        <v>6754.1</v>
      </c>
      <c r="E30" s="29">
        <v>6726.6</v>
      </c>
      <c r="F30" s="29">
        <v>3045.2</v>
      </c>
      <c r="G30" s="29">
        <v>3033.5</v>
      </c>
      <c r="H30" s="29">
        <v>374.2</v>
      </c>
      <c r="I30" s="29">
        <v>372.4</v>
      </c>
    </row>
    <row r="31" spans="1:9" x14ac:dyDescent="0.2">
      <c r="A31" s="2">
        <v>41426</v>
      </c>
      <c r="B31" s="105">
        <f t="shared" si="0"/>
        <v>2013</v>
      </c>
      <c r="C31" s="107">
        <v>643937</v>
      </c>
      <c r="D31" s="29">
        <v>6766.1</v>
      </c>
      <c r="E31" s="29">
        <v>6812.7</v>
      </c>
      <c r="F31" s="29">
        <v>3060.2</v>
      </c>
      <c r="G31" s="29">
        <v>3075</v>
      </c>
      <c r="H31" s="29">
        <v>372.8</v>
      </c>
      <c r="I31" s="29">
        <v>374.3</v>
      </c>
    </row>
    <row r="32" spans="1:9" x14ac:dyDescent="0.2">
      <c r="A32" s="2">
        <v>41456</v>
      </c>
      <c r="B32" s="105">
        <f t="shared" si="0"/>
        <v>2013</v>
      </c>
      <c r="C32" s="107">
        <v>643937</v>
      </c>
      <c r="D32" s="29">
        <v>6774.7</v>
      </c>
      <c r="E32" s="29">
        <v>6863.4</v>
      </c>
      <c r="F32" s="29">
        <v>3066.1</v>
      </c>
      <c r="G32" s="29">
        <v>3092</v>
      </c>
      <c r="H32" s="29">
        <v>370.3</v>
      </c>
      <c r="I32" s="29">
        <v>374.1</v>
      </c>
    </row>
    <row r="33" spans="1:9" x14ac:dyDescent="0.2">
      <c r="A33" s="2">
        <v>41487</v>
      </c>
      <c r="B33" s="105">
        <f t="shared" si="0"/>
        <v>2013</v>
      </c>
      <c r="C33" s="107">
        <v>643937</v>
      </c>
      <c r="D33" s="29">
        <v>6778.4</v>
      </c>
      <c r="E33" s="29">
        <v>6876.4</v>
      </c>
      <c r="F33" s="29">
        <v>3075.2</v>
      </c>
      <c r="G33" s="29">
        <v>3112.6</v>
      </c>
      <c r="H33" s="29">
        <v>360.8</v>
      </c>
      <c r="I33" s="29">
        <v>363.5</v>
      </c>
    </row>
    <row r="34" spans="1:9" x14ac:dyDescent="0.2">
      <c r="A34" s="2">
        <v>41518</v>
      </c>
      <c r="B34" s="105">
        <f t="shared" si="0"/>
        <v>2013</v>
      </c>
      <c r="C34" s="107">
        <v>643937</v>
      </c>
      <c r="D34" s="29">
        <v>6782.1</v>
      </c>
      <c r="E34" s="29">
        <v>6841.7</v>
      </c>
      <c r="F34" s="29">
        <v>3080.1</v>
      </c>
      <c r="G34" s="29">
        <v>3108.4</v>
      </c>
      <c r="H34" s="29">
        <v>357.7</v>
      </c>
      <c r="I34" s="29">
        <v>359.3</v>
      </c>
    </row>
    <row r="35" spans="1:9" x14ac:dyDescent="0.2">
      <c r="A35" s="2">
        <v>41548</v>
      </c>
      <c r="B35" s="105">
        <f t="shared" si="0"/>
        <v>2013</v>
      </c>
      <c r="C35" s="107">
        <v>643937</v>
      </c>
      <c r="D35" s="29">
        <v>6784.2</v>
      </c>
      <c r="E35" s="29">
        <v>6821.6</v>
      </c>
      <c r="F35" s="29">
        <v>3079.6</v>
      </c>
      <c r="G35" s="29">
        <v>3099.3</v>
      </c>
      <c r="H35" s="29">
        <v>358.7</v>
      </c>
      <c r="I35" s="29">
        <v>360.9</v>
      </c>
    </row>
    <row r="36" spans="1:9" x14ac:dyDescent="0.2">
      <c r="A36" s="2">
        <v>41579</v>
      </c>
      <c r="B36" s="105">
        <f t="shared" si="0"/>
        <v>2013</v>
      </c>
      <c r="C36" s="107">
        <v>643937</v>
      </c>
      <c r="D36" s="29">
        <v>6785.3</v>
      </c>
      <c r="E36" s="29">
        <v>6794.8</v>
      </c>
      <c r="F36" s="29">
        <v>3076.6</v>
      </c>
      <c r="G36" s="29">
        <v>3082.1</v>
      </c>
      <c r="H36" s="29">
        <v>362.6</v>
      </c>
      <c r="I36" s="29">
        <v>365.8</v>
      </c>
    </row>
    <row r="37" spans="1:9" x14ac:dyDescent="0.2">
      <c r="A37" s="2">
        <v>41609</v>
      </c>
      <c r="B37" s="105">
        <f t="shared" si="0"/>
        <v>2013</v>
      </c>
      <c r="C37" s="107">
        <v>643937</v>
      </c>
      <c r="D37" s="29">
        <v>6781.3</v>
      </c>
      <c r="E37" s="29">
        <v>6783.1</v>
      </c>
      <c r="F37" s="29">
        <v>3073.7</v>
      </c>
      <c r="G37" s="29">
        <v>3077.1</v>
      </c>
      <c r="H37" s="29">
        <v>366.3</v>
      </c>
      <c r="I37" s="29">
        <v>370.5</v>
      </c>
    </row>
    <row r="38" spans="1:9" x14ac:dyDescent="0.2">
      <c r="A38" s="2">
        <v>41640</v>
      </c>
      <c r="B38" s="105">
        <f t="shared" si="0"/>
        <v>2014</v>
      </c>
      <c r="C38" s="107">
        <v>659861.19999999995</v>
      </c>
      <c r="D38" s="29">
        <v>6780.9</v>
      </c>
      <c r="E38" s="29">
        <v>6741.6</v>
      </c>
      <c r="F38" s="29">
        <v>3070.8</v>
      </c>
      <c r="G38" s="29">
        <v>3059.7</v>
      </c>
      <c r="H38" s="29">
        <v>368.8</v>
      </c>
      <c r="I38" s="29">
        <v>370.4</v>
      </c>
    </row>
    <row r="39" spans="1:9" x14ac:dyDescent="0.2">
      <c r="A39" s="2">
        <v>41671</v>
      </c>
      <c r="B39" s="105">
        <f t="shared" si="0"/>
        <v>2014</v>
      </c>
      <c r="C39" s="107">
        <v>659861.19999999995</v>
      </c>
      <c r="D39" s="29">
        <v>6781.1</v>
      </c>
      <c r="E39" s="29">
        <v>6707.8</v>
      </c>
      <c r="F39" s="29">
        <v>3071.7</v>
      </c>
      <c r="G39" s="29">
        <v>3046.7</v>
      </c>
      <c r="H39" s="29">
        <v>374.4</v>
      </c>
      <c r="I39" s="29">
        <v>376</v>
      </c>
    </row>
    <row r="40" spans="1:9" x14ac:dyDescent="0.2">
      <c r="A40" s="2">
        <v>41699</v>
      </c>
      <c r="B40" s="105">
        <f t="shared" si="0"/>
        <v>2014</v>
      </c>
      <c r="C40" s="107">
        <v>659861.19999999995</v>
      </c>
      <c r="D40" s="29">
        <v>6786.1</v>
      </c>
      <c r="E40" s="29">
        <v>6686.4</v>
      </c>
      <c r="F40" s="29">
        <v>3074.2</v>
      </c>
      <c r="G40" s="29">
        <v>3033.6</v>
      </c>
      <c r="H40" s="29">
        <v>377.4</v>
      </c>
      <c r="I40" s="29">
        <v>375.8</v>
      </c>
    </row>
    <row r="41" spans="1:9" x14ac:dyDescent="0.2">
      <c r="A41" s="2">
        <v>41730</v>
      </c>
      <c r="B41" s="105">
        <f t="shared" si="0"/>
        <v>2014</v>
      </c>
      <c r="C41" s="107">
        <v>659861.19999999995</v>
      </c>
      <c r="D41" s="29">
        <v>6797.3</v>
      </c>
      <c r="E41" s="29">
        <v>6715.8</v>
      </c>
      <c r="F41" s="29">
        <v>3082.6</v>
      </c>
      <c r="G41" s="29">
        <v>3053.9</v>
      </c>
      <c r="H41" s="29">
        <v>376.9</v>
      </c>
      <c r="I41" s="29">
        <v>375.4</v>
      </c>
    </row>
    <row r="42" spans="1:9" x14ac:dyDescent="0.2">
      <c r="A42" s="2">
        <v>41760</v>
      </c>
      <c r="B42" s="105">
        <f t="shared" si="0"/>
        <v>2014</v>
      </c>
      <c r="C42" s="107">
        <v>659861.19999999995</v>
      </c>
      <c r="D42" s="29">
        <v>6798</v>
      </c>
      <c r="E42" s="29">
        <v>6770.1</v>
      </c>
      <c r="F42" s="29">
        <v>3070.2</v>
      </c>
      <c r="G42" s="29">
        <v>3060.3</v>
      </c>
      <c r="H42" s="29">
        <v>374.4</v>
      </c>
      <c r="I42" s="29">
        <v>372.6</v>
      </c>
    </row>
    <row r="43" spans="1:9" x14ac:dyDescent="0.2">
      <c r="A43" s="2">
        <v>41791</v>
      </c>
      <c r="B43" s="105">
        <f t="shared" si="0"/>
        <v>2014</v>
      </c>
      <c r="C43" s="107">
        <v>659861.19999999995</v>
      </c>
      <c r="D43" s="29">
        <v>6790.7</v>
      </c>
      <c r="E43" s="29">
        <v>6837.5</v>
      </c>
      <c r="F43" s="29">
        <v>3046.3</v>
      </c>
      <c r="G43" s="29">
        <v>3063.6</v>
      </c>
      <c r="H43" s="29">
        <v>375.4</v>
      </c>
      <c r="I43" s="29">
        <v>376</v>
      </c>
    </row>
    <row r="44" spans="1:9" x14ac:dyDescent="0.2">
      <c r="A44" s="2">
        <v>41821</v>
      </c>
      <c r="B44" s="105">
        <f t="shared" si="0"/>
        <v>2014</v>
      </c>
      <c r="C44" s="107">
        <v>659861.19999999995</v>
      </c>
      <c r="D44" s="29">
        <v>6792</v>
      </c>
      <c r="E44" s="29">
        <v>6884</v>
      </c>
      <c r="F44" s="29">
        <v>3021.9</v>
      </c>
      <c r="G44" s="29">
        <v>3050.8</v>
      </c>
      <c r="H44" s="29">
        <v>377</v>
      </c>
      <c r="I44" s="29">
        <v>379.6</v>
      </c>
    </row>
    <row r="45" spans="1:9" x14ac:dyDescent="0.2">
      <c r="A45" s="2">
        <v>41852</v>
      </c>
      <c r="B45" s="105">
        <f t="shared" si="0"/>
        <v>2014</v>
      </c>
      <c r="C45" s="107">
        <v>659861.19999999995</v>
      </c>
      <c r="D45" s="29">
        <v>6796.3</v>
      </c>
      <c r="E45" s="29">
        <v>6897.1</v>
      </c>
      <c r="F45" s="29">
        <v>3010.9</v>
      </c>
      <c r="G45" s="29">
        <v>3048.9</v>
      </c>
      <c r="H45" s="29">
        <v>379.6</v>
      </c>
      <c r="I45" s="29">
        <v>382.3</v>
      </c>
    </row>
    <row r="46" spans="1:9" x14ac:dyDescent="0.2">
      <c r="A46" s="2">
        <v>41883</v>
      </c>
      <c r="B46" s="105">
        <f t="shared" si="0"/>
        <v>2014</v>
      </c>
      <c r="C46" s="107">
        <v>659861.19999999995</v>
      </c>
      <c r="D46" s="29">
        <v>6817.7</v>
      </c>
      <c r="E46" s="29">
        <v>6875.4</v>
      </c>
      <c r="F46" s="29">
        <v>3013.7</v>
      </c>
      <c r="G46" s="29">
        <v>3040.3</v>
      </c>
      <c r="H46" s="29">
        <v>378.3</v>
      </c>
      <c r="I46" s="29">
        <v>380.5</v>
      </c>
    </row>
    <row r="47" spans="1:9" x14ac:dyDescent="0.2">
      <c r="A47" s="2">
        <v>41913</v>
      </c>
      <c r="B47" s="105">
        <f t="shared" si="0"/>
        <v>2014</v>
      </c>
      <c r="C47" s="107">
        <v>659861.19999999995</v>
      </c>
      <c r="D47" s="29">
        <v>6834</v>
      </c>
      <c r="E47" s="29">
        <v>6869.1</v>
      </c>
      <c r="F47" s="29">
        <v>3027.3</v>
      </c>
      <c r="G47" s="29">
        <v>3043.7</v>
      </c>
      <c r="H47" s="29">
        <v>378.4</v>
      </c>
      <c r="I47" s="29">
        <v>380.7</v>
      </c>
    </row>
    <row r="48" spans="1:9" x14ac:dyDescent="0.2">
      <c r="A48" s="2">
        <v>41944</v>
      </c>
      <c r="B48" s="105">
        <f t="shared" si="0"/>
        <v>2014</v>
      </c>
      <c r="C48" s="107">
        <v>659861.19999999995</v>
      </c>
      <c r="D48" s="29">
        <v>6842</v>
      </c>
      <c r="E48" s="29">
        <v>6850</v>
      </c>
      <c r="F48" s="29">
        <v>3036.7</v>
      </c>
      <c r="G48" s="29">
        <v>3039.1</v>
      </c>
      <c r="H48" s="29">
        <v>374.9</v>
      </c>
      <c r="I48" s="29">
        <v>377.4</v>
      </c>
    </row>
    <row r="49" spans="1:9" x14ac:dyDescent="0.2">
      <c r="A49" s="2">
        <v>41974</v>
      </c>
      <c r="B49" s="105">
        <f t="shared" si="0"/>
        <v>2014</v>
      </c>
      <c r="C49" s="107">
        <v>659861.19999999995</v>
      </c>
      <c r="D49" s="29">
        <v>6833.4</v>
      </c>
      <c r="E49" s="29">
        <v>6837.3</v>
      </c>
      <c r="F49" s="29">
        <v>3034.6</v>
      </c>
      <c r="G49" s="29">
        <v>3036.2</v>
      </c>
      <c r="H49" s="29">
        <v>371.6</v>
      </c>
      <c r="I49" s="29">
        <v>375.2</v>
      </c>
    </row>
    <row r="50" spans="1:9" x14ac:dyDescent="0.2">
      <c r="A50" s="2">
        <v>42005</v>
      </c>
      <c r="B50" s="105">
        <f t="shared" si="0"/>
        <v>2015</v>
      </c>
      <c r="C50" s="107">
        <v>677384</v>
      </c>
      <c r="D50" s="29">
        <v>6815.7</v>
      </c>
      <c r="E50" s="29">
        <v>6777.3</v>
      </c>
      <c r="F50" s="29">
        <v>3029.1</v>
      </c>
      <c r="G50" s="29">
        <v>3016.9</v>
      </c>
      <c r="H50" s="29">
        <v>371</v>
      </c>
      <c r="I50" s="29">
        <v>371.8</v>
      </c>
    </row>
    <row r="51" spans="1:9" x14ac:dyDescent="0.2">
      <c r="A51" s="2">
        <v>42036</v>
      </c>
      <c r="B51" s="105">
        <f t="shared" si="0"/>
        <v>2015</v>
      </c>
      <c r="C51" s="107">
        <v>677384</v>
      </c>
      <c r="D51" s="29">
        <v>6814.3</v>
      </c>
      <c r="E51" s="29">
        <v>6740.1</v>
      </c>
      <c r="F51" s="29">
        <v>3035.1</v>
      </c>
      <c r="G51" s="29">
        <v>3006.7</v>
      </c>
      <c r="H51" s="29">
        <v>370.3</v>
      </c>
      <c r="I51" s="29">
        <v>368.3</v>
      </c>
    </row>
    <row r="52" spans="1:9" x14ac:dyDescent="0.2">
      <c r="A52" s="2">
        <v>42064</v>
      </c>
      <c r="B52" s="105">
        <f t="shared" si="0"/>
        <v>2015</v>
      </c>
      <c r="C52" s="107">
        <v>677384</v>
      </c>
      <c r="D52" s="29">
        <v>6821.3</v>
      </c>
      <c r="E52" s="29">
        <v>6712.3</v>
      </c>
      <c r="F52" s="29">
        <v>3054.2</v>
      </c>
      <c r="G52" s="29">
        <v>3008</v>
      </c>
      <c r="H52" s="29">
        <v>371.2</v>
      </c>
      <c r="I52" s="29">
        <v>365.3</v>
      </c>
    </row>
    <row r="53" spans="1:9" x14ac:dyDescent="0.2">
      <c r="A53" s="2">
        <v>42095</v>
      </c>
      <c r="B53" s="105">
        <f t="shared" si="0"/>
        <v>2015</v>
      </c>
      <c r="C53" s="107">
        <v>677384</v>
      </c>
      <c r="D53" s="29">
        <v>6825</v>
      </c>
      <c r="E53" s="29">
        <v>6733.1</v>
      </c>
      <c r="F53" s="29">
        <v>3066.7</v>
      </c>
      <c r="G53" s="29">
        <v>3032.3</v>
      </c>
      <c r="H53" s="29">
        <v>371.8</v>
      </c>
      <c r="I53" s="29">
        <v>366.8</v>
      </c>
    </row>
    <row r="54" spans="1:9" x14ac:dyDescent="0.2">
      <c r="A54" s="2">
        <v>42125</v>
      </c>
      <c r="B54" s="105">
        <f t="shared" si="0"/>
        <v>2015</v>
      </c>
      <c r="C54" s="107">
        <v>677384</v>
      </c>
      <c r="D54" s="29">
        <v>6830.5</v>
      </c>
      <c r="E54" s="29">
        <v>6793.2</v>
      </c>
      <c r="F54" s="29">
        <v>3084</v>
      </c>
      <c r="G54" s="29">
        <v>3072.7</v>
      </c>
      <c r="H54" s="29">
        <v>377.4</v>
      </c>
      <c r="I54" s="29">
        <v>374.3</v>
      </c>
    </row>
    <row r="55" spans="1:9" x14ac:dyDescent="0.2">
      <c r="A55" s="2">
        <v>42156</v>
      </c>
      <c r="B55" s="105">
        <f t="shared" si="0"/>
        <v>2015</v>
      </c>
      <c r="C55" s="107">
        <v>677384</v>
      </c>
      <c r="D55" s="29">
        <v>6841.5</v>
      </c>
      <c r="E55" s="29">
        <v>6885.3</v>
      </c>
      <c r="F55" s="29">
        <v>3102.9</v>
      </c>
      <c r="G55" s="29">
        <v>3122</v>
      </c>
      <c r="H55" s="29">
        <v>380.9</v>
      </c>
      <c r="I55" s="29">
        <v>381</v>
      </c>
    </row>
    <row r="56" spans="1:9" x14ac:dyDescent="0.2">
      <c r="A56" s="2">
        <v>42186</v>
      </c>
      <c r="B56" s="105">
        <f t="shared" si="0"/>
        <v>2015</v>
      </c>
      <c r="C56" s="107">
        <v>677384</v>
      </c>
      <c r="D56" s="29">
        <v>6859.4</v>
      </c>
      <c r="E56" s="29">
        <v>6951.4</v>
      </c>
      <c r="F56" s="29">
        <v>3132</v>
      </c>
      <c r="G56" s="29">
        <v>3164.4</v>
      </c>
      <c r="H56" s="29">
        <v>384.9</v>
      </c>
      <c r="I56" s="29">
        <v>386.7</v>
      </c>
    </row>
    <row r="57" spans="1:9" x14ac:dyDescent="0.2">
      <c r="A57" s="2">
        <v>42217</v>
      </c>
      <c r="B57" s="105">
        <f t="shared" si="0"/>
        <v>2015</v>
      </c>
      <c r="C57" s="107">
        <v>677384</v>
      </c>
      <c r="D57" s="29">
        <v>6869.1</v>
      </c>
      <c r="E57" s="29">
        <v>6969.1</v>
      </c>
      <c r="F57" s="29">
        <v>3151.5</v>
      </c>
      <c r="G57" s="29">
        <v>3189.4</v>
      </c>
      <c r="H57" s="29">
        <v>385.1</v>
      </c>
      <c r="I57" s="29">
        <v>388.8</v>
      </c>
    </row>
    <row r="58" spans="1:9" x14ac:dyDescent="0.2">
      <c r="A58" s="2">
        <v>42248</v>
      </c>
      <c r="B58" s="105">
        <f t="shared" si="0"/>
        <v>2015</v>
      </c>
      <c r="C58" s="107">
        <v>677384</v>
      </c>
      <c r="D58" s="29">
        <v>6860.5</v>
      </c>
      <c r="E58" s="29">
        <v>6917.2</v>
      </c>
      <c r="F58" s="29">
        <v>3155.1</v>
      </c>
      <c r="G58" s="29">
        <v>3178.3</v>
      </c>
      <c r="H58" s="29">
        <v>382.5</v>
      </c>
      <c r="I58" s="29">
        <v>385.6</v>
      </c>
    </row>
    <row r="59" spans="1:9" x14ac:dyDescent="0.2">
      <c r="A59" s="2">
        <v>42278</v>
      </c>
      <c r="B59" s="105">
        <f t="shared" si="0"/>
        <v>2015</v>
      </c>
      <c r="C59" s="107">
        <v>677384</v>
      </c>
      <c r="D59" s="29">
        <v>6852.7</v>
      </c>
      <c r="E59" s="29">
        <v>6887.9</v>
      </c>
      <c r="F59" s="29">
        <v>3149.2</v>
      </c>
      <c r="G59" s="29">
        <v>3160.3</v>
      </c>
      <c r="H59" s="29">
        <v>377.4</v>
      </c>
      <c r="I59" s="29">
        <v>380.3</v>
      </c>
    </row>
    <row r="60" spans="1:9" x14ac:dyDescent="0.2">
      <c r="A60" s="2">
        <v>42309</v>
      </c>
      <c r="B60" s="105">
        <f t="shared" si="0"/>
        <v>2015</v>
      </c>
      <c r="C60" s="107">
        <v>677384</v>
      </c>
      <c r="D60" s="29">
        <v>6843.8</v>
      </c>
      <c r="E60" s="29">
        <v>6853.9</v>
      </c>
      <c r="F60" s="29">
        <v>3140.6</v>
      </c>
      <c r="G60" s="29">
        <v>3139.2</v>
      </c>
      <c r="H60" s="29">
        <v>375.8</v>
      </c>
      <c r="I60" s="29">
        <v>377.8</v>
      </c>
    </row>
    <row r="61" spans="1:9" x14ac:dyDescent="0.2">
      <c r="A61" s="2">
        <v>42339</v>
      </c>
      <c r="B61" s="105">
        <f t="shared" si="0"/>
        <v>2015</v>
      </c>
      <c r="C61" s="107">
        <v>677384</v>
      </c>
      <c r="D61" s="29">
        <v>6858.1</v>
      </c>
      <c r="E61" s="29">
        <v>6866.6</v>
      </c>
      <c r="F61" s="29">
        <v>3147.5</v>
      </c>
      <c r="G61" s="29">
        <v>3148</v>
      </c>
      <c r="H61" s="29">
        <v>374.6</v>
      </c>
      <c r="I61" s="29">
        <v>377.8</v>
      </c>
    </row>
    <row r="62" spans="1:9" x14ac:dyDescent="0.2">
      <c r="A62" s="2">
        <v>42370</v>
      </c>
      <c r="B62" s="105">
        <f t="shared" si="0"/>
        <v>2016</v>
      </c>
      <c r="C62" s="107">
        <v>692620.80000000005</v>
      </c>
      <c r="D62" s="29">
        <v>6871.7</v>
      </c>
      <c r="E62" s="29">
        <v>6837.4</v>
      </c>
      <c r="F62" s="29">
        <v>3154.2</v>
      </c>
      <c r="G62" s="29">
        <v>3142.4</v>
      </c>
      <c r="H62" s="29">
        <v>373.7</v>
      </c>
      <c r="I62" s="29">
        <v>374</v>
      </c>
    </row>
    <row r="63" spans="1:9" x14ac:dyDescent="0.2">
      <c r="A63" s="2">
        <v>42401</v>
      </c>
      <c r="B63" s="105">
        <f t="shared" si="0"/>
        <v>2016</v>
      </c>
      <c r="C63" s="107">
        <v>692620.80000000005</v>
      </c>
      <c r="D63" s="29">
        <v>6885.9</v>
      </c>
      <c r="E63" s="29">
        <v>6815.5</v>
      </c>
      <c r="F63" s="29">
        <v>3149.3</v>
      </c>
      <c r="G63" s="29">
        <v>3123</v>
      </c>
      <c r="H63" s="29">
        <v>375.6</v>
      </c>
      <c r="I63" s="29">
        <v>372.7</v>
      </c>
    </row>
    <row r="64" spans="1:9" x14ac:dyDescent="0.2">
      <c r="A64" s="2">
        <v>42430</v>
      </c>
      <c r="B64" s="105">
        <f t="shared" si="0"/>
        <v>2016</v>
      </c>
      <c r="C64" s="107">
        <v>692620.80000000005</v>
      </c>
      <c r="D64" s="29">
        <v>6897.7</v>
      </c>
      <c r="E64" s="29">
        <v>6793.5</v>
      </c>
      <c r="F64" s="29">
        <v>3140</v>
      </c>
      <c r="G64" s="29">
        <v>3096.2</v>
      </c>
      <c r="H64" s="29">
        <v>377.2</v>
      </c>
      <c r="I64" s="29">
        <v>370.7</v>
      </c>
    </row>
    <row r="65" spans="1:9" x14ac:dyDescent="0.2">
      <c r="A65" s="2">
        <v>42461</v>
      </c>
      <c r="B65" s="105">
        <f t="shared" si="0"/>
        <v>2016</v>
      </c>
      <c r="C65" s="107">
        <v>692620.80000000005</v>
      </c>
      <c r="D65" s="29">
        <v>6905.4</v>
      </c>
      <c r="E65" s="29">
        <v>6814.3</v>
      </c>
      <c r="F65" s="29">
        <v>3137.9</v>
      </c>
      <c r="G65" s="29">
        <v>3103.3</v>
      </c>
      <c r="H65" s="29">
        <v>380.3</v>
      </c>
      <c r="I65" s="29">
        <v>375.5</v>
      </c>
    </row>
    <row r="66" spans="1:9" x14ac:dyDescent="0.2">
      <c r="A66" s="2">
        <v>42491</v>
      </c>
      <c r="B66" s="105">
        <f t="shared" si="0"/>
        <v>2016</v>
      </c>
      <c r="C66" s="107">
        <v>692620.80000000005</v>
      </c>
      <c r="D66" s="29">
        <v>6917.8</v>
      </c>
      <c r="E66" s="29">
        <v>6884.3</v>
      </c>
      <c r="F66" s="29">
        <v>3144.8</v>
      </c>
      <c r="G66" s="29">
        <v>3135.2</v>
      </c>
      <c r="H66" s="29">
        <v>375.6</v>
      </c>
      <c r="I66" s="29">
        <v>374.1</v>
      </c>
    </row>
    <row r="67" spans="1:9" x14ac:dyDescent="0.2">
      <c r="A67" s="2">
        <v>42522</v>
      </c>
      <c r="B67" s="105">
        <f t="shared" ref="B67:B130" si="1">YEAR(A67)</f>
        <v>2016</v>
      </c>
      <c r="C67" s="107">
        <v>692620.80000000005</v>
      </c>
      <c r="D67" s="29">
        <v>6923.9</v>
      </c>
      <c r="E67" s="29">
        <v>6966.5</v>
      </c>
      <c r="F67" s="29">
        <v>3155.8</v>
      </c>
      <c r="G67" s="29">
        <v>3176.5</v>
      </c>
      <c r="H67" s="29">
        <v>374.1</v>
      </c>
      <c r="I67" s="29">
        <v>375.9</v>
      </c>
    </row>
    <row r="68" spans="1:9" x14ac:dyDescent="0.2">
      <c r="A68" s="2">
        <v>42552</v>
      </c>
      <c r="B68" s="105">
        <f t="shared" si="1"/>
        <v>2016</v>
      </c>
      <c r="C68" s="107">
        <v>692620.80000000005</v>
      </c>
      <c r="D68" s="29">
        <v>6918.7</v>
      </c>
      <c r="E68" s="29">
        <v>7011.7</v>
      </c>
      <c r="F68" s="29">
        <v>3152.3</v>
      </c>
      <c r="G68" s="29">
        <v>3189.4</v>
      </c>
      <c r="H68" s="29">
        <v>370.9</v>
      </c>
      <c r="I68" s="29">
        <v>373.5</v>
      </c>
    </row>
    <row r="69" spans="1:9" x14ac:dyDescent="0.2">
      <c r="A69" s="2">
        <v>42583</v>
      </c>
      <c r="B69" s="105">
        <f t="shared" si="1"/>
        <v>2016</v>
      </c>
      <c r="C69" s="107">
        <v>692620.80000000005</v>
      </c>
      <c r="D69" s="29">
        <v>6916.3</v>
      </c>
      <c r="E69" s="29">
        <v>7009.1</v>
      </c>
      <c r="F69" s="29">
        <v>3149.1</v>
      </c>
      <c r="G69" s="29">
        <v>3188.3</v>
      </c>
      <c r="H69" s="29">
        <v>371.2</v>
      </c>
      <c r="I69" s="29">
        <v>372.3</v>
      </c>
    </row>
    <row r="70" spans="1:9" x14ac:dyDescent="0.2">
      <c r="A70" s="2">
        <v>42614</v>
      </c>
      <c r="B70" s="105">
        <f t="shared" si="1"/>
        <v>2016</v>
      </c>
      <c r="C70" s="107">
        <v>692620.80000000005</v>
      </c>
      <c r="D70" s="29">
        <v>6914.1</v>
      </c>
      <c r="E70" s="29">
        <v>6963.5</v>
      </c>
      <c r="F70" s="29">
        <v>3140.2</v>
      </c>
      <c r="G70" s="29">
        <v>3160.4</v>
      </c>
      <c r="H70" s="29">
        <v>373.9</v>
      </c>
      <c r="I70" s="29">
        <v>373.6</v>
      </c>
    </row>
    <row r="71" spans="1:9" x14ac:dyDescent="0.2">
      <c r="A71" s="2">
        <v>42644</v>
      </c>
      <c r="B71" s="105">
        <f t="shared" si="1"/>
        <v>2016</v>
      </c>
      <c r="C71" s="107">
        <v>692620.80000000005</v>
      </c>
      <c r="D71" s="29">
        <v>6929.7</v>
      </c>
      <c r="E71" s="29">
        <v>6956.2</v>
      </c>
      <c r="F71" s="29">
        <v>3134.2</v>
      </c>
      <c r="G71" s="29">
        <v>3139</v>
      </c>
      <c r="H71" s="29">
        <v>377.3</v>
      </c>
      <c r="I71" s="29">
        <v>376.3</v>
      </c>
    </row>
    <row r="72" spans="1:9" x14ac:dyDescent="0.2">
      <c r="A72" s="2">
        <v>42675</v>
      </c>
      <c r="B72" s="105">
        <f t="shared" si="1"/>
        <v>2016</v>
      </c>
      <c r="C72" s="107">
        <v>692620.80000000005</v>
      </c>
      <c r="D72" s="29">
        <v>6939.8</v>
      </c>
      <c r="E72" s="29">
        <v>6946.2</v>
      </c>
      <c r="F72" s="29">
        <v>3130.5</v>
      </c>
      <c r="G72" s="29">
        <v>3122.9</v>
      </c>
      <c r="H72" s="29">
        <v>382.8</v>
      </c>
      <c r="I72" s="29">
        <v>383.1</v>
      </c>
    </row>
    <row r="73" spans="1:9" x14ac:dyDescent="0.2">
      <c r="A73" s="2">
        <v>42705</v>
      </c>
      <c r="B73" s="105">
        <f t="shared" si="1"/>
        <v>2016</v>
      </c>
      <c r="C73" s="107">
        <v>692620.80000000005</v>
      </c>
      <c r="D73" s="29">
        <v>6952.3</v>
      </c>
      <c r="E73" s="29">
        <v>6962</v>
      </c>
      <c r="F73" s="29">
        <v>3127.9</v>
      </c>
      <c r="G73" s="29">
        <v>3127.2</v>
      </c>
      <c r="H73" s="29">
        <v>387.4</v>
      </c>
      <c r="I73" s="29">
        <v>389.1</v>
      </c>
    </row>
    <row r="74" spans="1:9" x14ac:dyDescent="0.2">
      <c r="A74" s="2">
        <v>42736</v>
      </c>
      <c r="B74" s="105">
        <f t="shared" si="1"/>
        <v>2017</v>
      </c>
      <c r="C74" s="107">
        <v>711695.1</v>
      </c>
      <c r="D74" s="29">
        <v>6971</v>
      </c>
      <c r="E74" s="29">
        <v>6942.1</v>
      </c>
      <c r="F74" s="29">
        <v>3136.5</v>
      </c>
      <c r="G74" s="29">
        <v>3126.3</v>
      </c>
      <c r="H74" s="29">
        <v>388.9</v>
      </c>
      <c r="I74" s="29">
        <v>388.7</v>
      </c>
    </row>
    <row r="75" spans="1:9" x14ac:dyDescent="0.2">
      <c r="A75" s="2">
        <v>42767</v>
      </c>
      <c r="B75" s="105">
        <f t="shared" si="1"/>
        <v>2017</v>
      </c>
      <c r="C75" s="107">
        <v>711695.1</v>
      </c>
      <c r="D75" s="29">
        <v>6987.8</v>
      </c>
      <c r="E75" s="29">
        <v>6920.9</v>
      </c>
      <c r="F75" s="29">
        <v>3152.5</v>
      </c>
      <c r="G75" s="29">
        <v>3129.3</v>
      </c>
      <c r="H75" s="29">
        <v>389.5</v>
      </c>
      <c r="I75" s="29">
        <v>386.9</v>
      </c>
    </row>
    <row r="76" spans="1:9" x14ac:dyDescent="0.2">
      <c r="A76" s="2">
        <v>42795</v>
      </c>
      <c r="B76" s="105">
        <f t="shared" si="1"/>
        <v>2017</v>
      </c>
      <c r="C76" s="107">
        <v>711695.1</v>
      </c>
      <c r="D76" s="29">
        <v>7000.6</v>
      </c>
      <c r="E76" s="29">
        <v>6896.8</v>
      </c>
      <c r="F76" s="29">
        <v>3168.5</v>
      </c>
      <c r="G76" s="29">
        <v>3127</v>
      </c>
      <c r="H76" s="29">
        <v>393.2</v>
      </c>
      <c r="I76" s="29">
        <v>387.2</v>
      </c>
    </row>
    <row r="77" spans="1:9" x14ac:dyDescent="0.2">
      <c r="A77" s="2">
        <v>42826</v>
      </c>
      <c r="B77" s="105">
        <f t="shared" si="1"/>
        <v>2017</v>
      </c>
      <c r="C77" s="107">
        <v>711695.1</v>
      </c>
      <c r="D77" s="29">
        <v>6999.5</v>
      </c>
      <c r="E77" s="29">
        <v>6905.1</v>
      </c>
      <c r="F77" s="29">
        <v>3177</v>
      </c>
      <c r="G77" s="29">
        <v>3142.8</v>
      </c>
      <c r="H77" s="29">
        <v>401.6</v>
      </c>
      <c r="I77" s="29">
        <v>397.2</v>
      </c>
    </row>
    <row r="78" spans="1:9" x14ac:dyDescent="0.2">
      <c r="A78" s="2">
        <v>42856</v>
      </c>
      <c r="B78" s="105">
        <f t="shared" si="1"/>
        <v>2017</v>
      </c>
      <c r="C78" s="107">
        <v>711695.1</v>
      </c>
      <c r="D78" s="29">
        <v>7006.2</v>
      </c>
      <c r="E78" s="29">
        <v>6969.8</v>
      </c>
      <c r="F78" s="29">
        <v>3185.7</v>
      </c>
      <c r="G78" s="29">
        <v>3175.3</v>
      </c>
      <c r="H78" s="29">
        <v>407.4</v>
      </c>
      <c r="I78" s="29">
        <v>405.5</v>
      </c>
    </row>
    <row r="79" spans="1:9" x14ac:dyDescent="0.2">
      <c r="A79" s="2">
        <v>42887</v>
      </c>
      <c r="B79" s="105">
        <f t="shared" si="1"/>
        <v>2017</v>
      </c>
      <c r="C79" s="107">
        <v>711695.1</v>
      </c>
      <c r="D79" s="29">
        <v>7010.4</v>
      </c>
      <c r="E79" s="29">
        <v>7051.6</v>
      </c>
      <c r="F79" s="29">
        <v>3186.9</v>
      </c>
      <c r="G79" s="29">
        <v>3207</v>
      </c>
      <c r="H79" s="29">
        <v>408.3</v>
      </c>
      <c r="I79" s="29">
        <v>409.8</v>
      </c>
    </row>
    <row r="80" spans="1:9" x14ac:dyDescent="0.2">
      <c r="A80" s="2">
        <v>42917</v>
      </c>
      <c r="B80" s="105">
        <f t="shared" si="1"/>
        <v>2017</v>
      </c>
      <c r="C80" s="107">
        <v>711695.1</v>
      </c>
      <c r="D80" s="29">
        <v>7022.8</v>
      </c>
      <c r="E80" s="29">
        <v>7118.5</v>
      </c>
      <c r="F80" s="29">
        <v>3187.6</v>
      </c>
      <c r="G80" s="29">
        <v>3226.5</v>
      </c>
      <c r="H80" s="29">
        <v>412</v>
      </c>
      <c r="I80" s="29">
        <v>413.9</v>
      </c>
    </row>
    <row r="81" spans="1:9" x14ac:dyDescent="0.2">
      <c r="A81" s="2">
        <v>42948</v>
      </c>
      <c r="B81" s="105">
        <f t="shared" si="1"/>
        <v>2017</v>
      </c>
      <c r="C81" s="107">
        <v>711695.1</v>
      </c>
      <c r="D81" s="29">
        <v>7041.5</v>
      </c>
      <c r="E81" s="29">
        <v>7139</v>
      </c>
      <c r="F81" s="29">
        <v>3194.3</v>
      </c>
      <c r="G81" s="29">
        <v>3232.4</v>
      </c>
      <c r="H81" s="29">
        <v>418.3</v>
      </c>
      <c r="I81" s="29">
        <v>419.9</v>
      </c>
    </row>
    <row r="82" spans="1:9" x14ac:dyDescent="0.2">
      <c r="A82" s="2">
        <v>42979</v>
      </c>
      <c r="B82" s="105">
        <f t="shared" si="1"/>
        <v>2017</v>
      </c>
      <c r="C82" s="107">
        <v>711695.1</v>
      </c>
      <c r="D82" s="29">
        <v>7068.5</v>
      </c>
      <c r="E82" s="29">
        <v>7121.5</v>
      </c>
      <c r="F82" s="29">
        <v>3212.3</v>
      </c>
      <c r="G82" s="29">
        <v>3229.2</v>
      </c>
      <c r="H82" s="29">
        <v>423.1</v>
      </c>
      <c r="I82" s="29">
        <v>423.1</v>
      </c>
    </row>
    <row r="83" spans="1:9" x14ac:dyDescent="0.2">
      <c r="A83" s="2">
        <v>43009</v>
      </c>
      <c r="B83" s="105">
        <f t="shared" si="1"/>
        <v>2017</v>
      </c>
      <c r="C83" s="107">
        <v>711695.1</v>
      </c>
      <c r="D83" s="29">
        <v>7092.3</v>
      </c>
      <c r="E83" s="29">
        <v>7117.9</v>
      </c>
      <c r="F83" s="29">
        <v>3234.8</v>
      </c>
      <c r="G83" s="29">
        <v>3233.9</v>
      </c>
      <c r="H83" s="29">
        <v>420.8</v>
      </c>
      <c r="I83" s="29">
        <v>420.5</v>
      </c>
    </row>
    <row r="84" spans="1:9" x14ac:dyDescent="0.2">
      <c r="A84" s="2">
        <v>43040</v>
      </c>
      <c r="B84" s="105">
        <f t="shared" si="1"/>
        <v>2017</v>
      </c>
      <c r="C84" s="107">
        <v>711695.1</v>
      </c>
      <c r="D84" s="29">
        <v>7114.4</v>
      </c>
      <c r="E84" s="29">
        <v>7117.8</v>
      </c>
      <c r="F84" s="29">
        <v>3248.6</v>
      </c>
      <c r="G84" s="29">
        <v>3237.9</v>
      </c>
      <c r="H84" s="29">
        <v>416.3</v>
      </c>
      <c r="I84" s="29">
        <v>416.3</v>
      </c>
    </row>
    <row r="85" spans="1:9" x14ac:dyDescent="0.2">
      <c r="A85" s="2">
        <v>43070</v>
      </c>
      <c r="B85" s="105">
        <f t="shared" si="1"/>
        <v>2017</v>
      </c>
      <c r="C85" s="107">
        <v>711695.1</v>
      </c>
      <c r="D85" s="29">
        <v>7131.7</v>
      </c>
      <c r="E85" s="29">
        <v>7140.2</v>
      </c>
      <c r="F85" s="29">
        <v>3264.9</v>
      </c>
      <c r="G85" s="29">
        <v>3263.5</v>
      </c>
      <c r="H85" s="29">
        <v>411.7</v>
      </c>
      <c r="I85" s="29">
        <v>413.2</v>
      </c>
    </row>
    <row r="86" spans="1:9" x14ac:dyDescent="0.2">
      <c r="A86" s="2">
        <v>43101</v>
      </c>
      <c r="B86" s="105">
        <f t="shared" si="1"/>
        <v>2018</v>
      </c>
      <c r="C86" s="107">
        <v>732426.3</v>
      </c>
      <c r="D86" s="29">
        <v>7129.8</v>
      </c>
      <c r="E86" s="29">
        <v>7100.3</v>
      </c>
      <c r="F86" s="29">
        <v>3268.4</v>
      </c>
      <c r="G86" s="29">
        <v>3260.3</v>
      </c>
      <c r="H86" s="29">
        <v>410.8</v>
      </c>
      <c r="I86" s="29">
        <v>410.4</v>
      </c>
    </row>
    <row r="87" spans="1:9" x14ac:dyDescent="0.2">
      <c r="A87" s="2">
        <v>43132</v>
      </c>
      <c r="B87" s="105">
        <f t="shared" si="1"/>
        <v>2018</v>
      </c>
      <c r="C87" s="107">
        <v>732426.3</v>
      </c>
      <c r="D87" s="29">
        <v>7121.1</v>
      </c>
      <c r="E87" s="29">
        <v>7053.7</v>
      </c>
      <c r="F87" s="29">
        <v>3267.8</v>
      </c>
      <c r="G87" s="29">
        <v>3248</v>
      </c>
      <c r="H87" s="29">
        <v>406.4</v>
      </c>
      <c r="I87" s="29">
        <v>403.5</v>
      </c>
    </row>
    <row r="88" spans="1:9" x14ac:dyDescent="0.2">
      <c r="A88" s="2">
        <v>43160</v>
      </c>
      <c r="B88" s="105">
        <f t="shared" si="1"/>
        <v>2018</v>
      </c>
      <c r="C88" s="107">
        <v>732426.3</v>
      </c>
      <c r="D88" s="29">
        <v>7120.5</v>
      </c>
      <c r="E88" s="29">
        <v>7013.3</v>
      </c>
      <c r="F88" s="29">
        <v>3257.5</v>
      </c>
      <c r="G88" s="29">
        <v>3219.6</v>
      </c>
      <c r="H88" s="29">
        <v>404</v>
      </c>
      <c r="I88" s="29">
        <v>397.8</v>
      </c>
    </row>
    <row r="89" spans="1:9" x14ac:dyDescent="0.2">
      <c r="A89" s="2">
        <v>43191</v>
      </c>
      <c r="B89" s="105">
        <f t="shared" si="1"/>
        <v>2018</v>
      </c>
      <c r="C89" s="107">
        <v>732426.3</v>
      </c>
      <c r="D89" s="29">
        <v>7136.3</v>
      </c>
      <c r="E89" s="29">
        <v>7043.4</v>
      </c>
      <c r="F89" s="29">
        <v>3252.9</v>
      </c>
      <c r="G89" s="29">
        <v>3221.9</v>
      </c>
      <c r="H89" s="29">
        <v>400.5</v>
      </c>
      <c r="I89" s="29">
        <v>394.1</v>
      </c>
    </row>
    <row r="90" spans="1:9" x14ac:dyDescent="0.2">
      <c r="A90" s="2">
        <v>43221</v>
      </c>
      <c r="B90" s="105">
        <f t="shared" si="1"/>
        <v>2018</v>
      </c>
      <c r="C90" s="107">
        <v>732426.3</v>
      </c>
      <c r="D90" s="29">
        <v>7145.7</v>
      </c>
      <c r="E90" s="29">
        <v>7111</v>
      </c>
      <c r="F90" s="29">
        <v>3249.3</v>
      </c>
      <c r="G90" s="29">
        <v>3240.7</v>
      </c>
      <c r="H90" s="29">
        <v>402.3</v>
      </c>
      <c r="I90" s="29">
        <v>398.2</v>
      </c>
    </row>
    <row r="91" spans="1:9" x14ac:dyDescent="0.2">
      <c r="A91" s="2">
        <v>43252</v>
      </c>
      <c r="B91" s="105">
        <f t="shared" si="1"/>
        <v>2018</v>
      </c>
      <c r="C91" s="107">
        <v>732426.3</v>
      </c>
      <c r="D91" s="29">
        <v>7158.5</v>
      </c>
      <c r="E91" s="29">
        <v>7203.7</v>
      </c>
      <c r="F91" s="29">
        <v>3254.6</v>
      </c>
      <c r="G91" s="29">
        <v>3275.5</v>
      </c>
      <c r="H91" s="29">
        <v>404.5</v>
      </c>
      <c r="I91" s="29">
        <v>403.9</v>
      </c>
    </row>
    <row r="92" spans="1:9" x14ac:dyDescent="0.2">
      <c r="A92" s="2">
        <v>43282</v>
      </c>
      <c r="B92" s="105">
        <f t="shared" si="1"/>
        <v>2018</v>
      </c>
      <c r="C92" s="107">
        <v>732426.3</v>
      </c>
      <c r="D92" s="29">
        <v>7189.2</v>
      </c>
      <c r="E92" s="29">
        <v>7285.2</v>
      </c>
      <c r="F92" s="29">
        <v>3268.2</v>
      </c>
      <c r="G92" s="29">
        <v>3307.7</v>
      </c>
      <c r="H92" s="29">
        <v>405.1</v>
      </c>
      <c r="I92" s="29">
        <v>407.9</v>
      </c>
    </row>
    <row r="93" spans="1:9" x14ac:dyDescent="0.2">
      <c r="A93" s="2">
        <v>43313</v>
      </c>
      <c r="B93" s="105">
        <f t="shared" si="1"/>
        <v>2018</v>
      </c>
      <c r="C93" s="107">
        <v>732426.3</v>
      </c>
      <c r="D93" s="29">
        <v>7191.8</v>
      </c>
      <c r="E93" s="29">
        <v>7290.7</v>
      </c>
      <c r="F93" s="29">
        <v>3263.2</v>
      </c>
      <c r="G93" s="29">
        <v>3300.5</v>
      </c>
      <c r="H93" s="29">
        <v>401.7</v>
      </c>
      <c r="I93" s="29">
        <v>405.3</v>
      </c>
    </row>
    <row r="94" spans="1:9" x14ac:dyDescent="0.2">
      <c r="A94" s="2">
        <v>43344</v>
      </c>
      <c r="B94" s="105">
        <f t="shared" si="1"/>
        <v>2018</v>
      </c>
      <c r="C94" s="107">
        <v>732426.3</v>
      </c>
      <c r="D94" s="29">
        <v>7195.6</v>
      </c>
      <c r="E94" s="29">
        <v>7249.1</v>
      </c>
      <c r="F94" s="29">
        <v>3255.6</v>
      </c>
      <c r="G94" s="29">
        <v>3271</v>
      </c>
      <c r="H94" s="29">
        <v>399.8</v>
      </c>
      <c r="I94" s="29">
        <v>401.4</v>
      </c>
    </row>
    <row r="95" spans="1:9" x14ac:dyDescent="0.2">
      <c r="A95" s="2">
        <v>43374</v>
      </c>
      <c r="B95" s="105">
        <f t="shared" si="1"/>
        <v>2018</v>
      </c>
      <c r="C95" s="107">
        <v>732426.3</v>
      </c>
      <c r="D95" s="29">
        <v>7181.8</v>
      </c>
      <c r="E95" s="29">
        <v>7206.5</v>
      </c>
      <c r="F95" s="29">
        <v>3254.2</v>
      </c>
      <c r="G95" s="29">
        <v>3249.4</v>
      </c>
      <c r="H95" s="29">
        <v>400.8</v>
      </c>
      <c r="I95" s="29">
        <v>401</v>
      </c>
    </row>
    <row r="96" spans="1:9" x14ac:dyDescent="0.2">
      <c r="A96" s="2">
        <v>43405</v>
      </c>
      <c r="B96" s="105">
        <f t="shared" si="1"/>
        <v>2018</v>
      </c>
      <c r="C96" s="107">
        <v>732426.3</v>
      </c>
      <c r="D96" s="29">
        <v>7204.8</v>
      </c>
      <c r="E96" s="29">
        <v>7207.4</v>
      </c>
      <c r="F96" s="29">
        <v>3272.2</v>
      </c>
      <c r="G96" s="29">
        <v>3259.2</v>
      </c>
      <c r="H96" s="29">
        <v>404.9</v>
      </c>
      <c r="I96" s="29">
        <v>404.1</v>
      </c>
    </row>
    <row r="97" spans="1:9" x14ac:dyDescent="0.2">
      <c r="A97" s="2">
        <v>43435</v>
      </c>
      <c r="B97" s="105">
        <f t="shared" si="1"/>
        <v>2018</v>
      </c>
      <c r="C97" s="107">
        <v>732426.3</v>
      </c>
      <c r="D97" s="29">
        <v>7216.7</v>
      </c>
      <c r="E97" s="29">
        <v>7227.2</v>
      </c>
      <c r="F97" s="29">
        <v>3285.5</v>
      </c>
      <c r="G97" s="29">
        <v>3283.7</v>
      </c>
      <c r="H97" s="29">
        <v>408</v>
      </c>
      <c r="I97" s="29">
        <v>408.9</v>
      </c>
    </row>
    <row r="98" spans="1:9" x14ac:dyDescent="0.2">
      <c r="A98" s="2">
        <v>43466</v>
      </c>
      <c r="B98" s="105">
        <f t="shared" si="1"/>
        <v>2019</v>
      </c>
      <c r="C98" s="107">
        <v>747589.4</v>
      </c>
      <c r="D98" s="29">
        <v>7242.3</v>
      </c>
      <c r="E98" s="29">
        <v>7214.9</v>
      </c>
      <c r="F98" s="29">
        <v>3291.7</v>
      </c>
      <c r="G98" s="29">
        <v>3285.6</v>
      </c>
      <c r="H98" s="29">
        <v>409.7</v>
      </c>
      <c r="I98" s="29">
        <v>408.9</v>
      </c>
    </row>
    <row r="99" spans="1:9" x14ac:dyDescent="0.2">
      <c r="A99" s="2">
        <v>43497</v>
      </c>
      <c r="B99" s="105">
        <f t="shared" si="1"/>
        <v>2019</v>
      </c>
      <c r="C99" s="107">
        <v>747589.4</v>
      </c>
      <c r="D99" s="29">
        <v>7272.1</v>
      </c>
      <c r="E99" s="29">
        <v>7205</v>
      </c>
      <c r="F99" s="29">
        <v>3307</v>
      </c>
      <c r="G99" s="29">
        <v>3289.7</v>
      </c>
      <c r="H99" s="29">
        <v>410.3</v>
      </c>
      <c r="I99" s="29">
        <v>407.6</v>
      </c>
    </row>
    <row r="100" spans="1:9" x14ac:dyDescent="0.2">
      <c r="A100" s="2">
        <v>43525</v>
      </c>
      <c r="B100" s="105">
        <f t="shared" si="1"/>
        <v>2019</v>
      </c>
      <c r="C100" s="107">
        <v>747589.4</v>
      </c>
      <c r="D100" s="29">
        <v>7294</v>
      </c>
      <c r="E100" s="29">
        <v>7185</v>
      </c>
      <c r="F100" s="29">
        <v>3322.8</v>
      </c>
      <c r="G100" s="29">
        <v>3287.7</v>
      </c>
      <c r="H100" s="29">
        <v>408.9</v>
      </c>
      <c r="I100" s="29">
        <v>403</v>
      </c>
    </row>
    <row r="101" spans="1:9" x14ac:dyDescent="0.2">
      <c r="A101" s="2">
        <v>43556</v>
      </c>
      <c r="B101" s="105">
        <f t="shared" si="1"/>
        <v>2019</v>
      </c>
      <c r="C101" s="107">
        <v>747589.4</v>
      </c>
      <c r="D101" s="29">
        <v>7316.8</v>
      </c>
      <c r="E101" s="29">
        <v>7222.7</v>
      </c>
      <c r="F101" s="29">
        <v>3341.2</v>
      </c>
      <c r="G101" s="29">
        <v>3311.4</v>
      </c>
      <c r="H101" s="29">
        <v>405.4</v>
      </c>
      <c r="I101" s="29">
        <v>399.1</v>
      </c>
    </row>
    <row r="102" spans="1:9" x14ac:dyDescent="0.2">
      <c r="A102" s="2">
        <v>43586</v>
      </c>
      <c r="B102" s="105">
        <f t="shared" si="1"/>
        <v>2019</v>
      </c>
      <c r="C102" s="107">
        <v>747589.4</v>
      </c>
      <c r="D102" s="29">
        <v>7333.7</v>
      </c>
      <c r="E102" s="29">
        <v>7297.7</v>
      </c>
      <c r="F102" s="29">
        <v>3355</v>
      </c>
      <c r="G102" s="29">
        <v>3346</v>
      </c>
      <c r="H102" s="29">
        <v>404.1</v>
      </c>
      <c r="I102" s="29">
        <v>399.5</v>
      </c>
    </row>
    <row r="103" spans="1:9" x14ac:dyDescent="0.2">
      <c r="A103" s="2">
        <v>43617</v>
      </c>
      <c r="B103" s="105">
        <f t="shared" si="1"/>
        <v>2019</v>
      </c>
      <c r="C103" s="107">
        <v>747589.4</v>
      </c>
      <c r="D103" s="29">
        <v>7355.7</v>
      </c>
      <c r="E103" s="29">
        <v>7398.9</v>
      </c>
      <c r="F103" s="29">
        <v>3367.5</v>
      </c>
      <c r="G103" s="29">
        <v>3386.5</v>
      </c>
      <c r="H103" s="29">
        <v>405.1</v>
      </c>
      <c r="I103" s="29">
        <v>404.3</v>
      </c>
    </row>
    <row r="104" spans="1:9" x14ac:dyDescent="0.2">
      <c r="A104" s="2">
        <v>43647</v>
      </c>
      <c r="B104" s="105">
        <f t="shared" si="1"/>
        <v>2019</v>
      </c>
      <c r="C104" s="107">
        <v>747589.4</v>
      </c>
      <c r="D104" s="29">
        <v>7357.8</v>
      </c>
      <c r="E104" s="29">
        <v>7452.4</v>
      </c>
      <c r="F104" s="29">
        <v>3382.6</v>
      </c>
      <c r="G104" s="29">
        <v>3420.6</v>
      </c>
      <c r="H104" s="29">
        <v>404.6</v>
      </c>
      <c r="I104" s="29">
        <v>407</v>
      </c>
    </row>
    <row r="105" spans="1:9" x14ac:dyDescent="0.2">
      <c r="A105" s="2">
        <v>43678</v>
      </c>
      <c r="B105" s="105">
        <f t="shared" si="1"/>
        <v>2019</v>
      </c>
      <c r="C105" s="107">
        <v>747589.4</v>
      </c>
      <c r="D105" s="29">
        <v>7373.4</v>
      </c>
      <c r="E105" s="29">
        <v>7472.4</v>
      </c>
      <c r="F105" s="29">
        <v>3394.4</v>
      </c>
      <c r="G105" s="29">
        <v>3429.9</v>
      </c>
      <c r="H105" s="29">
        <v>407.4</v>
      </c>
      <c r="I105" s="29">
        <v>411.4</v>
      </c>
    </row>
    <row r="106" spans="1:9" x14ac:dyDescent="0.2">
      <c r="A106" s="2">
        <v>43709</v>
      </c>
      <c r="B106" s="105">
        <f t="shared" si="1"/>
        <v>2019</v>
      </c>
      <c r="C106" s="107">
        <v>747589.4</v>
      </c>
      <c r="D106" s="29">
        <v>7399.5</v>
      </c>
      <c r="E106" s="29">
        <v>7464.3</v>
      </c>
      <c r="F106" s="29">
        <v>3416.8</v>
      </c>
      <c r="G106" s="29">
        <v>3440.4</v>
      </c>
      <c r="H106" s="29">
        <v>408.3</v>
      </c>
      <c r="I106" s="29">
        <v>412.1</v>
      </c>
    </row>
    <row r="107" spans="1:9" x14ac:dyDescent="0.2">
      <c r="A107" s="2">
        <v>43739</v>
      </c>
      <c r="B107" s="105">
        <f t="shared" si="1"/>
        <v>2019</v>
      </c>
      <c r="C107" s="107">
        <v>747589.4</v>
      </c>
      <c r="D107" s="29">
        <v>7425.4</v>
      </c>
      <c r="E107" s="29">
        <v>7466.9</v>
      </c>
      <c r="F107" s="29">
        <v>3419.9</v>
      </c>
      <c r="G107" s="29">
        <v>3425.4</v>
      </c>
      <c r="H107" s="29">
        <v>415.6</v>
      </c>
      <c r="I107" s="29">
        <v>421.8</v>
      </c>
    </row>
    <row r="108" spans="1:9" x14ac:dyDescent="0.2">
      <c r="A108" s="2">
        <v>43770</v>
      </c>
      <c r="B108" s="105">
        <f t="shared" si="1"/>
        <v>2019</v>
      </c>
      <c r="C108" s="107">
        <v>747589.4</v>
      </c>
      <c r="D108" s="29">
        <v>7438.5</v>
      </c>
      <c r="E108" s="29">
        <v>7455</v>
      </c>
      <c r="F108" s="29">
        <v>3426.4</v>
      </c>
      <c r="G108" s="29">
        <v>3423.7</v>
      </c>
      <c r="H108" s="29">
        <v>415.7</v>
      </c>
      <c r="I108" s="29">
        <v>422.7</v>
      </c>
    </row>
    <row r="109" spans="1:9" x14ac:dyDescent="0.2">
      <c r="A109" s="2">
        <v>43800</v>
      </c>
      <c r="B109" s="105">
        <f t="shared" si="1"/>
        <v>2019</v>
      </c>
      <c r="C109" s="107">
        <v>747589.4</v>
      </c>
      <c r="D109" s="29">
        <v>7450.8</v>
      </c>
      <c r="E109" s="29">
        <v>7459.6</v>
      </c>
      <c r="F109" s="29">
        <v>3428.7</v>
      </c>
      <c r="G109" s="29">
        <v>3428</v>
      </c>
      <c r="H109" s="29">
        <v>417.2</v>
      </c>
      <c r="I109" s="29">
        <v>425.6</v>
      </c>
    </row>
    <row r="110" spans="1:9" x14ac:dyDescent="0.2">
      <c r="A110" s="2">
        <v>43831</v>
      </c>
      <c r="B110" s="105">
        <f t="shared" si="1"/>
        <v>2020</v>
      </c>
      <c r="C110" s="107">
        <v>710048.9</v>
      </c>
      <c r="D110" s="29">
        <v>7472.8</v>
      </c>
      <c r="E110" s="29">
        <v>7437.3</v>
      </c>
      <c r="F110" s="29">
        <v>3450.5</v>
      </c>
      <c r="G110" s="29">
        <v>3444</v>
      </c>
      <c r="H110" s="29">
        <v>414.9</v>
      </c>
      <c r="I110" s="29">
        <v>418.3</v>
      </c>
    </row>
    <row r="111" spans="1:9" x14ac:dyDescent="0.2">
      <c r="A111" s="2">
        <v>43862</v>
      </c>
      <c r="B111" s="105">
        <f t="shared" si="1"/>
        <v>2020</v>
      </c>
      <c r="C111" s="107">
        <v>710048.9</v>
      </c>
      <c r="D111" s="29">
        <v>7487.3</v>
      </c>
      <c r="E111" s="29">
        <v>7414.9</v>
      </c>
      <c r="F111" s="29">
        <v>3456.6</v>
      </c>
      <c r="G111" s="29">
        <v>3441.2</v>
      </c>
      <c r="H111" s="29">
        <v>416</v>
      </c>
      <c r="I111" s="29">
        <v>415.6</v>
      </c>
    </row>
    <row r="112" spans="1:9" x14ac:dyDescent="0.2">
      <c r="A112" s="2">
        <v>43891</v>
      </c>
      <c r="B112" s="105">
        <f t="shared" si="1"/>
        <v>2020</v>
      </c>
      <c r="C112" s="107">
        <v>710048.9</v>
      </c>
      <c r="D112" s="29">
        <v>7361.1</v>
      </c>
      <c r="E112" s="29">
        <v>7246.6</v>
      </c>
      <c r="F112" s="29">
        <v>3387</v>
      </c>
      <c r="G112" s="29">
        <v>3351.8</v>
      </c>
      <c r="H112" s="29">
        <v>411.5</v>
      </c>
      <c r="I112" s="29">
        <v>405.2</v>
      </c>
    </row>
    <row r="113" spans="1:21" x14ac:dyDescent="0.2">
      <c r="A113" s="2">
        <v>43922</v>
      </c>
      <c r="B113" s="105">
        <f t="shared" si="1"/>
        <v>2020</v>
      </c>
      <c r="C113" s="107">
        <v>710048.9</v>
      </c>
      <c r="D113" s="29">
        <v>6999.7</v>
      </c>
      <c r="E113" s="29">
        <v>6905.7</v>
      </c>
      <c r="F113" s="29">
        <v>3205.9</v>
      </c>
      <c r="G113" s="29">
        <v>3174.9</v>
      </c>
      <c r="H113" s="29">
        <v>394.4</v>
      </c>
      <c r="I113" s="29">
        <v>387.5</v>
      </c>
    </row>
    <row r="114" spans="1:21" x14ac:dyDescent="0.2">
      <c r="A114" s="2">
        <v>43952</v>
      </c>
      <c r="B114" s="105">
        <f t="shared" si="1"/>
        <v>2020</v>
      </c>
      <c r="C114" s="107">
        <v>710048.9</v>
      </c>
      <c r="D114" s="29">
        <v>6621.5</v>
      </c>
      <c r="E114" s="29">
        <v>6577.9</v>
      </c>
      <c r="F114" s="29">
        <v>3004.2</v>
      </c>
      <c r="G114" s="29">
        <v>2991.9</v>
      </c>
      <c r="H114" s="29">
        <v>369.1</v>
      </c>
      <c r="I114" s="29">
        <v>363.2</v>
      </c>
    </row>
    <row r="115" spans="1:21" x14ac:dyDescent="0.2">
      <c r="A115" s="2">
        <v>43983</v>
      </c>
      <c r="B115" s="105">
        <f t="shared" si="1"/>
        <v>2020</v>
      </c>
      <c r="C115" s="107">
        <v>710048.9</v>
      </c>
      <c r="D115" s="29">
        <v>6497.3</v>
      </c>
      <c r="E115" s="29">
        <v>6533.5</v>
      </c>
      <c r="F115" s="29">
        <v>2937.8</v>
      </c>
      <c r="G115" s="29">
        <v>2954.3</v>
      </c>
      <c r="H115" s="29">
        <v>359.3</v>
      </c>
      <c r="I115" s="29">
        <v>357.9</v>
      </c>
    </row>
    <row r="116" spans="1:21" x14ac:dyDescent="0.2">
      <c r="A116" s="2">
        <v>44013</v>
      </c>
      <c r="B116" s="105">
        <f t="shared" si="1"/>
        <v>2020</v>
      </c>
      <c r="C116" s="107">
        <v>710048.9</v>
      </c>
      <c r="D116" s="29">
        <v>6655.5</v>
      </c>
      <c r="E116" s="29">
        <v>6731.6</v>
      </c>
      <c r="F116" s="29">
        <v>2995.2</v>
      </c>
      <c r="G116" s="29">
        <v>3031</v>
      </c>
      <c r="H116" s="29">
        <v>368.1</v>
      </c>
      <c r="I116" s="29">
        <v>369.3</v>
      </c>
    </row>
    <row r="117" spans="1:21" x14ac:dyDescent="0.2">
      <c r="A117" s="2">
        <v>44044</v>
      </c>
      <c r="B117" s="105">
        <f t="shared" si="1"/>
        <v>2020</v>
      </c>
      <c r="C117" s="107">
        <v>710048.9</v>
      </c>
      <c r="D117" s="29">
        <v>6872.3</v>
      </c>
      <c r="E117" s="29">
        <v>6953.8</v>
      </c>
      <c r="F117" s="29">
        <v>3117.5</v>
      </c>
      <c r="G117" s="29">
        <v>3151.3</v>
      </c>
      <c r="H117" s="29">
        <v>377.6</v>
      </c>
      <c r="I117" s="29">
        <v>381.9</v>
      </c>
    </row>
    <row r="118" spans="1:21" x14ac:dyDescent="0.2">
      <c r="A118" s="2">
        <v>44075</v>
      </c>
      <c r="B118" s="105">
        <f t="shared" si="1"/>
        <v>2020</v>
      </c>
      <c r="C118" s="107">
        <v>710048.9</v>
      </c>
      <c r="D118" s="29">
        <v>7020.1</v>
      </c>
      <c r="E118" s="29">
        <v>7070.2</v>
      </c>
      <c r="F118" s="29">
        <v>3214</v>
      </c>
      <c r="G118" s="29">
        <v>3233.7</v>
      </c>
      <c r="H118" s="29">
        <v>375.4</v>
      </c>
      <c r="I118" s="29">
        <v>379.1</v>
      </c>
    </row>
    <row r="119" spans="1:21" x14ac:dyDescent="0.2">
      <c r="A119" s="2">
        <v>44105</v>
      </c>
      <c r="B119" s="105">
        <f t="shared" si="1"/>
        <v>2020</v>
      </c>
      <c r="C119" s="107">
        <v>710048.9</v>
      </c>
      <c r="D119" s="29">
        <v>7125.4</v>
      </c>
      <c r="E119" s="29">
        <v>7157.8</v>
      </c>
      <c r="F119" s="29">
        <v>3300.1</v>
      </c>
      <c r="G119" s="29">
        <v>3301.5</v>
      </c>
      <c r="H119" s="29">
        <v>370.7</v>
      </c>
      <c r="I119" s="29">
        <v>376.6</v>
      </c>
    </row>
    <row r="120" spans="1:21" x14ac:dyDescent="0.2">
      <c r="A120" s="2">
        <v>44136</v>
      </c>
      <c r="B120" s="105">
        <f t="shared" si="1"/>
        <v>2020</v>
      </c>
      <c r="C120" s="107">
        <v>710048.9</v>
      </c>
      <c r="D120" s="29">
        <v>7202.6</v>
      </c>
      <c r="E120" s="29">
        <v>7216.9</v>
      </c>
      <c r="F120" s="29">
        <v>3351.5</v>
      </c>
      <c r="G120" s="29">
        <v>3345.8</v>
      </c>
      <c r="H120" s="29">
        <v>380.4</v>
      </c>
      <c r="I120" s="29">
        <v>385.1</v>
      </c>
    </row>
    <row r="121" spans="1:21" x14ac:dyDescent="0.2">
      <c r="A121" s="2">
        <v>44166</v>
      </c>
      <c r="B121" s="105">
        <f t="shared" si="1"/>
        <v>2020</v>
      </c>
      <c r="C121" s="107">
        <v>710048.9</v>
      </c>
      <c r="D121" s="29">
        <v>7226</v>
      </c>
      <c r="E121" s="29">
        <v>7236.4</v>
      </c>
      <c r="F121" s="29">
        <v>3348.3</v>
      </c>
      <c r="G121" s="29">
        <v>3347.4</v>
      </c>
      <c r="H121" s="29">
        <v>391.3</v>
      </c>
      <c r="I121" s="29">
        <v>397.4</v>
      </c>
    </row>
    <row r="122" spans="1:21" x14ac:dyDescent="0.2">
      <c r="A122" s="2">
        <v>44197</v>
      </c>
      <c r="B122" s="105">
        <f t="shared" si="1"/>
        <v>2021</v>
      </c>
      <c r="C122" s="117">
        <f>C110*(1+$S$6)</f>
        <v>742533.63717500004</v>
      </c>
      <c r="D122" s="29">
        <v>7187.6</v>
      </c>
      <c r="E122" s="29">
        <v>7159</v>
      </c>
      <c r="F122" s="29">
        <v>3310.5</v>
      </c>
      <c r="G122" s="29">
        <v>3305.4</v>
      </c>
      <c r="H122" s="29">
        <v>398</v>
      </c>
      <c r="I122" s="29">
        <v>399.7</v>
      </c>
    </row>
    <row r="123" spans="1:21" x14ac:dyDescent="0.2">
      <c r="A123" s="2">
        <v>44228</v>
      </c>
      <c r="B123" s="105">
        <f t="shared" si="1"/>
        <v>2021</v>
      </c>
      <c r="C123" s="117">
        <f t="shared" ref="C123:C133" si="2">C111*(1+$S$6)</f>
        <v>742533.63717500004</v>
      </c>
      <c r="D123" s="29">
        <v>7170.1</v>
      </c>
      <c r="E123" s="29">
        <v>7107.3</v>
      </c>
      <c r="F123" s="29">
        <v>3272.2</v>
      </c>
      <c r="G123" s="29">
        <v>3255.3</v>
      </c>
      <c r="H123" s="29">
        <v>401.9</v>
      </c>
      <c r="I123" s="29">
        <v>399</v>
      </c>
    </row>
    <row r="124" spans="1:21" x14ac:dyDescent="0.2">
      <c r="A124" s="2">
        <v>44256</v>
      </c>
      <c r="B124" s="105">
        <f t="shared" si="1"/>
        <v>2021</v>
      </c>
      <c r="C124" s="117">
        <f t="shared" si="2"/>
        <v>742533.63717500004</v>
      </c>
      <c r="D124" s="29">
        <v>7213.1</v>
      </c>
      <c r="E124" s="29">
        <v>7105.6</v>
      </c>
      <c r="F124" s="29">
        <v>3271.6</v>
      </c>
      <c r="G124" s="29">
        <v>3236.4</v>
      </c>
      <c r="H124" s="29">
        <v>408.4</v>
      </c>
      <c r="I124" s="29">
        <v>400.7</v>
      </c>
    </row>
    <row r="125" spans="1:21" x14ac:dyDescent="0.2">
      <c r="A125" s="2">
        <v>44287</v>
      </c>
      <c r="B125" s="105">
        <f t="shared" si="1"/>
        <v>2021</v>
      </c>
      <c r="C125" s="117">
        <f t="shared" si="2"/>
        <v>742533.63717500004</v>
      </c>
      <c r="D125" s="29">
        <v>7256.5</v>
      </c>
      <c r="E125" s="29">
        <v>7163.1</v>
      </c>
      <c r="F125" s="29">
        <v>3276.5</v>
      </c>
      <c r="G125" s="29">
        <v>3244.5</v>
      </c>
      <c r="H125" s="29">
        <v>415</v>
      </c>
      <c r="I125" s="29">
        <v>406.8</v>
      </c>
      <c r="N125" s="108"/>
      <c r="O125" s="108"/>
      <c r="P125" s="108"/>
      <c r="Q125" s="108"/>
      <c r="R125" s="108"/>
      <c r="S125" s="108"/>
      <c r="T125" s="108"/>
    </row>
    <row r="126" spans="1:21" x14ac:dyDescent="0.2">
      <c r="A126" s="2">
        <v>44317</v>
      </c>
      <c r="B126" s="105">
        <f t="shared" si="1"/>
        <v>2021</v>
      </c>
      <c r="C126" s="117">
        <f t="shared" si="2"/>
        <v>742533.63717500004</v>
      </c>
      <c r="D126" s="29">
        <v>7255.8</v>
      </c>
      <c r="E126" s="29">
        <v>7211.3</v>
      </c>
      <c r="F126" s="29">
        <v>3278.1</v>
      </c>
      <c r="G126" s="29">
        <v>3265.7</v>
      </c>
      <c r="H126" s="29">
        <v>412.9</v>
      </c>
      <c r="I126" s="29">
        <v>406.1</v>
      </c>
    </row>
    <row r="127" spans="1:21" x14ac:dyDescent="0.2">
      <c r="A127" s="2">
        <v>44348</v>
      </c>
      <c r="B127" s="105">
        <f t="shared" si="1"/>
        <v>2021</v>
      </c>
      <c r="C127" s="117">
        <f t="shared" si="2"/>
        <v>742533.63717500004</v>
      </c>
      <c r="D127" s="29">
        <v>7233.3</v>
      </c>
      <c r="E127" s="29">
        <v>7273.4</v>
      </c>
      <c r="F127" s="29">
        <v>3288.5</v>
      </c>
      <c r="G127" s="29">
        <v>3303.6</v>
      </c>
      <c r="H127" s="29">
        <v>406.3</v>
      </c>
      <c r="I127" s="29">
        <v>402.8</v>
      </c>
    </row>
    <row r="128" spans="1:21" x14ac:dyDescent="0.2">
      <c r="A128" s="2">
        <v>44378</v>
      </c>
      <c r="B128" s="105">
        <f t="shared" si="1"/>
        <v>2021</v>
      </c>
      <c r="C128" s="117">
        <f t="shared" si="2"/>
        <v>742533.63717500004</v>
      </c>
      <c r="D128" s="29">
        <v>7285.9</v>
      </c>
      <c r="E128" s="29">
        <v>7372.5</v>
      </c>
      <c r="F128" s="29">
        <v>3332.9</v>
      </c>
      <c r="G128" s="29">
        <v>3365.1</v>
      </c>
      <c r="H128" s="29">
        <v>403.8</v>
      </c>
      <c r="I128" s="29">
        <v>402.4</v>
      </c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</row>
    <row r="129" spans="1:14" x14ac:dyDescent="0.2">
      <c r="A129" s="2">
        <v>44409</v>
      </c>
      <c r="B129" s="105">
        <f t="shared" si="1"/>
        <v>2021</v>
      </c>
      <c r="C129" s="117">
        <f t="shared" si="2"/>
        <v>742533.63717500004</v>
      </c>
      <c r="D129" s="29">
        <v>7366.7</v>
      </c>
      <c r="E129" s="29">
        <v>7458.5</v>
      </c>
      <c r="F129" s="29">
        <v>3403.5</v>
      </c>
      <c r="G129" s="29">
        <v>3437.9</v>
      </c>
      <c r="H129" s="29">
        <v>408.5</v>
      </c>
      <c r="I129" s="29">
        <v>407.7</v>
      </c>
    </row>
    <row r="130" spans="1:14" x14ac:dyDescent="0.2">
      <c r="A130" s="2">
        <v>44440</v>
      </c>
      <c r="B130" s="105">
        <f t="shared" si="1"/>
        <v>2021</v>
      </c>
      <c r="C130" s="117">
        <f t="shared" si="2"/>
        <v>742533.63717500004</v>
      </c>
      <c r="D130" s="29">
        <v>7433</v>
      </c>
      <c r="E130" s="29">
        <v>7485</v>
      </c>
      <c r="F130" s="29">
        <v>3457.1</v>
      </c>
      <c r="G130" s="29">
        <v>3476.2</v>
      </c>
      <c r="H130" s="29">
        <v>413.5</v>
      </c>
      <c r="I130" s="29">
        <v>412.3</v>
      </c>
    </row>
    <row r="131" spans="1:14" x14ac:dyDescent="0.2">
      <c r="A131" s="2">
        <v>44470</v>
      </c>
      <c r="B131" s="105">
        <f>YEAR(A131)</f>
        <v>2021</v>
      </c>
      <c r="C131" s="117">
        <f t="shared" si="2"/>
        <v>742533.63717500004</v>
      </c>
      <c r="D131" s="29">
        <v>7487.5</v>
      </c>
      <c r="E131" s="29">
        <v>7514.2</v>
      </c>
      <c r="F131" s="29">
        <v>3499.8</v>
      </c>
      <c r="G131" s="29">
        <v>3503.1</v>
      </c>
      <c r="H131" s="29">
        <v>412.6</v>
      </c>
      <c r="I131" s="29">
        <v>413.1</v>
      </c>
      <c r="N131" s="108"/>
    </row>
    <row r="132" spans="1:14" x14ac:dyDescent="0.2">
      <c r="A132" s="2">
        <v>44501</v>
      </c>
      <c r="B132" s="105">
        <f>YEAR(A132)</f>
        <v>2021</v>
      </c>
      <c r="C132" s="117">
        <f t="shared" si="2"/>
        <v>742533.63717500004</v>
      </c>
      <c r="D132" s="29">
        <v>7538.6</v>
      </c>
      <c r="E132" s="29">
        <v>7552.6</v>
      </c>
      <c r="F132" s="29">
        <v>3513.1</v>
      </c>
      <c r="G132" s="29">
        <v>3525.8</v>
      </c>
      <c r="H132" s="29">
        <v>413.3</v>
      </c>
      <c r="I132" s="29">
        <v>413.3</v>
      </c>
      <c r="N132" s="108"/>
    </row>
    <row r="133" spans="1:14" x14ac:dyDescent="0.2">
      <c r="A133" s="2">
        <v>44531</v>
      </c>
      <c r="B133" s="105">
        <f>YEAR(A133)</f>
        <v>2021</v>
      </c>
      <c r="C133" s="117">
        <f t="shared" si="2"/>
        <v>742533.63717500004</v>
      </c>
      <c r="D133" s="29">
        <v>7585.1</v>
      </c>
      <c r="E133" s="29">
        <v>7601.7</v>
      </c>
      <c r="F133" s="29">
        <v>3539.2</v>
      </c>
      <c r="G133" s="29">
        <v>3557.3</v>
      </c>
      <c r="H133" s="29">
        <v>412.2</v>
      </c>
      <c r="I133" s="29">
        <v>416.9</v>
      </c>
      <c r="N133" s="108"/>
    </row>
    <row r="134" spans="1:14" s="110" customFormat="1" x14ac:dyDescent="0.2">
      <c r="A134" s="109">
        <f>A122+365</f>
        <v>44562</v>
      </c>
      <c r="B134" s="110">
        <f t="shared" ref="B134:B157" si="3">YEAR(A134)</f>
        <v>2022</v>
      </c>
      <c r="C134" s="111">
        <f t="shared" ref="C134:C145" si="4">C122*(1+$S$7)</f>
        <v>776690.18448505003</v>
      </c>
      <c r="D134" s="111">
        <f t="shared" ref="D134:I134" si="5">D122*(1+$S$13)</f>
        <v>7442.7598000000007</v>
      </c>
      <c r="E134" s="111">
        <f t="shared" si="5"/>
        <v>7413.1445000000003</v>
      </c>
      <c r="F134" s="111">
        <f t="shared" si="5"/>
        <v>3428.0227500000001</v>
      </c>
      <c r="G134" s="111">
        <f t="shared" si="5"/>
        <v>3422.7417000000005</v>
      </c>
      <c r="H134" s="111">
        <f t="shared" si="5"/>
        <v>412.12900000000002</v>
      </c>
      <c r="I134" s="111">
        <f t="shared" si="5"/>
        <v>413.88935000000004</v>
      </c>
      <c r="M134" s="105"/>
      <c r="N134" s="108"/>
    </row>
    <row r="135" spans="1:14" s="110" customFormat="1" x14ac:dyDescent="0.2">
      <c r="A135" s="109">
        <f t="shared" ref="A135:A157" si="6">A123+365</f>
        <v>44593</v>
      </c>
      <c r="B135" s="110">
        <f t="shared" si="3"/>
        <v>2022</v>
      </c>
      <c r="C135" s="111">
        <f t="shared" si="4"/>
        <v>776690.18448505003</v>
      </c>
      <c r="D135" s="111">
        <f t="shared" ref="D135:I145" si="7">D123*(1+$S$13)</f>
        <v>7424.6385500000006</v>
      </c>
      <c r="E135" s="111">
        <f t="shared" si="7"/>
        <v>7359.6091500000011</v>
      </c>
      <c r="F135" s="111">
        <f t="shared" si="7"/>
        <v>3388.3631</v>
      </c>
      <c r="G135" s="111">
        <f t="shared" si="7"/>
        <v>3370.8631500000006</v>
      </c>
      <c r="H135" s="111">
        <f t="shared" si="7"/>
        <v>416.16745000000003</v>
      </c>
      <c r="I135" s="111">
        <f t="shared" si="7"/>
        <v>413.16450000000003</v>
      </c>
      <c r="M135" s="105"/>
      <c r="N135" s="108"/>
    </row>
    <row r="136" spans="1:14" s="110" customFormat="1" x14ac:dyDescent="0.2">
      <c r="A136" s="109">
        <f t="shared" si="6"/>
        <v>44621</v>
      </c>
      <c r="B136" s="110">
        <f t="shared" si="3"/>
        <v>2022</v>
      </c>
      <c r="C136" s="111">
        <f t="shared" si="4"/>
        <v>776690.18448505003</v>
      </c>
      <c r="D136" s="111">
        <f t="shared" si="7"/>
        <v>7469.1650500000014</v>
      </c>
      <c r="E136" s="111">
        <f t="shared" si="7"/>
        <v>7357.8488000000007</v>
      </c>
      <c r="F136" s="111">
        <f t="shared" si="7"/>
        <v>3387.7418000000002</v>
      </c>
      <c r="G136" s="111">
        <f t="shared" si="7"/>
        <v>3351.2922000000003</v>
      </c>
      <c r="H136" s="111">
        <f t="shared" si="7"/>
        <v>422.89820000000003</v>
      </c>
      <c r="I136" s="111">
        <f t="shared" si="7"/>
        <v>414.92485000000005</v>
      </c>
      <c r="M136" s="105"/>
      <c r="N136" s="108"/>
    </row>
    <row r="137" spans="1:14" s="110" customFormat="1" x14ac:dyDescent="0.2">
      <c r="A137" s="109">
        <f t="shared" si="6"/>
        <v>44652</v>
      </c>
      <c r="B137" s="110">
        <f t="shared" si="3"/>
        <v>2022</v>
      </c>
      <c r="C137" s="111">
        <f t="shared" si="4"/>
        <v>776690.18448505003</v>
      </c>
      <c r="D137" s="111">
        <f t="shared" si="7"/>
        <v>7514.1057500000006</v>
      </c>
      <c r="E137" s="111">
        <f t="shared" si="7"/>
        <v>7417.3900500000009</v>
      </c>
      <c r="F137" s="111">
        <f t="shared" si="7"/>
        <v>3392.8157500000002</v>
      </c>
      <c r="G137" s="111">
        <f t="shared" si="7"/>
        <v>3359.6797500000002</v>
      </c>
      <c r="H137" s="111">
        <f t="shared" si="7"/>
        <v>429.73250000000002</v>
      </c>
      <c r="I137" s="111">
        <f t="shared" si="7"/>
        <v>421.24140000000006</v>
      </c>
      <c r="M137" s="105"/>
      <c r="N137" s="108"/>
    </row>
    <row r="138" spans="1:14" s="110" customFormat="1" x14ac:dyDescent="0.2">
      <c r="A138" s="109">
        <f t="shared" si="6"/>
        <v>44682</v>
      </c>
      <c r="B138" s="110">
        <f t="shared" si="3"/>
        <v>2022</v>
      </c>
      <c r="C138" s="111">
        <f t="shared" si="4"/>
        <v>776690.18448505003</v>
      </c>
      <c r="D138" s="111">
        <f t="shared" si="7"/>
        <v>7513.380900000001</v>
      </c>
      <c r="E138" s="111">
        <f t="shared" si="7"/>
        <v>7467.3011500000011</v>
      </c>
      <c r="F138" s="111">
        <f t="shared" si="7"/>
        <v>3394.4725500000004</v>
      </c>
      <c r="G138" s="111">
        <f t="shared" si="7"/>
        <v>3381.6323500000003</v>
      </c>
      <c r="H138" s="111">
        <f t="shared" si="7"/>
        <v>427.55795000000001</v>
      </c>
      <c r="I138" s="111">
        <f t="shared" si="7"/>
        <v>420.51655000000005</v>
      </c>
      <c r="M138" s="105"/>
      <c r="N138" s="108"/>
    </row>
    <row r="139" spans="1:14" s="110" customFormat="1" x14ac:dyDescent="0.2">
      <c r="A139" s="109">
        <f t="shared" si="6"/>
        <v>44713</v>
      </c>
      <c r="B139" s="110">
        <f t="shared" si="3"/>
        <v>2022</v>
      </c>
      <c r="C139" s="111">
        <f t="shared" si="4"/>
        <v>776690.18448505003</v>
      </c>
      <c r="D139" s="111">
        <f t="shared" si="7"/>
        <v>7490.0821500000011</v>
      </c>
      <c r="E139" s="111">
        <f t="shared" si="7"/>
        <v>7531.6057000000001</v>
      </c>
      <c r="F139" s="111">
        <f t="shared" si="7"/>
        <v>3405.2417500000001</v>
      </c>
      <c r="G139" s="111">
        <f t="shared" si="7"/>
        <v>3420.8778000000002</v>
      </c>
      <c r="H139" s="111">
        <f t="shared" si="7"/>
        <v>420.72365000000002</v>
      </c>
      <c r="I139" s="111">
        <f t="shared" si="7"/>
        <v>417.09940000000006</v>
      </c>
      <c r="M139" s="105"/>
      <c r="N139" s="108"/>
    </row>
    <row r="140" spans="1:14" s="110" customFormat="1" x14ac:dyDescent="0.2">
      <c r="A140" s="109">
        <f t="shared" si="6"/>
        <v>44743</v>
      </c>
      <c r="B140" s="110">
        <f t="shared" si="3"/>
        <v>2022</v>
      </c>
      <c r="C140" s="111">
        <f t="shared" si="4"/>
        <v>776690.18448505003</v>
      </c>
      <c r="D140" s="111">
        <f t="shared" si="7"/>
        <v>7544.5494500000004</v>
      </c>
      <c r="E140" s="111">
        <f t="shared" si="7"/>
        <v>7634.223750000001</v>
      </c>
      <c r="F140" s="111">
        <f t="shared" si="7"/>
        <v>3451.2179500000002</v>
      </c>
      <c r="G140" s="111">
        <f t="shared" si="7"/>
        <v>3484.5610500000003</v>
      </c>
      <c r="H140" s="111">
        <f t="shared" si="7"/>
        <v>418.13490000000007</v>
      </c>
      <c r="I140" s="111">
        <f t="shared" si="7"/>
        <v>416.68520000000001</v>
      </c>
      <c r="M140" s="105"/>
      <c r="N140" s="108"/>
    </row>
    <row r="141" spans="1:14" s="110" customFormat="1" x14ac:dyDescent="0.2">
      <c r="A141" s="109">
        <f t="shared" si="6"/>
        <v>44774</v>
      </c>
      <c r="B141" s="110">
        <f t="shared" si="3"/>
        <v>2022</v>
      </c>
      <c r="C141" s="111">
        <f t="shared" si="4"/>
        <v>776690.18448505003</v>
      </c>
      <c r="D141" s="111">
        <f t="shared" si="7"/>
        <v>7628.21785</v>
      </c>
      <c r="E141" s="111">
        <f t="shared" si="7"/>
        <v>7723.2767500000009</v>
      </c>
      <c r="F141" s="111">
        <f t="shared" si="7"/>
        <v>3524.3242500000001</v>
      </c>
      <c r="G141" s="111">
        <f t="shared" si="7"/>
        <v>3559.9454500000006</v>
      </c>
      <c r="H141" s="111">
        <f t="shared" si="7"/>
        <v>423.00175000000002</v>
      </c>
      <c r="I141" s="111">
        <f t="shared" si="7"/>
        <v>422.17335000000003</v>
      </c>
    </row>
    <row r="142" spans="1:14" s="110" customFormat="1" x14ac:dyDescent="0.2">
      <c r="A142" s="109">
        <f t="shared" si="6"/>
        <v>44805</v>
      </c>
      <c r="B142" s="110">
        <f t="shared" si="3"/>
        <v>2022</v>
      </c>
      <c r="C142" s="111">
        <f t="shared" si="4"/>
        <v>776690.18448505003</v>
      </c>
      <c r="D142" s="111">
        <f t="shared" si="7"/>
        <v>7696.8715000000002</v>
      </c>
      <c r="E142" s="111">
        <f t="shared" si="7"/>
        <v>7750.7175000000007</v>
      </c>
      <c r="F142" s="111">
        <f t="shared" si="7"/>
        <v>3579.8270500000003</v>
      </c>
      <c r="G142" s="111">
        <f t="shared" si="7"/>
        <v>3599.6051000000002</v>
      </c>
      <c r="H142" s="111">
        <f t="shared" si="7"/>
        <v>428.17925000000002</v>
      </c>
      <c r="I142" s="111">
        <f t="shared" si="7"/>
        <v>426.93665000000004</v>
      </c>
    </row>
    <row r="143" spans="1:14" s="110" customFormat="1" x14ac:dyDescent="0.2">
      <c r="A143" s="109">
        <f t="shared" si="6"/>
        <v>44835</v>
      </c>
      <c r="B143" s="110">
        <f t="shared" si="3"/>
        <v>2022</v>
      </c>
      <c r="C143" s="111">
        <f t="shared" si="4"/>
        <v>776690.18448505003</v>
      </c>
      <c r="D143" s="111">
        <f t="shared" si="7"/>
        <v>7753.3062500000005</v>
      </c>
      <c r="E143" s="111">
        <f t="shared" si="7"/>
        <v>7780.9541000000008</v>
      </c>
      <c r="F143" s="111">
        <f t="shared" si="7"/>
        <v>3624.0429000000004</v>
      </c>
      <c r="G143" s="111">
        <f t="shared" si="7"/>
        <v>3627.4600500000001</v>
      </c>
      <c r="H143" s="111">
        <f t="shared" si="7"/>
        <v>427.24730000000005</v>
      </c>
      <c r="I143" s="111">
        <f t="shared" si="7"/>
        <v>427.76505000000009</v>
      </c>
    </row>
    <row r="144" spans="1:14" s="110" customFormat="1" x14ac:dyDescent="0.2">
      <c r="A144" s="109">
        <f t="shared" si="6"/>
        <v>44866</v>
      </c>
      <c r="B144" s="110">
        <f t="shared" si="3"/>
        <v>2022</v>
      </c>
      <c r="C144" s="111">
        <f t="shared" si="4"/>
        <v>776690.18448505003</v>
      </c>
      <c r="D144" s="111">
        <f t="shared" si="7"/>
        <v>7806.2203000000009</v>
      </c>
      <c r="E144" s="111">
        <f t="shared" si="7"/>
        <v>7820.7173000000012</v>
      </c>
      <c r="F144" s="111">
        <f t="shared" si="7"/>
        <v>3637.8150500000002</v>
      </c>
      <c r="G144" s="111">
        <f t="shared" si="7"/>
        <v>3650.9659000000006</v>
      </c>
      <c r="H144" s="111">
        <f t="shared" si="7"/>
        <v>427.97215000000006</v>
      </c>
      <c r="I144" s="111">
        <f t="shared" si="7"/>
        <v>427.97215000000006</v>
      </c>
    </row>
    <row r="145" spans="1:9" s="110" customFormat="1" x14ac:dyDescent="0.2">
      <c r="A145" s="109">
        <f t="shared" si="6"/>
        <v>44896</v>
      </c>
      <c r="B145" s="110">
        <f t="shared" si="3"/>
        <v>2022</v>
      </c>
      <c r="C145" s="111">
        <f t="shared" si="4"/>
        <v>776690.18448505003</v>
      </c>
      <c r="D145" s="111">
        <f t="shared" si="7"/>
        <v>7854.3710500000007</v>
      </c>
      <c r="E145" s="111">
        <f t="shared" si="7"/>
        <v>7871.5603500000007</v>
      </c>
      <c r="F145" s="111">
        <f t="shared" si="7"/>
        <v>3664.8416000000002</v>
      </c>
      <c r="G145" s="111">
        <f t="shared" si="7"/>
        <v>3683.5841500000006</v>
      </c>
      <c r="H145" s="111">
        <f t="shared" si="7"/>
        <v>426.8331</v>
      </c>
      <c r="I145" s="111">
        <f t="shared" si="7"/>
        <v>431.69995</v>
      </c>
    </row>
    <row r="146" spans="1:9" s="110" customFormat="1" x14ac:dyDescent="0.2">
      <c r="A146" s="109">
        <f t="shared" si="6"/>
        <v>44927</v>
      </c>
      <c r="B146" s="110">
        <f t="shared" si="3"/>
        <v>2023</v>
      </c>
      <c r="C146" s="111">
        <f>C134*(1+$S$8)</f>
        <v>801026.47693224833</v>
      </c>
      <c r="D146" s="111">
        <f t="shared" ref="D146:I146" si="8">D134*(1+$S$14)</f>
        <v>7576.7294764000007</v>
      </c>
      <c r="E146" s="111">
        <f t="shared" si="8"/>
        <v>7546.5811010000007</v>
      </c>
      <c r="F146" s="111">
        <f t="shared" si="8"/>
        <v>3489.7271595000002</v>
      </c>
      <c r="G146" s="111">
        <f t="shared" si="8"/>
        <v>3484.3510506000007</v>
      </c>
      <c r="H146" s="111">
        <f t="shared" si="8"/>
        <v>419.54732200000001</v>
      </c>
      <c r="I146" s="111">
        <f t="shared" si="8"/>
        <v>421.33935830000001</v>
      </c>
    </row>
    <row r="147" spans="1:9" s="110" customFormat="1" x14ac:dyDescent="0.2">
      <c r="A147" s="109">
        <f t="shared" si="6"/>
        <v>44958</v>
      </c>
      <c r="B147" s="110">
        <f t="shared" si="3"/>
        <v>2023</v>
      </c>
      <c r="C147" s="111">
        <f t="shared" ref="C147:C157" si="9">C135*(1+$S$7)</f>
        <v>812417.93297136237</v>
      </c>
      <c r="D147" s="111">
        <f t="shared" ref="D147:I157" si="10">D135*(1+$S$14)</f>
        <v>7558.2820439000006</v>
      </c>
      <c r="E147" s="111">
        <f t="shared" si="10"/>
        <v>7492.0821147000015</v>
      </c>
      <c r="F147" s="111">
        <f t="shared" si="10"/>
        <v>3449.3536358000001</v>
      </c>
      <c r="G147" s="111">
        <f t="shared" si="10"/>
        <v>3431.5386867000007</v>
      </c>
      <c r="H147" s="111">
        <f t="shared" si="10"/>
        <v>423.65846410000006</v>
      </c>
      <c r="I147" s="111">
        <f t="shared" si="10"/>
        <v>420.60146100000003</v>
      </c>
    </row>
    <row r="148" spans="1:9" s="110" customFormat="1" x14ac:dyDescent="0.2">
      <c r="A148" s="109">
        <f t="shared" si="6"/>
        <v>44986</v>
      </c>
      <c r="B148" s="110">
        <f t="shared" si="3"/>
        <v>2023</v>
      </c>
      <c r="C148" s="111">
        <f t="shared" si="9"/>
        <v>812417.93297136237</v>
      </c>
      <c r="D148" s="111">
        <f t="shared" si="10"/>
        <v>7603.6100209000015</v>
      </c>
      <c r="E148" s="111">
        <f t="shared" si="10"/>
        <v>7490.2900784000012</v>
      </c>
      <c r="F148" s="111">
        <f t="shared" si="10"/>
        <v>3448.7211524000004</v>
      </c>
      <c r="G148" s="111">
        <f t="shared" si="10"/>
        <v>3411.6154596000006</v>
      </c>
      <c r="H148" s="111">
        <f t="shared" si="10"/>
        <v>430.51036760000005</v>
      </c>
      <c r="I148" s="111">
        <f t="shared" si="10"/>
        <v>422.39349730000004</v>
      </c>
    </row>
    <row r="149" spans="1:9" s="110" customFormat="1" x14ac:dyDescent="0.2">
      <c r="A149" s="109">
        <f t="shared" si="6"/>
        <v>45017</v>
      </c>
      <c r="B149" s="110">
        <f t="shared" si="3"/>
        <v>2023</v>
      </c>
      <c r="C149" s="111">
        <f t="shared" si="9"/>
        <v>812417.93297136237</v>
      </c>
      <c r="D149" s="111">
        <f t="shared" si="10"/>
        <v>7649.3596535000006</v>
      </c>
      <c r="E149" s="111">
        <f t="shared" si="10"/>
        <v>7550.9030709000008</v>
      </c>
      <c r="F149" s="111">
        <f t="shared" si="10"/>
        <v>3453.8864335000003</v>
      </c>
      <c r="G149" s="111">
        <f t="shared" si="10"/>
        <v>3420.1539855000001</v>
      </c>
      <c r="H149" s="111">
        <f t="shared" si="10"/>
        <v>437.46768500000002</v>
      </c>
      <c r="I149" s="111">
        <f t="shared" si="10"/>
        <v>428.82374520000008</v>
      </c>
    </row>
    <row r="150" spans="1:9" s="110" customFormat="1" x14ac:dyDescent="0.2">
      <c r="A150" s="109">
        <f t="shared" si="6"/>
        <v>45047</v>
      </c>
      <c r="B150" s="110">
        <f t="shared" si="3"/>
        <v>2023</v>
      </c>
      <c r="C150" s="111">
        <f t="shared" si="9"/>
        <v>812417.93297136237</v>
      </c>
      <c r="D150" s="111">
        <f t="shared" si="10"/>
        <v>7648.6217562000011</v>
      </c>
      <c r="E150" s="111">
        <f t="shared" si="10"/>
        <v>7601.7125707000014</v>
      </c>
      <c r="F150" s="111">
        <f t="shared" si="10"/>
        <v>3455.5730559000003</v>
      </c>
      <c r="G150" s="111">
        <f t="shared" si="10"/>
        <v>3442.5017323000002</v>
      </c>
      <c r="H150" s="111">
        <f t="shared" si="10"/>
        <v>435.2539931</v>
      </c>
      <c r="I150" s="111">
        <f t="shared" si="10"/>
        <v>428.08584790000003</v>
      </c>
    </row>
    <row r="151" spans="1:9" s="110" customFormat="1" x14ac:dyDescent="0.2">
      <c r="A151" s="109">
        <f t="shared" si="6"/>
        <v>45078</v>
      </c>
      <c r="B151" s="110">
        <f t="shared" si="3"/>
        <v>2023</v>
      </c>
      <c r="C151" s="111">
        <f t="shared" si="9"/>
        <v>812417.93297136237</v>
      </c>
      <c r="D151" s="111">
        <f t="shared" si="10"/>
        <v>7624.9036287000008</v>
      </c>
      <c r="E151" s="111">
        <f t="shared" si="10"/>
        <v>7667.1746026000001</v>
      </c>
      <c r="F151" s="111">
        <f t="shared" si="10"/>
        <v>3466.5361015000003</v>
      </c>
      <c r="G151" s="111">
        <f t="shared" si="10"/>
        <v>3482.4536004000001</v>
      </c>
      <c r="H151" s="111">
        <f t="shared" si="10"/>
        <v>428.29667570000004</v>
      </c>
      <c r="I151" s="111">
        <f t="shared" si="10"/>
        <v>424.60718920000005</v>
      </c>
    </row>
    <row r="152" spans="1:9" s="110" customFormat="1" x14ac:dyDescent="0.2">
      <c r="A152" s="109">
        <f t="shared" si="6"/>
        <v>45108</v>
      </c>
      <c r="B152" s="110">
        <f t="shared" si="3"/>
        <v>2023</v>
      </c>
      <c r="C152" s="111">
        <f t="shared" si="9"/>
        <v>812417.93297136237</v>
      </c>
      <c r="D152" s="111">
        <f t="shared" si="10"/>
        <v>7680.3513401000009</v>
      </c>
      <c r="E152" s="111">
        <f t="shared" si="10"/>
        <v>7771.6397775000014</v>
      </c>
      <c r="F152" s="111">
        <f t="shared" si="10"/>
        <v>3513.3398731000002</v>
      </c>
      <c r="G152" s="111">
        <f t="shared" si="10"/>
        <v>3547.2831489000005</v>
      </c>
      <c r="H152" s="111">
        <f t="shared" si="10"/>
        <v>425.66132820000007</v>
      </c>
      <c r="I152" s="111">
        <f t="shared" si="10"/>
        <v>424.18553360000004</v>
      </c>
    </row>
    <row r="153" spans="1:9" s="110" customFormat="1" x14ac:dyDescent="0.2">
      <c r="A153" s="109">
        <f t="shared" si="6"/>
        <v>45139</v>
      </c>
      <c r="B153" s="110">
        <f t="shared" si="3"/>
        <v>2023</v>
      </c>
      <c r="C153" s="111">
        <f t="shared" si="9"/>
        <v>812417.93297136237</v>
      </c>
      <c r="D153" s="111">
        <f t="shared" si="10"/>
        <v>7765.5257713000001</v>
      </c>
      <c r="E153" s="111">
        <f t="shared" si="10"/>
        <v>7862.2957315000012</v>
      </c>
      <c r="F153" s="111">
        <f t="shared" si="10"/>
        <v>3587.7620865000004</v>
      </c>
      <c r="G153" s="111">
        <f t="shared" si="10"/>
        <v>3624.0244681000008</v>
      </c>
      <c r="H153" s="111">
        <f t="shared" si="10"/>
        <v>430.61578150000003</v>
      </c>
      <c r="I153" s="111">
        <f t="shared" si="10"/>
        <v>429.77247030000001</v>
      </c>
    </row>
    <row r="154" spans="1:9" s="110" customFormat="1" x14ac:dyDescent="0.2">
      <c r="A154" s="109">
        <f t="shared" si="6"/>
        <v>45170</v>
      </c>
      <c r="B154" s="110">
        <f t="shared" si="3"/>
        <v>2023</v>
      </c>
      <c r="C154" s="111">
        <f t="shared" si="9"/>
        <v>812417.93297136237</v>
      </c>
      <c r="D154" s="111">
        <f t="shared" si="10"/>
        <v>7835.4151870000005</v>
      </c>
      <c r="E154" s="111">
        <f t="shared" si="10"/>
        <v>7890.2304150000009</v>
      </c>
      <c r="F154" s="111">
        <f t="shared" si="10"/>
        <v>3644.2639369000003</v>
      </c>
      <c r="G154" s="111">
        <f t="shared" si="10"/>
        <v>3664.3979918000005</v>
      </c>
      <c r="H154" s="111">
        <f t="shared" si="10"/>
        <v>435.88647650000001</v>
      </c>
      <c r="I154" s="111">
        <f t="shared" si="10"/>
        <v>434.62150970000005</v>
      </c>
    </row>
    <row r="155" spans="1:9" s="110" customFormat="1" x14ac:dyDescent="0.2">
      <c r="A155" s="109">
        <f t="shared" si="6"/>
        <v>45200</v>
      </c>
      <c r="B155" s="110">
        <f t="shared" si="3"/>
        <v>2023</v>
      </c>
      <c r="C155" s="111">
        <f t="shared" si="9"/>
        <v>812417.93297136237</v>
      </c>
      <c r="D155" s="111">
        <f t="shared" si="10"/>
        <v>7892.8657625000005</v>
      </c>
      <c r="E155" s="111">
        <f t="shared" si="10"/>
        <v>7921.0112738000007</v>
      </c>
      <c r="F155" s="111">
        <f t="shared" si="10"/>
        <v>3689.2756722000004</v>
      </c>
      <c r="G155" s="111">
        <f t="shared" si="10"/>
        <v>3692.7543309000002</v>
      </c>
      <c r="H155" s="111">
        <f t="shared" si="10"/>
        <v>434.93775140000008</v>
      </c>
      <c r="I155" s="111">
        <f t="shared" si="10"/>
        <v>435.46482090000012</v>
      </c>
    </row>
    <row r="156" spans="1:9" s="110" customFormat="1" x14ac:dyDescent="0.2">
      <c r="A156" s="109">
        <f t="shared" si="6"/>
        <v>45231</v>
      </c>
      <c r="B156" s="110">
        <f t="shared" si="3"/>
        <v>2023</v>
      </c>
      <c r="C156" s="111">
        <f t="shared" si="9"/>
        <v>812417.93297136237</v>
      </c>
      <c r="D156" s="111">
        <f t="shared" si="10"/>
        <v>7946.7322654000009</v>
      </c>
      <c r="E156" s="111">
        <f t="shared" si="10"/>
        <v>7961.4902114000015</v>
      </c>
      <c r="F156" s="111">
        <f t="shared" si="10"/>
        <v>3703.2957209000001</v>
      </c>
      <c r="G156" s="111">
        <f t="shared" si="10"/>
        <v>3716.6832862000006</v>
      </c>
      <c r="H156" s="111">
        <f t="shared" si="10"/>
        <v>435.67564870000007</v>
      </c>
      <c r="I156" s="111">
        <f t="shared" si="10"/>
        <v>435.67564870000007</v>
      </c>
    </row>
    <row r="157" spans="1:9" s="110" customFormat="1" x14ac:dyDescent="0.2">
      <c r="A157" s="109">
        <f t="shared" si="6"/>
        <v>45261</v>
      </c>
      <c r="B157" s="110">
        <f t="shared" si="3"/>
        <v>2023</v>
      </c>
      <c r="C157" s="111">
        <f t="shared" si="9"/>
        <v>812417.93297136237</v>
      </c>
      <c r="D157" s="111">
        <f t="shared" si="10"/>
        <v>7995.7497289000012</v>
      </c>
      <c r="E157" s="111">
        <f t="shared" si="10"/>
        <v>8013.2484363000012</v>
      </c>
      <c r="F157" s="111">
        <f t="shared" si="10"/>
        <v>3730.8087488000001</v>
      </c>
      <c r="G157" s="111">
        <f t="shared" si="10"/>
        <v>3749.8886647000008</v>
      </c>
      <c r="H157" s="111">
        <f t="shared" si="10"/>
        <v>434.51609580000002</v>
      </c>
      <c r="I157" s="111">
        <f t="shared" si="10"/>
        <v>439.47054910000003</v>
      </c>
    </row>
    <row r="159" spans="1:9" x14ac:dyDescent="0.2">
      <c r="C159" s="112"/>
    </row>
    <row r="161" spans="5:5" x14ac:dyDescent="0.2">
      <c r="E161" s="113"/>
    </row>
    <row r="162" spans="5:5" x14ac:dyDescent="0.2">
      <c r="E162" s="108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D85FB-B588-4589-B0E3-E9120D766AE3}">
  <dimension ref="A1:FL265"/>
  <sheetViews>
    <sheetView workbookViewId="0">
      <pane xSplit="2" ySplit="1" topLeftCell="DE2" activePane="bottomRight" state="frozen"/>
      <selection activeCell="V159" sqref="V159"/>
      <selection pane="topRight" activeCell="V159" sqref="V159"/>
      <selection pane="bottomLeft" activeCell="V159" sqref="V159"/>
      <selection pane="bottomRight" activeCell="EL27" sqref="EL27"/>
    </sheetView>
  </sheetViews>
  <sheetFormatPr defaultColWidth="9.140625" defaultRowHeight="12.75" x14ac:dyDescent="0.2"/>
  <cols>
    <col min="1" max="1" width="5" style="81" bestFit="1" customWidth="1"/>
    <col min="2" max="2" width="6.28515625" style="81" bestFit="1" customWidth="1"/>
    <col min="3" max="4" width="9.7109375" style="81" customWidth="1"/>
    <col min="5" max="7" width="9.140625" style="81"/>
    <col min="8" max="9" width="9.140625" style="132"/>
    <col min="10" max="19" width="9.140625" style="81"/>
    <col min="20" max="20" width="12.140625" style="81" bestFit="1" customWidth="1"/>
    <col min="21" max="22" width="12" style="81" bestFit="1" customWidth="1"/>
    <col min="23" max="23" width="12.7109375" style="82" bestFit="1" customWidth="1"/>
    <col min="24" max="24" width="13.7109375" style="82" customWidth="1"/>
    <col min="25" max="25" width="7.42578125" style="82" customWidth="1"/>
    <col min="26" max="26" width="7.42578125" style="81" customWidth="1"/>
    <col min="27" max="27" width="7.7109375" style="81" customWidth="1"/>
    <col min="28" max="34" width="7.42578125" style="81" customWidth="1"/>
    <col min="35" max="35" width="11" style="81" customWidth="1"/>
    <col min="36" max="36" width="7.42578125" style="81" customWidth="1"/>
    <col min="37" max="37" width="9.42578125" style="81" customWidth="1"/>
    <col min="38" max="136" width="9.140625" style="81"/>
    <col min="137" max="137" width="10.140625" style="81" customWidth="1"/>
    <col min="138" max="138" width="9.140625" style="81"/>
    <col min="139" max="139" width="9.85546875" style="81" bestFit="1" customWidth="1"/>
    <col min="140" max="140" width="9.140625" style="81"/>
    <col min="141" max="141" width="13.7109375" style="81" bestFit="1" customWidth="1"/>
    <col min="142" max="142" width="12.28515625" style="81" customWidth="1"/>
    <col min="143" max="143" width="14.7109375" style="81" bestFit="1" customWidth="1"/>
    <col min="144" max="157" width="9.140625" style="81"/>
    <col min="158" max="158" width="12" style="81" bestFit="1" customWidth="1"/>
    <col min="159" max="161" width="9.140625" style="81"/>
    <col min="162" max="162" width="11.5703125" style="81" customWidth="1"/>
    <col min="163" max="16384" width="9.140625" style="81"/>
  </cols>
  <sheetData>
    <row r="1" spans="1:162" x14ac:dyDescent="0.2">
      <c r="A1" s="81" t="s">
        <v>1</v>
      </c>
      <c r="B1" s="81" t="s">
        <v>2</v>
      </c>
      <c r="C1" s="81" t="s">
        <v>106</v>
      </c>
      <c r="D1" s="81" t="s">
        <v>107</v>
      </c>
      <c r="E1" s="81" t="s">
        <v>108</v>
      </c>
      <c r="F1" s="81" t="s">
        <v>109</v>
      </c>
      <c r="G1" s="81" t="s">
        <v>110</v>
      </c>
      <c r="H1" s="132" t="s">
        <v>111</v>
      </c>
      <c r="I1" s="132" t="s">
        <v>112</v>
      </c>
      <c r="J1" s="81" t="s">
        <v>113</v>
      </c>
      <c r="K1" s="81" t="s">
        <v>114</v>
      </c>
      <c r="L1" s="81" t="s">
        <v>115</v>
      </c>
      <c r="M1" s="81" t="s">
        <v>116</v>
      </c>
      <c r="N1" s="81" t="s">
        <v>117</v>
      </c>
      <c r="O1" s="81" t="s">
        <v>118</v>
      </c>
      <c r="P1" s="81" t="s">
        <v>119</v>
      </c>
      <c r="Q1" s="81" t="s">
        <v>120</v>
      </c>
      <c r="R1" s="81" t="s">
        <v>121</v>
      </c>
      <c r="S1" s="81" t="s">
        <v>122</v>
      </c>
      <c r="T1" s="84"/>
      <c r="U1" s="84"/>
      <c r="EG1" s="87" t="s">
        <v>123</v>
      </c>
      <c r="EH1" s="87" t="s">
        <v>85</v>
      </c>
      <c r="EI1" s="81" t="s">
        <v>124</v>
      </c>
      <c r="EK1" s="87" t="s">
        <v>125</v>
      </c>
      <c r="EL1" s="82" t="s">
        <v>126</v>
      </c>
      <c r="EM1" s="82" t="s">
        <v>127</v>
      </c>
    </row>
    <row r="2" spans="1:162" x14ac:dyDescent="0.2">
      <c r="A2" s="81">
        <v>2002</v>
      </c>
      <c r="B2" s="88">
        <v>1</v>
      </c>
      <c r="C2" s="88">
        <v>-0.45806451612903204</v>
      </c>
      <c r="D2" s="87">
        <v>696.19999999999993</v>
      </c>
      <c r="E2" s="87">
        <v>0</v>
      </c>
      <c r="F2" s="87">
        <v>634.19999999999993</v>
      </c>
      <c r="G2" s="87">
        <v>0</v>
      </c>
      <c r="H2" s="133">
        <v>572.19999999999993</v>
      </c>
      <c r="I2" s="133">
        <v>0</v>
      </c>
      <c r="J2" s="87">
        <v>510.2</v>
      </c>
      <c r="K2" s="87">
        <v>0</v>
      </c>
      <c r="L2" s="87">
        <v>448.20000000000005</v>
      </c>
      <c r="M2" s="87">
        <v>0</v>
      </c>
      <c r="N2" s="87">
        <v>386.20000000000005</v>
      </c>
      <c r="O2" s="87">
        <v>0</v>
      </c>
      <c r="P2" s="87">
        <v>324.2000000000001</v>
      </c>
      <c r="Q2" s="87">
        <v>0</v>
      </c>
      <c r="R2" s="87">
        <v>262.20000000000005</v>
      </c>
      <c r="S2" s="87">
        <v>0</v>
      </c>
      <c r="T2" s="87"/>
      <c r="U2" s="87"/>
      <c r="V2" s="87"/>
      <c r="EG2" s="86"/>
      <c r="EH2" s="86"/>
      <c r="EI2" s="86"/>
      <c r="EK2" s="86"/>
      <c r="EL2" s="86"/>
      <c r="EM2" s="82"/>
    </row>
    <row r="3" spans="1:162" x14ac:dyDescent="0.2">
      <c r="A3" s="81">
        <v>2002</v>
      </c>
      <c r="B3" s="88">
        <v>2</v>
      </c>
      <c r="C3" s="88">
        <v>-1.2928571428571425</v>
      </c>
      <c r="D3" s="87">
        <v>652.20000000000005</v>
      </c>
      <c r="E3" s="87">
        <v>0</v>
      </c>
      <c r="F3" s="87">
        <v>596.20000000000016</v>
      </c>
      <c r="G3" s="87">
        <v>0</v>
      </c>
      <c r="H3" s="133">
        <v>540.20000000000016</v>
      </c>
      <c r="I3" s="133">
        <v>0</v>
      </c>
      <c r="J3" s="87">
        <v>484.20000000000005</v>
      </c>
      <c r="K3" s="87">
        <v>0</v>
      </c>
      <c r="L3" s="87">
        <v>428.20000000000005</v>
      </c>
      <c r="M3" s="87">
        <v>0</v>
      </c>
      <c r="N3" s="87">
        <v>372.2</v>
      </c>
      <c r="O3" s="87">
        <v>0</v>
      </c>
      <c r="P3" s="87">
        <v>316.2</v>
      </c>
      <c r="Q3" s="87">
        <v>0</v>
      </c>
      <c r="R3" s="87">
        <v>261.3</v>
      </c>
      <c r="S3" s="87">
        <v>1.0999999999999996</v>
      </c>
      <c r="T3" s="87"/>
      <c r="U3" s="87"/>
      <c r="V3" s="87"/>
      <c r="EG3" s="86"/>
      <c r="EH3" s="86"/>
      <c r="EI3" s="86"/>
      <c r="EK3" s="86"/>
      <c r="EL3" s="86"/>
      <c r="EM3" s="82"/>
    </row>
    <row r="4" spans="1:162" x14ac:dyDescent="0.2">
      <c r="A4" s="81">
        <v>2002</v>
      </c>
      <c r="B4" s="88">
        <v>3</v>
      </c>
      <c r="C4" s="88">
        <v>0.39999999999999997</v>
      </c>
      <c r="D4" s="87">
        <v>669.6</v>
      </c>
      <c r="E4" s="87">
        <v>0</v>
      </c>
      <c r="F4" s="87">
        <v>607.6</v>
      </c>
      <c r="G4" s="87">
        <v>0</v>
      </c>
      <c r="H4" s="133">
        <v>545.6</v>
      </c>
      <c r="I4" s="133">
        <v>0</v>
      </c>
      <c r="J4" s="87">
        <v>483.59999999999991</v>
      </c>
      <c r="K4" s="87">
        <v>0</v>
      </c>
      <c r="L4" s="87">
        <v>421.59999999999991</v>
      </c>
      <c r="M4" s="87">
        <v>0</v>
      </c>
      <c r="N4" s="87">
        <v>359.59999999999997</v>
      </c>
      <c r="O4" s="87">
        <v>0</v>
      </c>
      <c r="P4" s="87">
        <v>297.59999999999997</v>
      </c>
      <c r="Q4" s="87">
        <v>0</v>
      </c>
      <c r="R4" s="87">
        <v>235.6</v>
      </c>
      <c r="S4" s="87">
        <v>0</v>
      </c>
      <c r="T4" s="87"/>
      <c r="U4" s="87"/>
      <c r="V4" s="87"/>
      <c r="X4" s="98" t="str">
        <f>D1</f>
        <v>HDD22</v>
      </c>
      <c r="Y4" s="97" t="s">
        <v>37</v>
      </c>
      <c r="Z4" s="97" t="s">
        <v>38</v>
      </c>
      <c r="AA4" s="97" t="s">
        <v>39</v>
      </c>
      <c r="AB4" s="97" t="s">
        <v>40</v>
      </c>
      <c r="AC4" s="97" t="s">
        <v>41</v>
      </c>
      <c r="AD4" s="97" t="s">
        <v>128</v>
      </c>
      <c r="AE4" s="97" t="s">
        <v>129</v>
      </c>
      <c r="AF4" s="96" t="s">
        <v>130</v>
      </c>
      <c r="AG4" s="96" t="s">
        <v>131</v>
      </c>
      <c r="AH4" s="96" t="s">
        <v>46</v>
      </c>
      <c r="AI4" s="96" t="s">
        <v>47</v>
      </c>
      <c r="AJ4" s="96" t="s">
        <v>48</v>
      </c>
      <c r="AL4" s="98" t="str">
        <f>F1</f>
        <v>HDD20</v>
      </c>
      <c r="AM4" s="97" t="s">
        <v>37</v>
      </c>
      <c r="AN4" s="97" t="s">
        <v>38</v>
      </c>
      <c r="AO4" s="97" t="s">
        <v>39</v>
      </c>
      <c r="AP4" s="97" t="s">
        <v>40</v>
      </c>
      <c r="AQ4" s="97" t="s">
        <v>41</v>
      </c>
      <c r="AR4" s="97" t="s">
        <v>128</v>
      </c>
      <c r="AS4" s="97" t="s">
        <v>129</v>
      </c>
      <c r="AT4" s="96" t="s">
        <v>130</v>
      </c>
      <c r="AU4" s="96" t="s">
        <v>131</v>
      </c>
      <c r="AV4" s="96" t="s">
        <v>46</v>
      </c>
      <c r="AW4" s="96" t="s">
        <v>47</v>
      </c>
      <c r="AX4" s="96" t="s">
        <v>48</v>
      </c>
      <c r="AZ4" s="98" t="str">
        <f>H1</f>
        <v>HDD18</v>
      </c>
      <c r="BA4" s="97" t="s">
        <v>37</v>
      </c>
      <c r="BB4" s="97" t="s">
        <v>38</v>
      </c>
      <c r="BC4" s="97" t="s">
        <v>39</v>
      </c>
      <c r="BD4" s="97" t="s">
        <v>40</v>
      </c>
      <c r="BE4" s="97" t="s">
        <v>41</v>
      </c>
      <c r="BF4" s="97" t="s">
        <v>128</v>
      </c>
      <c r="BG4" s="97" t="s">
        <v>129</v>
      </c>
      <c r="BH4" s="96" t="s">
        <v>130</v>
      </c>
      <c r="BI4" s="96" t="s">
        <v>131</v>
      </c>
      <c r="BJ4" s="96" t="s">
        <v>46</v>
      </c>
      <c r="BK4" s="96" t="s">
        <v>47</v>
      </c>
      <c r="BL4" s="96" t="s">
        <v>48</v>
      </c>
      <c r="BN4" s="98" t="str">
        <f>J1</f>
        <v>HDD16</v>
      </c>
      <c r="BO4" s="97" t="s">
        <v>37</v>
      </c>
      <c r="BP4" s="97" t="s">
        <v>38</v>
      </c>
      <c r="BQ4" s="97" t="s">
        <v>39</v>
      </c>
      <c r="BR4" s="97" t="s">
        <v>40</v>
      </c>
      <c r="BS4" s="97" t="s">
        <v>41</v>
      </c>
      <c r="BT4" s="97" t="s">
        <v>128</v>
      </c>
      <c r="BU4" s="97" t="s">
        <v>129</v>
      </c>
      <c r="BV4" s="96" t="s">
        <v>130</v>
      </c>
      <c r="BW4" s="96" t="s">
        <v>131</v>
      </c>
      <c r="BX4" s="96" t="s">
        <v>46</v>
      </c>
      <c r="BY4" s="96" t="s">
        <v>47</v>
      </c>
      <c r="BZ4" s="96" t="s">
        <v>48</v>
      </c>
      <c r="CB4" s="98" t="str">
        <f>L1</f>
        <v>HDD14</v>
      </c>
      <c r="CC4" s="97" t="s">
        <v>37</v>
      </c>
      <c r="CD4" s="97" t="s">
        <v>38</v>
      </c>
      <c r="CE4" s="97" t="s">
        <v>39</v>
      </c>
      <c r="CF4" s="97" t="s">
        <v>40</v>
      </c>
      <c r="CG4" s="97" t="s">
        <v>41</v>
      </c>
      <c r="CH4" s="97" t="s">
        <v>128</v>
      </c>
      <c r="CI4" s="97" t="s">
        <v>129</v>
      </c>
      <c r="CJ4" s="96" t="s">
        <v>130</v>
      </c>
      <c r="CK4" s="96" t="s">
        <v>131</v>
      </c>
      <c r="CL4" s="96" t="s">
        <v>46</v>
      </c>
      <c r="CM4" s="96" t="s">
        <v>47</v>
      </c>
      <c r="CN4" s="96" t="s">
        <v>48</v>
      </c>
      <c r="CP4" s="98" t="str">
        <f>N1</f>
        <v>HDD12</v>
      </c>
      <c r="CQ4" s="97" t="s">
        <v>37</v>
      </c>
      <c r="CR4" s="97" t="s">
        <v>38</v>
      </c>
      <c r="CS4" s="97" t="s">
        <v>39</v>
      </c>
      <c r="CT4" s="97" t="s">
        <v>40</v>
      </c>
      <c r="CU4" s="97" t="s">
        <v>41</v>
      </c>
      <c r="CV4" s="97" t="s">
        <v>128</v>
      </c>
      <c r="CW4" s="97" t="s">
        <v>129</v>
      </c>
      <c r="CX4" s="96" t="s">
        <v>130</v>
      </c>
      <c r="CY4" s="96" t="s">
        <v>131</v>
      </c>
      <c r="CZ4" s="96" t="s">
        <v>46</v>
      </c>
      <c r="DA4" s="96" t="s">
        <v>47</v>
      </c>
      <c r="DB4" s="96" t="s">
        <v>48</v>
      </c>
      <c r="DD4" s="98" t="str">
        <f>P1</f>
        <v>HDD10</v>
      </c>
      <c r="DE4" s="97" t="s">
        <v>37</v>
      </c>
      <c r="DF4" s="97" t="s">
        <v>38</v>
      </c>
      <c r="DG4" s="97" t="s">
        <v>39</v>
      </c>
      <c r="DH4" s="97" t="s">
        <v>40</v>
      </c>
      <c r="DI4" s="97" t="s">
        <v>41</v>
      </c>
      <c r="DJ4" s="97" t="s">
        <v>128</v>
      </c>
      <c r="DK4" s="97" t="s">
        <v>129</v>
      </c>
      <c r="DL4" s="96" t="s">
        <v>130</v>
      </c>
      <c r="DM4" s="96" t="s">
        <v>131</v>
      </c>
      <c r="DN4" s="96" t="s">
        <v>46</v>
      </c>
      <c r="DO4" s="96" t="s">
        <v>47</v>
      </c>
      <c r="DP4" s="96" t="s">
        <v>48</v>
      </c>
      <c r="DR4" s="98" t="str">
        <f>R1</f>
        <v>HDD8</v>
      </c>
      <c r="DS4" s="97" t="s">
        <v>37</v>
      </c>
      <c r="DT4" s="97" t="s">
        <v>38</v>
      </c>
      <c r="DU4" s="97" t="s">
        <v>39</v>
      </c>
      <c r="DV4" s="97" t="s">
        <v>40</v>
      </c>
      <c r="DW4" s="97" t="s">
        <v>41</v>
      </c>
      <c r="DX4" s="97" t="s">
        <v>128</v>
      </c>
      <c r="DY4" s="97" t="s">
        <v>129</v>
      </c>
      <c r="DZ4" s="96" t="s">
        <v>130</v>
      </c>
      <c r="EA4" s="96" t="s">
        <v>131</v>
      </c>
      <c r="EB4" s="96" t="s">
        <v>46</v>
      </c>
      <c r="EC4" s="96" t="s">
        <v>47</v>
      </c>
      <c r="ED4" s="96" t="s">
        <v>48</v>
      </c>
      <c r="EG4" s="86"/>
      <c r="EH4" s="86"/>
      <c r="EI4" s="86"/>
      <c r="EK4" s="86"/>
      <c r="EL4" s="86"/>
      <c r="EM4" s="82"/>
      <c r="ET4" s="81" t="s">
        <v>63</v>
      </c>
    </row>
    <row r="5" spans="1:162" x14ac:dyDescent="0.2">
      <c r="A5" s="81">
        <v>2002</v>
      </c>
      <c r="B5" s="88">
        <v>4</v>
      </c>
      <c r="C5" s="88">
        <v>7.293333333333333</v>
      </c>
      <c r="D5" s="87">
        <v>441.59999999999991</v>
      </c>
      <c r="E5" s="87">
        <v>0.39999999999999858</v>
      </c>
      <c r="F5" s="87">
        <v>383.69999999999987</v>
      </c>
      <c r="G5" s="87">
        <v>2.5</v>
      </c>
      <c r="H5" s="133">
        <v>329.49999999999994</v>
      </c>
      <c r="I5" s="133">
        <v>8.3000000000000007</v>
      </c>
      <c r="J5" s="87">
        <v>276.09999999999997</v>
      </c>
      <c r="K5" s="87">
        <v>14.900000000000002</v>
      </c>
      <c r="L5" s="87">
        <v>224.6</v>
      </c>
      <c r="M5" s="87">
        <v>23.400000000000002</v>
      </c>
      <c r="N5" s="87">
        <v>175.29999999999998</v>
      </c>
      <c r="O5" s="87">
        <v>34.1</v>
      </c>
      <c r="P5" s="87">
        <v>129.4</v>
      </c>
      <c r="Q5" s="87">
        <v>48.2</v>
      </c>
      <c r="R5" s="87">
        <v>88.90000000000002</v>
      </c>
      <c r="S5" s="87">
        <v>67.699999999999989</v>
      </c>
      <c r="T5" s="87"/>
      <c r="U5" s="87"/>
      <c r="V5" s="87"/>
      <c r="X5" s="81">
        <v>2002</v>
      </c>
      <c r="Y5" s="81">
        <f ca="1">OFFSET($D$2,(ROW()-5)*12+COLUMN()-25,0)</f>
        <v>696.19999999999993</v>
      </c>
      <c r="Z5" s="81">
        <f t="shared" ref="Z5:AJ5" ca="1" si="0">OFFSET($D$2,(ROW()-5)*12+COLUMN()-25,0)</f>
        <v>652.20000000000005</v>
      </c>
      <c r="AA5" s="81">
        <f t="shared" ca="1" si="0"/>
        <v>669.6</v>
      </c>
      <c r="AB5" s="81">
        <f t="shared" ca="1" si="0"/>
        <v>441.59999999999991</v>
      </c>
      <c r="AC5" s="81">
        <f t="shared" ca="1" si="0"/>
        <v>344.00000000000006</v>
      </c>
      <c r="AD5" s="81">
        <f t="shared" ca="1" si="0"/>
        <v>105.59999999999998</v>
      </c>
      <c r="AE5" s="81">
        <f t="shared" ca="1" si="0"/>
        <v>16.7</v>
      </c>
      <c r="AF5" s="81">
        <f t="shared" ca="1" si="0"/>
        <v>30.5</v>
      </c>
      <c r="AG5" s="81">
        <f t="shared" ca="1" si="0"/>
        <v>78.5</v>
      </c>
      <c r="AH5" s="81">
        <f t="shared" ca="1" si="0"/>
        <v>408.7000000000001</v>
      </c>
      <c r="AI5" s="81">
        <f t="shared" ca="1" si="0"/>
        <v>564.99999999999989</v>
      </c>
      <c r="AJ5" s="81">
        <f t="shared" ca="1" si="0"/>
        <v>743.4</v>
      </c>
      <c r="AL5" s="81">
        <v>2002</v>
      </c>
      <c r="AM5" s="81">
        <f t="shared" ref="AM5:AM24" ca="1" si="1">OFFSET($F$2,(ROW()-5)*12+COLUMN()-39,0)</f>
        <v>634.19999999999993</v>
      </c>
      <c r="AN5" s="81">
        <f t="shared" ref="AN5:AX20" ca="1" si="2">OFFSET($F$2,(ROW()-5)*12+COLUMN()-39,0)</f>
        <v>596.20000000000016</v>
      </c>
      <c r="AO5" s="81">
        <f t="shared" ca="1" si="2"/>
        <v>607.6</v>
      </c>
      <c r="AP5" s="81">
        <f t="shared" ca="1" si="2"/>
        <v>383.69999999999987</v>
      </c>
      <c r="AQ5" s="81">
        <f t="shared" ca="1" si="2"/>
        <v>284.40000000000003</v>
      </c>
      <c r="AR5" s="81">
        <f t="shared" ca="1" si="2"/>
        <v>67.999999999999972</v>
      </c>
      <c r="AS5" s="81">
        <f t="shared" ca="1" si="2"/>
        <v>2.8000000000000007</v>
      </c>
      <c r="AT5" s="81">
        <f t="shared" ca="1" si="2"/>
        <v>7.8000000000000007</v>
      </c>
      <c r="AU5" s="81">
        <f t="shared" ca="1" si="2"/>
        <v>45.2</v>
      </c>
      <c r="AV5" s="81">
        <f t="shared" ca="1" si="2"/>
        <v>349.1</v>
      </c>
      <c r="AW5" s="81">
        <f t="shared" ca="1" si="2"/>
        <v>505</v>
      </c>
      <c r="AX5" s="81">
        <f t="shared" ca="1" si="2"/>
        <v>681.39999999999986</v>
      </c>
      <c r="AY5" s="93"/>
      <c r="AZ5" s="81">
        <v>2002</v>
      </c>
      <c r="BA5" s="81">
        <f t="shared" ref="BA5:BL14" ca="1" si="3">OFFSET($H$2,(ROW()-5)*12+COLUMN()-53,0)</f>
        <v>572.19999999999993</v>
      </c>
      <c r="BB5" s="81">
        <f t="shared" ca="1" si="3"/>
        <v>540.20000000000016</v>
      </c>
      <c r="BC5" s="81">
        <f t="shared" ca="1" si="3"/>
        <v>545.6</v>
      </c>
      <c r="BD5" s="81">
        <f t="shared" ca="1" si="3"/>
        <v>329.49999999999994</v>
      </c>
      <c r="BE5" s="81">
        <f t="shared" ca="1" si="3"/>
        <v>227.5</v>
      </c>
      <c r="BF5" s="81">
        <f t="shared" ca="1" si="3"/>
        <v>36.199999999999989</v>
      </c>
      <c r="BG5" s="81">
        <f t="shared" ca="1" si="3"/>
        <v>0</v>
      </c>
      <c r="BH5" s="81">
        <f t="shared" ca="1" si="3"/>
        <v>0.19999999999999929</v>
      </c>
      <c r="BI5" s="81">
        <f t="shared" ca="1" si="3"/>
        <v>21.8</v>
      </c>
      <c r="BJ5" s="81">
        <f t="shared" ca="1" si="3"/>
        <v>292.2</v>
      </c>
      <c r="BK5" s="81">
        <f t="shared" ca="1" si="3"/>
        <v>445</v>
      </c>
      <c r="BL5" s="81">
        <f t="shared" ca="1" si="3"/>
        <v>619.40000000000009</v>
      </c>
      <c r="BM5" s="93">
        <f t="shared" ref="BM5:BM26" ca="1" si="4">SUM(BA5:BL5)</f>
        <v>3629.7999999999997</v>
      </c>
      <c r="BN5" s="81">
        <v>2002</v>
      </c>
      <c r="BO5" s="81">
        <f t="shared" ref="BO5:BZ14" ca="1" si="5">OFFSET($J$2,(ROW()-5)*12+COLUMN()-67,0)</f>
        <v>510.2</v>
      </c>
      <c r="BP5" s="81">
        <f t="shared" ca="1" si="5"/>
        <v>484.20000000000005</v>
      </c>
      <c r="BQ5" s="81">
        <f t="shared" ca="1" si="5"/>
        <v>483.59999999999991</v>
      </c>
      <c r="BR5" s="81">
        <f t="shared" ca="1" si="5"/>
        <v>276.09999999999997</v>
      </c>
      <c r="BS5" s="81">
        <f t="shared" ca="1" si="5"/>
        <v>175.3</v>
      </c>
      <c r="BT5" s="81">
        <f t="shared" ca="1" si="5"/>
        <v>16.999999999999996</v>
      </c>
      <c r="BU5" s="81">
        <f t="shared" ca="1" si="5"/>
        <v>0</v>
      </c>
      <c r="BV5" s="81">
        <f t="shared" ca="1" si="5"/>
        <v>0</v>
      </c>
      <c r="BW5" s="81">
        <f t="shared" ca="1" si="5"/>
        <v>6.7000000000000028</v>
      </c>
      <c r="BX5" s="81">
        <f t="shared" ca="1" si="5"/>
        <v>236.19999999999996</v>
      </c>
      <c r="BY5" s="81">
        <f t="shared" ca="1" si="5"/>
        <v>385</v>
      </c>
      <c r="BZ5" s="81">
        <f t="shared" ca="1" si="5"/>
        <v>557.4</v>
      </c>
      <c r="CB5" s="81">
        <v>2002</v>
      </c>
      <c r="CC5" s="81">
        <f t="shared" ref="CC5:CN14" ca="1" si="6">OFFSET($L$2,(ROW()-5)*12+COLUMN()-81,0)</f>
        <v>448.20000000000005</v>
      </c>
      <c r="CD5" s="81">
        <f t="shared" ca="1" si="6"/>
        <v>428.20000000000005</v>
      </c>
      <c r="CE5" s="81">
        <f t="shared" ca="1" si="6"/>
        <v>421.59999999999991</v>
      </c>
      <c r="CF5" s="81">
        <f t="shared" ca="1" si="6"/>
        <v>224.6</v>
      </c>
      <c r="CG5" s="81">
        <f t="shared" ca="1" si="6"/>
        <v>125.39999999999999</v>
      </c>
      <c r="CH5" s="81">
        <f t="shared" ca="1" si="6"/>
        <v>6.1999999999999975</v>
      </c>
      <c r="CI5" s="81">
        <f t="shared" ca="1" si="6"/>
        <v>0</v>
      </c>
      <c r="CJ5" s="81">
        <f t="shared" ca="1" si="6"/>
        <v>0</v>
      </c>
      <c r="CK5" s="81">
        <f t="shared" ca="1" si="6"/>
        <v>0.30000000000000071</v>
      </c>
      <c r="CL5" s="81">
        <f t="shared" ca="1" si="6"/>
        <v>180.89999999999998</v>
      </c>
      <c r="CM5" s="81">
        <f t="shared" ca="1" si="6"/>
        <v>325.59999999999997</v>
      </c>
      <c r="CN5" s="81">
        <f t="shared" ca="1" si="6"/>
        <v>495.4</v>
      </c>
      <c r="CP5" s="81">
        <v>2002</v>
      </c>
      <c r="CQ5" s="81">
        <f t="shared" ref="CQ5:DB14" ca="1" si="7">OFFSET($N$2,(ROW()-5)*12+COLUMN()-95,0)</f>
        <v>386.20000000000005</v>
      </c>
      <c r="CR5" s="81">
        <f t="shared" ca="1" si="7"/>
        <v>372.2</v>
      </c>
      <c r="CS5" s="81">
        <f t="shared" ca="1" si="7"/>
        <v>359.59999999999997</v>
      </c>
      <c r="CT5" s="81">
        <f t="shared" ca="1" si="7"/>
        <v>175.29999999999998</v>
      </c>
      <c r="CU5" s="81">
        <f t="shared" ca="1" si="7"/>
        <v>83.3</v>
      </c>
      <c r="CV5" s="81">
        <f t="shared" ca="1" si="7"/>
        <v>1.8999999999999986</v>
      </c>
      <c r="CW5" s="81">
        <f t="shared" ca="1" si="7"/>
        <v>0</v>
      </c>
      <c r="CX5" s="81">
        <f t="shared" ca="1" si="7"/>
        <v>0</v>
      </c>
      <c r="CY5" s="81">
        <f t="shared" ca="1" si="7"/>
        <v>0</v>
      </c>
      <c r="CZ5" s="81">
        <f t="shared" ca="1" si="7"/>
        <v>132.89999999999998</v>
      </c>
      <c r="DA5" s="81">
        <f t="shared" ca="1" si="7"/>
        <v>267.79999999999995</v>
      </c>
      <c r="DB5" s="81">
        <f t="shared" ca="1" si="7"/>
        <v>433.40000000000003</v>
      </c>
      <c r="DD5" s="81">
        <v>2002</v>
      </c>
      <c r="DE5" s="81">
        <f ca="1">OFFSET($P$2,(ROW()-5)*12+COLUMN()-109,0)</f>
        <v>324.2000000000001</v>
      </c>
      <c r="DF5" s="81">
        <f t="shared" ref="DF5:DP5" ca="1" si="8">OFFSET($P$2,(ROW()-5)*12+COLUMN()-109,0)</f>
        <v>316.2</v>
      </c>
      <c r="DG5" s="81">
        <f t="shared" ca="1" si="8"/>
        <v>297.59999999999997</v>
      </c>
      <c r="DH5" s="81">
        <f t="shared" ca="1" si="8"/>
        <v>129.4</v>
      </c>
      <c r="DI5" s="81">
        <f t="shared" ca="1" si="8"/>
        <v>49</v>
      </c>
      <c r="DJ5" s="81">
        <f t="shared" ca="1" si="8"/>
        <v>0</v>
      </c>
      <c r="DK5" s="81">
        <f t="shared" ca="1" si="8"/>
        <v>0</v>
      </c>
      <c r="DL5" s="81">
        <f t="shared" ca="1" si="8"/>
        <v>0</v>
      </c>
      <c r="DM5" s="81">
        <f t="shared" ca="1" si="8"/>
        <v>0</v>
      </c>
      <c r="DN5" s="81">
        <f t="shared" ca="1" si="8"/>
        <v>91.800000000000011</v>
      </c>
      <c r="DO5" s="81">
        <f t="shared" ca="1" si="8"/>
        <v>214.2</v>
      </c>
      <c r="DP5" s="81">
        <f t="shared" ca="1" si="8"/>
        <v>371.40000000000003</v>
      </c>
      <c r="DR5" s="81">
        <v>2002</v>
      </c>
      <c r="DS5" s="81">
        <f ca="1">OFFSET($R$2,(ROW()-5)*12+COLUMN()-123,0)</f>
        <v>262.20000000000005</v>
      </c>
      <c r="DT5" s="81">
        <f t="shared" ref="DT5:ED5" ca="1" si="9">OFFSET($R$2,(ROW()-5)*12+COLUMN()-123,0)</f>
        <v>261.3</v>
      </c>
      <c r="DU5" s="81">
        <f t="shared" ca="1" si="9"/>
        <v>235.6</v>
      </c>
      <c r="DV5" s="81">
        <f t="shared" ca="1" si="9"/>
        <v>88.90000000000002</v>
      </c>
      <c r="DW5" s="81">
        <f t="shared" ca="1" si="9"/>
        <v>18.399999999999999</v>
      </c>
      <c r="DX5" s="81">
        <f t="shared" ca="1" si="9"/>
        <v>0</v>
      </c>
      <c r="DY5" s="81">
        <f t="shared" ca="1" si="9"/>
        <v>0</v>
      </c>
      <c r="DZ5" s="81">
        <f t="shared" ca="1" si="9"/>
        <v>0</v>
      </c>
      <c r="EA5" s="81">
        <f t="shared" ca="1" si="9"/>
        <v>0</v>
      </c>
      <c r="EB5" s="81">
        <f t="shared" ca="1" si="9"/>
        <v>55.5</v>
      </c>
      <c r="EC5" s="81">
        <f t="shared" ca="1" si="9"/>
        <v>162.70000000000002</v>
      </c>
      <c r="ED5" s="81">
        <f t="shared" ca="1" si="9"/>
        <v>309.39999999999992</v>
      </c>
      <c r="EG5" s="86"/>
      <c r="EH5" s="86"/>
      <c r="EI5" s="86"/>
      <c r="EK5" s="86"/>
      <c r="EL5" s="86"/>
      <c r="EM5" s="82"/>
      <c r="EO5" s="82"/>
    </row>
    <row r="6" spans="1:162" x14ac:dyDescent="0.2">
      <c r="A6" s="81">
        <v>2002</v>
      </c>
      <c r="B6" s="88">
        <v>5</v>
      </c>
      <c r="C6" s="88">
        <v>10.912903225806451</v>
      </c>
      <c r="D6" s="87">
        <v>344.00000000000006</v>
      </c>
      <c r="E6" s="87">
        <v>0.30000000000000071</v>
      </c>
      <c r="F6" s="87">
        <v>284.40000000000003</v>
      </c>
      <c r="G6" s="87">
        <v>2.6999999999999993</v>
      </c>
      <c r="H6" s="133">
        <v>227.5</v>
      </c>
      <c r="I6" s="133">
        <v>7.8000000000000007</v>
      </c>
      <c r="J6" s="87">
        <v>175.3</v>
      </c>
      <c r="K6" s="87">
        <v>17.599999999999998</v>
      </c>
      <c r="L6" s="87">
        <v>125.39999999999999</v>
      </c>
      <c r="M6" s="87">
        <v>29.699999999999996</v>
      </c>
      <c r="N6" s="87">
        <v>83.3</v>
      </c>
      <c r="O6" s="87">
        <v>49.6</v>
      </c>
      <c r="P6" s="87">
        <v>49</v>
      </c>
      <c r="Q6" s="87">
        <v>77.300000000000011</v>
      </c>
      <c r="R6" s="87">
        <v>18.399999999999999</v>
      </c>
      <c r="S6" s="87">
        <v>108.69999999999999</v>
      </c>
      <c r="T6" s="87"/>
      <c r="U6" s="87"/>
      <c r="V6" s="87"/>
      <c r="X6" s="81">
        <f t="shared" ref="X6:X26" si="10">1+X5</f>
        <v>2003</v>
      </c>
      <c r="Y6" s="81">
        <f t="shared" ref="Y6:AJ24" ca="1" si="11">OFFSET($D$2,(ROW()-5)*12+COLUMN()-25,0)</f>
        <v>938.49999999999989</v>
      </c>
      <c r="Z6" s="81">
        <f t="shared" ca="1" si="11"/>
        <v>811</v>
      </c>
      <c r="AA6" s="81">
        <f t="shared" ca="1" si="11"/>
        <v>705.1</v>
      </c>
      <c r="AB6" s="81">
        <f t="shared" ca="1" si="11"/>
        <v>490.10000000000014</v>
      </c>
      <c r="AC6" s="81">
        <f t="shared" ca="1" si="11"/>
        <v>301.89999999999998</v>
      </c>
      <c r="AD6" s="81">
        <f t="shared" ca="1" si="11"/>
        <v>125.89999999999998</v>
      </c>
      <c r="AE6" s="81">
        <f t="shared" ca="1" si="11"/>
        <v>30.700000000000014</v>
      </c>
      <c r="AF6" s="81">
        <f t="shared" ca="1" si="11"/>
        <v>28.5</v>
      </c>
      <c r="AG6" s="81">
        <f t="shared" ca="1" si="11"/>
        <v>151.19999999999999</v>
      </c>
      <c r="AH6" s="81">
        <f t="shared" ca="1" si="11"/>
        <v>399.99999999999994</v>
      </c>
      <c r="AI6" s="81">
        <f t="shared" ca="1" si="11"/>
        <v>518.49999999999989</v>
      </c>
      <c r="AJ6" s="81">
        <f t="shared" ca="1" si="11"/>
        <v>685.50000000000011</v>
      </c>
      <c r="AL6" s="81">
        <f t="shared" ref="AL6:AL26" si="12">1+AL5</f>
        <v>2003</v>
      </c>
      <c r="AM6" s="81">
        <f t="shared" ca="1" si="1"/>
        <v>876.49999999999989</v>
      </c>
      <c r="AN6" s="81">
        <f t="shared" ca="1" si="2"/>
        <v>755.00000000000011</v>
      </c>
      <c r="AO6" s="81">
        <f t="shared" ca="1" si="2"/>
        <v>643.09999999999991</v>
      </c>
      <c r="AP6" s="81">
        <f t="shared" ca="1" si="2"/>
        <v>430.50000000000011</v>
      </c>
      <c r="AQ6" s="81">
        <f t="shared" ca="1" si="2"/>
        <v>239.9</v>
      </c>
      <c r="AR6" s="81">
        <f t="shared" ca="1" si="2"/>
        <v>80.399999999999991</v>
      </c>
      <c r="AS6" s="81">
        <f t="shared" ca="1" si="2"/>
        <v>7.7000000000000099</v>
      </c>
      <c r="AT6" s="81">
        <f t="shared" ca="1" si="2"/>
        <v>11.2</v>
      </c>
      <c r="AU6" s="81">
        <f t="shared" ca="1" si="2"/>
        <v>98.499999999999986</v>
      </c>
      <c r="AV6" s="81">
        <f t="shared" ca="1" si="2"/>
        <v>337.99999999999994</v>
      </c>
      <c r="AW6" s="81">
        <f t="shared" ca="1" si="2"/>
        <v>458.5</v>
      </c>
      <c r="AX6" s="81">
        <f t="shared" ca="1" si="2"/>
        <v>623.50000000000011</v>
      </c>
      <c r="AY6" s="93"/>
      <c r="AZ6" s="81">
        <f t="shared" ref="AZ6:AZ26" si="13">1+AZ5</f>
        <v>2003</v>
      </c>
      <c r="BA6" s="81">
        <f t="shared" ca="1" si="3"/>
        <v>814.49999999999989</v>
      </c>
      <c r="BB6" s="81">
        <f t="shared" ca="1" si="3"/>
        <v>699.00000000000011</v>
      </c>
      <c r="BC6" s="81">
        <f t="shared" ca="1" si="3"/>
        <v>581.09999999999991</v>
      </c>
      <c r="BD6" s="81">
        <f t="shared" ca="1" si="3"/>
        <v>372.50000000000011</v>
      </c>
      <c r="BE6" s="81">
        <f t="shared" ca="1" si="3"/>
        <v>177.90000000000003</v>
      </c>
      <c r="BF6" s="81">
        <f t="shared" ca="1" si="3"/>
        <v>43.399999999999991</v>
      </c>
      <c r="BG6" s="81">
        <f t="shared" ca="1" si="3"/>
        <v>0.20000000000000284</v>
      </c>
      <c r="BH6" s="81">
        <f t="shared" ca="1" si="3"/>
        <v>2</v>
      </c>
      <c r="BI6" s="81">
        <f t="shared" ca="1" si="3"/>
        <v>54.9</v>
      </c>
      <c r="BJ6" s="81">
        <f t="shared" ca="1" si="3"/>
        <v>276</v>
      </c>
      <c r="BK6" s="81">
        <f t="shared" ca="1" si="3"/>
        <v>398.5</v>
      </c>
      <c r="BL6" s="81">
        <f t="shared" ca="1" si="3"/>
        <v>561.50000000000011</v>
      </c>
      <c r="BM6" s="93">
        <f t="shared" ca="1" si="4"/>
        <v>3981.5</v>
      </c>
      <c r="BN6" s="81">
        <f t="shared" ref="BN6:BN26" si="14">1+BN5</f>
        <v>2003</v>
      </c>
      <c r="BO6" s="81">
        <f t="shared" ca="1" si="5"/>
        <v>752.49999999999989</v>
      </c>
      <c r="BP6" s="81">
        <f t="shared" ca="1" si="5"/>
        <v>643.00000000000011</v>
      </c>
      <c r="BQ6" s="81">
        <f t="shared" ca="1" si="5"/>
        <v>519.09999999999991</v>
      </c>
      <c r="BR6" s="81">
        <f t="shared" ca="1" si="5"/>
        <v>316.20000000000005</v>
      </c>
      <c r="BS6" s="81">
        <f t="shared" ca="1" si="5"/>
        <v>117.2</v>
      </c>
      <c r="BT6" s="81">
        <f t="shared" ca="1" si="5"/>
        <v>17.2</v>
      </c>
      <c r="BU6" s="81">
        <f t="shared" ca="1" si="5"/>
        <v>0</v>
      </c>
      <c r="BV6" s="81">
        <f t="shared" ca="1" si="5"/>
        <v>0</v>
      </c>
      <c r="BW6" s="81">
        <f t="shared" ca="1" si="5"/>
        <v>29.1</v>
      </c>
      <c r="BX6" s="81">
        <f t="shared" ca="1" si="5"/>
        <v>217.5</v>
      </c>
      <c r="BY6" s="81">
        <f t="shared" ca="1" si="5"/>
        <v>338.50000000000006</v>
      </c>
      <c r="BZ6" s="81">
        <f t="shared" ca="1" si="5"/>
        <v>499.50000000000006</v>
      </c>
      <c r="CB6" s="81">
        <f t="shared" ref="CB6:CB26" si="15">1+CB5</f>
        <v>2003</v>
      </c>
      <c r="CC6" s="81">
        <f t="shared" ca="1" si="6"/>
        <v>690.49999999999989</v>
      </c>
      <c r="CD6" s="81">
        <f t="shared" ca="1" si="6"/>
        <v>587.00000000000011</v>
      </c>
      <c r="CE6" s="81">
        <f t="shared" ca="1" si="6"/>
        <v>457.09999999999997</v>
      </c>
      <c r="CF6" s="81">
        <f t="shared" ca="1" si="6"/>
        <v>260.70000000000005</v>
      </c>
      <c r="CG6" s="81">
        <f t="shared" ca="1" si="6"/>
        <v>64</v>
      </c>
      <c r="CH6" s="81">
        <f t="shared" ca="1" si="6"/>
        <v>5.6999999999999993</v>
      </c>
      <c r="CI6" s="81">
        <f t="shared" ca="1" si="6"/>
        <v>0</v>
      </c>
      <c r="CJ6" s="81">
        <f t="shared" ca="1" si="6"/>
        <v>0</v>
      </c>
      <c r="CK6" s="81">
        <f t="shared" ca="1" si="6"/>
        <v>13</v>
      </c>
      <c r="CL6" s="81">
        <f t="shared" ca="1" si="6"/>
        <v>162.49999999999997</v>
      </c>
      <c r="CM6" s="81">
        <f t="shared" ca="1" si="6"/>
        <v>278.50000000000006</v>
      </c>
      <c r="CN6" s="81">
        <f t="shared" ca="1" si="6"/>
        <v>437.5</v>
      </c>
      <c r="CP6" s="81">
        <f t="shared" ref="CP6:CP26" si="16">1+CP5</f>
        <v>2003</v>
      </c>
      <c r="CQ6" s="81">
        <f t="shared" ca="1" si="7"/>
        <v>628.5</v>
      </c>
      <c r="CR6" s="81">
        <f t="shared" ca="1" si="7"/>
        <v>531</v>
      </c>
      <c r="CS6" s="81">
        <f t="shared" ca="1" si="7"/>
        <v>395.1</v>
      </c>
      <c r="CT6" s="81">
        <f t="shared" ca="1" si="7"/>
        <v>208.29999999999998</v>
      </c>
      <c r="CU6" s="81">
        <f t="shared" ca="1" si="7"/>
        <v>24.400000000000006</v>
      </c>
      <c r="CV6" s="81">
        <f t="shared" ca="1" si="7"/>
        <v>1.0999999999999996</v>
      </c>
      <c r="CW6" s="81">
        <f t="shared" ca="1" si="7"/>
        <v>0</v>
      </c>
      <c r="CX6" s="81">
        <f t="shared" ca="1" si="7"/>
        <v>0</v>
      </c>
      <c r="CY6" s="81">
        <f t="shared" ca="1" si="7"/>
        <v>5.0999999999999996</v>
      </c>
      <c r="CZ6" s="81">
        <f t="shared" ca="1" si="7"/>
        <v>112.4</v>
      </c>
      <c r="DA6" s="81">
        <f t="shared" ca="1" si="7"/>
        <v>218.60000000000002</v>
      </c>
      <c r="DB6" s="81">
        <f t="shared" ca="1" si="7"/>
        <v>375.5</v>
      </c>
      <c r="DD6" s="81">
        <f t="shared" ref="DD6:DD26" si="17">1+DD5</f>
        <v>2003</v>
      </c>
      <c r="DE6" s="81">
        <f t="shared" ref="DE6:DP24" ca="1" si="18">OFFSET($P$2,(ROW()-5)*12+COLUMN()-109,0)</f>
        <v>566.49999999999989</v>
      </c>
      <c r="DF6" s="81">
        <f t="shared" ca="1" si="18"/>
        <v>475</v>
      </c>
      <c r="DG6" s="81">
        <f t="shared" ca="1" si="18"/>
        <v>334.49999999999994</v>
      </c>
      <c r="DH6" s="81">
        <f t="shared" ca="1" si="18"/>
        <v>160.29999999999998</v>
      </c>
      <c r="DI6" s="81">
        <f t="shared" ca="1" si="18"/>
        <v>5.2000000000000011</v>
      </c>
      <c r="DJ6" s="81">
        <f t="shared" ca="1" si="18"/>
        <v>0</v>
      </c>
      <c r="DK6" s="81">
        <f t="shared" ca="1" si="18"/>
        <v>0</v>
      </c>
      <c r="DL6" s="81">
        <f t="shared" ca="1" si="18"/>
        <v>0</v>
      </c>
      <c r="DM6" s="81">
        <f t="shared" ca="1" si="18"/>
        <v>1.0999999999999996</v>
      </c>
      <c r="DN6" s="81">
        <f t="shared" ca="1" si="18"/>
        <v>70</v>
      </c>
      <c r="DO6" s="81">
        <f t="shared" ca="1" si="18"/>
        <v>160.6</v>
      </c>
      <c r="DP6" s="81">
        <f t="shared" ca="1" si="18"/>
        <v>313.5</v>
      </c>
      <c r="DR6" s="81">
        <f t="shared" ref="DR6:DR26" si="19">1+DR5</f>
        <v>2003</v>
      </c>
      <c r="DS6" s="81">
        <f t="shared" ref="DS6:ED24" ca="1" si="20">OFFSET($R$2,(ROW()-5)*12+COLUMN()-123,0)</f>
        <v>504.50000000000011</v>
      </c>
      <c r="DT6" s="81">
        <f t="shared" ca="1" si="20"/>
        <v>419</v>
      </c>
      <c r="DU6" s="81">
        <f t="shared" ca="1" si="20"/>
        <v>278</v>
      </c>
      <c r="DV6" s="81">
        <f t="shared" ca="1" si="20"/>
        <v>117.39999999999999</v>
      </c>
      <c r="DW6" s="81">
        <f t="shared" ca="1" si="20"/>
        <v>0.90000000000000036</v>
      </c>
      <c r="DX6" s="81">
        <f t="shared" ca="1" si="20"/>
        <v>0</v>
      </c>
      <c r="DY6" s="81">
        <f t="shared" ca="1" si="20"/>
        <v>0</v>
      </c>
      <c r="DZ6" s="81">
        <f t="shared" ca="1" si="20"/>
        <v>0</v>
      </c>
      <c r="EA6" s="81">
        <f t="shared" ca="1" si="20"/>
        <v>0</v>
      </c>
      <c r="EB6" s="81">
        <f t="shared" ca="1" si="20"/>
        <v>33.500000000000007</v>
      </c>
      <c r="EC6" s="81">
        <f t="shared" ca="1" si="20"/>
        <v>105.80000000000001</v>
      </c>
      <c r="ED6" s="81">
        <f t="shared" ca="1" si="20"/>
        <v>251.5</v>
      </c>
      <c r="EG6" s="86"/>
      <c r="EH6" s="86"/>
      <c r="EI6" s="86"/>
      <c r="EK6" s="86"/>
      <c r="EL6" s="86"/>
      <c r="EM6" s="82"/>
      <c r="EO6" s="82"/>
    </row>
    <row r="7" spans="1:162" x14ac:dyDescent="0.2">
      <c r="A7" s="81">
        <v>2002</v>
      </c>
      <c r="B7" s="88">
        <v>6</v>
      </c>
      <c r="C7" s="88">
        <v>19.126666666666665</v>
      </c>
      <c r="D7" s="87">
        <v>105.59999999999998</v>
      </c>
      <c r="E7" s="87">
        <v>19.399999999999999</v>
      </c>
      <c r="F7" s="87">
        <v>67.999999999999972</v>
      </c>
      <c r="G7" s="87">
        <v>41.8</v>
      </c>
      <c r="H7" s="133">
        <v>36.199999999999989</v>
      </c>
      <c r="I7" s="133">
        <v>70</v>
      </c>
      <c r="J7" s="87">
        <v>16.999999999999996</v>
      </c>
      <c r="K7" s="87">
        <v>110.80000000000001</v>
      </c>
      <c r="L7" s="87">
        <v>6.1999999999999975</v>
      </c>
      <c r="M7" s="87">
        <v>160.00000000000003</v>
      </c>
      <c r="N7" s="87">
        <v>1.8999999999999986</v>
      </c>
      <c r="O7" s="87">
        <v>215.70000000000002</v>
      </c>
      <c r="P7" s="87">
        <v>0</v>
      </c>
      <c r="Q7" s="87">
        <v>273.79999999999995</v>
      </c>
      <c r="R7" s="87">
        <v>0</v>
      </c>
      <c r="S7" s="87">
        <v>333.79999999999995</v>
      </c>
      <c r="T7" s="87"/>
      <c r="U7" s="87"/>
      <c r="V7" s="87"/>
      <c r="X7" s="81">
        <f t="shared" si="10"/>
        <v>2004</v>
      </c>
      <c r="Y7" s="81">
        <f t="shared" ca="1" si="11"/>
        <v>973.09999999999991</v>
      </c>
      <c r="Z7" s="81">
        <f t="shared" ca="1" si="11"/>
        <v>747.7</v>
      </c>
      <c r="AA7" s="81">
        <f t="shared" ca="1" si="11"/>
        <v>611.29999999999995</v>
      </c>
      <c r="AB7" s="81">
        <f t="shared" ca="1" si="11"/>
        <v>451.49999999999994</v>
      </c>
      <c r="AC7" s="81">
        <f t="shared" ca="1" si="11"/>
        <v>274.29999999999995</v>
      </c>
      <c r="AD7" s="81">
        <f t="shared" ca="1" si="11"/>
        <v>138.9</v>
      </c>
      <c r="AE7" s="81">
        <f t="shared" ca="1" si="11"/>
        <v>52.8</v>
      </c>
      <c r="AF7" s="81">
        <f t="shared" ca="1" si="11"/>
        <v>88.800000000000011</v>
      </c>
      <c r="AG7" s="81">
        <f t="shared" ca="1" si="11"/>
        <v>111.3</v>
      </c>
      <c r="AH7" s="81">
        <f t="shared" ca="1" si="11"/>
        <v>348.8</v>
      </c>
      <c r="AI7" s="81">
        <f t="shared" ca="1" si="11"/>
        <v>499.1</v>
      </c>
      <c r="AJ7" s="81">
        <f t="shared" ca="1" si="11"/>
        <v>767.40000000000009</v>
      </c>
      <c r="AL7" s="81">
        <f t="shared" si="12"/>
        <v>2004</v>
      </c>
      <c r="AM7" s="81">
        <f t="shared" ca="1" si="1"/>
        <v>911.09999999999991</v>
      </c>
      <c r="AN7" s="81">
        <f t="shared" ca="1" si="2"/>
        <v>689.7</v>
      </c>
      <c r="AO7" s="81">
        <f t="shared" ca="1" si="2"/>
        <v>549.29999999999984</v>
      </c>
      <c r="AP7" s="81">
        <f t="shared" ca="1" si="2"/>
        <v>391.49999999999994</v>
      </c>
      <c r="AQ7" s="81">
        <f t="shared" ca="1" si="2"/>
        <v>213.99999999999997</v>
      </c>
      <c r="AR7" s="81">
        <f t="shared" ca="1" si="2"/>
        <v>88.600000000000009</v>
      </c>
      <c r="AS7" s="81">
        <f t="shared" ca="1" si="2"/>
        <v>22.000000000000004</v>
      </c>
      <c r="AT7" s="81">
        <f t="shared" ca="1" si="2"/>
        <v>45.3</v>
      </c>
      <c r="AU7" s="81">
        <f t="shared" ca="1" si="2"/>
        <v>64</v>
      </c>
      <c r="AV7" s="81">
        <f t="shared" ca="1" si="2"/>
        <v>286.8</v>
      </c>
      <c r="AW7" s="81">
        <f t="shared" ca="1" si="2"/>
        <v>439.1</v>
      </c>
      <c r="AX7" s="81">
        <f t="shared" ca="1" si="2"/>
        <v>705.40000000000009</v>
      </c>
      <c r="AY7" s="93"/>
      <c r="AZ7" s="81">
        <f t="shared" si="13"/>
        <v>2004</v>
      </c>
      <c r="BA7" s="81">
        <f t="shared" ca="1" si="3"/>
        <v>849.09999999999991</v>
      </c>
      <c r="BB7" s="81">
        <f t="shared" ca="1" si="3"/>
        <v>631.70000000000005</v>
      </c>
      <c r="BC7" s="81">
        <f t="shared" ca="1" si="3"/>
        <v>487.29999999999995</v>
      </c>
      <c r="BD7" s="81">
        <f t="shared" ca="1" si="3"/>
        <v>331.49999999999994</v>
      </c>
      <c r="BE7" s="81">
        <f t="shared" ca="1" si="3"/>
        <v>158.9</v>
      </c>
      <c r="BF7" s="81">
        <f t="shared" ca="1" si="3"/>
        <v>44.2</v>
      </c>
      <c r="BG7" s="81">
        <f t="shared" ca="1" si="3"/>
        <v>3.6000000000000014</v>
      </c>
      <c r="BH7" s="81">
        <f t="shared" ca="1" si="3"/>
        <v>12.800000000000002</v>
      </c>
      <c r="BI7" s="81">
        <f t="shared" ca="1" si="3"/>
        <v>30.000000000000004</v>
      </c>
      <c r="BJ7" s="81">
        <f t="shared" ca="1" si="3"/>
        <v>226.3</v>
      </c>
      <c r="BK7" s="81">
        <f t="shared" ca="1" si="3"/>
        <v>379.1</v>
      </c>
      <c r="BL7" s="81">
        <f t="shared" ca="1" si="3"/>
        <v>643.40000000000009</v>
      </c>
      <c r="BM7" s="93">
        <f t="shared" ca="1" si="4"/>
        <v>3797.9</v>
      </c>
      <c r="BN7" s="81">
        <f t="shared" si="14"/>
        <v>2004</v>
      </c>
      <c r="BO7" s="81">
        <f t="shared" ca="1" si="5"/>
        <v>787.09999999999991</v>
      </c>
      <c r="BP7" s="81">
        <f t="shared" ca="1" si="5"/>
        <v>573.69999999999993</v>
      </c>
      <c r="BQ7" s="81">
        <f t="shared" ca="1" si="5"/>
        <v>425.29999999999995</v>
      </c>
      <c r="BR7" s="81">
        <f t="shared" ca="1" si="5"/>
        <v>272.70000000000005</v>
      </c>
      <c r="BS7" s="81">
        <f t="shared" ca="1" si="5"/>
        <v>109.10000000000001</v>
      </c>
      <c r="BT7" s="81">
        <f t="shared" ca="1" si="5"/>
        <v>15.9</v>
      </c>
      <c r="BU7" s="81">
        <f t="shared" ca="1" si="5"/>
        <v>0</v>
      </c>
      <c r="BV7" s="81">
        <f t="shared" ca="1" si="5"/>
        <v>9.9999999999999645E-2</v>
      </c>
      <c r="BW7" s="81">
        <f t="shared" ca="1" si="5"/>
        <v>14.2</v>
      </c>
      <c r="BX7" s="81">
        <f t="shared" ca="1" si="5"/>
        <v>168.3</v>
      </c>
      <c r="BY7" s="81">
        <f t="shared" ca="1" si="5"/>
        <v>319.09999999999997</v>
      </c>
      <c r="BZ7" s="81">
        <f t="shared" ca="1" si="5"/>
        <v>581.4000000000002</v>
      </c>
      <c r="CB7" s="81">
        <f t="shared" si="15"/>
        <v>2004</v>
      </c>
      <c r="CC7" s="81">
        <f t="shared" ca="1" si="6"/>
        <v>725.09999999999991</v>
      </c>
      <c r="CD7" s="81">
        <f t="shared" ca="1" si="6"/>
        <v>515.70000000000005</v>
      </c>
      <c r="CE7" s="81">
        <f t="shared" ca="1" si="6"/>
        <v>363.29999999999995</v>
      </c>
      <c r="CF7" s="81">
        <f t="shared" ca="1" si="6"/>
        <v>217.50000000000003</v>
      </c>
      <c r="CG7" s="81">
        <f t="shared" ca="1" si="6"/>
        <v>66.600000000000009</v>
      </c>
      <c r="CH7" s="81">
        <f t="shared" ca="1" si="6"/>
        <v>1.5999999999999996</v>
      </c>
      <c r="CI7" s="81">
        <f t="shared" ca="1" si="6"/>
        <v>0</v>
      </c>
      <c r="CJ7" s="81">
        <f t="shared" ca="1" si="6"/>
        <v>0</v>
      </c>
      <c r="CK7" s="81">
        <f t="shared" ca="1" si="6"/>
        <v>3.5999999999999996</v>
      </c>
      <c r="CL7" s="81">
        <f t="shared" ca="1" si="6"/>
        <v>113.8</v>
      </c>
      <c r="CM7" s="81">
        <f t="shared" ca="1" si="6"/>
        <v>259.10000000000002</v>
      </c>
      <c r="CN7" s="81">
        <f t="shared" ca="1" si="6"/>
        <v>519.4000000000002</v>
      </c>
      <c r="CP7" s="81">
        <f t="shared" si="16"/>
        <v>2004</v>
      </c>
      <c r="CQ7" s="81">
        <f t="shared" ca="1" si="7"/>
        <v>663.09999999999991</v>
      </c>
      <c r="CR7" s="81">
        <f t="shared" ca="1" si="7"/>
        <v>457.69999999999993</v>
      </c>
      <c r="CS7" s="81">
        <f t="shared" ca="1" si="7"/>
        <v>302.39999999999998</v>
      </c>
      <c r="CT7" s="81">
        <f t="shared" ca="1" si="7"/>
        <v>165</v>
      </c>
      <c r="CU7" s="81">
        <f t="shared" ca="1" si="7"/>
        <v>36.599999999999994</v>
      </c>
      <c r="CV7" s="81">
        <f t="shared" ca="1" si="7"/>
        <v>0</v>
      </c>
      <c r="CW7" s="81">
        <f t="shared" ca="1" si="7"/>
        <v>0</v>
      </c>
      <c r="CX7" s="81">
        <f t="shared" ca="1" si="7"/>
        <v>0</v>
      </c>
      <c r="CY7" s="81">
        <f t="shared" ca="1" si="7"/>
        <v>0</v>
      </c>
      <c r="CZ7" s="81">
        <f t="shared" ca="1" si="7"/>
        <v>64.399999999999991</v>
      </c>
      <c r="DA7" s="81">
        <f t="shared" ca="1" si="7"/>
        <v>199.1</v>
      </c>
      <c r="DB7" s="81">
        <f t="shared" ca="1" si="7"/>
        <v>457.40000000000009</v>
      </c>
      <c r="DD7" s="81">
        <f t="shared" si="17"/>
        <v>2004</v>
      </c>
      <c r="DE7" s="81">
        <f t="shared" ca="1" si="18"/>
        <v>601.09999999999991</v>
      </c>
      <c r="DF7" s="81">
        <f t="shared" ca="1" si="18"/>
        <v>399.69999999999993</v>
      </c>
      <c r="DG7" s="81">
        <f t="shared" ca="1" si="18"/>
        <v>245.00000000000003</v>
      </c>
      <c r="DH7" s="81">
        <f t="shared" ca="1" si="18"/>
        <v>116.39999999999999</v>
      </c>
      <c r="DI7" s="81">
        <f t="shared" ca="1" si="18"/>
        <v>18.899999999999999</v>
      </c>
      <c r="DJ7" s="81">
        <f t="shared" ca="1" si="18"/>
        <v>0</v>
      </c>
      <c r="DK7" s="81">
        <f t="shared" ca="1" si="18"/>
        <v>0</v>
      </c>
      <c r="DL7" s="81">
        <f t="shared" ca="1" si="18"/>
        <v>0</v>
      </c>
      <c r="DM7" s="81">
        <f t="shared" ca="1" si="18"/>
        <v>0</v>
      </c>
      <c r="DN7" s="81">
        <f t="shared" ca="1" si="18"/>
        <v>25.700000000000003</v>
      </c>
      <c r="DO7" s="81">
        <f t="shared" ca="1" si="18"/>
        <v>140.1</v>
      </c>
      <c r="DP7" s="81">
        <f t="shared" ca="1" si="18"/>
        <v>395.40000000000003</v>
      </c>
      <c r="DR7" s="81">
        <f t="shared" si="19"/>
        <v>2004</v>
      </c>
      <c r="DS7" s="81">
        <f t="shared" ca="1" si="20"/>
        <v>540.19999999999993</v>
      </c>
      <c r="DT7" s="81">
        <f t="shared" ca="1" si="20"/>
        <v>341.7</v>
      </c>
      <c r="DU7" s="81">
        <f t="shared" ca="1" si="20"/>
        <v>189</v>
      </c>
      <c r="DV7" s="81">
        <f t="shared" ca="1" si="20"/>
        <v>73.2</v>
      </c>
      <c r="DW7" s="81">
        <f t="shared" ca="1" si="20"/>
        <v>9.7999999999999989</v>
      </c>
      <c r="DX7" s="81">
        <f t="shared" ca="1" si="20"/>
        <v>0</v>
      </c>
      <c r="DY7" s="81">
        <f t="shared" ca="1" si="20"/>
        <v>0</v>
      </c>
      <c r="DZ7" s="81">
        <f t="shared" ca="1" si="20"/>
        <v>0</v>
      </c>
      <c r="EA7" s="81">
        <f t="shared" ca="1" si="20"/>
        <v>0</v>
      </c>
      <c r="EB7" s="81">
        <f t="shared" ca="1" si="20"/>
        <v>7.1</v>
      </c>
      <c r="EC7" s="81">
        <f t="shared" ca="1" si="20"/>
        <v>87.2</v>
      </c>
      <c r="ED7" s="81">
        <f t="shared" ca="1" si="20"/>
        <v>333.40000000000003</v>
      </c>
      <c r="EG7" s="86"/>
      <c r="EH7" s="86"/>
      <c r="EI7" s="86"/>
      <c r="EK7" s="86"/>
      <c r="EL7" s="86"/>
      <c r="EM7" s="82"/>
      <c r="EO7" s="82"/>
    </row>
    <row r="8" spans="1:162" x14ac:dyDescent="0.2">
      <c r="A8" s="81">
        <v>2002</v>
      </c>
      <c r="B8" s="88">
        <v>7</v>
      </c>
      <c r="C8" s="88">
        <v>24.20645161290323</v>
      </c>
      <c r="D8" s="87">
        <v>16.7</v>
      </c>
      <c r="E8" s="87">
        <v>85.100000000000009</v>
      </c>
      <c r="F8" s="87">
        <v>2.8000000000000007</v>
      </c>
      <c r="G8" s="87">
        <v>133.19999999999999</v>
      </c>
      <c r="H8" s="133">
        <v>0</v>
      </c>
      <c r="I8" s="133">
        <v>192.39999999999998</v>
      </c>
      <c r="J8" s="87">
        <v>0</v>
      </c>
      <c r="K8" s="87">
        <v>254.39999999999995</v>
      </c>
      <c r="L8" s="87">
        <v>0</v>
      </c>
      <c r="M8" s="87">
        <v>316.39999999999992</v>
      </c>
      <c r="N8" s="87">
        <v>0</v>
      </c>
      <c r="O8" s="87">
        <v>378.39999999999992</v>
      </c>
      <c r="P8" s="87">
        <v>0</v>
      </c>
      <c r="Q8" s="87">
        <v>440.40000000000003</v>
      </c>
      <c r="R8" s="87">
        <v>0</v>
      </c>
      <c r="S8" s="87">
        <v>502.40000000000003</v>
      </c>
      <c r="T8" s="87"/>
      <c r="U8" s="87"/>
      <c r="V8" s="87"/>
      <c r="X8" s="81">
        <f t="shared" si="10"/>
        <v>2005</v>
      </c>
      <c r="Y8" s="81">
        <f t="shared" ca="1" si="11"/>
        <v>894</v>
      </c>
      <c r="Z8" s="81">
        <f t="shared" ca="1" si="11"/>
        <v>728.4</v>
      </c>
      <c r="AA8" s="81">
        <f t="shared" ca="1" si="11"/>
        <v>732.6</v>
      </c>
      <c r="AB8" s="81">
        <f t="shared" ca="1" si="11"/>
        <v>426.80000000000007</v>
      </c>
      <c r="AC8" s="81">
        <f t="shared" ca="1" si="11"/>
        <v>312.60000000000008</v>
      </c>
      <c r="AD8" s="81">
        <f t="shared" ca="1" si="11"/>
        <v>44.900000000000006</v>
      </c>
      <c r="AE8" s="81">
        <f t="shared" ca="1" si="11"/>
        <v>15.600000000000001</v>
      </c>
      <c r="AF8" s="81">
        <f t="shared" ca="1" si="11"/>
        <v>24.799999999999997</v>
      </c>
      <c r="AG8" s="81">
        <f t="shared" ca="1" si="11"/>
        <v>97.600000000000009</v>
      </c>
      <c r="AH8" s="81">
        <f t="shared" ca="1" si="11"/>
        <v>336.59999999999991</v>
      </c>
      <c r="AI8" s="81">
        <f t="shared" ca="1" si="11"/>
        <v>508.4</v>
      </c>
      <c r="AJ8" s="81">
        <f t="shared" ca="1" si="11"/>
        <v>789.3</v>
      </c>
      <c r="AL8" s="81">
        <f t="shared" si="12"/>
        <v>2005</v>
      </c>
      <c r="AM8" s="81">
        <f t="shared" ca="1" si="1"/>
        <v>832</v>
      </c>
      <c r="AN8" s="81">
        <f t="shared" ca="1" si="2"/>
        <v>672.39999999999986</v>
      </c>
      <c r="AO8" s="81">
        <f t="shared" ca="1" si="2"/>
        <v>670.6</v>
      </c>
      <c r="AP8" s="81">
        <f t="shared" ca="1" si="2"/>
        <v>366.8</v>
      </c>
      <c r="AQ8" s="81">
        <f t="shared" ca="1" si="2"/>
        <v>250.60000000000002</v>
      </c>
      <c r="AR8" s="81">
        <f t="shared" ca="1" si="2"/>
        <v>21.799999999999997</v>
      </c>
      <c r="AS8" s="81">
        <f t="shared" ca="1" si="2"/>
        <v>4.1000000000000014</v>
      </c>
      <c r="AT8" s="81">
        <f t="shared" ca="1" si="2"/>
        <v>5.4000000000000021</v>
      </c>
      <c r="AU8" s="81">
        <f t="shared" ca="1" si="2"/>
        <v>49.500000000000007</v>
      </c>
      <c r="AV8" s="81">
        <f t="shared" ca="1" si="2"/>
        <v>275.7</v>
      </c>
      <c r="AW8" s="81">
        <f t="shared" ca="1" si="2"/>
        <v>448.39999999999992</v>
      </c>
      <c r="AX8" s="81">
        <f t="shared" ca="1" si="2"/>
        <v>727.3</v>
      </c>
      <c r="AY8" s="93"/>
      <c r="AZ8" s="81">
        <f t="shared" si="13"/>
        <v>2005</v>
      </c>
      <c r="BA8" s="81">
        <f t="shared" ca="1" si="3"/>
        <v>770</v>
      </c>
      <c r="BB8" s="81">
        <f t="shared" ca="1" si="3"/>
        <v>616.39999999999986</v>
      </c>
      <c r="BC8" s="81">
        <f t="shared" ca="1" si="3"/>
        <v>608.6</v>
      </c>
      <c r="BD8" s="81">
        <f t="shared" ca="1" si="3"/>
        <v>306.8</v>
      </c>
      <c r="BE8" s="81">
        <f t="shared" ca="1" si="3"/>
        <v>189.40000000000003</v>
      </c>
      <c r="BF8" s="81">
        <f t="shared" ca="1" si="3"/>
        <v>8.8999999999999968</v>
      </c>
      <c r="BG8" s="81">
        <f t="shared" ca="1" si="3"/>
        <v>0</v>
      </c>
      <c r="BH8" s="81">
        <f t="shared" ca="1" si="3"/>
        <v>0.19999999999999929</v>
      </c>
      <c r="BI8" s="81">
        <f t="shared" ca="1" si="3"/>
        <v>22.6</v>
      </c>
      <c r="BJ8" s="81">
        <f t="shared" ca="1" si="3"/>
        <v>220.2</v>
      </c>
      <c r="BK8" s="81">
        <f t="shared" ca="1" si="3"/>
        <v>388.39999999999992</v>
      </c>
      <c r="BL8" s="81">
        <f t="shared" ca="1" si="3"/>
        <v>665.29999999999984</v>
      </c>
      <c r="BM8" s="93">
        <f t="shared" ca="1" si="4"/>
        <v>3796.7999999999997</v>
      </c>
      <c r="BN8" s="81">
        <f t="shared" si="14"/>
        <v>2005</v>
      </c>
      <c r="BO8" s="81">
        <f t="shared" ca="1" si="5"/>
        <v>708</v>
      </c>
      <c r="BP8" s="81">
        <f t="shared" ca="1" si="5"/>
        <v>560.39999999999975</v>
      </c>
      <c r="BQ8" s="81">
        <f t="shared" ca="1" si="5"/>
        <v>546.59999999999991</v>
      </c>
      <c r="BR8" s="81">
        <f t="shared" ca="1" si="5"/>
        <v>248.19999999999996</v>
      </c>
      <c r="BS8" s="81">
        <f t="shared" ca="1" si="5"/>
        <v>132.20000000000002</v>
      </c>
      <c r="BT8" s="81">
        <f t="shared" ca="1" si="5"/>
        <v>1.2999999999999989</v>
      </c>
      <c r="BU8" s="81">
        <f t="shared" ca="1" si="5"/>
        <v>0</v>
      </c>
      <c r="BV8" s="81">
        <f t="shared" ca="1" si="5"/>
        <v>0</v>
      </c>
      <c r="BW8" s="81">
        <f t="shared" ca="1" si="5"/>
        <v>8.4</v>
      </c>
      <c r="BX8" s="81">
        <f t="shared" ca="1" si="5"/>
        <v>167.49999999999997</v>
      </c>
      <c r="BY8" s="81">
        <f t="shared" ca="1" si="5"/>
        <v>328.39999999999992</v>
      </c>
      <c r="BZ8" s="81">
        <f t="shared" ca="1" si="5"/>
        <v>603.29999999999984</v>
      </c>
      <c r="CB8" s="81">
        <f t="shared" si="15"/>
        <v>2005</v>
      </c>
      <c r="CC8" s="81">
        <f t="shared" ca="1" si="6"/>
        <v>646</v>
      </c>
      <c r="CD8" s="81">
        <f t="shared" ca="1" si="6"/>
        <v>504.39999999999992</v>
      </c>
      <c r="CE8" s="81">
        <f t="shared" ca="1" si="6"/>
        <v>484.6</v>
      </c>
      <c r="CF8" s="81">
        <f t="shared" ca="1" si="6"/>
        <v>190.19999999999996</v>
      </c>
      <c r="CG8" s="81">
        <f t="shared" ca="1" si="6"/>
        <v>85.700000000000017</v>
      </c>
      <c r="CH8" s="81">
        <f t="shared" ca="1" si="6"/>
        <v>0</v>
      </c>
      <c r="CI8" s="81">
        <f t="shared" ca="1" si="6"/>
        <v>0</v>
      </c>
      <c r="CJ8" s="81">
        <f t="shared" ca="1" si="6"/>
        <v>0</v>
      </c>
      <c r="CK8" s="81">
        <f t="shared" ca="1" si="6"/>
        <v>1.5999999999999996</v>
      </c>
      <c r="CL8" s="81">
        <f t="shared" ca="1" si="6"/>
        <v>119.00000000000001</v>
      </c>
      <c r="CM8" s="81">
        <f t="shared" ca="1" si="6"/>
        <v>268.39999999999998</v>
      </c>
      <c r="CN8" s="81">
        <f t="shared" ca="1" si="6"/>
        <v>541.29999999999995</v>
      </c>
      <c r="CP8" s="81">
        <f t="shared" si="16"/>
        <v>2005</v>
      </c>
      <c r="CQ8" s="81">
        <f t="shared" ca="1" si="7"/>
        <v>583.99999999999989</v>
      </c>
      <c r="CR8" s="81">
        <f t="shared" ca="1" si="7"/>
        <v>448.39999999999992</v>
      </c>
      <c r="CS8" s="81">
        <f t="shared" ca="1" si="7"/>
        <v>422.6</v>
      </c>
      <c r="CT8" s="81">
        <f t="shared" ca="1" si="7"/>
        <v>135.59999999999997</v>
      </c>
      <c r="CU8" s="81">
        <f t="shared" ca="1" si="7"/>
        <v>52</v>
      </c>
      <c r="CV8" s="81">
        <f t="shared" ca="1" si="7"/>
        <v>0</v>
      </c>
      <c r="CW8" s="81">
        <f t="shared" ca="1" si="7"/>
        <v>0</v>
      </c>
      <c r="CX8" s="81">
        <f t="shared" ca="1" si="7"/>
        <v>0</v>
      </c>
      <c r="CY8" s="81">
        <f t="shared" ca="1" si="7"/>
        <v>0</v>
      </c>
      <c r="CZ8" s="81">
        <f t="shared" ca="1" si="7"/>
        <v>74.800000000000011</v>
      </c>
      <c r="DA8" s="81">
        <f t="shared" ca="1" si="7"/>
        <v>212.8</v>
      </c>
      <c r="DB8" s="81">
        <f t="shared" ca="1" si="7"/>
        <v>479.3</v>
      </c>
      <c r="DD8" s="81">
        <f t="shared" si="17"/>
        <v>2005</v>
      </c>
      <c r="DE8" s="81">
        <f t="shared" ca="1" si="18"/>
        <v>522</v>
      </c>
      <c r="DF8" s="81">
        <f t="shared" ca="1" si="18"/>
        <v>392.39999999999992</v>
      </c>
      <c r="DG8" s="81">
        <f t="shared" ca="1" si="18"/>
        <v>361.1</v>
      </c>
      <c r="DH8" s="81">
        <f t="shared" ca="1" si="18"/>
        <v>83.2</v>
      </c>
      <c r="DI8" s="81">
        <f t="shared" ca="1" si="18"/>
        <v>28.599999999999998</v>
      </c>
      <c r="DJ8" s="81">
        <f t="shared" ca="1" si="18"/>
        <v>0</v>
      </c>
      <c r="DK8" s="81">
        <f t="shared" ca="1" si="18"/>
        <v>0</v>
      </c>
      <c r="DL8" s="81">
        <f t="shared" ca="1" si="18"/>
        <v>0</v>
      </c>
      <c r="DM8" s="81">
        <f t="shared" ca="1" si="18"/>
        <v>0</v>
      </c>
      <c r="DN8" s="81">
        <f t="shared" ca="1" si="18"/>
        <v>41.2</v>
      </c>
      <c r="DO8" s="81">
        <f t="shared" ca="1" si="18"/>
        <v>161.20000000000002</v>
      </c>
      <c r="DP8" s="81">
        <f t="shared" ca="1" si="18"/>
        <v>417.29999999999995</v>
      </c>
      <c r="DR8" s="81">
        <f t="shared" si="19"/>
        <v>2005</v>
      </c>
      <c r="DS8" s="81">
        <f t="shared" ca="1" si="20"/>
        <v>460.99999999999994</v>
      </c>
      <c r="DT8" s="81">
        <f t="shared" ca="1" si="20"/>
        <v>336.39999999999992</v>
      </c>
      <c r="DU8" s="81">
        <f t="shared" ca="1" si="20"/>
        <v>301.10000000000008</v>
      </c>
      <c r="DV8" s="81">
        <f t="shared" ca="1" si="20"/>
        <v>42.800000000000004</v>
      </c>
      <c r="DW8" s="81">
        <f t="shared" ca="1" si="20"/>
        <v>11.7</v>
      </c>
      <c r="DX8" s="81">
        <f t="shared" ca="1" si="20"/>
        <v>0</v>
      </c>
      <c r="DY8" s="81">
        <f t="shared" ca="1" si="20"/>
        <v>0</v>
      </c>
      <c r="DZ8" s="81">
        <f t="shared" ca="1" si="20"/>
        <v>0</v>
      </c>
      <c r="EA8" s="81">
        <f t="shared" ca="1" si="20"/>
        <v>0</v>
      </c>
      <c r="EB8" s="81">
        <f t="shared" ca="1" si="20"/>
        <v>20.400000000000002</v>
      </c>
      <c r="EC8" s="81">
        <f t="shared" ca="1" si="20"/>
        <v>118.80000000000001</v>
      </c>
      <c r="ED8" s="81">
        <f t="shared" ca="1" si="20"/>
        <v>355.30000000000007</v>
      </c>
      <c r="EG8" s="86"/>
      <c r="EH8" s="86"/>
      <c r="EI8" s="86"/>
      <c r="EK8" s="86"/>
      <c r="EL8" s="86"/>
      <c r="EM8" s="82"/>
      <c r="EO8" s="82"/>
      <c r="FB8" s="137"/>
    </row>
    <row r="9" spans="1:162" x14ac:dyDescent="0.2">
      <c r="A9" s="81">
        <v>2002</v>
      </c>
      <c r="B9" s="88">
        <v>8</v>
      </c>
      <c r="C9" s="88">
        <v>22.596774193548384</v>
      </c>
      <c r="D9" s="87">
        <v>30.5</v>
      </c>
      <c r="E9" s="87">
        <v>49</v>
      </c>
      <c r="F9" s="87">
        <v>7.8000000000000007</v>
      </c>
      <c r="G9" s="87">
        <v>88.3</v>
      </c>
      <c r="H9" s="133">
        <v>0.19999999999999929</v>
      </c>
      <c r="I9" s="133">
        <v>142.70000000000002</v>
      </c>
      <c r="J9" s="87">
        <v>0</v>
      </c>
      <c r="K9" s="87">
        <v>204.50000000000006</v>
      </c>
      <c r="L9" s="87">
        <v>0</v>
      </c>
      <c r="M9" s="87">
        <v>266.5</v>
      </c>
      <c r="N9" s="87">
        <v>0</v>
      </c>
      <c r="O9" s="87">
        <v>328.50000000000006</v>
      </c>
      <c r="P9" s="87">
        <v>0</v>
      </c>
      <c r="Q9" s="87">
        <v>390.5</v>
      </c>
      <c r="R9" s="87">
        <v>0</v>
      </c>
      <c r="S9" s="87">
        <v>452.50000000000006</v>
      </c>
      <c r="T9" s="87"/>
      <c r="U9" s="87"/>
      <c r="V9" s="87"/>
      <c r="X9" s="81">
        <f t="shared" si="10"/>
        <v>2006</v>
      </c>
      <c r="Y9" s="81">
        <f t="shared" ca="1" si="11"/>
        <v>675.79999999999984</v>
      </c>
      <c r="Z9" s="81">
        <f t="shared" ca="1" si="11"/>
        <v>716.30000000000007</v>
      </c>
      <c r="AA9" s="81">
        <f t="shared" ca="1" si="11"/>
        <v>640.60000000000014</v>
      </c>
      <c r="AB9" s="81">
        <f t="shared" ca="1" si="11"/>
        <v>413.2999999999999</v>
      </c>
      <c r="AC9" s="81">
        <f t="shared" ca="1" si="11"/>
        <v>246.49999999999997</v>
      </c>
      <c r="AD9" s="81">
        <f t="shared" ca="1" si="11"/>
        <v>82.6</v>
      </c>
      <c r="AE9" s="81">
        <f t="shared" ca="1" si="11"/>
        <v>19.100000000000001</v>
      </c>
      <c r="AF9" s="81">
        <f t="shared" ca="1" si="11"/>
        <v>53.3</v>
      </c>
      <c r="AG9" s="81">
        <f t="shared" ca="1" si="11"/>
        <v>187.99999999999997</v>
      </c>
      <c r="AH9" s="81">
        <f t="shared" ca="1" si="11"/>
        <v>411.2</v>
      </c>
      <c r="AI9" s="81">
        <f t="shared" ca="1" si="11"/>
        <v>502.20000000000005</v>
      </c>
      <c r="AJ9" s="81">
        <f t="shared" ca="1" si="11"/>
        <v>624.49999999999989</v>
      </c>
      <c r="AL9" s="81">
        <f t="shared" si="12"/>
        <v>2006</v>
      </c>
      <c r="AM9" s="81">
        <f t="shared" ca="1" si="1"/>
        <v>613.79999999999995</v>
      </c>
      <c r="AN9" s="81">
        <f t="shared" ca="1" si="2"/>
        <v>660.30000000000007</v>
      </c>
      <c r="AO9" s="81">
        <f t="shared" ca="1" si="2"/>
        <v>578.6</v>
      </c>
      <c r="AP9" s="81">
        <f t="shared" ca="1" si="2"/>
        <v>353.29999999999995</v>
      </c>
      <c r="AQ9" s="81">
        <f t="shared" ca="1" si="2"/>
        <v>190.49999999999997</v>
      </c>
      <c r="AR9" s="81">
        <f t="shared" ca="1" si="2"/>
        <v>41.20000000000001</v>
      </c>
      <c r="AS9" s="81">
        <f t="shared" ca="1" si="2"/>
        <v>5.5000000000000036</v>
      </c>
      <c r="AT9" s="81">
        <f t="shared" ca="1" si="2"/>
        <v>19.2</v>
      </c>
      <c r="AU9" s="81">
        <f t="shared" ca="1" si="2"/>
        <v>129.89999999999998</v>
      </c>
      <c r="AV9" s="81">
        <f t="shared" ca="1" si="2"/>
        <v>349.19999999999993</v>
      </c>
      <c r="AW9" s="81">
        <f t="shared" ca="1" si="2"/>
        <v>442.20000000000005</v>
      </c>
      <c r="AX9" s="81">
        <f t="shared" ca="1" si="2"/>
        <v>562.49999999999989</v>
      </c>
      <c r="AY9" s="93"/>
      <c r="AZ9" s="81">
        <f t="shared" si="13"/>
        <v>2006</v>
      </c>
      <c r="BA9" s="81">
        <f t="shared" ca="1" si="3"/>
        <v>551.79999999999995</v>
      </c>
      <c r="BB9" s="81">
        <f t="shared" ca="1" si="3"/>
        <v>604.30000000000007</v>
      </c>
      <c r="BC9" s="81">
        <f t="shared" ca="1" si="3"/>
        <v>516.6</v>
      </c>
      <c r="BD9" s="81">
        <f t="shared" ca="1" si="3"/>
        <v>293.2999999999999</v>
      </c>
      <c r="BE9" s="81">
        <f t="shared" ca="1" si="3"/>
        <v>136.89999999999998</v>
      </c>
      <c r="BF9" s="81">
        <f t="shared" ca="1" si="3"/>
        <v>19.5</v>
      </c>
      <c r="BG9" s="81">
        <f t="shared" ca="1" si="3"/>
        <v>0</v>
      </c>
      <c r="BH9" s="81">
        <f t="shared" ca="1" si="3"/>
        <v>4.1999999999999993</v>
      </c>
      <c r="BI9" s="81">
        <f t="shared" ca="1" si="3"/>
        <v>80.900000000000006</v>
      </c>
      <c r="BJ9" s="81">
        <f t="shared" ca="1" si="3"/>
        <v>288.3</v>
      </c>
      <c r="BK9" s="81">
        <f t="shared" ca="1" si="3"/>
        <v>382.2000000000001</v>
      </c>
      <c r="BL9" s="81">
        <f t="shared" ca="1" si="3"/>
        <v>500.49999999999989</v>
      </c>
      <c r="BM9" s="93">
        <f t="shared" ca="1" si="4"/>
        <v>3378.5</v>
      </c>
      <c r="BN9" s="81">
        <f t="shared" si="14"/>
        <v>2006</v>
      </c>
      <c r="BO9" s="81">
        <f t="shared" ca="1" si="5"/>
        <v>489.8</v>
      </c>
      <c r="BP9" s="81">
        <f t="shared" ca="1" si="5"/>
        <v>548.30000000000007</v>
      </c>
      <c r="BQ9" s="81">
        <f t="shared" ca="1" si="5"/>
        <v>454.59999999999997</v>
      </c>
      <c r="BR9" s="81">
        <f t="shared" ca="1" si="5"/>
        <v>233.29999999999993</v>
      </c>
      <c r="BS9" s="81">
        <f t="shared" ca="1" si="5"/>
        <v>87.000000000000014</v>
      </c>
      <c r="BT9" s="81">
        <f t="shared" ca="1" si="5"/>
        <v>8.1999999999999993</v>
      </c>
      <c r="BU9" s="81">
        <f t="shared" ca="1" si="5"/>
        <v>0</v>
      </c>
      <c r="BV9" s="81">
        <f t="shared" ca="1" si="5"/>
        <v>0</v>
      </c>
      <c r="BW9" s="81">
        <f t="shared" ca="1" si="5"/>
        <v>44.800000000000004</v>
      </c>
      <c r="BX9" s="81">
        <f t="shared" ca="1" si="5"/>
        <v>228.3</v>
      </c>
      <c r="BY9" s="81">
        <f t="shared" ca="1" si="5"/>
        <v>322.2000000000001</v>
      </c>
      <c r="BZ9" s="81">
        <f t="shared" ca="1" si="5"/>
        <v>438.49999999999989</v>
      </c>
      <c r="CB9" s="81">
        <f t="shared" si="15"/>
        <v>2006</v>
      </c>
      <c r="CC9" s="81">
        <f t="shared" ca="1" si="6"/>
        <v>427.8</v>
      </c>
      <c r="CD9" s="81">
        <f t="shared" ca="1" si="6"/>
        <v>492.30000000000007</v>
      </c>
      <c r="CE9" s="81">
        <f t="shared" ca="1" si="6"/>
        <v>392.6</v>
      </c>
      <c r="CF9" s="81">
        <f t="shared" ca="1" si="6"/>
        <v>176.5</v>
      </c>
      <c r="CG9" s="81">
        <f t="shared" ca="1" si="6"/>
        <v>47.1</v>
      </c>
      <c r="CH9" s="81">
        <f t="shared" ca="1" si="6"/>
        <v>2.3999999999999986</v>
      </c>
      <c r="CI9" s="81">
        <f t="shared" ca="1" si="6"/>
        <v>0</v>
      </c>
      <c r="CJ9" s="81">
        <f t="shared" ca="1" si="6"/>
        <v>0</v>
      </c>
      <c r="CK9" s="81">
        <f t="shared" ca="1" si="6"/>
        <v>21.6</v>
      </c>
      <c r="CL9" s="81">
        <f t="shared" ca="1" si="6"/>
        <v>169.19999999999996</v>
      </c>
      <c r="CM9" s="81">
        <f t="shared" ca="1" si="6"/>
        <v>262.20000000000005</v>
      </c>
      <c r="CN9" s="81">
        <f t="shared" ca="1" si="6"/>
        <v>376.49999999999989</v>
      </c>
      <c r="CP9" s="81">
        <f t="shared" si="16"/>
        <v>2006</v>
      </c>
      <c r="CQ9" s="81">
        <f t="shared" ca="1" si="7"/>
        <v>365.8</v>
      </c>
      <c r="CR9" s="81">
        <f t="shared" ca="1" si="7"/>
        <v>436.30000000000007</v>
      </c>
      <c r="CS9" s="81">
        <f t="shared" ca="1" si="7"/>
        <v>330.6</v>
      </c>
      <c r="CT9" s="81">
        <f t="shared" ca="1" si="7"/>
        <v>123.80000000000001</v>
      </c>
      <c r="CU9" s="81">
        <f t="shared" ca="1" si="7"/>
        <v>23</v>
      </c>
      <c r="CV9" s="81">
        <f t="shared" ca="1" si="7"/>
        <v>0</v>
      </c>
      <c r="CW9" s="81">
        <f t="shared" ca="1" si="7"/>
        <v>0</v>
      </c>
      <c r="CX9" s="81">
        <f t="shared" ca="1" si="7"/>
        <v>0</v>
      </c>
      <c r="CY9" s="81">
        <f t="shared" ca="1" si="7"/>
        <v>6</v>
      </c>
      <c r="CZ9" s="81">
        <f t="shared" ca="1" si="7"/>
        <v>117.20000000000002</v>
      </c>
      <c r="DA9" s="81">
        <f t="shared" ca="1" si="7"/>
        <v>202.19999999999996</v>
      </c>
      <c r="DB9" s="81">
        <f t="shared" ca="1" si="7"/>
        <v>314.49999999999994</v>
      </c>
      <c r="DD9" s="81">
        <f t="shared" si="17"/>
        <v>2006</v>
      </c>
      <c r="DE9" s="81">
        <f t="shared" ca="1" si="18"/>
        <v>303.8</v>
      </c>
      <c r="DF9" s="81">
        <f t="shared" ca="1" si="18"/>
        <v>380.30000000000007</v>
      </c>
      <c r="DG9" s="81">
        <f t="shared" ca="1" si="18"/>
        <v>268.70000000000005</v>
      </c>
      <c r="DH9" s="81">
        <f t="shared" ca="1" si="18"/>
        <v>77.5</v>
      </c>
      <c r="DI9" s="81">
        <f t="shared" ca="1" si="18"/>
        <v>9.6</v>
      </c>
      <c r="DJ9" s="81">
        <f t="shared" ca="1" si="18"/>
        <v>0</v>
      </c>
      <c r="DK9" s="81">
        <f t="shared" ca="1" si="18"/>
        <v>0</v>
      </c>
      <c r="DL9" s="81">
        <f t="shared" ca="1" si="18"/>
        <v>0</v>
      </c>
      <c r="DM9" s="81">
        <f t="shared" ca="1" si="18"/>
        <v>1.5</v>
      </c>
      <c r="DN9" s="81">
        <f t="shared" ca="1" si="18"/>
        <v>74.900000000000006</v>
      </c>
      <c r="DO9" s="81">
        <f t="shared" ca="1" si="18"/>
        <v>143.29999999999998</v>
      </c>
      <c r="DP9" s="81">
        <f t="shared" ca="1" si="18"/>
        <v>252.49999999999997</v>
      </c>
      <c r="DR9" s="81">
        <f t="shared" si="19"/>
        <v>2006</v>
      </c>
      <c r="DS9" s="81">
        <f t="shared" ca="1" si="20"/>
        <v>241.80000000000004</v>
      </c>
      <c r="DT9" s="81">
        <f t="shared" ca="1" si="20"/>
        <v>324.30000000000007</v>
      </c>
      <c r="DU9" s="81">
        <f t="shared" ca="1" si="20"/>
        <v>210.69999999999996</v>
      </c>
      <c r="DV9" s="81">
        <f t="shared" ca="1" si="20"/>
        <v>42.300000000000004</v>
      </c>
      <c r="DW9" s="81">
        <f t="shared" ca="1" si="20"/>
        <v>2</v>
      </c>
      <c r="DX9" s="81">
        <f t="shared" ca="1" si="20"/>
        <v>0</v>
      </c>
      <c r="DY9" s="81">
        <f t="shared" ca="1" si="20"/>
        <v>0</v>
      </c>
      <c r="DZ9" s="81">
        <f t="shared" ca="1" si="20"/>
        <v>0</v>
      </c>
      <c r="EA9" s="81">
        <f t="shared" ca="1" si="20"/>
        <v>0</v>
      </c>
      <c r="EB9" s="81">
        <f t="shared" ca="1" si="20"/>
        <v>39.1</v>
      </c>
      <c r="EC9" s="81">
        <f t="shared" ca="1" si="20"/>
        <v>95.5</v>
      </c>
      <c r="ED9" s="81">
        <f t="shared" ca="1" si="20"/>
        <v>191.1</v>
      </c>
      <c r="EG9" s="86"/>
      <c r="EH9" s="86"/>
      <c r="EI9" s="86"/>
      <c r="EK9" s="86"/>
      <c r="EL9" s="86"/>
      <c r="EM9" s="82"/>
      <c r="EO9" s="82"/>
      <c r="FA9" s="261" t="s">
        <v>132</v>
      </c>
      <c r="FB9" s="262"/>
      <c r="FC9" s="262"/>
      <c r="FD9" s="262"/>
      <c r="FE9" s="263"/>
      <c r="FF9" s="264"/>
    </row>
    <row r="10" spans="1:162" x14ac:dyDescent="0.2">
      <c r="A10" s="81">
        <v>2002</v>
      </c>
      <c r="B10" s="88">
        <v>9</v>
      </c>
      <c r="C10" s="88">
        <v>20.193333333333335</v>
      </c>
      <c r="D10" s="87">
        <v>78.5</v>
      </c>
      <c r="E10" s="87">
        <v>24.3</v>
      </c>
      <c r="F10" s="87">
        <v>45.2</v>
      </c>
      <c r="G10" s="87">
        <v>51</v>
      </c>
      <c r="H10" s="133">
        <v>21.8</v>
      </c>
      <c r="I10" s="133">
        <v>87.600000000000009</v>
      </c>
      <c r="J10" s="87">
        <v>6.7000000000000028</v>
      </c>
      <c r="K10" s="87">
        <v>132.50000000000003</v>
      </c>
      <c r="L10" s="87">
        <v>0.30000000000000071</v>
      </c>
      <c r="M10" s="87">
        <v>186.09999999999997</v>
      </c>
      <c r="N10" s="87">
        <v>0</v>
      </c>
      <c r="O10" s="87">
        <v>245.79999999999993</v>
      </c>
      <c r="P10" s="87">
        <v>0</v>
      </c>
      <c r="Q10" s="87">
        <v>305.79999999999995</v>
      </c>
      <c r="R10" s="87">
        <v>0</v>
      </c>
      <c r="S10" s="87">
        <v>365.79999999999995</v>
      </c>
      <c r="T10" s="87"/>
      <c r="U10" s="87"/>
      <c r="V10" s="87"/>
      <c r="X10" s="81">
        <f t="shared" si="10"/>
        <v>2007</v>
      </c>
      <c r="Y10" s="81">
        <f t="shared" ca="1" si="11"/>
        <v>771.10000000000014</v>
      </c>
      <c r="Z10" s="81">
        <f t="shared" ca="1" si="11"/>
        <v>852.1</v>
      </c>
      <c r="AA10" s="81">
        <f t="shared" ca="1" si="11"/>
        <v>670.69999999999982</v>
      </c>
      <c r="AB10" s="81">
        <f t="shared" ca="1" si="11"/>
        <v>476.39999999999992</v>
      </c>
      <c r="AC10" s="81">
        <f t="shared" ca="1" si="11"/>
        <v>239.69999999999993</v>
      </c>
      <c r="AD10" s="81">
        <f t="shared" ca="1" si="11"/>
        <v>63.699999999999996</v>
      </c>
      <c r="AE10" s="81">
        <f t="shared" ca="1" si="11"/>
        <v>46.399999999999991</v>
      </c>
      <c r="AF10" s="81">
        <f t="shared" ca="1" si="11"/>
        <v>35.899999999999991</v>
      </c>
      <c r="AG10" s="81">
        <f t="shared" ca="1" si="11"/>
        <v>123.70000000000003</v>
      </c>
      <c r="AH10" s="81">
        <f t="shared" ca="1" si="11"/>
        <v>244.2</v>
      </c>
      <c r="AI10" s="81">
        <f t="shared" ca="1" si="11"/>
        <v>582.5</v>
      </c>
      <c r="AJ10" s="81">
        <f t="shared" ca="1" si="11"/>
        <v>754.69999999999993</v>
      </c>
      <c r="AL10" s="81">
        <f t="shared" si="12"/>
        <v>2007</v>
      </c>
      <c r="AM10" s="81">
        <f t="shared" ca="1" si="1"/>
        <v>709.1</v>
      </c>
      <c r="AN10" s="81">
        <f t="shared" ca="1" si="2"/>
        <v>796.1</v>
      </c>
      <c r="AO10" s="81">
        <f t="shared" ca="1" si="2"/>
        <v>608.69999999999993</v>
      </c>
      <c r="AP10" s="81">
        <f t="shared" ca="1" si="2"/>
        <v>416.39999999999992</v>
      </c>
      <c r="AQ10" s="81">
        <f t="shared" ca="1" si="2"/>
        <v>185.09999999999994</v>
      </c>
      <c r="AR10" s="81">
        <f t="shared" ca="1" si="2"/>
        <v>35.29999999999999</v>
      </c>
      <c r="AS10" s="81">
        <f t="shared" ca="1" si="2"/>
        <v>16.799999999999994</v>
      </c>
      <c r="AT10" s="81">
        <f t="shared" ca="1" si="2"/>
        <v>14.299999999999997</v>
      </c>
      <c r="AU10" s="81">
        <f t="shared" ca="1" si="2"/>
        <v>73.800000000000011</v>
      </c>
      <c r="AV10" s="81">
        <f t="shared" ca="1" si="2"/>
        <v>186.6</v>
      </c>
      <c r="AW10" s="81">
        <f t="shared" ca="1" si="2"/>
        <v>522.5</v>
      </c>
      <c r="AX10" s="81">
        <f t="shared" ca="1" si="2"/>
        <v>692.7</v>
      </c>
      <c r="AY10" s="93"/>
      <c r="AZ10" s="81">
        <f t="shared" si="13"/>
        <v>2007</v>
      </c>
      <c r="BA10" s="81">
        <f t="shared" ca="1" si="3"/>
        <v>647.1</v>
      </c>
      <c r="BB10" s="81">
        <f t="shared" ca="1" si="3"/>
        <v>740.1</v>
      </c>
      <c r="BC10" s="81">
        <f t="shared" ca="1" si="3"/>
        <v>546.69999999999993</v>
      </c>
      <c r="BD10" s="81">
        <f t="shared" ca="1" si="3"/>
        <v>356.39999999999992</v>
      </c>
      <c r="BE10" s="81">
        <f t="shared" ca="1" si="3"/>
        <v>136.39999999999998</v>
      </c>
      <c r="BF10" s="81">
        <f t="shared" ca="1" si="3"/>
        <v>16.5</v>
      </c>
      <c r="BG10" s="81">
        <f t="shared" ca="1" si="3"/>
        <v>3.1999999999999957</v>
      </c>
      <c r="BH10" s="81">
        <f t="shared" ca="1" si="3"/>
        <v>5.1999999999999993</v>
      </c>
      <c r="BI10" s="81">
        <f t="shared" ca="1" si="3"/>
        <v>36.899999999999991</v>
      </c>
      <c r="BJ10" s="81">
        <f t="shared" ca="1" si="3"/>
        <v>137.69999999999999</v>
      </c>
      <c r="BK10" s="81">
        <f t="shared" ca="1" si="3"/>
        <v>462.49999999999989</v>
      </c>
      <c r="BL10" s="81">
        <f t="shared" ca="1" si="3"/>
        <v>630.70000000000005</v>
      </c>
      <c r="BM10" s="93">
        <f t="shared" ca="1" si="4"/>
        <v>3719.3999999999996</v>
      </c>
      <c r="BN10" s="81">
        <f t="shared" si="14"/>
        <v>2007</v>
      </c>
      <c r="BO10" s="81">
        <f t="shared" ca="1" si="5"/>
        <v>585.1</v>
      </c>
      <c r="BP10" s="81">
        <f t="shared" ca="1" si="5"/>
        <v>684.1</v>
      </c>
      <c r="BQ10" s="81">
        <f t="shared" ca="1" si="5"/>
        <v>484.69999999999987</v>
      </c>
      <c r="BR10" s="81">
        <f t="shared" ca="1" si="5"/>
        <v>297.89999999999998</v>
      </c>
      <c r="BS10" s="81">
        <f t="shared" ca="1" si="5"/>
        <v>91.500000000000014</v>
      </c>
      <c r="BT10" s="81">
        <f t="shared" ca="1" si="5"/>
        <v>6.5</v>
      </c>
      <c r="BU10" s="81">
        <f t="shared" ca="1" si="5"/>
        <v>0</v>
      </c>
      <c r="BV10" s="81">
        <f t="shared" ca="1" si="5"/>
        <v>0.19999999999999929</v>
      </c>
      <c r="BW10" s="81">
        <f t="shared" ca="1" si="5"/>
        <v>16</v>
      </c>
      <c r="BX10" s="81">
        <f t="shared" ca="1" si="5"/>
        <v>98.5</v>
      </c>
      <c r="BY10" s="81">
        <f t="shared" ca="1" si="5"/>
        <v>402.49999999999983</v>
      </c>
      <c r="BZ10" s="81">
        <f t="shared" ca="1" si="5"/>
        <v>568.69999999999993</v>
      </c>
      <c r="CB10" s="81">
        <f t="shared" si="15"/>
        <v>2007</v>
      </c>
      <c r="CC10" s="81">
        <f t="shared" ca="1" si="6"/>
        <v>523.1</v>
      </c>
      <c r="CD10" s="81">
        <f t="shared" ca="1" si="6"/>
        <v>628.09999999999991</v>
      </c>
      <c r="CE10" s="81">
        <f t="shared" ca="1" si="6"/>
        <v>422.69999999999987</v>
      </c>
      <c r="CF10" s="81">
        <f t="shared" ca="1" si="6"/>
        <v>241.90000000000003</v>
      </c>
      <c r="CG10" s="81">
        <f t="shared" ca="1" si="6"/>
        <v>57.099999999999994</v>
      </c>
      <c r="CH10" s="81">
        <f t="shared" ca="1" si="6"/>
        <v>2.5</v>
      </c>
      <c r="CI10" s="81">
        <f t="shared" ca="1" si="6"/>
        <v>0</v>
      </c>
      <c r="CJ10" s="81">
        <f t="shared" ca="1" si="6"/>
        <v>0</v>
      </c>
      <c r="CK10" s="81">
        <f t="shared" ca="1" si="6"/>
        <v>6.6</v>
      </c>
      <c r="CL10" s="81">
        <f t="shared" ca="1" si="6"/>
        <v>64.5</v>
      </c>
      <c r="CM10" s="81">
        <f t="shared" ca="1" si="6"/>
        <v>342.49999999999989</v>
      </c>
      <c r="CN10" s="81">
        <f t="shared" ca="1" si="6"/>
        <v>506.7</v>
      </c>
      <c r="CP10" s="81">
        <f t="shared" si="16"/>
        <v>2007</v>
      </c>
      <c r="CQ10" s="81">
        <f t="shared" ca="1" si="7"/>
        <v>461.09999999999997</v>
      </c>
      <c r="CR10" s="81">
        <f t="shared" ca="1" si="7"/>
        <v>572.1</v>
      </c>
      <c r="CS10" s="81">
        <f t="shared" ca="1" si="7"/>
        <v>361.39999999999992</v>
      </c>
      <c r="CT10" s="81">
        <f t="shared" ca="1" si="7"/>
        <v>191.50000000000006</v>
      </c>
      <c r="CU10" s="81">
        <f t="shared" ca="1" si="7"/>
        <v>28.2</v>
      </c>
      <c r="CV10" s="81">
        <f t="shared" ca="1" si="7"/>
        <v>0</v>
      </c>
      <c r="CW10" s="81">
        <f t="shared" ca="1" si="7"/>
        <v>0</v>
      </c>
      <c r="CX10" s="81">
        <f t="shared" ca="1" si="7"/>
        <v>0</v>
      </c>
      <c r="CY10" s="81">
        <f t="shared" ca="1" si="7"/>
        <v>2.3000000000000007</v>
      </c>
      <c r="CZ10" s="81">
        <f t="shared" ca="1" si="7"/>
        <v>35.1</v>
      </c>
      <c r="DA10" s="81">
        <f t="shared" ca="1" si="7"/>
        <v>282.49999999999989</v>
      </c>
      <c r="DB10" s="81">
        <f t="shared" ca="1" si="7"/>
        <v>444.7</v>
      </c>
      <c r="DD10" s="81">
        <f t="shared" si="17"/>
        <v>2007</v>
      </c>
      <c r="DE10" s="81">
        <f t="shared" ca="1" si="18"/>
        <v>399.09999999999997</v>
      </c>
      <c r="DF10" s="81">
        <f t="shared" ca="1" si="18"/>
        <v>516.1</v>
      </c>
      <c r="DG10" s="81">
        <f t="shared" ca="1" si="18"/>
        <v>302.89999999999992</v>
      </c>
      <c r="DH10" s="81">
        <f t="shared" ca="1" si="18"/>
        <v>145.80000000000004</v>
      </c>
      <c r="DI10" s="81">
        <f t="shared" ca="1" si="18"/>
        <v>5.9</v>
      </c>
      <c r="DJ10" s="81">
        <f t="shared" ca="1" si="18"/>
        <v>0</v>
      </c>
      <c r="DK10" s="81">
        <f t="shared" ca="1" si="18"/>
        <v>0</v>
      </c>
      <c r="DL10" s="81">
        <f t="shared" ca="1" si="18"/>
        <v>0</v>
      </c>
      <c r="DM10" s="81">
        <f t="shared" ca="1" si="18"/>
        <v>0.30000000000000071</v>
      </c>
      <c r="DN10" s="81">
        <f t="shared" ca="1" si="18"/>
        <v>15.1</v>
      </c>
      <c r="DO10" s="81">
        <f t="shared" ca="1" si="18"/>
        <v>222.99999999999997</v>
      </c>
      <c r="DP10" s="81">
        <f t="shared" ca="1" si="18"/>
        <v>382.7</v>
      </c>
      <c r="DR10" s="81">
        <f t="shared" si="19"/>
        <v>2007</v>
      </c>
      <c r="DS10" s="81">
        <f t="shared" ca="1" si="20"/>
        <v>338.59999999999997</v>
      </c>
      <c r="DT10" s="81">
        <f t="shared" ca="1" si="20"/>
        <v>460.1</v>
      </c>
      <c r="DU10" s="81">
        <f t="shared" ca="1" si="20"/>
        <v>247.90000000000009</v>
      </c>
      <c r="DV10" s="81">
        <f t="shared" ca="1" si="20"/>
        <v>105.10000000000002</v>
      </c>
      <c r="DW10" s="81">
        <f t="shared" ca="1" si="20"/>
        <v>0</v>
      </c>
      <c r="DX10" s="81">
        <f t="shared" ca="1" si="20"/>
        <v>0</v>
      </c>
      <c r="DY10" s="81">
        <f t="shared" ca="1" si="20"/>
        <v>0</v>
      </c>
      <c r="DZ10" s="81">
        <f t="shared" ca="1" si="20"/>
        <v>0</v>
      </c>
      <c r="EA10" s="81">
        <f t="shared" ca="1" si="20"/>
        <v>0</v>
      </c>
      <c r="EB10" s="81">
        <f t="shared" ca="1" si="20"/>
        <v>4.9999999999999991</v>
      </c>
      <c r="EC10" s="81">
        <f t="shared" ca="1" si="20"/>
        <v>166.3</v>
      </c>
      <c r="ED10" s="81">
        <f t="shared" ca="1" si="20"/>
        <v>320.70000000000005</v>
      </c>
      <c r="EG10" s="86"/>
      <c r="EH10" s="86"/>
      <c r="EI10" s="86"/>
      <c r="EK10" s="86"/>
      <c r="EL10" s="86"/>
      <c r="EM10" s="82"/>
      <c r="EO10" s="82"/>
      <c r="FA10" s="265" t="s">
        <v>133</v>
      </c>
      <c r="FB10" s="266"/>
      <c r="FC10" s="266"/>
      <c r="FD10" s="266"/>
      <c r="FE10" s="267"/>
      <c r="FF10" s="268"/>
    </row>
    <row r="11" spans="1:162" x14ac:dyDescent="0.2">
      <c r="A11" s="81">
        <v>2002</v>
      </c>
      <c r="B11" s="88">
        <v>10</v>
      </c>
      <c r="C11" s="88">
        <v>8.8967741935483851</v>
      </c>
      <c r="D11" s="87">
        <v>408.7000000000001</v>
      </c>
      <c r="E11" s="87">
        <v>2.5</v>
      </c>
      <c r="F11" s="87">
        <v>349.1</v>
      </c>
      <c r="G11" s="87">
        <v>4.8999999999999986</v>
      </c>
      <c r="H11" s="133">
        <v>292.2</v>
      </c>
      <c r="I11" s="133">
        <v>10</v>
      </c>
      <c r="J11" s="87">
        <v>236.19999999999996</v>
      </c>
      <c r="K11" s="87">
        <v>16</v>
      </c>
      <c r="L11" s="87">
        <v>180.89999999999998</v>
      </c>
      <c r="M11" s="87">
        <v>22.700000000000003</v>
      </c>
      <c r="N11" s="87">
        <v>132.89999999999998</v>
      </c>
      <c r="O11" s="87">
        <v>36.700000000000003</v>
      </c>
      <c r="P11" s="87">
        <v>91.800000000000011</v>
      </c>
      <c r="Q11" s="87">
        <v>57.600000000000009</v>
      </c>
      <c r="R11" s="87">
        <v>55.5</v>
      </c>
      <c r="S11" s="87">
        <v>83.3</v>
      </c>
      <c r="T11" s="87"/>
      <c r="U11" s="87"/>
      <c r="V11" s="87"/>
      <c r="X11" s="81">
        <f t="shared" si="10"/>
        <v>2008</v>
      </c>
      <c r="Y11" s="81">
        <f t="shared" ca="1" si="11"/>
        <v>747.49999999999989</v>
      </c>
      <c r="Z11" s="81">
        <f t="shared" ca="1" si="11"/>
        <v>790.7</v>
      </c>
      <c r="AA11" s="81">
        <f t="shared" ca="1" si="11"/>
        <v>734.2</v>
      </c>
      <c r="AB11" s="81">
        <f t="shared" ca="1" si="11"/>
        <v>373.89999999999992</v>
      </c>
      <c r="AC11" s="81">
        <f t="shared" ca="1" si="11"/>
        <v>315</v>
      </c>
      <c r="AD11" s="81">
        <f t="shared" ca="1" si="11"/>
        <v>91.8</v>
      </c>
      <c r="AE11" s="81">
        <f t="shared" ca="1" si="11"/>
        <v>36.700000000000003</v>
      </c>
      <c r="AF11" s="81">
        <f t="shared" ca="1" si="11"/>
        <v>77</v>
      </c>
      <c r="AG11" s="81">
        <f t="shared" ca="1" si="11"/>
        <v>153.80000000000001</v>
      </c>
      <c r="AH11" s="81">
        <f t="shared" ca="1" si="11"/>
        <v>402.6</v>
      </c>
      <c r="AI11" s="81">
        <f t="shared" ca="1" si="11"/>
        <v>571.60000000000014</v>
      </c>
      <c r="AJ11" s="81">
        <f t="shared" ca="1" si="11"/>
        <v>778.60000000000025</v>
      </c>
      <c r="AL11" s="81">
        <f t="shared" si="12"/>
        <v>2008</v>
      </c>
      <c r="AM11" s="81">
        <f t="shared" ca="1" si="1"/>
        <v>685.5</v>
      </c>
      <c r="AN11" s="81">
        <f t="shared" ca="1" si="2"/>
        <v>732.7</v>
      </c>
      <c r="AO11" s="81">
        <f t="shared" ca="1" si="2"/>
        <v>672.2</v>
      </c>
      <c r="AP11" s="81">
        <f t="shared" ca="1" si="2"/>
        <v>313.90000000000003</v>
      </c>
      <c r="AQ11" s="81">
        <f t="shared" ca="1" si="2"/>
        <v>253.2</v>
      </c>
      <c r="AR11" s="81">
        <f t="shared" ca="1" si="2"/>
        <v>50.8</v>
      </c>
      <c r="AS11" s="81">
        <f t="shared" ca="1" si="2"/>
        <v>9.6000000000000014</v>
      </c>
      <c r="AT11" s="81">
        <f t="shared" ca="1" si="2"/>
        <v>37.700000000000003</v>
      </c>
      <c r="AU11" s="81">
        <f t="shared" ca="1" si="2"/>
        <v>102.29999999999998</v>
      </c>
      <c r="AV11" s="81">
        <f t="shared" ca="1" si="2"/>
        <v>340.59999999999997</v>
      </c>
      <c r="AW11" s="81">
        <f t="shared" ca="1" si="2"/>
        <v>511.60000000000014</v>
      </c>
      <c r="AX11" s="81">
        <f t="shared" ca="1" si="2"/>
        <v>716.60000000000025</v>
      </c>
      <c r="AY11" s="93"/>
      <c r="AZ11" s="81">
        <f t="shared" si="13"/>
        <v>2008</v>
      </c>
      <c r="BA11" s="81">
        <f t="shared" ca="1" si="3"/>
        <v>623.49999999999989</v>
      </c>
      <c r="BB11" s="81">
        <f t="shared" ca="1" si="3"/>
        <v>674.7</v>
      </c>
      <c r="BC11" s="81">
        <f t="shared" ca="1" si="3"/>
        <v>610.19999999999993</v>
      </c>
      <c r="BD11" s="81">
        <f t="shared" ca="1" si="3"/>
        <v>253.90000000000003</v>
      </c>
      <c r="BE11" s="81">
        <f t="shared" ca="1" si="3"/>
        <v>193.5</v>
      </c>
      <c r="BF11" s="81">
        <f t="shared" ca="1" si="3"/>
        <v>22.7</v>
      </c>
      <c r="BG11" s="81">
        <f t="shared" ca="1" si="3"/>
        <v>1</v>
      </c>
      <c r="BH11" s="81">
        <f t="shared" ca="1" si="3"/>
        <v>12.700000000000001</v>
      </c>
      <c r="BI11" s="81">
        <f t="shared" ca="1" si="3"/>
        <v>59</v>
      </c>
      <c r="BJ11" s="81">
        <f t="shared" ca="1" si="3"/>
        <v>278.60000000000002</v>
      </c>
      <c r="BK11" s="81">
        <f t="shared" ca="1" si="3"/>
        <v>451.60000000000014</v>
      </c>
      <c r="BL11" s="81">
        <f t="shared" ca="1" si="3"/>
        <v>654.60000000000025</v>
      </c>
      <c r="BM11" s="93">
        <f t="shared" ca="1" si="4"/>
        <v>3836</v>
      </c>
      <c r="BN11" s="81">
        <f t="shared" si="14"/>
        <v>2008</v>
      </c>
      <c r="BO11" s="81">
        <f t="shared" ca="1" si="5"/>
        <v>561.5</v>
      </c>
      <c r="BP11" s="81">
        <f t="shared" ca="1" si="5"/>
        <v>616.70000000000005</v>
      </c>
      <c r="BQ11" s="81">
        <f t="shared" ca="1" si="5"/>
        <v>548.20000000000005</v>
      </c>
      <c r="BR11" s="81">
        <f t="shared" ca="1" si="5"/>
        <v>196.60000000000005</v>
      </c>
      <c r="BS11" s="81">
        <f t="shared" ca="1" si="5"/>
        <v>135.49999999999997</v>
      </c>
      <c r="BT11" s="81">
        <f t="shared" ca="1" si="5"/>
        <v>8.5</v>
      </c>
      <c r="BU11" s="81">
        <f t="shared" ca="1" si="5"/>
        <v>0</v>
      </c>
      <c r="BV11" s="81">
        <f t="shared" ca="1" si="5"/>
        <v>2.0999999999999996</v>
      </c>
      <c r="BW11" s="81">
        <f t="shared" ca="1" si="5"/>
        <v>26.7</v>
      </c>
      <c r="BX11" s="81">
        <f t="shared" ca="1" si="5"/>
        <v>217.50000000000003</v>
      </c>
      <c r="BY11" s="81">
        <f t="shared" ca="1" si="5"/>
        <v>391.60000000000008</v>
      </c>
      <c r="BZ11" s="81">
        <f t="shared" ca="1" si="5"/>
        <v>592.60000000000014</v>
      </c>
      <c r="CB11" s="81">
        <f t="shared" si="15"/>
        <v>2008</v>
      </c>
      <c r="CC11" s="81">
        <f t="shared" ca="1" si="6"/>
        <v>499.5</v>
      </c>
      <c r="CD11" s="81">
        <f t="shared" ca="1" si="6"/>
        <v>558.70000000000005</v>
      </c>
      <c r="CE11" s="81">
        <f t="shared" ca="1" si="6"/>
        <v>486.19999999999993</v>
      </c>
      <c r="CF11" s="81">
        <f t="shared" ca="1" si="6"/>
        <v>150.9</v>
      </c>
      <c r="CG11" s="81">
        <f t="shared" ca="1" si="6"/>
        <v>81.5</v>
      </c>
      <c r="CH11" s="81">
        <f t="shared" ca="1" si="6"/>
        <v>1.4000000000000004</v>
      </c>
      <c r="CI11" s="81">
        <f t="shared" ca="1" si="6"/>
        <v>0</v>
      </c>
      <c r="CJ11" s="81">
        <f t="shared" ca="1" si="6"/>
        <v>9.9999999999999645E-2</v>
      </c>
      <c r="CK11" s="81">
        <f t="shared" ca="1" si="6"/>
        <v>5.2000000000000011</v>
      </c>
      <c r="CL11" s="81">
        <f t="shared" ca="1" si="6"/>
        <v>158.1</v>
      </c>
      <c r="CM11" s="81">
        <f t="shared" ca="1" si="6"/>
        <v>331.6</v>
      </c>
      <c r="CN11" s="81">
        <f t="shared" ca="1" si="6"/>
        <v>530.6</v>
      </c>
      <c r="CP11" s="81">
        <f t="shared" si="16"/>
        <v>2008</v>
      </c>
      <c r="CQ11" s="81">
        <f t="shared" ca="1" si="7"/>
        <v>438.9</v>
      </c>
      <c r="CR11" s="81">
        <f t="shared" ca="1" si="7"/>
        <v>500.7</v>
      </c>
      <c r="CS11" s="81">
        <f t="shared" ca="1" si="7"/>
        <v>424.19999999999993</v>
      </c>
      <c r="CT11" s="81">
        <f t="shared" ca="1" si="7"/>
        <v>110.69999999999999</v>
      </c>
      <c r="CU11" s="81">
        <f t="shared" ca="1" si="7"/>
        <v>37.700000000000003</v>
      </c>
      <c r="CV11" s="81">
        <f t="shared" ca="1" si="7"/>
        <v>0</v>
      </c>
      <c r="CW11" s="81">
        <f t="shared" ca="1" si="7"/>
        <v>0</v>
      </c>
      <c r="CX11" s="81">
        <f t="shared" ca="1" si="7"/>
        <v>0</v>
      </c>
      <c r="CY11" s="81">
        <f t="shared" ca="1" si="7"/>
        <v>0</v>
      </c>
      <c r="CZ11" s="81">
        <f t="shared" ca="1" si="7"/>
        <v>105.70000000000002</v>
      </c>
      <c r="DA11" s="81">
        <f t="shared" ca="1" si="7"/>
        <v>272.3</v>
      </c>
      <c r="DB11" s="81">
        <f t="shared" ca="1" si="7"/>
        <v>468.6</v>
      </c>
      <c r="DD11" s="81">
        <f t="shared" si="17"/>
        <v>2008</v>
      </c>
      <c r="DE11" s="81">
        <f t="shared" ca="1" si="18"/>
        <v>379.79999999999995</v>
      </c>
      <c r="DF11" s="81">
        <f t="shared" ca="1" si="18"/>
        <v>442.7</v>
      </c>
      <c r="DG11" s="81">
        <f t="shared" ca="1" si="18"/>
        <v>362.19999999999987</v>
      </c>
      <c r="DH11" s="81">
        <f t="shared" ca="1" si="18"/>
        <v>77.899999999999991</v>
      </c>
      <c r="DI11" s="81">
        <f t="shared" ca="1" si="18"/>
        <v>13.899999999999997</v>
      </c>
      <c r="DJ11" s="81">
        <f t="shared" ca="1" si="18"/>
        <v>0</v>
      </c>
      <c r="DK11" s="81">
        <f t="shared" ca="1" si="18"/>
        <v>0</v>
      </c>
      <c r="DL11" s="81">
        <f t="shared" ca="1" si="18"/>
        <v>0</v>
      </c>
      <c r="DM11" s="81">
        <f t="shared" ca="1" si="18"/>
        <v>0</v>
      </c>
      <c r="DN11" s="81">
        <f t="shared" ca="1" si="18"/>
        <v>61.9</v>
      </c>
      <c r="DO11" s="81">
        <f t="shared" ca="1" si="18"/>
        <v>219.39999999999998</v>
      </c>
      <c r="DP11" s="81">
        <f t="shared" ca="1" si="18"/>
        <v>406.6</v>
      </c>
      <c r="DR11" s="81">
        <f t="shared" si="19"/>
        <v>2008</v>
      </c>
      <c r="DS11" s="81">
        <f t="shared" ca="1" si="20"/>
        <v>321.79999999999995</v>
      </c>
      <c r="DT11" s="81">
        <f t="shared" ca="1" si="20"/>
        <v>384.7</v>
      </c>
      <c r="DU11" s="81">
        <f t="shared" ca="1" si="20"/>
        <v>300.19999999999993</v>
      </c>
      <c r="DV11" s="81">
        <f t="shared" ca="1" si="20"/>
        <v>46.5</v>
      </c>
      <c r="DW11" s="81">
        <f t="shared" ca="1" si="20"/>
        <v>3.5</v>
      </c>
      <c r="DX11" s="81">
        <f t="shared" ca="1" si="20"/>
        <v>0</v>
      </c>
      <c r="DY11" s="81">
        <f t="shared" ca="1" si="20"/>
        <v>0</v>
      </c>
      <c r="DZ11" s="81">
        <f t="shared" ca="1" si="20"/>
        <v>0</v>
      </c>
      <c r="EA11" s="81">
        <f t="shared" ca="1" si="20"/>
        <v>0</v>
      </c>
      <c r="EB11" s="81">
        <f t="shared" ca="1" si="20"/>
        <v>31.700000000000003</v>
      </c>
      <c r="EC11" s="81">
        <f t="shared" ca="1" si="20"/>
        <v>171.6</v>
      </c>
      <c r="ED11" s="81">
        <f t="shared" ca="1" si="20"/>
        <v>344.6</v>
      </c>
      <c r="EG11" s="86"/>
      <c r="EH11" s="86"/>
      <c r="EI11" s="86"/>
      <c r="EK11" s="86"/>
      <c r="EL11" s="86"/>
      <c r="EM11" s="82"/>
      <c r="EO11" s="82"/>
      <c r="FA11" s="265" t="s">
        <v>134</v>
      </c>
      <c r="FB11" s="266"/>
      <c r="FC11" s="266"/>
      <c r="FD11" s="266"/>
      <c r="FE11" s="267"/>
      <c r="FF11" s="268"/>
    </row>
    <row r="12" spans="1:162" x14ac:dyDescent="0.2">
      <c r="A12" s="81">
        <v>2002</v>
      </c>
      <c r="B12" s="88">
        <v>11</v>
      </c>
      <c r="C12" s="88">
        <v>3.166666666666667</v>
      </c>
      <c r="D12" s="87">
        <v>564.99999999999989</v>
      </c>
      <c r="E12" s="87">
        <v>0</v>
      </c>
      <c r="F12" s="87">
        <v>505</v>
      </c>
      <c r="G12" s="87">
        <v>0</v>
      </c>
      <c r="H12" s="133">
        <v>445</v>
      </c>
      <c r="I12" s="133">
        <v>0</v>
      </c>
      <c r="J12" s="87">
        <v>385</v>
      </c>
      <c r="K12" s="87">
        <v>0</v>
      </c>
      <c r="L12" s="87">
        <v>325.59999999999997</v>
      </c>
      <c r="M12" s="87">
        <v>0.59999999999999964</v>
      </c>
      <c r="N12" s="87">
        <v>267.79999999999995</v>
      </c>
      <c r="O12" s="87">
        <v>2.7999999999999989</v>
      </c>
      <c r="P12" s="87">
        <v>214.2</v>
      </c>
      <c r="Q12" s="87">
        <v>9.1999999999999993</v>
      </c>
      <c r="R12" s="87">
        <v>162.70000000000002</v>
      </c>
      <c r="S12" s="87">
        <v>17.7</v>
      </c>
      <c r="T12" s="87"/>
      <c r="U12" s="87"/>
      <c r="V12" s="87"/>
      <c r="X12" s="81">
        <f t="shared" si="10"/>
        <v>2009</v>
      </c>
      <c r="Y12" s="81">
        <f t="shared" ca="1" si="11"/>
        <v>954.19999999999993</v>
      </c>
      <c r="Z12" s="81">
        <f t="shared" ca="1" si="11"/>
        <v>718.40000000000009</v>
      </c>
      <c r="AA12" s="81">
        <f t="shared" ca="1" si="11"/>
        <v>657.8</v>
      </c>
      <c r="AB12" s="81">
        <f t="shared" ca="1" si="11"/>
        <v>424.59999999999997</v>
      </c>
      <c r="AC12" s="81">
        <f t="shared" ca="1" si="11"/>
        <v>275.89999999999998</v>
      </c>
      <c r="AD12" s="81">
        <f t="shared" ca="1" si="11"/>
        <v>141.6</v>
      </c>
      <c r="AE12" s="81">
        <f t="shared" ca="1" si="11"/>
        <v>88.499999999999972</v>
      </c>
      <c r="AF12" s="81">
        <f t="shared" ca="1" si="11"/>
        <v>65.5</v>
      </c>
      <c r="AG12" s="81">
        <f t="shared" ca="1" si="11"/>
        <v>154.30000000000001</v>
      </c>
      <c r="AH12" s="81">
        <f t="shared" ca="1" si="11"/>
        <v>411.79999999999995</v>
      </c>
      <c r="AI12" s="81">
        <f t="shared" ca="1" si="11"/>
        <v>481.19999999999993</v>
      </c>
      <c r="AJ12" s="81">
        <f t="shared" ca="1" si="11"/>
        <v>755.30000000000007</v>
      </c>
      <c r="AL12" s="81">
        <f t="shared" si="12"/>
        <v>2009</v>
      </c>
      <c r="AM12" s="81">
        <f t="shared" ca="1" si="1"/>
        <v>892.19999999999993</v>
      </c>
      <c r="AN12" s="81">
        <f t="shared" ca="1" si="2"/>
        <v>662.40000000000009</v>
      </c>
      <c r="AO12" s="81">
        <f t="shared" ca="1" si="2"/>
        <v>595.79999999999995</v>
      </c>
      <c r="AP12" s="81">
        <f t="shared" ca="1" si="2"/>
        <v>364.6</v>
      </c>
      <c r="AQ12" s="81">
        <f t="shared" ca="1" si="2"/>
        <v>216.2</v>
      </c>
      <c r="AR12" s="81">
        <f t="shared" ca="1" si="2"/>
        <v>93.5</v>
      </c>
      <c r="AS12" s="81">
        <f t="shared" ca="1" si="2"/>
        <v>37.4</v>
      </c>
      <c r="AT12" s="81">
        <f t="shared" ca="1" si="2"/>
        <v>30.500000000000007</v>
      </c>
      <c r="AU12" s="81">
        <f t="shared" ca="1" si="2"/>
        <v>98.799999999999983</v>
      </c>
      <c r="AV12" s="81">
        <f t="shared" ca="1" si="2"/>
        <v>349.79999999999995</v>
      </c>
      <c r="AW12" s="81">
        <f t="shared" ca="1" si="2"/>
        <v>421.2</v>
      </c>
      <c r="AX12" s="81">
        <f t="shared" ca="1" si="2"/>
        <v>693.30000000000007</v>
      </c>
      <c r="AY12" s="93"/>
      <c r="AZ12" s="81">
        <f t="shared" si="13"/>
        <v>2009</v>
      </c>
      <c r="BA12" s="81">
        <f t="shared" ca="1" si="3"/>
        <v>830.2</v>
      </c>
      <c r="BB12" s="81">
        <f t="shared" ca="1" si="3"/>
        <v>606.4</v>
      </c>
      <c r="BC12" s="81">
        <f t="shared" ca="1" si="3"/>
        <v>533.79999999999995</v>
      </c>
      <c r="BD12" s="81">
        <f t="shared" ca="1" si="3"/>
        <v>305.8</v>
      </c>
      <c r="BE12" s="81">
        <f t="shared" ca="1" si="3"/>
        <v>158.79999999999998</v>
      </c>
      <c r="BF12" s="81">
        <f t="shared" ca="1" si="3"/>
        <v>49.300000000000004</v>
      </c>
      <c r="BG12" s="81">
        <f t="shared" ca="1" si="3"/>
        <v>6.1999999999999993</v>
      </c>
      <c r="BH12" s="81">
        <f t="shared" ca="1" si="3"/>
        <v>9.8000000000000007</v>
      </c>
      <c r="BI12" s="81">
        <f t="shared" ca="1" si="3"/>
        <v>55.199999999999989</v>
      </c>
      <c r="BJ12" s="81">
        <f t="shared" ca="1" si="3"/>
        <v>287.8</v>
      </c>
      <c r="BK12" s="81">
        <f t="shared" ca="1" si="3"/>
        <v>361.2</v>
      </c>
      <c r="BL12" s="81">
        <f t="shared" ca="1" si="3"/>
        <v>631.29999999999995</v>
      </c>
      <c r="BM12" s="93">
        <f t="shared" ca="1" si="4"/>
        <v>3835.8</v>
      </c>
      <c r="BN12" s="81">
        <f t="shared" si="14"/>
        <v>2009</v>
      </c>
      <c r="BO12" s="81">
        <f t="shared" ca="1" si="5"/>
        <v>768.19999999999993</v>
      </c>
      <c r="BP12" s="81">
        <f t="shared" ca="1" si="5"/>
        <v>550.4</v>
      </c>
      <c r="BQ12" s="81">
        <f t="shared" ca="1" si="5"/>
        <v>471.79999999999995</v>
      </c>
      <c r="BR12" s="81">
        <f t="shared" ca="1" si="5"/>
        <v>249.09999999999997</v>
      </c>
      <c r="BS12" s="81">
        <f t="shared" ca="1" si="5"/>
        <v>104.49999999999999</v>
      </c>
      <c r="BT12" s="81">
        <f t="shared" ca="1" si="5"/>
        <v>22.9</v>
      </c>
      <c r="BU12" s="81">
        <f t="shared" ca="1" si="5"/>
        <v>0</v>
      </c>
      <c r="BV12" s="81">
        <f t="shared" ca="1" si="5"/>
        <v>1.3000000000000007</v>
      </c>
      <c r="BW12" s="81">
        <f t="shared" ca="1" si="5"/>
        <v>29.799999999999997</v>
      </c>
      <c r="BX12" s="81">
        <f t="shared" ca="1" si="5"/>
        <v>225.79999999999998</v>
      </c>
      <c r="BY12" s="81">
        <f t="shared" ca="1" si="5"/>
        <v>301.20000000000005</v>
      </c>
      <c r="BZ12" s="81">
        <f t="shared" ca="1" si="5"/>
        <v>569.30000000000007</v>
      </c>
      <c r="CB12" s="81">
        <f t="shared" si="15"/>
        <v>2009</v>
      </c>
      <c r="CC12" s="81">
        <f t="shared" ca="1" si="6"/>
        <v>706.19999999999993</v>
      </c>
      <c r="CD12" s="81">
        <f t="shared" ca="1" si="6"/>
        <v>494.39999999999992</v>
      </c>
      <c r="CE12" s="81">
        <f t="shared" ca="1" si="6"/>
        <v>409.79999999999995</v>
      </c>
      <c r="CF12" s="81">
        <f t="shared" ca="1" si="6"/>
        <v>193.69999999999996</v>
      </c>
      <c r="CG12" s="81">
        <f t="shared" ca="1" si="6"/>
        <v>59.100000000000009</v>
      </c>
      <c r="CH12" s="81">
        <f t="shared" ca="1" si="6"/>
        <v>4.5999999999999996</v>
      </c>
      <c r="CI12" s="81">
        <f t="shared" ca="1" si="6"/>
        <v>0</v>
      </c>
      <c r="CJ12" s="81">
        <f t="shared" ca="1" si="6"/>
        <v>0</v>
      </c>
      <c r="CK12" s="81">
        <f t="shared" ca="1" si="6"/>
        <v>12.299999999999999</v>
      </c>
      <c r="CL12" s="81">
        <f t="shared" ca="1" si="6"/>
        <v>163.79999999999995</v>
      </c>
      <c r="CM12" s="81">
        <f t="shared" ca="1" si="6"/>
        <v>241.2</v>
      </c>
      <c r="CN12" s="81">
        <f t="shared" ca="1" si="6"/>
        <v>507.3</v>
      </c>
      <c r="CP12" s="81">
        <f t="shared" si="16"/>
        <v>2009</v>
      </c>
      <c r="CQ12" s="81">
        <f t="shared" ca="1" si="7"/>
        <v>644.20000000000005</v>
      </c>
      <c r="CR12" s="81">
        <f t="shared" ca="1" si="7"/>
        <v>438.4</v>
      </c>
      <c r="CS12" s="81">
        <f t="shared" ca="1" si="7"/>
        <v>347.79999999999995</v>
      </c>
      <c r="CT12" s="81">
        <f t="shared" ca="1" si="7"/>
        <v>141</v>
      </c>
      <c r="CU12" s="81">
        <f t="shared" ca="1" si="7"/>
        <v>28.1</v>
      </c>
      <c r="CV12" s="81">
        <f t="shared" ca="1" si="7"/>
        <v>0</v>
      </c>
      <c r="CW12" s="81">
        <f t="shared" ca="1" si="7"/>
        <v>0</v>
      </c>
      <c r="CX12" s="81">
        <f t="shared" ca="1" si="7"/>
        <v>0</v>
      </c>
      <c r="CY12" s="81">
        <f t="shared" ca="1" si="7"/>
        <v>3.8000000000000007</v>
      </c>
      <c r="CZ12" s="81">
        <f t="shared" ca="1" si="7"/>
        <v>104.90000000000002</v>
      </c>
      <c r="DA12" s="81">
        <f t="shared" ca="1" si="7"/>
        <v>181.2</v>
      </c>
      <c r="DB12" s="81">
        <f t="shared" ca="1" si="7"/>
        <v>445.3</v>
      </c>
      <c r="DD12" s="81">
        <f t="shared" si="17"/>
        <v>2009</v>
      </c>
      <c r="DE12" s="81">
        <f t="shared" ca="1" si="18"/>
        <v>582.20000000000005</v>
      </c>
      <c r="DF12" s="81">
        <f t="shared" ca="1" si="18"/>
        <v>382.40000000000003</v>
      </c>
      <c r="DG12" s="81">
        <f t="shared" ca="1" si="18"/>
        <v>285.89999999999998</v>
      </c>
      <c r="DH12" s="81">
        <f t="shared" ca="1" si="18"/>
        <v>95.90000000000002</v>
      </c>
      <c r="DI12" s="81">
        <f t="shared" ca="1" si="18"/>
        <v>12.600000000000001</v>
      </c>
      <c r="DJ12" s="81">
        <f t="shared" ca="1" si="18"/>
        <v>0</v>
      </c>
      <c r="DK12" s="81">
        <f t="shared" ca="1" si="18"/>
        <v>0</v>
      </c>
      <c r="DL12" s="81">
        <f t="shared" ca="1" si="18"/>
        <v>0</v>
      </c>
      <c r="DM12" s="81">
        <f t="shared" ca="1" si="18"/>
        <v>1.3000000000000007</v>
      </c>
      <c r="DN12" s="81">
        <f t="shared" ca="1" si="18"/>
        <v>60.899999999999991</v>
      </c>
      <c r="DO12" s="81">
        <f t="shared" ca="1" si="18"/>
        <v>124.40000000000002</v>
      </c>
      <c r="DP12" s="81">
        <f t="shared" ca="1" si="18"/>
        <v>383.30000000000007</v>
      </c>
      <c r="DR12" s="81">
        <f t="shared" si="19"/>
        <v>2009</v>
      </c>
      <c r="DS12" s="81">
        <f t="shared" ca="1" si="20"/>
        <v>520.20000000000005</v>
      </c>
      <c r="DT12" s="81">
        <f t="shared" ca="1" si="20"/>
        <v>326.40000000000003</v>
      </c>
      <c r="DU12" s="81">
        <f t="shared" ca="1" si="20"/>
        <v>226.7</v>
      </c>
      <c r="DV12" s="81">
        <f t="shared" ca="1" si="20"/>
        <v>54.900000000000006</v>
      </c>
      <c r="DW12" s="81">
        <f t="shared" ca="1" si="20"/>
        <v>1.7999999999999998</v>
      </c>
      <c r="DX12" s="81">
        <f t="shared" ca="1" si="20"/>
        <v>0</v>
      </c>
      <c r="DY12" s="81">
        <f t="shared" ca="1" si="20"/>
        <v>0</v>
      </c>
      <c r="DZ12" s="81">
        <f t="shared" ca="1" si="20"/>
        <v>0</v>
      </c>
      <c r="EA12" s="81">
        <f t="shared" ca="1" si="20"/>
        <v>0</v>
      </c>
      <c r="EB12" s="81">
        <f t="shared" ca="1" si="20"/>
        <v>34.000000000000007</v>
      </c>
      <c r="EC12" s="81">
        <f t="shared" ca="1" si="20"/>
        <v>73.599999999999994</v>
      </c>
      <c r="ED12" s="81">
        <f t="shared" ca="1" si="20"/>
        <v>321.3</v>
      </c>
      <c r="EG12" s="86"/>
      <c r="EH12" s="86"/>
      <c r="EI12" s="86"/>
      <c r="EK12" s="86"/>
      <c r="EL12" s="86"/>
      <c r="EM12" s="82"/>
      <c r="EO12" s="82"/>
      <c r="FA12" s="265"/>
      <c r="FB12" s="266"/>
      <c r="FC12" s="266"/>
      <c r="FD12" s="266"/>
      <c r="FE12" s="267"/>
      <c r="FF12" s="268"/>
    </row>
    <row r="13" spans="1:162" x14ac:dyDescent="0.2">
      <c r="A13" s="81">
        <v>2002</v>
      </c>
      <c r="B13" s="88">
        <v>12</v>
      </c>
      <c r="C13" s="88">
        <v>-1.9806451612903229</v>
      </c>
      <c r="D13" s="87">
        <v>743.4</v>
      </c>
      <c r="E13" s="87">
        <v>0</v>
      </c>
      <c r="F13" s="87">
        <v>681.39999999999986</v>
      </c>
      <c r="G13" s="87">
        <v>0</v>
      </c>
      <c r="H13" s="133">
        <v>619.40000000000009</v>
      </c>
      <c r="I13" s="133">
        <v>0</v>
      </c>
      <c r="J13" s="87">
        <v>557.4</v>
      </c>
      <c r="K13" s="87">
        <v>0</v>
      </c>
      <c r="L13" s="87">
        <v>495.4</v>
      </c>
      <c r="M13" s="87">
        <v>0</v>
      </c>
      <c r="N13" s="87">
        <v>433.40000000000003</v>
      </c>
      <c r="O13" s="87">
        <v>0</v>
      </c>
      <c r="P13" s="87">
        <v>371.40000000000003</v>
      </c>
      <c r="Q13" s="87">
        <v>0</v>
      </c>
      <c r="R13" s="87">
        <v>309.39999999999992</v>
      </c>
      <c r="S13" s="87">
        <v>0</v>
      </c>
      <c r="T13" s="87"/>
      <c r="U13" s="87"/>
      <c r="V13" s="87"/>
      <c r="X13" s="81">
        <f t="shared" si="10"/>
        <v>2010</v>
      </c>
      <c r="Y13" s="81">
        <f t="shared" ca="1" si="11"/>
        <v>843.99999999999989</v>
      </c>
      <c r="Z13" s="81">
        <f t="shared" ca="1" si="11"/>
        <v>710.3</v>
      </c>
      <c r="AA13" s="81">
        <f t="shared" ca="1" si="11"/>
        <v>546.79999999999995</v>
      </c>
      <c r="AB13" s="81">
        <f t="shared" ca="1" si="11"/>
        <v>345.09999999999997</v>
      </c>
      <c r="AC13" s="81">
        <f t="shared" ca="1" si="11"/>
        <v>192.90000000000003</v>
      </c>
      <c r="AD13" s="81">
        <f t="shared" ca="1" si="11"/>
        <v>88.700000000000017</v>
      </c>
      <c r="AE13" s="81">
        <f t="shared" ca="1" si="11"/>
        <v>17.300000000000004</v>
      </c>
      <c r="AF13" s="81">
        <f t="shared" ca="1" si="11"/>
        <v>31.499999999999996</v>
      </c>
      <c r="AG13" s="81">
        <f t="shared" ca="1" si="11"/>
        <v>178.3</v>
      </c>
      <c r="AH13" s="81">
        <f t="shared" ca="1" si="11"/>
        <v>365.60000000000014</v>
      </c>
      <c r="AI13" s="81">
        <f t="shared" ca="1" si="11"/>
        <v>525.30000000000018</v>
      </c>
      <c r="AJ13" s="81">
        <f t="shared" ca="1" si="11"/>
        <v>800.20000000000016</v>
      </c>
      <c r="AL13" s="81">
        <f t="shared" si="12"/>
        <v>2010</v>
      </c>
      <c r="AM13" s="81">
        <f t="shared" ca="1" si="1"/>
        <v>782</v>
      </c>
      <c r="AN13" s="81">
        <f t="shared" ca="1" si="2"/>
        <v>654.29999999999995</v>
      </c>
      <c r="AO13" s="81">
        <f t="shared" ca="1" si="2"/>
        <v>484.79999999999995</v>
      </c>
      <c r="AP13" s="81">
        <f t="shared" ca="1" si="2"/>
        <v>285.09999999999997</v>
      </c>
      <c r="AQ13" s="81">
        <f t="shared" ca="1" si="2"/>
        <v>145.50000000000003</v>
      </c>
      <c r="AR13" s="81">
        <f t="shared" ca="1" si="2"/>
        <v>46.3</v>
      </c>
      <c r="AS13" s="81">
        <f t="shared" ca="1" si="2"/>
        <v>7.3000000000000007</v>
      </c>
      <c r="AT13" s="81">
        <f t="shared" ca="1" si="2"/>
        <v>11.499999999999996</v>
      </c>
      <c r="AU13" s="81">
        <f t="shared" ca="1" si="2"/>
        <v>126.69999999999996</v>
      </c>
      <c r="AV13" s="81">
        <f t="shared" ca="1" si="2"/>
        <v>303.60000000000008</v>
      </c>
      <c r="AW13" s="81">
        <f t="shared" ca="1" si="2"/>
        <v>465.30000000000007</v>
      </c>
      <c r="AX13" s="81">
        <f t="shared" ca="1" si="2"/>
        <v>738.20000000000016</v>
      </c>
      <c r="AY13" s="93"/>
      <c r="AZ13" s="81">
        <f t="shared" si="13"/>
        <v>2010</v>
      </c>
      <c r="BA13" s="81">
        <f t="shared" ca="1" si="3"/>
        <v>719.99999999999989</v>
      </c>
      <c r="BB13" s="81">
        <f t="shared" ca="1" si="3"/>
        <v>598.30000000000007</v>
      </c>
      <c r="BC13" s="81">
        <f t="shared" ca="1" si="3"/>
        <v>422.8</v>
      </c>
      <c r="BD13" s="81">
        <f t="shared" ca="1" si="3"/>
        <v>225.1</v>
      </c>
      <c r="BE13" s="81">
        <f t="shared" ca="1" si="3"/>
        <v>107.9</v>
      </c>
      <c r="BF13" s="81">
        <f t="shared" ca="1" si="3"/>
        <v>21.7</v>
      </c>
      <c r="BG13" s="81">
        <f t="shared" ca="1" si="3"/>
        <v>1.8000000000000007</v>
      </c>
      <c r="BH13" s="81">
        <f t="shared" ca="1" si="3"/>
        <v>2.0999999999999979</v>
      </c>
      <c r="BI13" s="81">
        <f t="shared" ca="1" si="3"/>
        <v>78.099999999999994</v>
      </c>
      <c r="BJ13" s="81">
        <f t="shared" ca="1" si="3"/>
        <v>241.60000000000005</v>
      </c>
      <c r="BK13" s="81">
        <f t="shared" ca="1" si="3"/>
        <v>405.3</v>
      </c>
      <c r="BL13" s="81">
        <f t="shared" ca="1" si="3"/>
        <v>676.20000000000016</v>
      </c>
      <c r="BM13" s="93">
        <f t="shared" ca="1" si="4"/>
        <v>3500.9</v>
      </c>
      <c r="BN13" s="81">
        <f t="shared" si="14"/>
        <v>2010</v>
      </c>
      <c r="BO13" s="81">
        <f t="shared" ca="1" si="5"/>
        <v>657.99999999999989</v>
      </c>
      <c r="BP13" s="81">
        <f t="shared" ca="1" si="5"/>
        <v>542.30000000000007</v>
      </c>
      <c r="BQ13" s="81">
        <f t="shared" ca="1" si="5"/>
        <v>360.8</v>
      </c>
      <c r="BR13" s="81">
        <f t="shared" ca="1" si="5"/>
        <v>165.60000000000002</v>
      </c>
      <c r="BS13" s="81">
        <f t="shared" ca="1" si="5"/>
        <v>77.5</v>
      </c>
      <c r="BT13" s="81">
        <f t="shared" ca="1" si="5"/>
        <v>8.1</v>
      </c>
      <c r="BU13" s="81">
        <f t="shared" ca="1" si="5"/>
        <v>0</v>
      </c>
      <c r="BV13" s="81">
        <f t="shared" ca="1" si="5"/>
        <v>0</v>
      </c>
      <c r="BW13" s="81">
        <f t="shared" ca="1" si="5"/>
        <v>37.699999999999996</v>
      </c>
      <c r="BX13" s="81">
        <f t="shared" ca="1" si="5"/>
        <v>180.20000000000002</v>
      </c>
      <c r="BY13" s="81">
        <f t="shared" ca="1" si="5"/>
        <v>345.3</v>
      </c>
      <c r="BZ13" s="81">
        <f t="shared" ca="1" si="5"/>
        <v>614.20000000000005</v>
      </c>
      <c r="CB13" s="81">
        <f t="shared" si="15"/>
        <v>2010</v>
      </c>
      <c r="CC13" s="81">
        <f t="shared" ca="1" si="6"/>
        <v>596</v>
      </c>
      <c r="CD13" s="81">
        <f t="shared" ca="1" si="6"/>
        <v>486.3</v>
      </c>
      <c r="CE13" s="81">
        <f t="shared" ca="1" si="6"/>
        <v>298.80000000000007</v>
      </c>
      <c r="CF13" s="81">
        <f t="shared" ca="1" si="6"/>
        <v>112</v>
      </c>
      <c r="CG13" s="81">
        <f t="shared" ca="1" si="6"/>
        <v>52.8</v>
      </c>
      <c r="CH13" s="81">
        <f t="shared" ca="1" si="6"/>
        <v>9.9999999999999645E-2</v>
      </c>
      <c r="CI13" s="81">
        <f t="shared" ca="1" si="6"/>
        <v>0</v>
      </c>
      <c r="CJ13" s="81">
        <f t="shared" ca="1" si="6"/>
        <v>0</v>
      </c>
      <c r="CK13" s="81">
        <f t="shared" ca="1" si="6"/>
        <v>11.500000000000002</v>
      </c>
      <c r="CL13" s="81">
        <f t="shared" ca="1" si="6"/>
        <v>123.39999999999996</v>
      </c>
      <c r="CM13" s="81">
        <f t="shared" ca="1" si="6"/>
        <v>285.30000000000007</v>
      </c>
      <c r="CN13" s="81">
        <f t="shared" ca="1" si="6"/>
        <v>552.20000000000005</v>
      </c>
      <c r="CP13" s="81">
        <f t="shared" si="16"/>
        <v>2010</v>
      </c>
      <c r="CQ13" s="81">
        <f t="shared" ca="1" si="7"/>
        <v>534</v>
      </c>
      <c r="CR13" s="81">
        <f t="shared" ca="1" si="7"/>
        <v>430.3</v>
      </c>
      <c r="CS13" s="81">
        <f t="shared" ca="1" si="7"/>
        <v>236.80000000000007</v>
      </c>
      <c r="CT13" s="81">
        <f t="shared" ca="1" si="7"/>
        <v>63.399999999999991</v>
      </c>
      <c r="CU13" s="81">
        <f t="shared" ca="1" si="7"/>
        <v>33.499999999999993</v>
      </c>
      <c r="CV13" s="81">
        <f t="shared" ca="1" si="7"/>
        <v>0</v>
      </c>
      <c r="CW13" s="81">
        <f t="shared" ca="1" si="7"/>
        <v>0</v>
      </c>
      <c r="CX13" s="81">
        <f t="shared" ca="1" si="7"/>
        <v>0</v>
      </c>
      <c r="CY13" s="81">
        <f t="shared" ca="1" si="7"/>
        <v>1</v>
      </c>
      <c r="CZ13" s="81">
        <f t="shared" ca="1" si="7"/>
        <v>74.099999999999994</v>
      </c>
      <c r="DA13" s="81">
        <f t="shared" ca="1" si="7"/>
        <v>225.50000000000003</v>
      </c>
      <c r="DB13" s="81">
        <f t="shared" ca="1" si="7"/>
        <v>490.2</v>
      </c>
      <c r="DD13" s="81">
        <f t="shared" si="17"/>
        <v>2010</v>
      </c>
      <c r="DE13" s="81">
        <f t="shared" ca="1" si="18"/>
        <v>472.00000000000006</v>
      </c>
      <c r="DF13" s="81">
        <f t="shared" ca="1" si="18"/>
        <v>374.3</v>
      </c>
      <c r="DG13" s="81">
        <f t="shared" ca="1" si="18"/>
        <v>177.5</v>
      </c>
      <c r="DH13" s="81">
        <f t="shared" ca="1" si="18"/>
        <v>30.3</v>
      </c>
      <c r="DI13" s="81">
        <f t="shared" ca="1" si="18"/>
        <v>18</v>
      </c>
      <c r="DJ13" s="81">
        <f t="shared" ca="1" si="18"/>
        <v>0</v>
      </c>
      <c r="DK13" s="81">
        <f t="shared" ca="1" si="18"/>
        <v>0</v>
      </c>
      <c r="DL13" s="81">
        <f t="shared" ca="1" si="18"/>
        <v>0</v>
      </c>
      <c r="DM13" s="81">
        <f t="shared" ca="1" si="18"/>
        <v>0</v>
      </c>
      <c r="DN13" s="81">
        <f t="shared" ca="1" si="18"/>
        <v>35.700000000000003</v>
      </c>
      <c r="DO13" s="81">
        <f t="shared" ca="1" si="18"/>
        <v>167.5</v>
      </c>
      <c r="DP13" s="81">
        <f t="shared" ca="1" si="18"/>
        <v>428.2</v>
      </c>
      <c r="DR13" s="81">
        <f t="shared" si="19"/>
        <v>2010</v>
      </c>
      <c r="DS13" s="81">
        <f t="shared" ca="1" si="20"/>
        <v>410.00000000000006</v>
      </c>
      <c r="DT13" s="81">
        <f t="shared" ca="1" si="20"/>
        <v>318.3</v>
      </c>
      <c r="DU13" s="81">
        <f t="shared" ca="1" si="20"/>
        <v>122.8</v>
      </c>
      <c r="DV13" s="81">
        <f t="shared" ca="1" si="20"/>
        <v>11.8</v>
      </c>
      <c r="DW13" s="81">
        <f t="shared" ca="1" si="20"/>
        <v>5.5</v>
      </c>
      <c r="DX13" s="81">
        <f t="shared" ca="1" si="20"/>
        <v>0</v>
      </c>
      <c r="DY13" s="81">
        <f t="shared" ca="1" si="20"/>
        <v>0</v>
      </c>
      <c r="DZ13" s="81">
        <f t="shared" ca="1" si="20"/>
        <v>0</v>
      </c>
      <c r="EA13" s="81">
        <f t="shared" ca="1" si="20"/>
        <v>0</v>
      </c>
      <c r="EB13" s="81">
        <f t="shared" ca="1" si="20"/>
        <v>13.2</v>
      </c>
      <c r="EC13" s="81">
        <f t="shared" ca="1" si="20"/>
        <v>110.19999999999999</v>
      </c>
      <c r="ED13" s="81">
        <f t="shared" ca="1" si="20"/>
        <v>366.2</v>
      </c>
      <c r="EG13" s="86"/>
      <c r="EH13" s="86"/>
      <c r="EI13" s="86"/>
      <c r="EK13" s="86"/>
      <c r="EL13" s="86"/>
      <c r="EM13" s="82"/>
      <c r="EO13" s="82"/>
      <c r="FA13" s="265"/>
      <c r="FB13" s="266" t="s">
        <v>135</v>
      </c>
      <c r="FC13" s="266" t="s">
        <v>136</v>
      </c>
      <c r="FD13" s="266" t="s">
        <v>137</v>
      </c>
      <c r="FE13" s="267" t="s">
        <v>138</v>
      </c>
      <c r="FF13" s="268"/>
    </row>
    <row r="14" spans="1:162" x14ac:dyDescent="0.2">
      <c r="A14" s="81">
        <v>2003</v>
      </c>
      <c r="B14" s="88">
        <v>1</v>
      </c>
      <c r="C14" s="88">
        <v>-8.2741935483870961</v>
      </c>
      <c r="D14" s="87">
        <v>938.49999999999989</v>
      </c>
      <c r="E14" s="87">
        <v>0</v>
      </c>
      <c r="F14" s="87">
        <v>876.49999999999989</v>
      </c>
      <c r="G14" s="87">
        <v>0</v>
      </c>
      <c r="H14" s="133">
        <v>814.49999999999989</v>
      </c>
      <c r="I14" s="133">
        <v>0</v>
      </c>
      <c r="J14" s="87">
        <v>752.49999999999989</v>
      </c>
      <c r="K14" s="87">
        <v>0</v>
      </c>
      <c r="L14" s="87">
        <v>690.49999999999989</v>
      </c>
      <c r="M14" s="87">
        <v>0</v>
      </c>
      <c r="N14" s="87">
        <v>628.5</v>
      </c>
      <c r="O14" s="87">
        <v>0</v>
      </c>
      <c r="P14" s="87">
        <v>566.49999999999989</v>
      </c>
      <c r="Q14" s="87">
        <v>0</v>
      </c>
      <c r="R14" s="87">
        <v>504.50000000000011</v>
      </c>
      <c r="S14" s="87">
        <v>0</v>
      </c>
      <c r="T14" s="87"/>
      <c r="U14" s="87"/>
      <c r="V14" s="87"/>
      <c r="X14" s="81">
        <f t="shared" si="10"/>
        <v>2011</v>
      </c>
      <c r="Y14" s="81">
        <f t="shared" ca="1" si="11"/>
        <v>899.29999999999984</v>
      </c>
      <c r="Z14" s="81">
        <f t="shared" ca="1" si="11"/>
        <v>766.20000000000016</v>
      </c>
      <c r="AA14" s="81">
        <f t="shared" ca="1" si="11"/>
        <v>696.8</v>
      </c>
      <c r="AB14" s="81">
        <f t="shared" ca="1" si="11"/>
        <v>452.2999999999999</v>
      </c>
      <c r="AC14" s="81">
        <f t="shared" ca="1" si="11"/>
        <v>246.40000000000003</v>
      </c>
      <c r="AD14" s="81">
        <f t="shared" ca="1" si="11"/>
        <v>91.899999999999991</v>
      </c>
      <c r="AE14" s="81">
        <f t="shared" ca="1" si="11"/>
        <v>6.100000000000005</v>
      </c>
      <c r="AF14" s="81">
        <f t="shared" ca="1" si="11"/>
        <v>29.299999999999997</v>
      </c>
      <c r="AG14" s="81">
        <f t="shared" ca="1" si="11"/>
        <v>134.69999999999999</v>
      </c>
      <c r="AH14" s="81">
        <f t="shared" ca="1" si="11"/>
        <v>357</v>
      </c>
      <c r="AI14" s="81">
        <f t="shared" ca="1" si="11"/>
        <v>461.89999999999992</v>
      </c>
      <c r="AJ14" s="81">
        <f t="shared" ca="1" si="11"/>
        <v>658</v>
      </c>
      <c r="AL14" s="81">
        <f t="shared" si="12"/>
        <v>2011</v>
      </c>
      <c r="AM14" s="81">
        <f t="shared" ca="1" si="1"/>
        <v>837.3</v>
      </c>
      <c r="AN14" s="81">
        <f t="shared" ca="1" si="2"/>
        <v>710.20000000000016</v>
      </c>
      <c r="AO14" s="81">
        <f t="shared" ca="1" si="2"/>
        <v>634.79999999999995</v>
      </c>
      <c r="AP14" s="81">
        <f t="shared" ca="1" si="2"/>
        <v>392.2999999999999</v>
      </c>
      <c r="AQ14" s="81">
        <f t="shared" ca="1" si="2"/>
        <v>187.50000000000003</v>
      </c>
      <c r="AR14" s="81">
        <f t="shared" ca="1" si="2"/>
        <v>44</v>
      </c>
      <c r="AS14" s="81">
        <f t="shared" ca="1" si="2"/>
        <v>0.5</v>
      </c>
      <c r="AT14" s="81">
        <f t="shared" ca="1" si="2"/>
        <v>7.6999999999999993</v>
      </c>
      <c r="AU14" s="81">
        <f t="shared" ca="1" si="2"/>
        <v>85.8</v>
      </c>
      <c r="AV14" s="81">
        <f t="shared" ca="1" si="2"/>
        <v>295</v>
      </c>
      <c r="AW14" s="81">
        <f t="shared" ca="1" si="2"/>
        <v>401.89999999999992</v>
      </c>
      <c r="AX14" s="81">
        <f t="shared" ca="1" si="2"/>
        <v>596.00000000000011</v>
      </c>
      <c r="AY14" s="93"/>
      <c r="AZ14" s="81">
        <f t="shared" si="13"/>
        <v>2011</v>
      </c>
      <c r="BA14" s="81">
        <f t="shared" ca="1" si="3"/>
        <v>775.3</v>
      </c>
      <c r="BB14" s="81">
        <f t="shared" ca="1" si="3"/>
        <v>654.20000000000016</v>
      </c>
      <c r="BC14" s="81">
        <f t="shared" ca="1" si="3"/>
        <v>572.79999999999995</v>
      </c>
      <c r="BD14" s="81">
        <f t="shared" ca="1" si="3"/>
        <v>332.2999999999999</v>
      </c>
      <c r="BE14" s="81">
        <f t="shared" ca="1" si="3"/>
        <v>134.10000000000002</v>
      </c>
      <c r="BF14" s="81">
        <f t="shared" ca="1" si="3"/>
        <v>19</v>
      </c>
      <c r="BG14" s="81">
        <f t="shared" ca="1" si="3"/>
        <v>0</v>
      </c>
      <c r="BH14" s="81">
        <f t="shared" ca="1" si="3"/>
        <v>0</v>
      </c>
      <c r="BI14" s="81">
        <f t="shared" ca="1" si="3"/>
        <v>47.999999999999993</v>
      </c>
      <c r="BJ14" s="81">
        <f t="shared" ca="1" si="3"/>
        <v>235.4</v>
      </c>
      <c r="BK14" s="81">
        <f t="shared" ca="1" si="3"/>
        <v>341.89999999999992</v>
      </c>
      <c r="BL14" s="81">
        <f t="shared" ca="1" si="3"/>
        <v>534.00000000000011</v>
      </c>
      <c r="BM14" s="93">
        <f t="shared" ca="1" si="4"/>
        <v>3647</v>
      </c>
      <c r="BN14" s="81">
        <f t="shared" si="14"/>
        <v>2011</v>
      </c>
      <c r="BO14" s="81">
        <f t="shared" ca="1" si="5"/>
        <v>713.3</v>
      </c>
      <c r="BP14" s="81">
        <f t="shared" ca="1" si="5"/>
        <v>598.20000000000016</v>
      </c>
      <c r="BQ14" s="81">
        <f t="shared" ca="1" si="5"/>
        <v>510.79999999999995</v>
      </c>
      <c r="BR14" s="81">
        <f t="shared" ca="1" si="5"/>
        <v>272.29999999999995</v>
      </c>
      <c r="BS14" s="81">
        <f t="shared" ca="1" si="5"/>
        <v>87.4</v>
      </c>
      <c r="BT14" s="81">
        <f t="shared" ca="1" si="5"/>
        <v>4.7999999999999989</v>
      </c>
      <c r="BU14" s="81">
        <f t="shared" ca="1" si="5"/>
        <v>0</v>
      </c>
      <c r="BV14" s="81">
        <f t="shared" ca="1" si="5"/>
        <v>0</v>
      </c>
      <c r="BW14" s="81">
        <f t="shared" ca="1" si="5"/>
        <v>22.400000000000006</v>
      </c>
      <c r="BX14" s="81">
        <f t="shared" ca="1" si="5"/>
        <v>180.70000000000002</v>
      </c>
      <c r="BY14" s="81">
        <f t="shared" ca="1" si="5"/>
        <v>281.89999999999998</v>
      </c>
      <c r="BZ14" s="81">
        <f t="shared" ca="1" si="5"/>
        <v>472.00000000000006</v>
      </c>
      <c r="CB14" s="81">
        <f t="shared" si="15"/>
        <v>2011</v>
      </c>
      <c r="CC14" s="81">
        <f t="shared" ca="1" si="6"/>
        <v>651.30000000000007</v>
      </c>
      <c r="CD14" s="81">
        <f t="shared" ca="1" si="6"/>
        <v>542.20000000000016</v>
      </c>
      <c r="CE14" s="81">
        <f t="shared" ca="1" si="6"/>
        <v>448.8</v>
      </c>
      <c r="CF14" s="81">
        <f t="shared" ca="1" si="6"/>
        <v>213.6</v>
      </c>
      <c r="CG14" s="81">
        <f t="shared" ca="1" si="6"/>
        <v>50.8</v>
      </c>
      <c r="CH14" s="81">
        <f t="shared" ca="1" si="6"/>
        <v>0</v>
      </c>
      <c r="CI14" s="81">
        <f t="shared" ca="1" si="6"/>
        <v>0</v>
      </c>
      <c r="CJ14" s="81">
        <f t="shared" ca="1" si="6"/>
        <v>0</v>
      </c>
      <c r="CK14" s="81">
        <f t="shared" ca="1" si="6"/>
        <v>9</v>
      </c>
      <c r="CL14" s="81">
        <f t="shared" ca="1" si="6"/>
        <v>131.60000000000002</v>
      </c>
      <c r="CM14" s="81">
        <f t="shared" ca="1" si="6"/>
        <v>221.90000000000003</v>
      </c>
      <c r="CN14" s="81">
        <f t="shared" ca="1" si="6"/>
        <v>410</v>
      </c>
      <c r="CP14" s="81">
        <f t="shared" si="16"/>
        <v>2011</v>
      </c>
      <c r="CQ14" s="81">
        <f t="shared" ca="1" si="7"/>
        <v>589.30000000000007</v>
      </c>
      <c r="CR14" s="81">
        <f t="shared" ca="1" si="7"/>
        <v>486.2000000000001</v>
      </c>
      <c r="CS14" s="81">
        <f t="shared" ca="1" si="7"/>
        <v>386.8</v>
      </c>
      <c r="CT14" s="81">
        <f t="shared" ca="1" si="7"/>
        <v>158.70000000000002</v>
      </c>
      <c r="CU14" s="81">
        <f t="shared" ca="1" si="7"/>
        <v>21.800000000000004</v>
      </c>
      <c r="CV14" s="81">
        <f t="shared" ca="1" si="7"/>
        <v>0</v>
      </c>
      <c r="CW14" s="81">
        <f t="shared" ca="1" si="7"/>
        <v>0</v>
      </c>
      <c r="CX14" s="81">
        <f t="shared" ca="1" si="7"/>
        <v>0</v>
      </c>
      <c r="CY14" s="81">
        <f t="shared" ca="1" si="7"/>
        <v>1.3000000000000007</v>
      </c>
      <c r="CZ14" s="81">
        <f t="shared" ca="1" si="7"/>
        <v>88.5</v>
      </c>
      <c r="DA14" s="81">
        <f t="shared" ca="1" si="7"/>
        <v>165.3</v>
      </c>
      <c r="DB14" s="81">
        <f t="shared" ca="1" si="7"/>
        <v>348.00000000000006</v>
      </c>
      <c r="DD14" s="81">
        <f t="shared" si="17"/>
        <v>2011</v>
      </c>
      <c r="DE14" s="81">
        <f t="shared" ca="1" si="18"/>
        <v>527.30000000000007</v>
      </c>
      <c r="DF14" s="81">
        <f t="shared" ca="1" si="18"/>
        <v>430.20000000000005</v>
      </c>
      <c r="DG14" s="81">
        <f t="shared" ca="1" si="18"/>
        <v>324.79999999999995</v>
      </c>
      <c r="DH14" s="81">
        <f t="shared" ca="1" si="18"/>
        <v>106.70000000000002</v>
      </c>
      <c r="DI14" s="81">
        <f t="shared" ca="1" si="18"/>
        <v>7.1</v>
      </c>
      <c r="DJ14" s="81">
        <f t="shared" ca="1" si="18"/>
        <v>0</v>
      </c>
      <c r="DK14" s="81">
        <f t="shared" ca="1" si="18"/>
        <v>0</v>
      </c>
      <c r="DL14" s="81">
        <f t="shared" ca="1" si="18"/>
        <v>0</v>
      </c>
      <c r="DM14" s="81">
        <f t="shared" ca="1" si="18"/>
        <v>0</v>
      </c>
      <c r="DN14" s="81">
        <f t="shared" ca="1" si="18"/>
        <v>49.800000000000004</v>
      </c>
      <c r="DO14" s="81">
        <f t="shared" ca="1" si="18"/>
        <v>115.8</v>
      </c>
      <c r="DP14" s="81">
        <f t="shared" ca="1" si="18"/>
        <v>286</v>
      </c>
      <c r="DR14" s="81">
        <f t="shared" si="19"/>
        <v>2011</v>
      </c>
      <c r="DS14" s="81">
        <f t="shared" ca="1" si="20"/>
        <v>465.30000000000007</v>
      </c>
      <c r="DT14" s="81">
        <f t="shared" ca="1" si="20"/>
        <v>374.20000000000005</v>
      </c>
      <c r="DU14" s="81">
        <f t="shared" ca="1" si="20"/>
        <v>263.29999999999995</v>
      </c>
      <c r="DV14" s="81">
        <f t="shared" ca="1" si="20"/>
        <v>62.2</v>
      </c>
      <c r="DW14" s="81">
        <f t="shared" ca="1" si="20"/>
        <v>2</v>
      </c>
      <c r="DX14" s="81">
        <f t="shared" ca="1" si="20"/>
        <v>0</v>
      </c>
      <c r="DY14" s="81">
        <f t="shared" ca="1" si="20"/>
        <v>0</v>
      </c>
      <c r="DZ14" s="81">
        <f t="shared" ca="1" si="20"/>
        <v>0</v>
      </c>
      <c r="EA14" s="81">
        <f t="shared" ca="1" si="20"/>
        <v>0</v>
      </c>
      <c r="EB14" s="81">
        <f t="shared" ca="1" si="20"/>
        <v>23.500000000000004</v>
      </c>
      <c r="EC14" s="81">
        <f t="shared" ca="1" si="20"/>
        <v>74.2</v>
      </c>
      <c r="ED14" s="81">
        <f t="shared" ca="1" si="20"/>
        <v>224.09999999999997</v>
      </c>
      <c r="EG14" s="86"/>
      <c r="EH14" s="86"/>
      <c r="EI14" s="86"/>
      <c r="EK14" s="86"/>
      <c r="EL14" s="86"/>
      <c r="EM14" s="82"/>
      <c r="EO14" s="82"/>
      <c r="FA14" s="265" t="s">
        <v>139</v>
      </c>
      <c r="FB14" s="266">
        <v>18985944.283365399</v>
      </c>
      <c r="FC14" s="266">
        <v>658830.96127683204</v>
      </c>
      <c r="FD14" s="266">
        <v>28.8176260668899</v>
      </c>
      <c r="FE14" s="269">
        <v>2.7896046804846699E-56</v>
      </c>
      <c r="FF14" s="268"/>
    </row>
    <row r="15" spans="1:162" x14ac:dyDescent="0.2">
      <c r="A15" s="81">
        <v>2003</v>
      </c>
      <c r="B15" s="88">
        <v>2</v>
      </c>
      <c r="C15" s="88">
        <v>-6.9642857142857144</v>
      </c>
      <c r="D15" s="87">
        <v>811</v>
      </c>
      <c r="E15" s="87">
        <v>0</v>
      </c>
      <c r="F15" s="87">
        <v>755.00000000000011</v>
      </c>
      <c r="G15" s="87">
        <v>0</v>
      </c>
      <c r="H15" s="133">
        <v>699.00000000000011</v>
      </c>
      <c r="I15" s="133">
        <v>0</v>
      </c>
      <c r="J15" s="87">
        <v>643.00000000000011</v>
      </c>
      <c r="K15" s="87">
        <v>0</v>
      </c>
      <c r="L15" s="87">
        <v>587.00000000000011</v>
      </c>
      <c r="M15" s="87">
        <v>0</v>
      </c>
      <c r="N15" s="87">
        <v>531</v>
      </c>
      <c r="O15" s="87">
        <v>0</v>
      </c>
      <c r="P15" s="87">
        <v>475</v>
      </c>
      <c r="Q15" s="87">
        <v>0</v>
      </c>
      <c r="R15" s="87">
        <v>419</v>
      </c>
      <c r="S15" s="87">
        <v>0</v>
      </c>
      <c r="T15" s="87"/>
      <c r="U15" s="87"/>
      <c r="V15" s="87"/>
      <c r="X15" s="81">
        <f t="shared" si="10"/>
        <v>2012</v>
      </c>
      <c r="Y15" s="81">
        <f t="shared" ca="1" si="11"/>
        <v>735.1</v>
      </c>
      <c r="Z15" s="81">
        <f t="shared" ca="1" si="11"/>
        <v>647.70000000000005</v>
      </c>
      <c r="AA15" s="81">
        <f t="shared" ca="1" si="11"/>
        <v>473.2000000000001</v>
      </c>
      <c r="AB15" s="81">
        <f t="shared" ca="1" si="11"/>
        <v>441.70000000000005</v>
      </c>
      <c r="AC15" s="81">
        <f t="shared" ca="1" si="11"/>
        <v>174.8</v>
      </c>
      <c r="AD15" s="81">
        <f t="shared" ca="1" si="11"/>
        <v>74.7</v>
      </c>
      <c r="AE15" s="81">
        <f t="shared" ca="1" si="11"/>
        <v>2.3000000000000007</v>
      </c>
      <c r="AF15" s="81">
        <f t="shared" ca="1" si="11"/>
        <v>41.1</v>
      </c>
      <c r="AG15" s="81">
        <f t="shared" ca="1" si="11"/>
        <v>171.4</v>
      </c>
      <c r="AH15" s="81">
        <f t="shared" ca="1" si="11"/>
        <v>365.4</v>
      </c>
      <c r="AI15" s="81">
        <f t="shared" ca="1" si="11"/>
        <v>554</v>
      </c>
      <c r="AJ15" s="81">
        <f t="shared" ca="1" si="11"/>
        <v>657.50000000000011</v>
      </c>
      <c r="AL15" s="81">
        <f t="shared" si="12"/>
        <v>2012</v>
      </c>
      <c r="AM15" s="81">
        <f t="shared" ca="1" si="1"/>
        <v>673.1</v>
      </c>
      <c r="AN15" s="81">
        <f t="shared" ca="1" si="2"/>
        <v>589.69999999999993</v>
      </c>
      <c r="AO15" s="81">
        <f t="shared" ca="1" si="2"/>
        <v>411.20000000000005</v>
      </c>
      <c r="AP15" s="81">
        <f t="shared" ca="1" si="2"/>
        <v>381.70000000000005</v>
      </c>
      <c r="AQ15" s="81">
        <f t="shared" ca="1" si="2"/>
        <v>123.00000000000001</v>
      </c>
      <c r="AR15" s="81">
        <f t="shared" ca="1" si="2"/>
        <v>42.099999999999994</v>
      </c>
      <c r="AS15" s="81">
        <f t="shared" ca="1" si="2"/>
        <v>0</v>
      </c>
      <c r="AT15" s="81">
        <f t="shared" ca="1" si="2"/>
        <v>12.600000000000001</v>
      </c>
      <c r="AU15" s="81">
        <f t="shared" ca="1" si="2"/>
        <v>126.6</v>
      </c>
      <c r="AV15" s="81">
        <f t="shared" ca="1" si="2"/>
        <v>303.40000000000003</v>
      </c>
      <c r="AW15" s="81">
        <f t="shared" ca="1" si="2"/>
        <v>494</v>
      </c>
      <c r="AX15" s="81">
        <f t="shared" ca="1" si="2"/>
        <v>595.50000000000011</v>
      </c>
      <c r="AY15" s="93"/>
      <c r="AZ15" s="81">
        <f t="shared" si="13"/>
        <v>2012</v>
      </c>
      <c r="BA15" s="81">
        <f t="shared" ref="BA15:BL24" ca="1" si="21">OFFSET($H$2,(ROW()-5)*12+COLUMN()-53,0)</f>
        <v>611.1</v>
      </c>
      <c r="BB15" s="81">
        <f t="shared" ca="1" si="21"/>
        <v>531.70000000000005</v>
      </c>
      <c r="BC15" s="81">
        <f t="shared" ca="1" si="21"/>
        <v>349.40000000000009</v>
      </c>
      <c r="BD15" s="81">
        <f t="shared" ca="1" si="21"/>
        <v>321.70000000000005</v>
      </c>
      <c r="BE15" s="81">
        <f t="shared" ca="1" si="21"/>
        <v>80.7</v>
      </c>
      <c r="BF15" s="81">
        <f t="shared" ca="1" si="21"/>
        <v>23.2</v>
      </c>
      <c r="BG15" s="81">
        <f t="shared" ca="1" si="21"/>
        <v>0</v>
      </c>
      <c r="BH15" s="81">
        <f t="shared" ca="1" si="21"/>
        <v>2</v>
      </c>
      <c r="BI15" s="81">
        <f t="shared" ca="1" si="21"/>
        <v>84.999999999999986</v>
      </c>
      <c r="BJ15" s="81">
        <f t="shared" ca="1" si="21"/>
        <v>242.50000000000003</v>
      </c>
      <c r="BK15" s="81">
        <f t="shared" ca="1" si="21"/>
        <v>433.99999999999994</v>
      </c>
      <c r="BL15" s="81">
        <f t="shared" ca="1" si="21"/>
        <v>533.50000000000011</v>
      </c>
      <c r="BM15" s="93">
        <f t="shared" ca="1" si="4"/>
        <v>3214.8000000000006</v>
      </c>
      <c r="BN15" s="81">
        <f t="shared" si="14"/>
        <v>2012</v>
      </c>
      <c r="BO15" s="81">
        <f t="shared" ref="BO15:BZ24" ca="1" si="22">OFFSET($J$2,(ROW()-5)*12+COLUMN()-67,0)</f>
        <v>549.1</v>
      </c>
      <c r="BP15" s="81">
        <f t="shared" ca="1" si="22"/>
        <v>473.70000000000005</v>
      </c>
      <c r="BQ15" s="81">
        <f t="shared" ca="1" si="22"/>
        <v>290.2</v>
      </c>
      <c r="BR15" s="81">
        <f t="shared" ca="1" si="22"/>
        <v>263.10000000000002</v>
      </c>
      <c r="BS15" s="81">
        <f t="shared" ca="1" si="22"/>
        <v>46.199999999999989</v>
      </c>
      <c r="BT15" s="81">
        <f t="shared" ca="1" si="22"/>
        <v>9.6</v>
      </c>
      <c r="BU15" s="81">
        <f t="shared" ca="1" si="22"/>
        <v>0</v>
      </c>
      <c r="BV15" s="81">
        <f t="shared" ca="1" si="22"/>
        <v>0</v>
      </c>
      <c r="BW15" s="81">
        <f t="shared" ca="1" si="22"/>
        <v>48.300000000000011</v>
      </c>
      <c r="BX15" s="81">
        <f t="shared" ca="1" si="22"/>
        <v>183.9</v>
      </c>
      <c r="BY15" s="81">
        <f t="shared" ca="1" si="22"/>
        <v>373.99999999999994</v>
      </c>
      <c r="BZ15" s="81">
        <f t="shared" ca="1" si="22"/>
        <v>471.50000000000006</v>
      </c>
      <c r="CB15" s="81">
        <f t="shared" si="15"/>
        <v>2012</v>
      </c>
      <c r="CC15" s="81">
        <f t="shared" ref="CC15:CN24" ca="1" si="23">OFFSET($L$2,(ROW()-5)*12+COLUMN()-81,0)</f>
        <v>487.1</v>
      </c>
      <c r="CD15" s="81">
        <f t="shared" ca="1" si="23"/>
        <v>415.70000000000005</v>
      </c>
      <c r="CE15" s="81">
        <f t="shared" ca="1" si="23"/>
        <v>236.3</v>
      </c>
      <c r="CF15" s="81">
        <f t="shared" ca="1" si="23"/>
        <v>206.9</v>
      </c>
      <c r="CG15" s="81">
        <f t="shared" ca="1" si="23"/>
        <v>21.499999999999996</v>
      </c>
      <c r="CH15" s="81">
        <f t="shared" ca="1" si="23"/>
        <v>1.0999999999999996</v>
      </c>
      <c r="CI15" s="81">
        <f t="shared" ca="1" si="23"/>
        <v>0</v>
      </c>
      <c r="CJ15" s="81">
        <f t="shared" ca="1" si="23"/>
        <v>0</v>
      </c>
      <c r="CK15" s="81">
        <f t="shared" ca="1" si="23"/>
        <v>21.500000000000004</v>
      </c>
      <c r="CL15" s="81">
        <f t="shared" ca="1" si="23"/>
        <v>130.50000000000003</v>
      </c>
      <c r="CM15" s="81">
        <f t="shared" ca="1" si="23"/>
        <v>313.99999999999994</v>
      </c>
      <c r="CN15" s="81">
        <f t="shared" ca="1" si="23"/>
        <v>409.50000000000006</v>
      </c>
      <c r="CP15" s="81">
        <f t="shared" si="16"/>
        <v>2012</v>
      </c>
      <c r="CQ15" s="81">
        <f t="shared" ref="CQ15:DB24" ca="1" si="24">OFFSET($N$2,(ROW()-5)*12+COLUMN()-95,0)</f>
        <v>425.10000000000008</v>
      </c>
      <c r="CR15" s="81">
        <f t="shared" ca="1" si="24"/>
        <v>357.7</v>
      </c>
      <c r="CS15" s="81">
        <f t="shared" ca="1" si="24"/>
        <v>186.99999999999997</v>
      </c>
      <c r="CT15" s="81">
        <f t="shared" ca="1" si="24"/>
        <v>152.9</v>
      </c>
      <c r="CU15" s="81">
        <f t="shared" ca="1" si="24"/>
        <v>7.0999999999999979</v>
      </c>
      <c r="CV15" s="81">
        <f t="shared" ca="1" si="24"/>
        <v>0</v>
      </c>
      <c r="CW15" s="81">
        <f t="shared" ca="1" si="24"/>
        <v>0</v>
      </c>
      <c r="CX15" s="81">
        <f t="shared" ca="1" si="24"/>
        <v>0</v>
      </c>
      <c r="CY15" s="81">
        <f t="shared" ca="1" si="24"/>
        <v>6.4</v>
      </c>
      <c r="CZ15" s="81">
        <f t="shared" ca="1" si="24"/>
        <v>84.299999999999983</v>
      </c>
      <c r="DA15" s="81">
        <f t="shared" ca="1" si="24"/>
        <v>254.5</v>
      </c>
      <c r="DB15" s="81">
        <f t="shared" ca="1" si="24"/>
        <v>347.50000000000011</v>
      </c>
      <c r="DD15" s="81">
        <f t="shared" si="17"/>
        <v>2012</v>
      </c>
      <c r="DE15" s="81">
        <f t="shared" ca="1" si="18"/>
        <v>363.10000000000008</v>
      </c>
      <c r="DF15" s="81">
        <f t="shared" ca="1" si="18"/>
        <v>299.70000000000005</v>
      </c>
      <c r="DG15" s="81">
        <f t="shared" ca="1" si="18"/>
        <v>145</v>
      </c>
      <c r="DH15" s="81">
        <f t="shared" ca="1" si="18"/>
        <v>100.89999999999999</v>
      </c>
      <c r="DI15" s="81">
        <f t="shared" ca="1" si="18"/>
        <v>0</v>
      </c>
      <c r="DJ15" s="81">
        <f t="shared" ca="1" si="18"/>
        <v>0</v>
      </c>
      <c r="DK15" s="81">
        <f t="shared" ca="1" si="18"/>
        <v>0</v>
      </c>
      <c r="DL15" s="81">
        <f t="shared" ca="1" si="18"/>
        <v>0</v>
      </c>
      <c r="DM15" s="81">
        <f t="shared" ca="1" si="18"/>
        <v>0.5</v>
      </c>
      <c r="DN15" s="81">
        <f t="shared" ca="1" si="18"/>
        <v>48.9</v>
      </c>
      <c r="DO15" s="81">
        <f t="shared" ca="1" si="18"/>
        <v>197.7</v>
      </c>
      <c r="DP15" s="81">
        <f t="shared" ca="1" si="18"/>
        <v>286.00000000000006</v>
      </c>
      <c r="DR15" s="81">
        <f t="shared" si="19"/>
        <v>2012</v>
      </c>
      <c r="DS15" s="81">
        <f t="shared" ca="1" si="20"/>
        <v>301.10000000000008</v>
      </c>
      <c r="DT15" s="81">
        <f t="shared" ca="1" si="20"/>
        <v>241.70000000000005</v>
      </c>
      <c r="DU15" s="81">
        <f t="shared" ca="1" si="20"/>
        <v>111.49999999999999</v>
      </c>
      <c r="DV15" s="81">
        <f t="shared" ca="1" si="20"/>
        <v>51.5</v>
      </c>
      <c r="DW15" s="81">
        <f t="shared" ca="1" si="20"/>
        <v>0</v>
      </c>
      <c r="DX15" s="81">
        <f t="shared" ca="1" si="20"/>
        <v>0</v>
      </c>
      <c r="DY15" s="81">
        <f t="shared" ca="1" si="20"/>
        <v>0</v>
      </c>
      <c r="DZ15" s="81">
        <f t="shared" ca="1" si="20"/>
        <v>0</v>
      </c>
      <c r="EA15" s="81">
        <f t="shared" ca="1" si="20"/>
        <v>0</v>
      </c>
      <c r="EB15" s="81">
        <f t="shared" ca="1" si="20"/>
        <v>22.3</v>
      </c>
      <c r="EC15" s="81">
        <f t="shared" ca="1" si="20"/>
        <v>142.6</v>
      </c>
      <c r="ED15" s="81">
        <f t="shared" ca="1" si="20"/>
        <v>226</v>
      </c>
      <c r="EG15" s="86"/>
      <c r="EH15" s="86"/>
      <c r="EI15" s="86"/>
      <c r="EK15" s="86"/>
      <c r="EL15" s="86"/>
      <c r="EM15" s="82"/>
      <c r="EO15" s="82"/>
      <c r="FA15" s="265" t="s">
        <v>115</v>
      </c>
      <c r="FB15" s="266">
        <v>12341.744009432299</v>
      </c>
      <c r="FC15" s="266">
        <v>1578.7071034457899</v>
      </c>
      <c r="FD15" s="266">
        <v>7.8176274639509797</v>
      </c>
      <c r="FE15" s="269">
        <v>2.1437301111719202E-12</v>
      </c>
      <c r="FF15" s="268"/>
    </row>
    <row r="16" spans="1:162" x14ac:dyDescent="0.2">
      <c r="A16" s="81">
        <v>2003</v>
      </c>
      <c r="B16" s="88">
        <v>3</v>
      </c>
      <c r="C16" s="88">
        <v>-0.7451612903225816</v>
      </c>
      <c r="D16" s="87">
        <v>705.1</v>
      </c>
      <c r="E16" s="87">
        <v>0</v>
      </c>
      <c r="F16" s="87">
        <v>643.09999999999991</v>
      </c>
      <c r="G16" s="87">
        <v>0</v>
      </c>
      <c r="H16" s="133">
        <v>581.09999999999991</v>
      </c>
      <c r="I16" s="133">
        <v>0</v>
      </c>
      <c r="J16" s="87">
        <v>519.09999999999991</v>
      </c>
      <c r="K16" s="87">
        <v>0</v>
      </c>
      <c r="L16" s="87">
        <v>457.09999999999997</v>
      </c>
      <c r="M16" s="87">
        <v>0</v>
      </c>
      <c r="N16" s="87">
        <v>395.1</v>
      </c>
      <c r="O16" s="87">
        <v>0</v>
      </c>
      <c r="P16" s="87">
        <v>334.49999999999994</v>
      </c>
      <c r="Q16" s="87">
        <v>1.4000000000000004</v>
      </c>
      <c r="R16" s="87">
        <v>278</v>
      </c>
      <c r="S16" s="87">
        <v>6.9</v>
      </c>
      <c r="T16" s="87"/>
      <c r="U16" s="87"/>
      <c r="V16" s="87"/>
      <c r="X16" s="81">
        <f t="shared" si="10"/>
        <v>2013</v>
      </c>
      <c r="Y16" s="81">
        <f t="shared" ca="1" si="11"/>
        <v>748.50000000000011</v>
      </c>
      <c r="Z16" s="81">
        <f t="shared" ca="1" si="11"/>
        <v>743.49999999999989</v>
      </c>
      <c r="AA16" s="81">
        <f t="shared" ca="1" si="11"/>
        <v>678.8</v>
      </c>
      <c r="AB16" s="81">
        <f t="shared" ca="1" si="11"/>
        <v>478.60000000000014</v>
      </c>
      <c r="AC16" s="81">
        <f t="shared" ca="1" si="11"/>
        <v>215.70000000000002</v>
      </c>
      <c r="AD16" s="81">
        <f t="shared" ca="1" si="11"/>
        <v>108.39999999999998</v>
      </c>
      <c r="AE16" s="81">
        <f t="shared" ca="1" si="11"/>
        <v>40.599999999999994</v>
      </c>
      <c r="AF16" s="81">
        <f t="shared" ca="1" si="11"/>
        <v>54.2</v>
      </c>
      <c r="AG16" s="81">
        <f t="shared" ca="1" si="11"/>
        <v>190.49999999999997</v>
      </c>
      <c r="AH16" s="81">
        <f t="shared" ca="1" si="11"/>
        <v>347.3</v>
      </c>
      <c r="AI16" s="81">
        <f t="shared" ca="1" si="11"/>
        <v>598.19999999999993</v>
      </c>
      <c r="AJ16" s="81">
        <f t="shared" ca="1" si="11"/>
        <v>811.89999999999986</v>
      </c>
      <c r="AL16" s="81">
        <f t="shared" si="12"/>
        <v>2013</v>
      </c>
      <c r="AM16" s="81">
        <f t="shared" ca="1" si="1"/>
        <v>686.50000000000011</v>
      </c>
      <c r="AN16" s="81">
        <f t="shared" ca="1" si="2"/>
        <v>687.49999999999989</v>
      </c>
      <c r="AO16" s="81">
        <f t="shared" ca="1" si="2"/>
        <v>616.79999999999984</v>
      </c>
      <c r="AP16" s="81">
        <f t="shared" ca="1" si="2"/>
        <v>418.60000000000008</v>
      </c>
      <c r="AQ16" s="81">
        <f t="shared" ca="1" si="2"/>
        <v>159.20000000000002</v>
      </c>
      <c r="AR16" s="81">
        <f t="shared" ca="1" si="2"/>
        <v>64.599999999999994</v>
      </c>
      <c r="AS16" s="81">
        <f t="shared" ca="1" si="2"/>
        <v>13.399999999999999</v>
      </c>
      <c r="AT16" s="81">
        <f t="shared" ca="1" si="2"/>
        <v>21.500000000000004</v>
      </c>
      <c r="AU16" s="81">
        <f t="shared" ca="1" si="2"/>
        <v>137.19999999999999</v>
      </c>
      <c r="AV16" s="81">
        <f t="shared" ca="1" si="2"/>
        <v>285.3</v>
      </c>
      <c r="AW16" s="81">
        <f t="shared" ca="1" si="2"/>
        <v>538.19999999999993</v>
      </c>
      <c r="AX16" s="81">
        <f t="shared" ca="1" si="2"/>
        <v>749.89999999999986</v>
      </c>
      <c r="AY16" s="93"/>
      <c r="AZ16" s="81">
        <f t="shared" si="13"/>
        <v>2013</v>
      </c>
      <c r="BA16" s="81">
        <f t="shared" ca="1" si="21"/>
        <v>624.50000000000011</v>
      </c>
      <c r="BB16" s="81">
        <f t="shared" ca="1" si="21"/>
        <v>631.49999999999989</v>
      </c>
      <c r="BC16" s="81">
        <f t="shared" ca="1" si="21"/>
        <v>554.79999999999995</v>
      </c>
      <c r="BD16" s="81">
        <f t="shared" ca="1" si="21"/>
        <v>358.6</v>
      </c>
      <c r="BE16" s="81">
        <f t="shared" ca="1" si="21"/>
        <v>109.10000000000001</v>
      </c>
      <c r="BF16" s="81">
        <f t="shared" ca="1" si="21"/>
        <v>32.999999999999993</v>
      </c>
      <c r="BG16" s="81">
        <f t="shared" ca="1" si="21"/>
        <v>1.3000000000000007</v>
      </c>
      <c r="BH16" s="81">
        <f t="shared" ca="1" si="21"/>
        <v>4.4000000000000021</v>
      </c>
      <c r="BI16" s="81">
        <f t="shared" ca="1" si="21"/>
        <v>90</v>
      </c>
      <c r="BJ16" s="81">
        <f t="shared" ca="1" si="21"/>
        <v>223.7</v>
      </c>
      <c r="BK16" s="81">
        <f t="shared" ca="1" si="21"/>
        <v>478.20000000000005</v>
      </c>
      <c r="BL16" s="81">
        <f t="shared" ca="1" si="21"/>
        <v>687.9</v>
      </c>
      <c r="BM16" s="93">
        <f t="shared" ca="1" si="4"/>
        <v>3797.0000000000005</v>
      </c>
      <c r="BN16" s="81">
        <f t="shared" si="14"/>
        <v>2013</v>
      </c>
      <c r="BO16" s="81">
        <f t="shared" ca="1" si="22"/>
        <v>562.50000000000011</v>
      </c>
      <c r="BP16" s="81">
        <f t="shared" ca="1" si="22"/>
        <v>575.5</v>
      </c>
      <c r="BQ16" s="81">
        <f t="shared" ca="1" si="22"/>
        <v>492.79999999999995</v>
      </c>
      <c r="BR16" s="81">
        <f t="shared" ca="1" si="22"/>
        <v>298.60000000000002</v>
      </c>
      <c r="BS16" s="81">
        <f t="shared" ca="1" si="22"/>
        <v>70.100000000000009</v>
      </c>
      <c r="BT16" s="81">
        <f t="shared" ca="1" si="22"/>
        <v>12.7</v>
      </c>
      <c r="BU16" s="81">
        <f t="shared" ca="1" si="22"/>
        <v>0</v>
      </c>
      <c r="BV16" s="81">
        <f t="shared" ca="1" si="22"/>
        <v>0</v>
      </c>
      <c r="BW16" s="81">
        <f t="shared" ca="1" si="22"/>
        <v>49.2</v>
      </c>
      <c r="BX16" s="81">
        <f t="shared" ca="1" si="22"/>
        <v>166</v>
      </c>
      <c r="BY16" s="81">
        <f t="shared" ca="1" si="22"/>
        <v>418.20000000000005</v>
      </c>
      <c r="BZ16" s="81">
        <f t="shared" ca="1" si="22"/>
        <v>625.9</v>
      </c>
      <c r="CB16" s="81">
        <f t="shared" si="15"/>
        <v>2013</v>
      </c>
      <c r="CC16" s="81">
        <f t="shared" ca="1" si="23"/>
        <v>500.50000000000006</v>
      </c>
      <c r="CD16" s="81">
        <f t="shared" ca="1" si="23"/>
        <v>519.49999999999989</v>
      </c>
      <c r="CE16" s="81">
        <f t="shared" ca="1" si="23"/>
        <v>430.8</v>
      </c>
      <c r="CF16" s="81">
        <f t="shared" ca="1" si="23"/>
        <v>239.99999999999997</v>
      </c>
      <c r="CG16" s="81">
        <f t="shared" ca="1" si="23"/>
        <v>45.1</v>
      </c>
      <c r="CH16" s="81">
        <f t="shared" ca="1" si="23"/>
        <v>2.5999999999999996</v>
      </c>
      <c r="CI16" s="81">
        <f t="shared" ca="1" si="23"/>
        <v>0</v>
      </c>
      <c r="CJ16" s="81">
        <f t="shared" ca="1" si="23"/>
        <v>0</v>
      </c>
      <c r="CK16" s="81">
        <f t="shared" ca="1" si="23"/>
        <v>22.099999999999998</v>
      </c>
      <c r="CL16" s="81">
        <f t="shared" ca="1" si="23"/>
        <v>115.4</v>
      </c>
      <c r="CM16" s="81">
        <f t="shared" ca="1" si="23"/>
        <v>358.20000000000005</v>
      </c>
      <c r="CN16" s="81">
        <f t="shared" ca="1" si="23"/>
        <v>563.9</v>
      </c>
      <c r="CP16" s="81">
        <f t="shared" si="16"/>
        <v>2013</v>
      </c>
      <c r="CQ16" s="81">
        <f t="shared" ca="1" si="24"/>
        <v>438.50000000000006</v>
      </c>
      <c r="CR16" s="81">
        <f t="shared" ca="1" si="24"/>
        <v>463.49999999999989</v>
      </c>
      <c r="CS16" s="81">
        <f t="shared" ca="1" si="24"/>
        <v>368.79999999999995</v>
      </c>
      <c r="CT16" s="81">
        <f t="shared" ca="1" si="24"/>
        <v>184.2</v>
      </c>
      <c r="CU16" s="81">
        <f t="shared" ca="1" si="24"/>
        <v>26.3</v>
      </c>
      <c r="CV16" s="81">
        <f t="shared" ca="1" si="24"/>
        <v>0.40000000000000036</v>
      </c>
      <c r="CW16" s="81">
        <f t="shared" ca="1" si="24"/>
        <v>0</v>
      </c>
      <c r="CX16" s="81">
        <f t="shared" ca="1" si="24"/>
        <v>0</v>
      </c>
      <c r="CY16" s="81">
        <f t="shared" ca="1" si="24"/>
        <v>7</v>
      </c>
      <c r="CZ16" s="81">
        <f t="shared" ca="1" si="24"/>
        <v>75.2</v>
      </c>
      <c r="DA16" s="81">
        <f t="shared" ca="1" si="24"/>
        <v>298.20000000000005</v>
      </c>
      <c r="DB16" s="81">
        <f t="shared" ca="1" si="24"/>
        <v>501.89999999999992</v>
      </c>
      <c r="DD16" s="81">
        <f t="shared" si="17"/>
        <v>2013</v>
      </c>
      <c r="DE16" s="81">
        <f t="shared" ca="1" si="18"/>
        <v>376.50000000000006</v>
      </c>
      <c r="DF16" s="81">
        <f t="shared" ca="1" si="18"/>
        <v>407.49999999999989</v>
      </c>
      <c r="DG16" s="81">
        <f t="shared" ca="1" si="18"/>
        <v>306.8</v>
      </c>
      <c r="DH16" s="81">
        <f t="shared" ca="1" si="18"/>
        <v>135.19999999999999</v>
      </c>
      <c r="DI16" s="81">
        <f t="shared" ca="1" si="18"/>
        <v>14.4</v>
      </c>
      <c r="DJ16" s="81">
        <f t="shared" ca="1" si="18"/>
        <v>0</v>
      </c>
      <c r="DK16" s="81">
        <f t="shared" ca="1" si="18"/>
        <v>0</v>
      </c>
      <c r="DL16" s="81">
        <f t="shared" ca="1" si="18"/>
        <v>0</v>
      </c>
      <c r="DM16" s="81">
        <f t="shared" ca="1" si="18"/>
        <v>0</v>
      </c>
      <c r="DN16" s="81">
        <f t="shared" ca="1" si="18"/>
        <v>50.6</v>
      </c>
      <c r="DO16" s="81">
        <f t="shared" ca="1" si="18"/>
        <v>243.5</v>
      </c>
      <c r="DP16" s="81">
        <f t="shared" ca="1" si="18"/>
        <v>439.89999999999992</v>
      </c>
      <c r="DR16" s="81">
        <f t="shared" si="19"/>
        <v>2013</v>
      </c>
      <c r="DS16" s="81">
        <f t="shared" ca="1" si="20"/>
        <v>319.70000000000005</v>
      </c>
      <c r="DT16" s="81">
        <f t="shared" ca="1" si="20"/>
        <v>351.49999999999994</v>
      </c>
      <c r="DU16" s="81">
        <f t="shared" ca="1" si="20"/>
        <v>244.79999999999995</v>
      </c>
      <c r="DV16" s="81">
        <f t="shared" ca="1" si="20"/>
        <v>91.899999999999991</v>
      </c>
      <c r="DW16" s="81">
        <f t="shared" ca="1" si="20"/>
        <v>5.7000000000000011</v>
      </c>
      <c r="DX16" s="81">
        <f t="shared" ca="1" si="20"/>
        <v>0</v>
      </c>
      <c r="DY16" s="81">
        <f t="shared" ca="1" si="20"/>
        <v>0</v>
      </c>
      <c r="DZ16" s="81">
        <f t="shared" ca="1" si="20"/>
        <v>0</v>
      </c>
      <c r="EA16" s="81">
        <f t="shared" ca="1" si="20"/>
        <v>0</v>
      </c>
      <c r="EB16" s="81">
        <f t="shared" ca="1" si="20"/>
        <v>28.700000000000003</v>
      </c>
      <c r="EC16" s="81">
        <f t="shared" ca="1" si="20"/>
        <v>190</v>
      </c>
      <c r="ED16" s="81">
        <f t="shared" ca="1" si="20"/>
        <v>378.6</v>
      </c>
      <c r="EG16" s="86"/>
      <c r="EH16" s="86"/>
      <c r="EI16" s="86"/>
      <c r="EK16" s="86"/>
      <c r="EL16" s="86"/>
      <c r="EM16" s="82"/>
      <c r="EO16" s="82"/>
      <c r="FA16" s="265" t="s">
        <v>114</v>
      </c>
      <c r="FB16" s="266">
        <v>68243.719215225603</v>
      </c>
      <c r="FC16" s="266">
        <v>4090.67405397729</v>
      </c>
      <c r="FD16" s="266">
        <v>16.682756512676299</v>
      </c>
      <c r="FE16" s="269">
        <v>2.86258782331966E-33</v>
      </c>
      <c r="FF16" s="268"/>
    </row>
    <row r="17" spans="1:162" x14ac:dyDescent="0.2">
      <c r="A17" s="81">
        <v>2003</v>
      </c>
      <c r="B17" s="88">
        <v>4</v>
      </c>
      <c r="C17" s="88">
        <v>5.6633333333333331</v>
      </c>
      <c r="D17" s="87">
        <v>490.10000000000014</v>
      </c>
      <c r="E17" s="87">
        <v>0</v>
      </c>
      <c r="F17" s="87">
        <v>430.50000000000011</v>
      </c>
      <c r="G17" s="87">
        <v>0.39999999999999858</v>
      </c>
      <c r="H17" s="133">
        <v>372.50000000000011</v>
      </c>
      <c r="I17" s="133">
        <v>2.3999999999999986</v>
      </c>
      <c r="J17" s="87">
        <v>316.20000000000005</v>
      </c>
      <c r="K17" s="87">
        <v>6.0999999999999979</v>
      </c>
      <c r="L17" s="87">
        <v>260.70000000000005</v>
      </c>
      <c r="M17" s="87">
        <v>10.599999999999998</v>
      </c>
      <c r="N17" s="87">
        <v>208.29999999999998</v>
      </c>
      <c r="O17" s="87">
        <v>18.199999999999996</v>
      </c>
      <c r="P17" s="87">
        <v>160.29999999999998</v>
      </c>
      <c r="Q17" s="87">
        <v>30.199999999999996</v>
      </c>
      <c r="R17" s="87">
        <v>117.39999999999999</v>
      </c>
      <c r="S17" s="87">
        <v>47.300000000000004</v>
      </c>
      <c r="T17" s="87"/>
      <c r="U17" s="87"/>
      <c r="V17" s="87"/>
      <c r="X17" s="81">
        <f t="shared" si="10"/>
        <v>2014</v>
      </c>
      <c r="Y17" s="81">
        <f t="shared" ca="1" si="11"/>
        <v>949.90000000000009</v>
      </c>
      <c r="Z17" s="81">
        <f t="shared" ca="1" si="11"/>
        <v>849.09999999999991</v>
      </c>
      <c r="AA17" s="81">
        <f t="shared" ca="1" si="11"/>
        <v>814.60000000000014</v>
      </c>
      <c r="AB17" s="81">
        <f t="shared" ca="1" si="11"/>
        <v>476.9</v>
      </c>
      <c r="AC17" s="81">
        <f t="shared" ca="1" si="11"/>
        <v>246.90000000000006</v>
      </c>
      <c r="AD17" s="81">
        <f t="shared" ca="1" si="11"/>
        <v>78.500000000000028</v>
      </c>
      <c r="AE17" s="81">
        <f t="shared" ca="1" si="11"/>
        <v>70.599999999999994</v>
      </c>
      <c r="AF17" s="81">
        <f t="shared" ca="1" si="11"/>
        <v>62.100000000000009</v>
      </c>
      <c r="AG17" s="81">
        <f t="shared" ca="1" si="11"/>
        <v>165.99999999999997</v>
      </c>
      <c r="AH17" s="81">
        <f t="shared" ca="1" si="11"/>
        <v>346.99999999999994</v>
      </c>
      <c r="AI17" s="81">
        <f t="shared" ca="1" si="11"/>
        <v>602.09999999999991</v>
      </c>
      <c r="AJ17" s="81">
        <f t="shared" ca="1" si="11"/>
        <v>681.29999999999984</v>
      </c>
      <c r="AL17" s="81">
        <f t="shared" si="12"/>
        <v>2014</v>
      </c>
      <c r="AM17" s="81">
        <f t="shared" ca="1" si="1"/>
        <v>887.9000000000002</v>
      </c>
      <c r="AN17" s="81">
        <f t="shared" ca="1" si="2"/>
        <v>793.1</v>
      </c>
      <c r="AO17" s="81">
        <f t="shared" ca="1" si="2"/>
        <v>752.60000000000014</v>
      </c>
      <c r="AP17" s="81">
        <f t="shared" ca="1" si="2"/>
        <v>416.90000000000003</v>
      </c>
      <c r="AQ17" s="81">
        <f t="shared" ca="1" si="2"/>
        <v>188.90000000000009</v>
      </c>
      <c r="AR17" s="81">
        <f t="shared" ca="1" si="2"/>
        <v>38.4</v>
      </c>
      <c r="AS17" s="81">
        <f t="shared" ca="1" si="2"/>
        <v>28.3</v>
      </c>
      <c r="AT17" s="81">
        <f t="shared" ca="1" si="2"/>
        <v>27.5</v>
      </c>
      <c r="AU17" s="81">
        <f t="shared" ca="1" si="2"/>
        <v>113.9</v>
      </c>
      <c r="AV17" s="81">
        <f t="shared" ca="1" si="2"/>
        <v>285</v>
      </c>
      <c r="AW17" s="81">
        <f t="shared" ca="1" si="2"/>
        <v>542.1</v>
      </c>
      <c r="AX17" s="81">
        <f t="shared" ca="1" si="2"/>
        <v>619.29999999999995</v>
      </c>
      <c r="AY17" s="93"/>
      <c r="AZ17" s="81">
        <f t="shared" si="13"/>
        <v>2014</v>
      </c>
      <c r="BA17" s="81">
        <f t="shared" ca="1" si="21"/>
        <v>825.90000000000009</v>
      </c>
      <c r="BB17" s="81">
        <f t="shared" ca="1" si="21"/>
        <v>737.09999999999991</v>
      </c>
      <c r="BC17" s="81">
        <f t="shared" ca="1" si="21"/>
        <v>690.6</v>
      </c>
      <c r="BD17" s="81">
        <f t="shared" ca="1" si="21"/>
        <v>356.90000000000003</v>
      </c>
      <c r="BE17" s="81">
        <f t="shared" ca="1" si="21"/>
        <v>132.10000000000002</v>
      </c>
      <c r="BF17" s="81">
        <f t="shared" ca="1" si="21"/>
        <v>14.1</v>
      </c>
      <c r="BG17" s="81">
        <f t="shared" ca="1" si="21"/>
        <v>4</v>
      </c>
      <c r="BH17" s="81">
        <f t="shared" ca="1" si="21"/>
        <v>8.8000000000000007</v>
      </c>
      <c r="BI17" s="81">
        <f t="shared" ca="1" si="21"/>
        <v>69.700000000000017</v>
      </c>
      <c r="BJ17" s="81">
        <f t="shared" ca="1" si="21"/>
        <v>224.30000000000004</v>
      </c>
      <c r="BK17" s="81">
        <f t="shared" ca="1" si="21"/>
        <v>482.1</v>
      </c>
      <c r="BL17" s="81">
        <f t="shared" ca="1" si="21"/>
        <v>557.29999999999995</v>
      </c>
      <c r="BM17" s="93">
        <f t="shared" ca="1" si="4"/>
        <v>4102.8999999999996</v>
      </c>
      <c r="BN17" s="81">
        <f t="shared" si="14"/>
        <v>2014</v>
      </c>
      <c r="BO17" s="81">
        <f t="shared" ca="1" si="22"/>
        <v>763.9000000000002</v>
      </c>
      <c r="BP17" s="81">
        <f t="shared" ca="1" si="22"/>
        <v>681.0999999999998</v>
      </c>
      <c r="BQ17" s="81">
        <f t="shared" ca="1" si="22"/>
        <v>628.6</v>
      </c>
      <c r="BR17" s="81">
        <f t="shared" ca="1" si="22"/>
        <v>296.90000000000003</v>
      </c>
      <c r="BS17" s="81">
        <f t="shared" ca="1" si="22"/>
        <v>81.700000000000031</v>
      </c>
      <c r="BT17" s="81">
        <f t="shared" ca="1" si="22"/>
        <v>2.7999999999999989</v>
      </c>
      <c r="BU17" s="81">
        <f t="shared" ca="1" si="22"/>
        <v>0</v>
      </c>
      <c r="BV17" s="81">
        <f t="shared" ca="1" si="22"/>
        <v>1</v>
      </c>
      <c r="BW17" s="81">
        <f t="shared" ca="1" si="22"/>
        <v>39.299999999999997</v>
      </c>
      <c r="BX17" s="81">
        <f t="shared" ca="1" si="22"/>
        <v>167.3</v>
      </c>
      <c r="BY17" s="81">
        <f t="shared" ca="1" si="22"/>
        <v>422.10000000000008</v>
      </c>
      <c r="BZ17" s="81">
        <f t="shared" ca="1" si="22"/>
        <v>495.30000000000007</v>
      </c>
      <c r="CB17" s="81">
        <f t="shared" si="15"/>
        <v>2014</v>
      </c>
      <c r="CC17" s="81">
        <f t="shared" ca="1" si="23"/>
        <v>701.9000000000002</v>
      </c>
      <c r="CD17" s="81">
        <f t="shared" ca="1" si="23"/>
        <v>625.09999999999991</v>
      </c>
      <c r="CE17" s="81">
        <f t="shared" ca="1" si="23"/>
        <v>566.6</v>
      </c>
      <c r="CF17" s="81">
        <f t="shared" ca="1" si="23"/>
        <v>236.89999999999995</v>
      </c>
      <c r="CG17" s="81">
        <f t="shared" ca="1" si="23"/>
        <v>46.599999999999994</v>
      </c>
      <c r="CH17" s="81">
        <f t="shared" ca="1" si="23"/>
        <v>0</v>
      </c>
      <c r="CI17" s="81">
        <f t="shared" ca="1" si="23"/>
        <v>0</v>
      </c>
      <c r="CJ17" s="81">
        <f t="shared" ca="1" si="23"/>
        <v>0</v>
      </c>
      <c r="CK17" s="81">
        <f t="shared" ca="1" si="23"/>
        <v>20.5</v>
      </c>
      <c r="CL17" s="81">
        <f t="shared" ca="1" si="23"/>
        <v>117.8</v>
      </c>
      <c r="CM17" s="81">
        <f t="shared" ca="1" si="23"/>
        <v>362.10000000000008</v>
      </c>
      <c r="CN17" s="81">
        <f t="shared" ca="1" si="23"/>
        <v>433.30000000000007</v>
      </c>
      <c r="CP17" s="81">
        <f t="shared" si="16"/>
        <v>2014</v>
      </c>
      <c r="CQ17" s="81">
        <f t="shared" ca="1" si="24"/>
        <v>639.90000000000009</v>
      </c>
      <c r="CR17" s="81">
        <f t="shared" ca="1" si="24"/>
        <v>569.09999999999991</v>
      </c>
      <c r="CS17" s="81">
        <f t="shared" ca="1" si="24"/>
        <v>504.59999999999991</v>
      </c>
      <c r="CT17" s="81">
        <f t="shared" ca="1" si="24"/>
        <v>179.49999999999997</v>
      </c>
      <c r="CU17" s="81">
        <f t="shared" ca="1" si="24"/>
        <v>26.199999999999996</v>
      </c>
      <c r="CV17" s="81">
        <f t="shared" ca="1" si="24"/>
        <v>0</v>
      </c>
      <c r="CW17" s="81">
        <f t="shared" ca="1" si="24"/>
        <v>0</v>
      </c>
      <c r="CX17" s="81">
        <f t="shared" ca="1" si="24"/>
        <v>0</v>
      </c>
      <c r="CY17" s="81">
        <f t="shared" ca="1" si="24"/>
        <v>8.2999999999999989</v>
      </c>
      <c r="CZ17" s="81">
        <f t="shared" ca="1" si="24"/>
        <v>75.099999999999994</v>
      </c>
      <c r="DA17" s="81">
        <f t="shared" ca="1" si="24"/>
        <v>302.10000000000002</v>
      </c>
      <c r="DB17" s="81">
        <f t="shared" ca="1" si="24"/>
        <v>371.30000000000013</v>
      </c>
      <c r="DD17" s="81">
        <f t="shared" si="17"/>
        <v>2014</v>
      </c>
      <c r="DE17" s="81">
        <f t="shared" ca="1" si="18"/>
        <v>577.90000000000009</v>
      </c>
      <c r="DF17" s="81">
        <f t="shared" ca="1" si="18"/>
        <v>513.09999999999991</v>
      </c>
      <c r="DG17" s="81">
        <f t="shared" ca="1" si="18"/>
        <v>442.59999999999991</v>
      </c>
      <c r="DH17" s="81">
        <f t="shared" ca="1" si="18"/>
        <v>126.49999999999997</v>
      </c>
      <c r="DI17" s="81">
        <f t="shared" ca="1" si="18"/>
        <v>7.2000000000000011</v>
      </c>
      <c r="DJ17" s="81">
        <f t="shared" ca="1" si="18"/>
        <v>0</v>
      </c>
      <c r="DK17" s="81">
        <f t="shared" ca="1" si="18"/>
        <v>0</v>
      </c>
      <c r="DL17" s="81">
        <f t="shared" ca="1" si="18"/>
        <v>0</v>
      </c>
      <c r="DM17" s="81">
        <f t="shared" ca="1" si="18"/>
        <v>0.79999999999999893</v>
      </c>
      <c r="DN17" s="81">
        <f t="shared" ca="1" si="18"/>
        <v>36.099999999999994</v>
      </c>
      <c r="DO17" s="81">
        <f t="shared" ca="1" si="18"/>
        <v>244.20000000000002</v>
      </c>
      <c r="DP17" s="81">
        <f t="shared" ca="1" si="18"/>
        <v>309.30000000000007</v>
      </c>
      <c r="DR17" s="81">
        <f t="shared" si="19"/>
        <v>2014</v>
      </c>
      <c r="DS17" s="81">
        <f t="shared" ca="1" si="20"/>
        <v>515.9</v>
      </c>
      <c r="DT17" s="81">
        <f t="shared" ca="1" si="20"/>
        <v>457.09999999999997</v>
      </c>
      <c r="DU17" s="81">
        <f t="shared" ca="1" si="20"/>
        <v>380.59999999999991</v>
      </c>
      <c r="DV17" s="81">
        <f t="shared" ca="1" si="20"/>
        <v>77.399999999999991</v>
      </c>
      <c r="DW17" s="81">
        <f t="shared" ca="1" si="20"/>
        <v>0</v>
      </c>
      <c r="DX17" s="81">
        <f t="shared" ca="1" si="20"/>
        <v>0</v>
      </c>
      <c r="DY17" s="81">
        <f t="shared" ca="1" si="20"/>
        <v>0</v>
      </c>
      <c r="DZ17" s="81">
        <f t="shared" ca="1" si="20"/>
        <v>0</v>
      </c>
      <c r="EA17" s="81">
        <f t="shared" ca="1" si="20"/>
        <v>0</v>
      </c>
      <c r="EB17" s="81">
        <f t="shared" ca="1" si="20"/>
        <v>9.9</v>
      </c>
      <c r="EC17" s="81">
        <f t="shared" ca="1" si="20"/>
        <v>189.70000000000005</v>
      </c>
      <c r="ED17" s="81">
        <f t="shared" ca="1" si="20"/>
        <v>247.30000000000004</v>
      </c>
      <c r="EG17" s="86"/>
      <c r="EH17" s="86"/>
      <c r="EI17" s="86"/>
      <c r="EK17" s="86"/>
      <c r="EL17" s="86"/>
      <c r="EM17" s="82"/>
      <c r="EO17" s="82"/>
      <c r="EP17" s="85"/>
      <c r="EQ17" s="84"/>
      <c r="ER17" s="84"/>
      <c r="FA17" s="265"/>
      <c r="FB17" s="266"/>
      <c r="FC17" s="266"/>
      <c r="FD17" s="266"/>
      <c r="FE17" s="267"/>
      <c r="FF17" s="268"/>
    </row>
    <row r="18" spans="1:162" x14ac:dyDescent="0.2">
      <c r="A18" s="81">
        <v>2003</v>
      </c>
      <c r="B18" s="88">
        <v>5</v>
      </c>
      <c r="C18" s="88">
        <v>12.261290322580646</v>
      </c>
      <c r="D18" s="87">
        <v>301.89999999999998</v>
      </c>
      <c r="E18" s="87">
        <v>0</v>
      </c>
      <c r="F18" s="87">
        <v>239.9</v>
      </c>
      <c r="G18" s="87">
        <v>0</v>
      </c>
      <c r="H18" s="133">
        <v>177.90000000000003</v>
      </c>
      <c r="I18" s="133">
        <v>0</v>
      </c>
      <c r="J18" s="87">
        <v>117.2</v>
      </c>
      <c r="K18" s="87">
        <v>1.3000000000000007</v>
      </c>
      <c r="L18" s="87">
        <v>64</v>
      </c>
      <c r="M18" s="87">
        <v>10.100000000000001</v>
      </c>
      <c r="N18" s="87">
        <v>24.400000000000006</v>
      </c>
      <c r="O18" s="87">
        <v>32.5</v>
      </c>
      <c r="P18" s="87">
        <v>5.2000000000000011</v>
      </c>
      <c r="Q18" s="87">
        <v>75.299999999999983</v>
      </c>
      <c r="R18" s="87">
        <v>0.90000000000000036</v>
      </c>
      <c r="S18" s="87">
        <v>133</v>
      </c>
      <c r="T18" s="87"/>
      <c r="U18" s="87"/>
      <c r="V18" s="87"/>
      <c r="X18" s="81">
        <f t="shared" si="10"/>
        <v>2015</v>
      </c>
      <c r="Y18" s="81">
        <f t="shared" ca="1" si="11"/>
        <v>916.39999999999975</v>
      </c>
      <c r="Z18" s="81">
        <f t="shared" ca="1" si="11"/>
        <v>968.8</v>
      </c>
      <c r="AA18" s="81">
        <f t="shared" ca="1" si="11"/>
        <v>739.49999999999989</v>
      </c>
      <c r="AB18" s="81">
        <f t="shared" ca="1" si="11"/>
        <v>433.7</v>
      </c>
      <c r="AC18" s="81">
        <f t="shared" ca="1" si="11"/>
        <v>182.5</v>
      </c>
      <c r="AD18" s="81">
        <f t="shared" ca="1" si="11"/>
        <v>121.79999999999995</v>
      </c>
      <c r="AE18" s="81">
        <f t="shared" ca="1" si="11"/>
        <v>44.8</v>
      </c>
      <c r="AF18" s="81">
        <f t="shared" ca="1" si="11"/>
        <v>58.599999999999994</v>
      </c>
      <c r="AG18" s="81">
        <f t="shared" ca="1" si="11"/>
        <v>97.000000000000028</v>
      </c>
      <c r="AH18" s="81">
        <f t="shared" ca="1" si="11"/>
        <v>373.8</v>
      </c>
      <c r="AI18" s="81">
        <f t="shared" ca="1" si="11"/>
        <v>465</v>
      </c>
      <c r="AJ18" s="81">
        <f t="shared" ca="1" si="11"/>
        <v>553.70000000000016</v>
      </c>
      <c r="AL18" s="81">
        <f t="shared" si="12"/>
        <v>2015</v>
      </c>
      <c r="AM18" s="81">
        <f t="shared" ca="1" si="1"/>
        <v>854.39999999999975</v>
      </c>
      <c r="AN18" s="81">
        <f t="shared" ca="1" si="2"/>
        <v>912.79999999999984</v>
      </c>
      <c r="AO18" s="81">
        <f t="shared" ca="1" si="2"/>
        <v>677.5</v>
      </c>
      <c r="AP18" s="81">
        <f t="shared" ca="1" si="2"/>
        <v>373.69999999999993</v>
      </c>
      <c r="AQ18" s="81">
        <f t="shared" ca="1" si="2"/>
        <v>130.19999999999999</v>
      </c>
      <c r="AR18" s="81">
        <f t="shared" ca="1" si="2"/>
        <v>69.700000000000017</v>
      </c>
      <c r="AS18" s="81">
        <f t="shared" ca="1" si="2"/>
        <v>17.799999999999997</v>
      </c>
      <c r="AT18" s="81">
        <f t="shared" ca="1" si="2"/>
        <v>23.499999999999993</v>
      </c>
      <c r="AU18" s="81">
        <f t="shared" ca="1" si="2"/>
        <v>60.100000000000016</v>
      </c>
      <c r="AV18" s="81">
        <f t="shared" ca="1" si="2"/>
        <v>311.8</v>
      </c>
      <c r="AW18" s="81">
        <f t="shared" ca="1" si="2"/>
        <v>404.99999999999994</v>
      </c>
      <c r="AX18" s="81">
        <f t="shared" ca="1" si="2"/>
        <v>491.7000000000001</v>
      </c>
      <c r="AY18" s="93"/>
      <c r="AZ18" s="81">
        <f t="shared" si="13"/>
        <v>2015</v>
      </c>
      <c r="BA18" s="81">
        <f t="shared" ca="1" si="21"/>
        <v>792.39999999999975</v>
      </c>
      <c r="BB18" s="81">
        <f t="shared" ca="1" si="21"/>
        <v>856.8</v>
      </c>
      <c r="BC18" s="81">
        <f t="shared" ca="1" si="21"/>
        <v>615.49999999999989</v>
      </c>
      <c r="BD18" s="81">
        <f t="shared" ca="1" si="21"/>
        <v>313.7</v>
      </c>
      <c r="BE18" s="81">
        <f t="shared" ca="1" si="21"/>
        <v>89.3</v>
      </c>
      <c r="BF18" s="81">
        <f t="shared" ca="1" si="21"/>
        <v>33.800000000000004</v>
      </c>
      <c r="BG18" s="81">
        <f t="shared" ca="1" si="21"/>
        <v>3.9999999999999964</v>
      </c>
      <c r="BH18" s="81">
        <f t="shared" ca="1" si="21"/>
        <v>4.3999999999999986</v>
      </c>
      <c r="BI18" s="81">
        <f t="shared" ca="1" si="21"/>
        <v>31.099999999999994</v>
      </c>
      <c r="BJ18" s="81">
        <f t="shared" ca="1" si="21"/>
        <v>249.8</v>
      </c>
      <c r="BK18" s="81">
        <f t="shared" ca="1" si="21"/>
        <v>345</v>
      </c>
      <c r="BL18" s="81">
        <f t="shared" ca="1" si="21"/>
        <v>429.70000000000005</v>
      </c>
      <c r="BM18" s="93">
        <f t="shared" ca="1" si="4"/>
        <v>3765.5</v>
      </c>
      <c r="BN18" s="81">
        <f t="shared" si="14"/>
        <v>2015</v>
      </c>
      <c r="BO18" s="81">
        <f t="shared" ca="1" si="22"/>
        <v>730.39999999999975</v>
      </c>
      <c r="BP18" s="81">
        <f t="shared" ca="1" si="22"/>
        <v>800.8</v>
      </c>
      <c r="BQ18" s="81">
        <f t="shared" ca="1" si="22"/>
        <v>553.5</v>
      </c>
      <c r="BR18" s="81">
        <f t="shared" ca="1" si="22"/>
        <v>253.70000000000002</v>
      </c>
      <c r="BS18" s="81">
        <f t="shared" ca="1" si="22"/>
        <v>56.900000000000006</v>
      </c>
      <c r="BT18" s="81">
        <f t="shared" ca="1" si="22"/>
        <v>14.299999999999999</v>
      </c>
      <c r="BU18" s="81">
        <f t="shared" ca="1" si="22"/>
        <v>0</v>
      </c>
      <c r="BV18" s="81">
        <f t="shared" ca="1" si="22"/>
        <v>0</v>
      </c>
      <c r="BW18" s="81">
        <f t="shared" ca="1" si="22"/>
        <v>12.9</v>
      </c>
      <c r="BX18" s="81">
        <f t="shared" ca="1" si="22"/>
        <v>190.60000000000002</v>
      </c>
      <c r="BY18" s="81">
        <f t="shared" ca="1" si="22"/>
        <v>285</v>
      </c>
      <c r="BZ18" s="81">
        <f t="shared" ca="1" si="22"/>
        <v>367.70000000000005</v>
      </c>
      <c r="CB18" s="81">
        <f t="shared" si="15"/>
        <v>2015</v>
      </c>
      <c r="CC18" s="81">
        <f t="shared" ca="1" si="23"/>
        <v>668.39999999999986</v>
      </c>
      <c r="CD18" s="81">
        <f t="shared" ca="1" si="23"/>
        <v>744.79999999999984</v>
      </c>
      <c r="CE18" s="81">
        <f t="shared" ca="1" si="23"/>
        <v>491.5</v>
      </c>
      <c r="CF18" s="81">
        <f t="shared" ca="1" si="23"/>
        <v>195.89999999999998</v>
      </c>
      <c r="CG18" s="81">
        <f t="shared" ca="1" si="23"/>
        <v>31.1</v>
      </c>
      <c r="CH18" s="81">
        <f t="shared" ca="1" si="23"/>
        <v>2.9999999999999982</v>
      </c>
      <c r="CI18" s="81">
        <f t="shared" ca="1" si="23"/>
        <v>0</v>
      </c>
      <c r="CJ18" s="81">
        <f t="shared" ca="1" si="23"/>
        <v>0</v>
      </c>
      <c r="CK18" s="81">
        <f t="shared" ca="1" si="23"/>
        <v>3.2999999999999989</v>
      </c>
      <c r="CL18" s="81">
        <f t="shared" ca="1" si="23"/>
        <v>135.30000000000001</v>
      </c>
      <c r="CM18" s="81">
        <f t="shared" ca="1" si="23"/>
        <v>227.2</v>
      </c>
      <c r="CN18" s="81">
        <f t="shared" ca="1" si="23"/>
        <v>305.7</v>
      </c>
      <c r="CP18" s="81">
        <f t="shared" si="16"/>
        <v>2015</v>
      </c>
      <c r="CQ18" s="81">
        <f t="shared" ca="1" si="24"/>
        <v>606.39999999999986</v>
      </c>
      <c r="CR18" s="81">
        <f t="shared" ca="1" si="24"/>
        <v>688.8</v>
      </c>
      <c r="CS18" s="81">
        <f t="shared" ca="1" si="24"/>
        <v>429.5</v>
      </c>
      <c r="CT18" s="81">
        <f t="shared" ca="1" si="24"/>
        <v>140.9</v>
      </c>
      <c r="CU18" s="81">
        <f t="shared" ca="1" si="24"/>
        <v>11.3</v>
      </c>
      <c r="CV18" s="81">
        <f t="shared" ca="1" si="24"/>
        <v>0.19999999999999929</v>
      </c>
      <c r="CW18" s="81">
        <f t="shared" ca="1" si="24"/>
        <v>0</v>
      </c>
      <c r="CX18" s="81">
        <f t="shared" ca="1" si="24"/>
        <v>0</v>
      </c>
      <c r="CY18" s="81">
        <f t="shared" ca="1" si="24"/>
        <v>0</v>
      </c>
      <c r="CZ18" s="81">
        <f t="shared" ca="1" si="24"/>
        <v>85.1</v>
      </c>
      <c r="DA18" s="81">
        <f t="shared" ca="1" si="24"/>
        <v>172.39999999999995</v>
      </c>
      <c r="DB18" s="81">
        <f t="shared" ca="1" si="24"/>
        <v>243.70000000000002</v>
      </c>
      <c r="DD18" s="81">
        <f t="shared" si="17"/>
        <v>2015</v>
      </c>
      <c r="DE18" s="81">
        <f t="shared" ca="1" si="18"/>
        <v>544.4</v>
      </c>
      <c r="DF18" s="81">
        <f t="shared" ca="1" si="18"/>
        <v>632.80000000000007</v>
      </c>
      <c r="DG18" s="81">
        <f t="shared" ca="1" si="18"/>
        <v>367.49999999999994</v>
      </c>
      <c r="DH18" s="81">
        <f t="shared" ca="1" si="18"/>
        <v>94.399999999999991</v>
      </c>
      <c r="DI18" s="81">
        <f t="shared" ca="1" si="18"/>
        <v>1.5</v>
      </c>
      <c r="DJ18" s="81">
        <f t="shared" ca="1" si="18"/>
        <v>0</v>
      </c>
      <c r="DK18" s="81">
        <f t="shared" ca="1" si="18"/>
        <v>0</v>
      </c>
      <c r="DL18" s="81">
        <f t="shared" ca="1" si="18"/>
        <v>0</v>
      </c>
      <c r="DM18" s="81">
        <f t="shared" ca="1" si="18"/>
        <v>0</v>
      </c>
      <c r="DN18" s="81">
        <f t="shared" ca="1" si="18"/>
        <v>48.199999999999989</v>
      </c>
      <c r="DO18" s="81">
        <f t="shared" ca="1" si="18"/>
        <v>121.9</v>
      </c>
      <c r="DP18" s="81">
        <f t="shared" ca="1" si="18"/>
        <v>182</v>
      </c>
      <c r="DR18" s="81">
        <f t="shared" si="19"/>
        <v>2015</v>
      </c>
      <c r="DS18" s="81">
        <f t="shared" ca="1" si="20"/>
        <v>482.4</v>
      </c>
      <c r="DT18" s="81">
        <f t="shared" ca="1" si="20"/>
        <v>576.79999999999995</v>
      </c>
      <c r="DU18" s="81">
        <f t="shared" ca="1" si="20"/>
        <v>305.49999999999994</v>
      </c>
      <c r="DV18" s="81">
        <f t="shared" ca="1" si="20"/>
        <v>59.3</v>
      </c>
      <c r="DW18" s="81">
        <f t="shared" ca="1" si="20"/>
        <v>0</v>
      </c>
      <c r="DX18" s="81">
        <f t="shared" ca="1" si="20"/>
        <v>0</v>
      </c>
      <c r="DY18" s="81">
        <f t="shared" ca="1" si="20"/>
        <v>0</v>
      </c>
      <c r="DZ18" s="81">
        <f t="shared" ca="1" si="20"/>
        <v>0</v>
      </c>
      <c r="EA18" s="81">
        <f t="shared" ca="1" si="20"/>
        <v>0</v>
      </c>
      <c r="EB18" s="81">
        <f t="shared" ca="1" si="20"/>
        <v>24.900000000000002</v>
      </c>
      <c r="EC18" s="81">
        <f t="shared" ca="1" si="20"/>
        <v>82.8</v>
      </c>
      <c r="ED18" s="81">
        <f t="shared" ca="1" si="20"/>
        <v>126.19999999999999</v>
      </c>
      <c r="EG18" s="86"/>
      <c r="EH18" s="86"/>
      <c r="EI18" s="86"/>
      <c r="EK18" s="86"/>
      <c r="EL18" s="86"/>
      <c r="EM18" s="82"/>
      <c r="EO18" s="82"/>
      <c r="EP18" s="85"/>
      <c r="EQ18" s="84"/>
      <c r="ER18" s="84"/>
      <c r="FA18" s="265" t="s">
        <v>140</v>
      </c>
      <c r="FB18" s="266"/>
      <c r="FC18" s="266"/>
      <c r="FD18" s="266"/>
      <c r="FE18" s="267"/>
      <c r="FF18" s="268"/>
    </row>
    <row r="19" spans="1:162" x14ac:dyDescent="0.2">
      <c r="A19" s="81">
        <v>2003</v>
      </c>
      <c r="B19" s="88">
        <v>6</v>
      </c>
      <c r="C19" s="88">
        <v>18.316666666666663</v>
      </c>
      <c r="D19" s="87">
        <v>125.89999999999998</v>
      </c>
      <c r="E19" s="87">
        <v>15.399999999999999</v>
      </c>
      <c r="F19" s="87">
        <v>80.399999999999991</v>
      </c>
      <c r="G19" s="87">
        <v>29.9</v>
      </c>
      <c r="H19" s="133">
        <v>43.399999999999991</v>
      </c>
      <c r="I19" s="133">
        <v>52.9</v>
      </c>
      <c r="J19" s="87">
        <v>17.2</v>
      </c>
      <c r="K19" s="87">
        <v>86.700000000000017</v>
      </c>
      <c r="L19" s="87">
        <v>5.6999999999999993</v>
      </c>
      <c r="M19" s="87">
        <v>135.20000000000002</v>
      </c>
      <c r="N19" s="87">
        <v>1.0999999999999996</v>
      </c>
      <c r="O19" s="87">
        <v>190.60000000000002</v>
      </c>
      <c r="P19" s="87">
        <v>0</v>
      </c>
      <c r="Q19" s="87">
        <v>249.49999999999997</v>
      </c>
      <c r="R19" s="87">
        <v>0</v>
      </c>
      <c r="S19" s="87">
        <v>309.5</v>
      </c>
      <c r="T19" s="87"/>
      <c r="U19" s="87"/>
      <c r="V19" s="87"/>
      <c r="X19" s="81">
        <f t="shared" si="10"/>
        <v>2016</v>
      </c>
      <c r="Y19" s="81">
        <f t="shared" ca="1" si="11"/>
        <v>794.4</v>
      </c>
      <c r="Z19" s="81">
        <f t="shared" ca="1" si="11"/>
        <v>704.4</v>
      </c>
      <c r="AA19" s="81">
        <f t="shared" ca="1" si="11"/>
        <v>600.09999999999991</v>
      </c>
      <c r="AB19" s="81">
        <f t="shared" ca="1" si="11"/>
        <v>514.79999999999995</v>
      </c>
      <c r="AC19" s="81">
        <f t="shared" ca="1" si="11"/>
        <v>238.79999999999998</v>
      </c>
      <c r="AD19" s="81">
        <f t="shared" ca="1" si="11"/>
        <v>81.69999999999996</v>
      </c>
      <c r="AE19" s="81">
        <f t="shared" ca="1" si="11"/>
        <v>16.199999999999996</v>
      </c>
      <c r="AF19" s="81">
        <f t="shared" ca="1" si="11"/>
        <v>4.1000000000000014</v>
      </c>
      <c r="AG19" s="81">
        <f t="shared" ca="1" si="11"/>
        <v>94.699999999999989</v>
      </c>
      <c r="AH19" s="81">
        <f t="shared" ca="1" si="11"/>
        <v>314.10000000000002</v>
      </c>
      <c r="AI19" s="81">
        <f t="shared" ca="1" si="11"/>
        <v>457.80000000000018</v>
      </c>
      <c r="AJ19" s="81">
        <f t="shared" ca="1" si="11"/>
        <v>732</v>
      </c>
      <c r="AL19" s="81">
        <f t="shared" si="12"/>
        <v>2016</v>
      </c>
      <c r="AM19" s="81">
        <f t="shared" ca="1" si="1"/>
        <v>732.4</v>
      </c>
      <c r="AN19" s="81">
        <f t="shared" ca="1" si="2"/>
        <v>646.40000000000009</v>
      </c>
      <c r="AO19" s="81">
        <f t="shared" ca="1" si="2"/>
        <v>538.09999999999991</v>
      </c>
      <c r="AP19" s="81">
        <f t="shared" ca="1" si="2"/>
        <v>454.8</v>
      </c>
      <c r="AQ19" s="81">
        <f t="shared" ca="1" si="2"/>
        <v>188.29999999999998</v>
      </c>
      <c r="AR19" s="81">
        <f t="shared" ca="1" si="2"/>
        <v>45</v>
      </c>
      <c r="AS19" s="81">
        <f t="shared" ca="1" si="2"/>
        <v>3.8999999999999986</v>
      </c>
      <c r="AT19" s="81">
        <f t="shared" ca="1" si="2"/>
        <v>1.1000000000000014</v>
      </c>
      <c r="AU19" s="81">
        <f t="shared" ca="1" si="2"/>
        <v>56.2</v>
      </c>
      <c r="AV19" s="81">
        <f t="shared" ca="1" si="2"/>
        <v>252.10000000000002</v>
      </c>
      <c r="AW19" s="81">
        <f t="shared" ca="1" si="2"/>
        <v>397.80000000000013</v>
      </c>
      <c r="AX19" s="81">
        <f t="shared" ca="1" si="2"/>
        <v>669.99999999999989</v>
      </c>
      <c r="AY19" s="93"/>
      <c r="AZ19" s="81">
        <f t="shared" si="13"/>
        <v>2016</v>
      </c>
      <c r="BA19" s="81">
        <f t="shared" ca="1" si="21"/>
        <v>670.4</v>
      </c>
      <c r="BB19" s="81">
        <f t="shared" ca="1" si="21"/>
        <v>588.4</v>
      </c>
      <c r="BC19" s="81">
        <f t="shared" ca="1" si="21"/>
        <v>476.0999999999998</v>
      </c>
      <c r="BD19" s="81">
        <f t="shared" ca="1" si="21"/>
        <v>394.8</v>
      </c>
      <c r="BE19" s="81">
        <f t="shared" ca="1" si="21"/>
        <v>142.50000000000003</v>
      </c>
      <c r="BF19" s="81">
        <f t="shared" ca="1" si="21"/>
        <v>24.200000000000003</v>
      </c>
      <c r="BG19" s="81">
        <f t="shared" ca="1" si="21"/>
        <v>0</v>
      </c>
      <c r="BH19" s="81">
        <f t="shared" ca="1" si="21"/>
        <v>0</v>
      </c>
      <c r="BI19" s="81">
        <f t="shared" ca="1" si="21"/>
        <v>25.900000000000002</v>
      </c>
      <c r="BJ19" s="81">
        <f t="shared" ca="1" si="21"/>
        <v>194.20000000000002</v>
      </c>
      <c r="BK19" s="81">
        <f t="shared" ca="1" si="21"/>
        <v>337.80000000000007</v>
      </c>
      <c r="BL19" s="81">
        <f t="shared" ca="1" si="21"/>
        <v>607.99999999999989</v>
      </c>
      <c r="BM19" s="93">
        <f t="shared" ca="1" si="4"/>
        <v>3462.2999999999997</v>
      </c>
      <c r="BN19" s="81">
        <f t="shared" si="14"/>
        <v>2016</v>
      </c>
      <c r="BO19" s="81">
        <f t="shared" ca="1" si="22"/>
        <v>608.4</v>
      </c>
      <c r="BP19" s="81">
        <f t="shared" ca="1" si="22"/>
        <v>530.40000000000009</v>
      </c>
      <c r="BQ19" s="81">
        <f t="shared" ca="1" si="22"/>
        <v>414.0999999999998</v>
      </c>
      <c r="BR19" s="81">
        <f t="shared" ca="1" si="22"/>
        <v>335.1</v>
      </c>
      <c r="BS19" s="81">
        <f t="shared" ca="1" si="22"/>
        <v>102.19999999999999</v>
      </c>
      <c r="BT19" s="81">
        <f t="shared" ca="1" si="22"/>
        <v>9.1999999999999993</v>
      </c>
      <c r="BU19" s="81">
        <f t="shared" ca="1" si="22"/>
        <v>0</v>
      </c>
      <c r="BV19" s="81">
        <f t="shared" ca="1" si="22"/>
        <v>0</v>
      </c>
      <c r="BW19" s="81">
        <f t="shared" ca="1" si="22"/>
        <v>8.3999999999999986</v>
      </c>
      <c r="BX19" s="81">
        <f t="shared" ca="1" si="22"/>
        <v>144.70000000000002</v>
      </c>
      <c r="BY19" s="81">
        <f t="shared" ca="1" si="22"/>
        <v>277.79999999999995</v>
      </c>
      <c r="BZ19" s="81">
        <f t="shared" ca="1" si="22"/>
        <v>545.99999999999989</v>
      </c>
      <c r="CB19" s="81">
        <f t="shared" si="15"/>
        <v>2016</v>
      </c>
      <c r="CC19" s="81">
        <f t="shared" ca="1" si="23"/>
        <v>546.4</v>
      </c>
      <c r="CD19" s="81">
        <f t="shared" ca="1" si="23"/>
        <v>472.40000000000009</v>
      </c>
      <c r="CE19" s="81">
        <f t="shared" ca="1" si="23"/>
        <v>352.09999999999985</v>
      </c>
      <c r="CF19" s="81">
        <f t="shared" ca="1" si="23"/>
        <v>277.10000000000008</v>
      </c>
      <c r="CG19" s="81">
        <f t="shared" ca="1" si="23"/>
        <v>66.599999999999994</v>
      </c>
      <c r="CH19" s="81">
        <f t="shared" ca="1" si="23"/>
        <v>3.0999999999999996</v>
      </c>
      <c r="CI19" s="81">
        <f t="shared" ca="1" si="23"/>
        <v>0</v>
      </c>
      <c r="CJ19" s="81">
        <f t="shared" ca="1" si="23"/>
        <v>0</v>
      </c>
      <c r="CK19" s="81">
        <f t="shared" ca="1" si="23"/>
        <v>1.2999999999999989</v>
      </c>
      <c r="CL19" s="81">
        <f t="shared" ca="1" si="23"/>
        <v>105.89999999999999</v>
      </c>
      <c r="CM19" s="81">
        <f t="shared" ca="1" si="23"/>
        <v>218.89999999999995</v>
      </c>
      <c r="CN19" s="81">
        <f t="shared" ca="1" si="23"/>
        <v>483.99999999999989</v>
      </c>
      <c r="CP19" s="81">
        <f t="shared" si="16"/>
        <v>2016</v>
      </c>
      <c r="CQ19" s="81">
        <f t="shared" ca="1" si="24"/>
        <v>484.40000000000009</v>
      </c>
      <c r="CR19" s="81">
        <f t="shared" ca="1" si="24"/>
        <v>414.40000000000003</v>
      </c>
      <c r="CS19" s="81">
        <f t="shared" ca="1" si="24"/>
        <v>290.89999999999992</v>
      </c>
      <c r="CT19" s="81">
        <f t="shared" ca="1" si="24"/>
        <v>219.70000000000005</v>
      </c>
      <c r="CU19" s="81">
        <f t="shared" ca="1" si="24"/>
        <v>36.299999999999997</v>
      </c>
      <c r="CV19" s="81">
        <f t="shared" ca="1" si="24"/>
        <v>1.0999999999999996</v>
      </c>
      <c r="CW19" s="81">
        <f t="shared" ca="1" si="24"/>
        <v>0</v>
      </c>
      <c r="CX19" s="81">
        <f t="shared" ca="1" si="24"/>
        <v>0</v>
      </c>
      <c r="CY19" s="81">
        <f t="shared" ca="1" si="24"/>
        <v>0</v>
      </c>
      <c r="CZ19" s="81">
        <f t="shared" ca="1" si="24"/>
        <v>73.400000000000006</v>
      </c>
      <c r="DA19" s="81">
        <f t="shared" ca="1" si="24"/>
        <v>160.89999999999995</v>
      </c>
      <c r="DB19" s="81">
        <f t="shared" ca="1" si="24"/>
        <v>421.99999999999989</v>
      </c>
      <c r="DD19" s="81">
        <f t="shared" si="17"/>
        <v>2016</v>
      </c>
      <c r="DE19" s="81">
        <f t="shared" ca="1" si="18"/>
        <v>422.40000000000009</v>
      </c>
      <c r="DF19" s="81">
        <f t="shared" ca="1" si="18"/>
        <v>356.40000000000003</v>
      </c>
      <c r="DG19" s="81">
        <f t="shared" ca="1" si="18"/>
        <v>232.90000000000003</v>
      </c>
      <c r="DH19" s="81">
        <f t="shared" ca="1" si="18"/>
        <v>167.70000000000005</v>
      </c>
      <c r="DI19" s="81">
        <f t="shared" ca="1" si="18"/>
        <v>12.600000000000001</v>
      </c>
      <c r="DJ19" s="81">
        <f t="shared" ca="1" si="18"/>
        <v>0</v>
      </c>
      <c r="DK19" s="81">
        <f t="shared" ca="1" si="18"/>
        <v>0</v>
      </c>
      <c r="DL19" s="81">
        <f t="shared" ca="1" si="18"/>
        <v>0</v>
      </c>
      <c r="DM19" s="81">
        <f t="shared" ca="1" si="18"/>
        <v>0</v>
      </c>
      <c r="DN19" s="81">
        <f t="shared" ca="1" si="18"/>
        <v>45.400000000000006</v>
      </c>
      <c r="DO19" s="81">
        <f t="shared" ca="1" si="18"/>
        <v>108.59999999999997</v>
      </c>
      <c r="DP19" s="81">
        <f t="shared" ca="1" si="18"/>
        <v>359.99999999999994</v>
      </c>
      <c r="DR19" s="81">
        <f t="shared" si="19"/>
        <v>2016</v>
      </c>
      <c r="DS19" s="81">
        <f t="shared" ca="1" si="20"/>
        <v>360.40000000000009</v>
      </c>
      <c r="DT19" s="81">
        <f t="shared" ca="1" si="20"/>
        <v>299.30000000000007</v>
      </c>
      <c r="DU19" s="81">
        <f t="shared" ca="1" si="20"/>
        <v>176.40000000000003</v>
      </c>
      <c r="DV19" s="81">
        <f t="shared" ca="1" si="20"/>
        <v>120.60000000000001</v>
      </c>
      <c r="DW19" s="81">
        <f t="shared" ca="1" si="20"/>
        <v>3.0999999999999996</v>
      </c>
      <c r="DX19" s="81">
        <f t="shared" ca="1" si="20"/>
        <v>0</v>
      </c>
      <c r="DY19" s="81">
        <f t="shared" ca="1" si="20"/>
        <v>0</v>
      </c>
      <c r="DZ19" s="81">
        <f t="shared" ca="1" si="20"/>
        <v>0</v>
      </c>
      <c r="EA19" s="81">
        <f t="shared" ca="1" si="20"/>
        <v>0</v>
      </c>
      <c r="EB19" s="81">
        <f t="shared" ca="1" si="20"/>
        <v>22.700000000000003</v>
      </c>
      <c r="EC19" s="81">
        <f t="shared" ca="1" si="20"/>
        <v>66</v>
      </c>
      <c r="ED19" s="81">
        <f t="shared" ca="1" si="20"/>
        <v>298</v>
      </c>
      <c r="EG19" s="86"/>
      <c r="EH19" s="86"/>
      <c r="EI19" s="86"/>
      <c r="EK19" s="86"/>
      <c r="EL19" s="86"/>
      <c r="EM19" s="82"/>
      <c r="EO19" s="82"/>
      <c r="EP19" s="85"/>
      <c r="EQ19" s="84"/>
      <c r="ER19" s="84"/>
      <c r="EY19" s="86"/>
      <c r="FA19" s="265" t="s">
        <v>141</v>
      </c>
      <c r="FB19" s="266">
        <v>25300517.991709899</v>
      </c>
      <c r="FC19" s="266" t="s">
        <v>142</v>
      </c>
      <c r="FD19" s="266">
        <v>4870308.6903381301</v>
      </c>
      <c r="FE19" s="267"/>
      <c r="FF19" s="268"/>
    </row>
    <row r="20" spans="1:162" x14ac:dyDescent="0.2">
      <c r="A20" s="81">
        <v>2003</v>
      </c>
      <c r="B20" s="88">
        <v>7</v>
      </c>
      <c r="C20" s="88">
        <v>21.809677419354834</v>
      </c>
      <c r="D20" s="87">
        <v>30.700000000000014</v>
      </c>
      <c r="E20" s="87">
        <v>24.799999999999997</v>
      </c>
      <c r="F20" s="87">
        <v>7.7000000000000099</v>
      </c>
      <c r="G20" s="87">
        <v>63.800000000000004</v>
      </c>
      <c r="H20" s="133">
        <v>0.20000000000000284</v>
      </c>
      <c r="I20" s="133">
        <v>118.29999999999998</v>
      </c>
      <c r="J20" s="87">
        <v>0</v>
      </c>
      <c r="K20" s="87">
        <v>180.1</v>
      </c>
      <c r="L20" s="87">
        <v>0</v>
      </c>
      <c r="M20" s="87">
        <v>242.10000000000002</v>
      </c>
      <c r="N20" s="87">
        <v>0</v>
      </c>
      <c r="O20" s="87">
        <v>304.10000000000002</v>
      </c>
      <c r="P20" s="87">
        <v>0</v>
      </c>
      <c r="Q20" s="87">
        <v>366.09999999999997</v>
      </c>
      <c r="R20" s="87">
        <v>0</v>
      </c>
      <c r="S20" s="87">
        <v>428.09999999999997</v>
      </c>
      <c r="T20" s="87"/>
      <c r="U20" s="87"/>
      <c r="V20" s="87"/>
      <c r="X20" s="81">
        <f t="shared" si="10"/>
        <v>2017</v>
      </c>
      <c r="Y20" s="81">
        <f t="shared" ca="1" si="11"/>
        <v>732.89999999999986</v>
      </c>
      <c r="Z20" s="81">
        <f t="shared" ca="1" si="11"/>
        <v>622.4</v>
      </c>
      <c r="AA20" s="81">
        <f t="shared" ca="1" si="11"/>
        <v>697.99999999999989</v>
      </c>
      <c r="AB20" s="81">
        <f t="shared" ca="1" si="11"/>
        <v>377.50000000000006</v>
      </c>
      <c r="AC20" s="81">
        <f t="shared" ca="1" si="11"/>
        <v>293.39999999999998</v>
      </c>
      <c r="AD20" s="81">
        <f t="shared" ca="1" si="11"/>
        <v>96.399999999999991</v>
      </c>
      <c r="AE20" s="81">
        <f t="shared" ca="1" si="11"/>
        <v>27.799999999999997</v>
      </c>
      <c r="AF20" s="81">
        <f t="shared" ca="1" si="11"/>
        <v>69.600000000000009</v>
      </c>
      <c r="AG20" s="81">
        <f t="shared" ca="1" si="11"/>
        <v>113.89999999999999</v>
      </c>
      <c r="AH20" s="81">
        <f t="shared" ca="1" si="11"/>
        <v>270.09999999999997</v>
      </c>
      <c r="AI20" s="81">
        <f t="shared" ca="1" si="11"/>
        <v>549.4</v>
      </c>
      <c r="AJ20" s="81">
        <f t="shared" ca="1" si="11"/>
        <v>842.5</v>
      </c>
      <c r="AL20" s="81">
        <f t="shared" si="12"/>
        <v>2017</v>
      </c>
      <c r="AM20" s="81">
        <f t="shared" ca="1" si="1"/>
        <v>670.89999999999986</v>
      </c>
      <c r="AN20" s="81">
        <f t="shared" ca="1" si="2"/>
        <v>566.40000000000009</v>
      </c>
      <c r="AO20" s="81">
        <f t="shared" ca="1" si="2"/>
        <v>636</v>
      </c>
      <c r="AP20" s="81">
        <f t="shared" ca="1" si="2"/>
        <v>317.50000000000006</v>
      </c>
      <c r="AQ20" s="81">
        <f t="shared" ca="1" si="2"/>
        <v>233.39999999999998</v>
      </c>
      <c r="AR20" s="81">
        <f t="shared" ca="1" si="2"/>
        <v>57.3</v>
      </c>
      <c r="AS20" s="81">
        <f t="shared" ca="1" si="2"/>
        <v>5.3999999999999986</v>
      </c>
      <c r="AT20" s="81">
        <f t="shared" ca="1" si="2"/>
        <v>31.300000000000004</v>
      </c>
      <c r="AU20" s="81">
        <f t="shared" ca="1" si="2"/>
        <v>78.899999999999991</v>
      </c>
      <c r="AV20" s="81">
        <f t="shared" ca="1" si="2"/>
        <v>210.99999999999997</v>
      </c>
      <c r="AW20" s="81">
        <f t="shared" ca="1" si="2"/>
        <v>489.40000000000009</v>
      </c>
      <c r="AX20" s="81">
        <f t="shared" ca="1" si="2"/>
        <v>780.49999999999989</v>
      </c>
      <c r="AY20" s="93"/>
      <c r="AZ20" s="81">
        <f t="shared" si="13"/>
        <v>2017</v>
      </c>
      <c r="BA20" s="81">
        <f t="shared" ca="1" si="21"/>
        <v>608.9</v>
      </c>
      <c r="BB20" s="81">
        <f t="shared" ca="1" si="21"/>
        <v>510.4</v>
      </c>
      <c r="BC20" s="81">
        <f t="shared" ca="1" si="21"/>
        <v>574</v>
      </c>
      <c r="BD20" s="81">
        <f t="shared" ca="1" si="21"/>
        <v>257.49999999999994</v>
      </c>
      <c r="BE20" s="81">
        <f t="shared" ca="1" si="21"/>
        <v>177</v>
      </c>
      <c r="BF20" s="81">
        <f t="shared" ca="1" si="21"/>
        <v>26.7</v>
      </c>
      <c r="BG20" s="81">
        <f t="shared" ca="1" si="21"/>
        <v>0</v>
      </c>
      <c r="BH20" s="81">
        <f t="shared" ca="1" si="21"/>
        <v>11.600000000000003</v>
      </c>
      <c r="BI20" s="81">
        <f t="shared" ca="1" si="21"/>
        <v>49.099999999999994</v>
      </c>
      <c r="BJ20" s="81">
        <f t="shared" ca="1" si="21"/>
        <v>154</v>
      </c>
      <c r="BK20" s="81">
        <f t="shared" ca="1" si="21"/>
        <v>429.40000000000003</v>
      </c>
      <c r="BL20" s="81">
        <f t="shared" ca="1" si="21"/>
        <v>718.49999999999989</v>
      </c>
      <c r="BM20" s="93">
        <f t="shared" ca="1" si="4"/>
        <v>3517.1</v>
      </c>
      <c r="BN20" s="81">
        <f t="shared" si="14"/>
        <v>2017</v>
      </c>
      <c r="BO20" s="81">
        <f t="shared" ca="1" si="22"/>
        <v>546.9</v>
      </c>
      <c r="BP20" s="81">
        <f t="shared" ca="1" si="22"/>
        <v>454.4</v>
      </c>
      <c r="BQ20" s="81">
        <f t="shared" ca="1" si="22"/>
        <v>512</v>
      </c>
      <c r="BR20" s="81">
        <f t="shared" ca="1" si="22"/>
        <v>199.7</v>
      </c>
      <c r="BS20" s="81">
        <f t="shared" ca="1" si="22"/>
        <v>125.89999999999998</v>
      </c>
      <c r="BT20" s="81">
        <f t="shared" ca="1" si="22"/>
        <v>8.8000000000000007</v>
      </c>
      <c r="BU20" s="81">
        <f t="shared" ca="1" si="22"/>
        <v>0</v>
      </c>
      <c r="BV20" s="81">
        <f t="shared" ca="1" si="22"/>
        <v>1.9000000000000004</v>
      </c>
      <c r="BW20" s="81">
        <f t="shared" ca="1" si="22"/>
        <v>25.2</v>
      </c>
      <c r="BX20" s="81">
        <f t="shared" ca="1" si="22"/>
        <v>103.3</v>
      </c>
      <c r="BY20" s="81">
        <f t="shared" ca="1" si="22"/>
        <v>369.4</v>
      </c>
      <c r="BZ20" s="81">
        <f t="shared" ca="1" si="22"/>
        <v>656.49999999999989</v>
      </c>
      <c r="CB20" s="81">
        <f t="shared" si="15"/>
        <v>2017</v>
      </c>
      <c r="CC20" s="81">
        <f t="shared" ca="1" si="23"/>
        <v>484.9</v>
      </c>
      <c r="CD20" s="81">
        <f t="shared" ca="1" si="23"/>
        <v>398.4</v>
      </c>
      <c r="CE20" s="81">
        <f t="shared" ca="1" si="23"/>
        <v>450</v>
      </c>
      <c r="CF20" s="81">
        <f t="shared" ca="1" si="23"/>
        <v>145.9</v>
      </c>
      <c r="CG20" s="81">
        <f t="shared" ca="1" si="23"/>
        <v>82.59999999999998</v>
      </c>
      <c r="CH20" s="81">
        <f t="shared" ca="1" si="23"/>
        <v>0.70000000000000107</v>
      </c>
      <c r="CI20" s="81">
        <f t="shared" ca="1" si="23"/>
        <v>0</v>
      </c>
      <c r="CJ20" s="81">
        <f t="shared" ca="1" si="23"/>
        <v>0</v>
      </c>
      <c r="CK20" s="81">
        <f t="shared" ca="1" si="23"/>
        <v>7.7000000000000011</v>
      </c>
      <c r="CL20" s="81">
        <f t="shared" ca="1" si="23"/>
        <v>70.000000000000014</v>
      </c>
      <c r="CM20" s="81">
        <f t="shared" ca="1" si="23"/>
        <v>309.40000000000003</v>
      </c>
      <c r="CN20" s="81">
        <f t="shared" ca="1" si="23"/>
        <v>594.49999999999989</v>
      </c>
      <c r="CP20" s="81">
        <f t="shared" si="16"/>
        <v>2017</v>
      </c>
      <c r="CQ20" s="81">
        <f t="shared" ca="1" si="24"/>
        <v>422.9</v>
      </c>
      <c r="CR20" s="81">
        <f t="shared" ca="1" si="24"/>
        <v>342.4</v>
      </c>
      <c r="CS20" s="81">
        <f t="shared" ca="1" si="24"/>
        <v>388</v>
      </c>
      <c r="CT20" s="81">
        <f t="shared" ca="1" si="24"/>
        <v>98</v>
      </c>
      <c r="CU20" s="81">
        <f t="shared" ca="1" si="24"/>
        <v>45.900000000000006</v>
      </c>
      <c r="CV20" s="81">
        <f t="shared" ca="1" si="24"/>
        <v>0</v>
      </c>
      <c r="CW20" s="81">
        <f t="shared" ca="1" si="24"/>
        <v>0</v>
      </c>
      <c r="CX20" s="81">
        <f t="shared" ca="1" si="24"/>
        <v>0</v>
      </c>
      <c r="CY20" s="81">
        <f t="shared" ca="1" si="24"/>
        <v>1.5</v>
      </c>
      <c r="CZ20" s="81">
        <f t="shared" ca="1" si="24"/>
        <v>44.2</v>
      </c>
      <c r="DA20" s="81">
        <f t="shared" ca="1" si="24"/>
        <v>249.40000000000003</v>
      </c>
      <c r="DB20" s="81">
        <f t="shared" ca="1" si="24"/>
        <v>532.49999999999989</v>
      </c>
      <c r="DD20" s="81">
        <f t="shared" si="17"/>
        <v>2017</v>
      </c>
      <c r="DE20" s="81">
        <f t="shared" ca="1" si="18"/>
        <v>360.90000000000003</v>
      </c>
      <c r="DF20" s="81">
        <f t="shared" ca="1" si="18"/>
        <v>287.3</v>
      </c>
      <c r="DG20" s="81">
        <f t="shared" ca="1" si="18"/>
        <v>327.10000000000002</v>
      </c>
      <c r="DH20" s="81">
        <f t="shared" ca="1" si="18"/>
        <v>57.499999999999986</v>
      </c>
      <c r="DI20" s="81">
        <f t="shared" ca="1" si="18"/>
        <v>22.200000000000003</v>
      </c>
      <c r="DJ20" s="81">
        <f t="shared" ca="1" si="18"/>
        <v>0</v>
      </c>
      <c r="DK20" s="81">
        <f t="shared" ca="1" si="18"/>
        <v>0</v>
      </c>
      <c r="DL20" s="81">
        <f t="shared" ca="1" si="18"/>
        <v>0</v>
      </c>
      <c r="DM20" s="81">
        <f t="shared" ca="1" si="18"/>
        <v>0</v>
      </c>
      <c r="DN20" s="81">
        <f t="shared" ca="1" si="18"/>
        <v>24.199999999999996</v>
      </c>
      <c r="DO20" s="81">
        <f t="shared" ca="1" si="18"/>
        <v>191.20000000000005</v>
      </c>
      <c r="DP20" s="81">
        <f t="shared" ca="1" si="18"/>
        <v>470.5</v>
      </c>
      <c r="DR20" s="81">
        <f t="shared" si="19"/>
        <v>2017</v>
      </c>
      <c r="DS20" s="81">
        <f t="shared" ca="1" si="20"/>
        <v>298.90000000000003</v>
      </c>
      <c r="DT20" s="81">
        <f t="shared" ca="1" si="20"/>
        <v>233.29999999999998</v>
      </c>
      <c r="DU20" s="81">
        <f t="shared" ca="1" si="20"/>
        <v>268.29999999999995</v>
      </c>
      <c r="DV20" s="81">
        <f t="shared" ca="1" si="20"/>
        <v>26.1</v>
      </c>
      <c r="DW20" s="81">
        <f t="shared" ca="1" si="20"/>
        <v>6.3</v>
      </c>
      <c r="DX20" s="81">
        <f t="shared" ca="1" si="20"/>
        <v>0</v>
      </c>
      <c r="DY20" s="81">
        <f t="shared" ca="1" si="20"/>
        <v>0</v>
      </c>
      <c r="DZ20" s="81">
        <f t="shared" ca="1" si="20"/>
        <v>0</v>
      </c>
      <c r="EA20" s="81">
        <f t="shared" ca="1" si="20"/>
        <v>0</v>
      </c>
      <c r="EB20" s="81">
        <f t="shared" ca="1" si="20"/>
        <v>9</v>
      </c>
      <c r="EC20" s="81">
        <f t="shared" ca="1" si="20"/>
        <v>136.10000000000002</v>
      </c>
      <c r="ED20" s="81">
        <f t="shared" ca="1" si="20"/>
        <v>408.5</v>
      </c>
      <c r="EG20" s="86"/>
      <c r="EH20" s="86"/>
      <c r="EI20" s="86"/>
      <c r="EK20" s="86"/>
      <c r="EL20" s="86"/>
      <c r="EM20" s="82"/>
      <c r="EO20" s="82"/>
      <c r="EP20" s="85"/>
      <c r="EQ20" s="84"/>
      <c r="ER20" s="84"/>
      <c r="EY20" s="86"/>
      <c r="FA20" s="265" t="s">
        <v>143</v>
      </c>
      <c r="FB20" s="266">
        <v>595840575777264</v>
      </c>
      <c r="FC20" s="266" t="s">
        <v>144</v>
      </c>
      <c r="FD20" s="266">
        <v>2209963.6073282501</v>
      </c>
      <c r="FE20" s="267"/>
      <c r="FF20" s="268"/>
    </row>
    <row r="21" spans="1:162" x14ac:dyDescent="0.2">
      <c r="A21" s="81">
        <v>2003</v>
      </c>
      <c r="B21" s="88">
        <v>8</v>
      </c>
      <c r="C21" s="88">
        <v>22.06451612903226</v>
      </c>
      <c r="D21" s="87">
        <v>28.5</v>
      </c>
      <c r="E21" s="87">
        <v>30.499999999999993</v>
      </c>
      <c r="F21" s="87">
        <v>11.2</v>
      </c>
      <c r="G21" s="87">
        <v>75.2</v>
      </c>
      <c r="H21" s="133">
        <v>2</v>
      </c>
      <c r="I21" s="133">
        <v>128</v>
      </c>
      <c r="J21" s="87">
        <v>0</v>
      </c>
      <c r="K21" s="87">
        <v>187.99999999999994</v>
      </c>
      <c r="L21" s="87">
        <v>0</v>
      </c>
      <c r="M21" s="87">
        <v>250</v>
      </c>
      <c r="N21" s="87">
        <v>0</v>
      </c>
      <c r="O21" s="87">
        <v>312</v>
      </c>
      <c r="P21" s="87">
        <v>0</v>
      </c>
      <c r="Q21" s="87">
        <v>374</v>
      </c>
      <c r="R21" s="87">
        <v>0</v>
      </c>
      <c r="S21" s="87">
        <v>435.99999999999994</v>
      </c>
      <c r="T21" s="87"/>
      <c r="U21" s="87"/>
      <c r="V21" s="87"/>
      <c r="X21" s="81">
        <f t="shared" si="10"/>
        <v>2018</v>
      </c>
      <c r="Y21" s="81">
        <f t="shared" ca="1" si="11"/>
        <v>856.3</v>
      </c>
      <c r="Z21" s="81">
        <f t="shared" ca="1" si="11"/>
        <v>667</v>
      </c>
      <c r="AA21" s="81">
        <f t="shared" ca="1" si="11"/>
        <v>677.99999999999977</v>
      </c>
      <c r="AB21" s="81">
        <f t="shared" ca="1" si="11"/>
        <v>557.20000000000016</v>
      </c>
      <c r="AC21" s="81">
        <f t="shared" ca="1" si="11"/>
        <v>165.3</v>
      </c>
      <c r="AD21" s="81">
        <f t="shared" ca="1" si="11"/>
        <v>93.900000000000034</v>
      </c>
      <c r="AE21" s="81">
        <f t="shared" ca="1" si="11"/>
        <v>14.600000000000001</v>
      </c>
      <c r="AF21" s="81">
        <f t="shared" ca="1" si="11"/>
        <v>17.099999999999994</v>
      </c>
      <c r="AG21" s="81">
        <f t="shared" ca="1" si="11"/>
        <v>114.9</v>
      </c>
      <c r="AH21" s="81">
        <f t="shared" ca="1" si="11"/>
        <v>406.2</v>
      </c>
      <c r="AI21" s="81">
        <f t="shared" ca="1" si="11"/>
        <v>614.10000000000014</v>
      </c>
      <c r="AJ21" s="81">
        <f t="shared" ca="1" si="11"/>
        <v>687.6</v>
      </c>
      <c r="AL21" s="81">
        <f t="shared" si="12"/>
        <v>2018</v>
      </c>
      <c r="AM21" s="81">
        <f t="shared" ca="1" si="1"/>
        <v>794.29999999999984</v>
      </c>
      <c r="AN21" s="81">
        <f t="shared" ref="AN21:AX24" ca="1" si="25">OFFSET($F$2,(ROW()-5)*12+COLUMN()-39,0)</f>
        <v>611</v>
      </c>
      <c r="AO21" s="81">
        <f t="shared" ca="1" si="25"/>
        <v>615.99999999999989</v>
      </c>
      <c r="AP21" s="81">
        <f t="shared" ca="1" si="25"/>
        <v>497.20000000000005</v>
      </c>
      <c r="AQ21" s="81">
        <f t="shared" ca="1" si="25"/>
        <v>119.3</v>
      </c>
      <c r="AR21" s="81">
        <f t="shared" ca="1" si="25"/>
        <v>49.600000000000009</v>
      </c>
      <c r="AS21" s="81">
        <f t="shared" ca="1" si="25"/>
        <v>1.3000000000000007</v>
      </c>
      <c r="AT21" s="81">
        <f t="shared" ca="1" si="25"/>
        <v>5.0999999999999979</v>
      </c>
      <c r="AU21" s="81">
        <f t="shared" ca="1" si="25"/>
        <v>77.899999999999991</v>
      </c>
      <c r="AV21" s="81">
        <f t="shared" ca="1" si="25"/>
        <v>347.40000000000003</v>
      </c>
      <c r="AW21" s="81">
        <f t="shared" ca="1" si="25"/>
        <v>554.10000000000014</v>
      </c>
      <c r="AX21" s="81">
        <f t="shared" ca="1" si="25"/>
        <v>625.60000000000014</v>
      </c>
      <c r="AY21" s="93"/>
      <c r="AZ21" s="81">
        <f t="shared" si="13"/>
        <v>2018</v>
      </c>
      <c r="BA21" s="81">
        <f t="shared" ca="1" si="21"/>
        <v>732.29999999999984</v>
      </c>
      <c r="BB21" s="81">
        <f t="shared" ca="1" si="21"/>
        <v>555.00000000000023</v>
      </c>
      <c r="BC21" s="81">
        <f t="shared" ca="1" si="21"/>
        <v>553.99999999999989</v>
      </c>
      <c r="BD21" s="81">
        <f t="shared" ca="1" si="21"/>
        <v>437.20000000000005</v>
      </c>
      <c r="BE21" s="81">
        <f t="shared" ca="1" si="21"/>
        <v>75.3</v>
      </c>
      <c r="BF21" s="81">
        <f t="shared" ca="1" si="21"/>
        <v>14.8</v>
      </c>
      <c r="BG21" s="81">
        <f t="shared" ca="1" si="21"/>
        <v>0</v>
      </c>
      <c r="BH21" s="81">
        <f t="shared" ca="1" si="21"/>
        <v>1.1999999999999993</v>
      </c>
      <c r="BI21" s="81">
        <f t="shared" ca="1" si="21"/>
        <v>46.599999999999994</v>
      </c>
      <c r="BJ21" s="81">
        <f t="shared" ca="1" si="21"/>
        <v>289.40000000000003</v>
      </c>
      <c r="BK21" s="81">
        <f t="shared" ca="1" si="21"/>
        <v>494.1</v>
      </c>
      <c r="BL21" s="81">
        <f t="shared" ca="1" si="21"/>
        <v>563.60000000000014</v>
      </c>
      <c r="BM21" s="93">
        <f t="shared" ca="1" si="4"/>
        <v>3763.5</v>
      </c>
      <c r="BN21" s="81">
        <f t="shared" si="14"/>
        <v>2018</v>
      </c>
      <c r="BO21" s="81">
        <f t="shared" ca="1" si="22"/>
        <v>670.29999999999984</v>
      </c>
      <c r="BP21" s="81">
        <f t="shared" ca="1" si="22"/>
        <v>499.00000000000011</v>
      </c>
      <c r="BQ21" s="81">
        <f t="shared" ca="1" si="22"/>
        <v>492</v>
      </c>
      <c r="BR21" s="81">
        <f t="shared" ca="1" si="22"/>
        <v>377.2</v>
      </c>
      <c r="BS21" s="81">
        <f t="shared" ca="1" si="22"/>
        <v>39.300000000000004</v>
      </c>
      <c r="BT21" s="81">
        <f t="shared" ca="1" si="22"/>
        <v>5.6999999999999993</v>
      </c>
      <c r="BU21" s="81">
        <f t="shared" ca="1" si="22"/>
        <v>0</v>
      </c>
      <c r="BV21" s="81">
        <f t="shared" ca="1" si="22"/>
        <v>0</v>
      </c>
      <c r="BW21" s="81">
        <f t="shared" ca="1" si="22"/>
        <v>25.1</v>
      </c>
      <c r="BX21" s="81">
        <f t="shared" ca="1" si="22"/>
        <v>231.4</v>
      </c>
      <c r="BY21" s="81">
        <f t="shared" ca="1" si="22"/>
        <v>434.10000000000008</v>
      </c>
      <c r="BZ21" s="81">
        <f t="shared" ca="1" si="22"/>
        <v>501.6</v>
      </c>
      <c r="CB21" s="81">
        <f t="shared" si="15"/>
        <v>2018</v>
      </c>
      <c r="CC21" s="81">
        <f t="shared" ca="1" si="23"/>
        <v>608.29999999999984</v>
      </c>
      <c r="CD21" s="81">
        <f t="shared" ca="1" si="23"/>
        <v>443.00000000000011</v>
      </c>
      <c r="CE21" s="81">
        <f t="shared" ca="1" si="23"/>
        <v>430</v>
      </c>
      <c r="CF21" s="81">
        <f t="shared" ca="1" si="23"/>
        <v>317.2</v>
      </c>
      <c r="CG21" s="81">
        <f t="shared" ca="1" si="23"/>
        <v>15</v>
      </c>
      <c r="CH21" s="81">
        <f t="shared" ca="1" si="23"/>
        <v>1.6999999999999993</v>
      </c>
      <c r="CI21" s="81">
        <f t="shared" ca="1" si="23"/>
        <v>0</v>
      </c>
      <c r="CJ21" s="81">
        <f t="shared" ca="1" si="23"/>
        <v>0</v>
      </c>
      <c r="CK21" s="81">
        <f t="shared" ca="1" si="23"/>
        <v>8.7000000000000011</v>
      </c>
      <c r="CL21" s="81">
        <f t="shared" ca="1" si="23"/>
        <v>175.3</v>
      </c>
      <c r="CM21" s="81">
        <f t="shared" ca="1" si="23"/>
        <v>374.10000000000008</v>
      </c>
      <c r="CN21" s="81">
        <f t="shared" ca="1" si="23"/>
        <v>439.59999999999997</v>
      </c>
      <c r="CP21" s="81">
        <f t="shared" si="16"/>
        <v>2018</v>
      </c>
      <c r="CQ21" s="81">
        <f t="shared" ca="1" si="24"/>
        <v>546.29999999999995</v>
      </c>
      <c r="CR21" s="81">
        <f t="shared" ca="1" si="24"/>
        <v>387.00000000000011</v>
      </c>
      <c r="CS21" s="81">
        <f t="shared" ca="1" si="24"/>
        <v>368</v>
      </c>
      <c r="CT21" s="81">
        <f t="shared" ca="1" si="24"/>
        <v>257.19999999999993</v>
      </c>
      <c r="CU21" s="81">
        <f t="shared" ca="1" si="24"/>
        <v>4.8000000000000007</v>
      </c>
      <c r="CV21" s="81">
        <f t="shared" ca="1" si="24"/>
        <v>0</v>
      </c>
      <c r="CW21" s="81">
        <f t="shared" ca="1" si="24"/>
        <v>0</v>
      </c>
      <c r="CX21" s="81">
        <f t="shared" ca="1" si="24"/>
        <v>0</v>
      </c>
      <c r="CY21" s="81">
        <f t="shared" ca="1" si="24"/>
        <v>0.80000000000000071</v>
      </c>
      <c r="CZ21" s="81">
        <f t="shared" ca="1" si="24"/>
        <v>126.1</v>
      </c>
      <c r="DA21" s="81">
        <f t="shared" ca="1" si="24"/>
        <v>314.5</v>
      </c>
      <c r="DB21" s="81">
        <f t="shared" ca="1" si="24"/>
        <v>377.60000000000008</v>
      </c>
      <c r="DD21" s="81">
        <f t="shared" si="17"/>
        <v>2018</v>
      </c>
      <c r="DE21" s="81">
        <f t="shared" ca="1" si="18"/>
        <v>484.2999999999999</v>
      </c>
      <c r="DF21" s="81">
        <f t="shared" ca="1" si="18"/>
        <v>331.00000000000011</v>
      </c>
      <c r="DG21" s="81">
        <f t="shared" ca="1" si="18"/>
        <v>306.00000000000006</v>
      </c>
      <c r="DH21" s="81">
        <f t="shared" ca="1" si="18"/>
        <v>200</v>
      </c>
      <c r="DI21" s="81">
        <f t="shared" ca="1" si="18"/>
        <v>1.9000000000000004</v>
      </c>
      <c r="DJ21" s="81">
        <f t="shared" ca="1" si="18"/>
        <v>0</v>
      </c>
      <c r="DK21" s="81">
        <f t="shared" ca="1" si="18"/>
        <v>0</v>
      </c>
      <c r="DL21" s="81">
        <f t="shared" ca="1" si="18"/>
        <v>0</v>
      </c>
      <c r="DM21" s="81">
        <f t="shared" ca="1" si="18"/>
        <v>0</v>
      </c>
      <c r="DN21" s="81">
        <f t="shared" ca="1" si="18"/>
        <v>81.899999999999977</v>
      </c>
      <c r="DO21" s="81">
        <f t="shared" ca="1" si="18"/>
        <v>256.49999999999994</v>
      </c>
      <c r="DP21" s="81">
        <f t="shared" ca="1" si="18"/>
        <v>315.60000000000002</v>
      </c>
      <c r="DR21" s="81">
        <f t="shared" si="19"/>
        <v>2018</v>
      </c>
      <c r="DS21" s="81">
        <f t="shared" ca="1" si="20"/>
        <v>422.89999999999992</v>
      </c>
      <c r="DT21" s="81">
        <f t="shared" ca="1" si="20"/>
        <v>277.70000000000005</v>
      </c>
      <c r="DU21" s="81">
        <f t="shared" ca="1" si="20"/>
        <v>244.00000000000003</v>
      </c>
      <c r="DV21" s="81">
        <f t="shared" ca="1" si="20"/>
        <v>148.69999999999996</v>
      </c>
      <c r="DW21" s="81">
        <f t="shared" ca="1" si="20"/>
        <v>0</v>
      </c>
      <c r="DX21" s="81">
        <f t="shared" ca="1" si="20"/>
        <v>0</v>
      </c>
      <c r="DY21" s="81">
        <f t="shared" ca="1" si="20"/>
        <v>0</v>
      </c>
      <c r="DZ21" s="81">
        <f t="shared" ca="1" si="20"/>
        <v>0</v>
      </c>
      <c r="EA21" s="81">
        <f t="shared" ca="1" si="20"/>
        <v>0</v>
      </c>
      <c r="EB21" s="81">
        <f t="shared" ca="1" si="20"/>
        <v>45.099999999999994</v>
      </c>
      <c r="EC21" s="81">
        <f t="shared" ca="1" si="20"/>
        <v>199.29999999999998</v>
      </c>
      <c r="ED21" s="81">
        <f t="shared" ca="1" si="20"/>
        <v>253.6</v>
      </c>
      <c r="EG21" s="86"/>
      <c r="EH21" s="86"/>
      <c r="EI21" s="86"/>
      <c r="EK21" s="86"/>
      <c r="EL21" s="86"/>
      <c r="EM21" s="82"/>
      <c r="EO21" s="82"/>
      <c r="EP21" s="85"/>
      <c r="EQ21" s="84"/>
      <c r="ER21" s="84"/>
      <c r="EY21" s="86"/>
      <c r="FA21" s="265" t="s">
        <v>145</v>
      </c>
      <c r="FB21" s="266">
        <v>0.79743994901890503</v>
      </c>
      <c r="FC21" s="266" t="s">
        <v>146</v>
      </c>
      <c r="FD21" s="266">
        <v>0.79411929244544399</v>
      </c>
      <c r="FE21" s="267"/>
      <c r="FF21" s="268"/>
    </row>
    <row r="22" spans="1:162" x14ac:dyDescent="0.2">
      <c r="A22" s="81">
        <v>2003</v>
      </c>
      <c r="B22" s="88">
        <v>9</v>
      </c>
      <c r="C22" s="88">
        <v>16.970000000000002</v>
      </c>
      <c r="D22" s="87">
        <v>151.19999999999999</v>
      </c>
      <c r="E22" s="87">
        <v>0.30000000000000071</v>
      </c>
      <c r="F22" s="87">
        <v>98.499999999999986</v>
      </c>
      <c r="G22" s="87">
        <v>7.6000000000000014</v>
      </c>
      <c r="H22" s="133">
        <v>54.9</v>
      </c>
      <c r="I22" s="133">
        <v>24</v>
      </c>
      <c r="J22" s="87">
        <v>29.1</v>
      </c>
      <c r="K22" s="87">
        <v>58.2</v>
      </c>
      <c r="L22" s="87">
        <v>13</v>
      </c>
      <c r="M22" s="87">
        <v>102.09999999999998</v>
      </c>
      <c r="N22" s="87">
        <v>5.0999999999999996</v>
      </c>
      <c r="O22" s="87">
        <v>154.19999999999999</v>
      </c>
      <c r="P22" s="87">
        <v>1.0999999999999996</v>
      </c>
      <c r="Q22" s="87">
        <v>210.2</v>
      </c>
      <c r="R22" s="87">
        <v>0</v>
      </c>
      <c r="S22" s="87">
        <v>269.09999999999997</v>
      </c>
      <c r="T22" s="87"/>
      <c r="U22" s="87"/>
      <c r="V22" s="87"/>
      <c r="X22" s="81">
        <f t="shared" si="10"/>
        <v>2019</v>
      </c>
      <c r="Y22" s="81">
        <f t="shared" ca="1" si="11"/>
        <v>888.50000000000011</v>
      </c>
      <c r="Z22" s="81">
        <f t="shared" ca="1" si="11"/>
        <v>733.70000000000027</v>
      </c>
      <c r="AA22" s="81">
        <f t="shared" ca="1" si="11"/>
        <v>717.9</v>
      </c>
      <c r="AB22" s="81">
        <f t="shared" ca="1" si="11"/>
        <v>466.80000000000013</v>
      </c>
      <c r="AC22" s="81">
        <f t="shared" ca="1" si="11"/>
        <v>316.99999999999994</v>
      </c>
      <c r="AD22" s="81">
        <f t="shared" ca="1" si="11"/>
        <v>119.70000000000002</v>
      </c>
      <c r="AE22" s="81">
        <f t="shared" ca="1" si="11"/>
        <v>11.7</v>
      </c>
      <c r="AF22" s="81">
        <f t="shared" ca="1" si="11"/>
        <v>35.5</v>
      </c>
      <c r="AG22" s="81">
        <f t="shared" ca="1" si="11"/>
        <v>138.29999999999998</v>
      </c>
      <c r="AH22" s="81">
        <f t="shared" ca="1" si="11"/>
        <v>356.50000000000006</v>
      </c>
      <c r="AI22" s="81">
        <f t="shared" ca="1" si="11"/>
        <v>633.30000000000018</v>
      </c>
      <c r="AJ22" s="81">
        <f t="shared" ca="1" si="11"/>
        <v>706.39999999999986</v>
      </c>
      <c r="AL22" s="81">
        <f t="shared" si="12"/>
        <v>2019</v>
      </c>
      <c r="AM22" s="81">
        <f t="shared" ca="1" si="1"/>
        <v>826.5</v>
      </c>
      <c r="AN22" s="81">
        <f t="shared" ca="1" si="25"/>
        <v>677.70000000000016</v>
      </c>
      <c r="AO22" s="81">
        <f t="shared" ca="1" si="25"/>
        <v>655.90000000000009</v>
      </c>
      <c r="AP22" s="81">
        <f t="shared" ca="1" si="25"/>
        <v>406.80000000000007</v>
      </c>
      <c r="AQ22" s="81">
        <f t="shared" ca="1" si="25"/>
        <v>254.99999999999994</v>
      </c>
      <c r="AR22" s="81">
        <f t="shared" ca="1" si="25"/>
        <v>70.400000000000006</v>
      </c>
      <c r="AS22" s="81">
        <f t="shared" ca="1" si="25"/>
        <v>0</v>
      </c>
      <c r="AT22" s="81">
        <f t="shared" ca="1" si="25"/>
        <v>7.8000000000000007</v>
      </c>
      <c r="AU22" s="81">
        <f t="shared" ca="1" si="25"/>
        <v>84.499999999999986</v>
      </c>
      <c r="AV22" s="81">
        <f t="shared" ca="1" si="25"/>
        <v>296.50000000000006</v>
      </c>
      <c r="AW22" s="81">
        <f t="shared" ca="1" si="25"/>
        <v>573.30000000000018</v>
      </c>
      <c r="AX22" s="81">
        <f t="shared" ca="1" si="25"/>
        <v>644.4</v>
      </c>
      <c r="AY22" s="93"/>
      <c r="AZ22" s="81">
        <f t="shared" si="13"/>
        <v>2019</v>
      </c>
      <c r="BA22" s="81">
        <f t="shared" ca="1" si="21"/>
        <v>764.5</v>
      </c>
      <c r="BB22" s="81">
        <f t="shared" ca="1" si="21"/>
        <v>621.70000000000016</v>
      </c>
      <c r="BC22" s="81">
        <f t="shared" ca="1" si="21"/>
        <v>593.90000000000009</v>
      </c>
      <c r="BD22" s="81">
        <f t="shared" ca="1" si="21"/>
        <v>346.8</v>
      </c>
      <c r="BE22" s="81">
        <f t="shared" ca="1" si="21"/>
        <v>192.99999999999994</v>
      </c>
      <c r="BF22" s="81">
        <f t="shared" ca="1" si="21"/>
        <v>35.5</v>
      </c>
      <c r="BG22" s="81">
        <f t="shared" ca="1" si="21"/>
        <v>0</v>
      </c>
      <c r="BH22" s="81">
        <f t="shared" ca="1" si="21"/>
        <v>0.89999999999999858</v>
      </c>
      <c r="BI22" s="81">
        <f t="shared" ca="1" si="21"/>
        <v>38.4</v>
      </c>
      <c r="BJ22" s="81">
        <f t="shared" ca="1" si="21"/>
        <v>236.5</v>
      </c>
      <c r="BK22" s="81">
        <f t="shared" ca="1" si="21"/>
        <v>513.30000000000007</v>
      </c>
      <c r="BL22" s="81">
        <f t="shared" ca="1" si="21"/>
        <v>582.4</v>
      </c>
      <c r="BM22" s="93">
        <f t="shared" ca="1" si="4"/>
        <v>3926.900000000001</v>
      </c>
      <c r="BN22" s="81">
        <f t="shared" si="14"/>
        <v>2019</v>
      </c>
      <c r="BO22" s="81">
        <f t="shared" ca="1" si="22"/>
        <v>702.49999999999989</v>
      </c>
      <c r="BP22" s="81">
        <f t="shared" ca="1" si="22"/>
        <v>565.70000000000005</v>
      </c>
      <c r="BQ22" s="81">
        <f t="shared" ca="1" si="22"/>
        <v>531.9</v>
      </c>
      <c r="BR22" s="81">
        <f t="shared" ca="1" si="22"/>
        <v>286.80000000000007</v>
      </c>
      <c r="BS22" s="81">
        <f t="shared" ca="1" si="22"/>
        <v>135.6</v>
      </c>
      <c r="BT22" s="81">
        <f t="shared" ca="1" si="22"/>
        <v>13.800000000000002</v>
      </c>
      <c r="BU22" s="81">
        <f t="shared" ca="1" si="22"/>
        <v>0</v>
      </c>
      <c r="BV22" s="81">
        <f t="shared" ca="1" si="22"/>
        <v>0</v>
      </c>
      <c r="BW22" s="81">
        <f t="shared" ca="1" si="22"/>
        <v>11.699999999999998</v>
      </c>
      <c r="BX22" s="81">
        <f t="shared" ca="1" si="22"/>
        <v>177.10000000000002</v>
      </c>
      <c r="BY22" s="81">
        <f t="shared" ca="1" si="22"/>
        <v>453.3</v>
      </c>
      <c r="BZ22" s="81">
        <f t="shared" ca="1" si="22"/>
        <v>520.4</v>
      </c>
      <c r="CB22" s="81">
        <f t="shared" si="15"/>
        <v>2019</v>
      </c>
      <c r="CC22" s="81">
        <f t="shared" ca="1" si="23"/>
        <v>640.5</v>
      </c>
      <c r="CD22" s="81">
        <f t="shared" ca="1" si="23"/>
        <v>509.70000000000005</v>
      </c>
      <c r="CE22" s="81">
        <f t="shared" ca="1" si="23"/>
        <v>469.9</v>
      </c>
      <c r="CF22" s="81">
        <f t="shared" ca="1" si="23"/>
        <v>226.80000000000004</v>
      </c>
      <c r="CG22" s="81">
        <f t="shared" ca="1" si="23"/>
        <v>87.700000000000017</v>
      </c>
      <c r="CH22" s="81">
        <f t="shared" ca="1" si="23"/>
        <v>4.2000000000000011</v>
      </c>
      <c r="CI22" s="81">
        <f t="shared" ca="1" si="23"/>
        <v>0</v>
      </c>
      <c r="CJ22" s="81">
        <f t="shared" ca="1" si="23"/>
        <v>0</v>
      </c>
      <c r="CK22" s="81">
        <f t="shared" ca="1" si="23"/>
        <v>2.5999999999999979</v>
      </c>
      <c r="CL22" s="81">
        <f t="shared" ca="1" si="23"/>
        <v>119.39999999999999</v>
      </c>
      <c r="CM22" s="81">
        <f t="shared" ca="1" si="23"/>
        <v>393.30000000000007</v>
      </c>
      <c r="CN22" s="81">
        <f t="shared" ca="1" si="23"/>
        <v>458.39999999999992</v>
      </c>
      <c r="CP22" s="81">
        <f t="shared" si="16"/>
        <v>2019</v>
      </c>
      <c r="CQ22" s="81">
        <f t="shared" ca="1" si="24"/>
        <v>578.5</v>
      </c>
      <c r="CR22" s="81">
        <f t="shared" ca="1" si="24"/>
        <v>453.70000000000005</v>
      </c>
      <c r="CS22" s="81">
        <f t="shared" ca="1" si="24"/>
        <v>407.9</v>
      </c>
      <c r="CT22" s="81">
        <f t="shared" ca="1" si="24"/>
        <v>168.70000000000002</v>
      </c>
      <c r="CU22" s="81">
        <f t="shared" ca="1" si="24"/>
        <v>46.800000000000011</v>
      </c>
      <c r="CV22" s="81">
        <f t="shared" ca="1" si="24"/>
        <v>0.40000000000000036</v>
      </c>
      <c r="CW22" s="81">
        <f t="shared" ca="1" si="24"/>
        <v>0</v>
      </c>
      <c r="CX22" s="81">
        <f t="shared" ca="1" si="24"/>
        <v>0</v>
      </c>
      <c r="CY22" s="81">
        <f t="shared" ca="1" si="24"/>
        <v>0.19999999999999929</v>
      </c>
      <c r="CZ22" s="81">
        <f t="shared" ca="1" si="24"/>
        <v>67.2</v>
      </c>
      <c r="DA22" s="81">
        <f t="shared" ca="1" si="24"/>
        <v>333.3</v>
      </c>
      <c r="DB22" s="81">
        <f t="shared" ca="1" si="24"/>
        <v>396.39999999999992</v>
      </c>
      <c r="DD22" s="81">
        <f t="shared" si="17"/>
        <v>2019</v>
      </c>
      <c r="DE22" s="81">
        <f t="shared" ca="1" si="18"/>
        <v>516.5</v>
      </c>
      <c r="DF22" s="81">
        <f t="shared" ca="1" si="18"/>
        <v>397.7000000000001</v>
      </c>
      <c r="DG22" s="81">
        <f t="shared" ca="1" si="18"/>
        <v>345.9</v>
      </c>
      <c r="DH22" s="81">
        <f t="shared" ca="1" si="18"/>
        <v>111.89999999999998</v>
      </c>
      <c r="DI22" s="81">
        <f t="shared" ca="1" si="18"/>
        <v>20.6</v>
      </c>
      <c r="DJ22" s="81">
        <f t="shared" ca="1" si="18"/>
        <v>0</v>
      </c>
      <c r="DK22" s="81">
        <f t="shared" ca="1" si="18"/>
        <v>0</v>
      </c>
      <c r="DL22" s="81">
        <f t="shared" ca="1" si="18"/>
        <v>0</v>
      </c>
      <c r="DM22" s="81">
        <f t="shared" ca="1" si="18"/>
        <v>0</v>
      </c>
      <c r="DN22" s="81">
        <f t="shared" ca="1" si="18"/>
        <v>26.599999999999998</v>
      </c>
      <c r="DO22" s="81">
        <f t="shared" ca="1" si="18"/>
        <v>273.3</v>
      </c>
      <c r="DP22" s="81">
        <f t="shared" ca="1" si="18"/>
        <v>334.4</v>
      </c>
      <c r="DR22" s="81">
        <f t="shared" si="19"/>
        <v>2019</v>
      </c>
      <c r="DS22" s="81">
        <f t="shared" ca="1" si="20"/>
        <v>454.50000000000006</v>
      </c>
      <c r="DT22" s="81">
        <f t="shared" ca="1" si="20"/>
        <v>342.90000000000009</v>
      </c>
      <c r="DU22" s="81">
        <f t="shared" ca="1" si="20"/>
        <v>283.90000000000003</v>
      </c>
      <c r="DV22" s="81">
        <f t="shared" ca="1" si="20"/>
        <v>67.999999999999986</v>
      </c>
      <c r="DW22" s="81">
        <f t="shared" ca="1" si="20"/>
        <v>6.6</v>
      </c>
      <c r="DX22" s="81">
        <f t="shared" ca="1" si="20"/>
        <v>0</v>
      </c>
      <c r="DY22" s="81">
        <f t="shared" ca="1" si="20"/>
        <v>0</v>
      </c>
      <c r="DZ22" s="81">
        <f t="shared" ca="1" si="20"/>
        <v>0</v>
      </c>
      <c r="EA22" s="81">
        <f t="shared" ca="1" si="20"/>
        <v>0</v>
      </c>
      <c r="EB22" s="81">
        <f t="shared" ca="1" si="20"/>
        <v>5.7</v>
      </c>
      <c r="EC22" s="81">
        <f t="shared" ca="1" si="20"/>
        <v>213.29999999999995</v>
      </c>
      <c r="ED22" s="81">
        <f t="shared" ca="1" si="20"/>
        <v>272.40000000000003</v>
      </c>
      <c r="EG22" s="86"/>
      <c r="EH22" s="86"/>
      <c r="EI22" s="86"/>
      <c r="EK22" s="86"/>
      <c r="EL22" s="86"/>
      <c r="EM22" s="82"/>
      <c r="EO22" s="82"/>
      <c r="EP22" s="85"/>
      <c r="EQ22" s="84"/>
      <c r="ER22" s="84"/>
      <c r="EY22" s="86"/>
      <c r="FA22" s="265" t="s">
        <v>147</v>
      </c>
      <c r="FB22" s="266">
        <v>146.21354924328801</v>
      </c>
      <c r="FC22" s="266" t="s">
        <v>148</v>
      </c>
      <c r="FD22" s="270">
        <v>4.0143276029850798E-33</v>
      </c>
      <c r="FE22" s="267"/>
      <c r="FF22" s="268"/>
    </row>
    <row r="23" spans="1:162" x14ac:dyDescent="0.2">
      <c r="A23" s="81">
        <v>2003</v>
      </c>
      <c r="B23" s="88">
        <v>10</v>
      </c>
      <c r="C23" s="88">
        <v>9.0967741935483897</v>
      </c>
      <c r="D23" s="87">
        <v>399.99999999999994</v>
      </c>
      <c r="E23" s="87">
        <v>0</v>
      </c>
      <c r="F23" s="87">
        <v>337.99999999999994</v>
      </c>
      <c r="G23" s="87">
        <v>0</v>
      </c>
      <c r="H23" s="133">
        <v>276</v>
      </c>
      <c r="I23" s="133">
        <v>0</v>
      </c>
      <c r="J23" s="87">
        <v>217.5</v>
      </c>
      <c r="K23" s="87">
        <v>3.5</v>
      </c>
      <c r="L23" s="87">
        <v>162.49999999999997</v>
      </c>
      <c r="M23" s="87">
        <v>10.5</v>
      </c>
      <c r="N23" s="87">
        <v>112.4</v>
      </c>
      <c r="O23" s="87">
        <v>22.400000000000002</v>
      </c>
      <c r="P23" s="87">
        <v>70</v>
      </c>
      <c r="Q23" s="87">
        <v>42</v>
      </c>
      <c r="R23" s="87">
        <v>33.500000000000007</v>
      </c>
      <c r="S23" s="87">
        <v>67.499999999999986</v>
      </c>
      <c r="T23" s="87"/>
      <c r="U23" s="87"/>
      <c r="V23" s="87"/>
      <c r="X23" s="81">
        <f t="shared" si="10"/>
        <v>2020</v>
      </c>
      <c r="Y23" s="81">
        <f t="shared" ca="1" si="11"/>
        <v>729</v>
      </c>
      <c r="Z23" s="81">
        <f t="shared" ca="1" si="11"/>
        <v>727.8</v>
      </c>
      <c r="AA23" s="81">
        <f t="shared" ca="1" si="11"/>
        <v>582.70000000000005</v>
      </c>
      <c r="AB23" s="81">
        <f t="shared" ca="1" si="11"/>
        <v>482.2999999999999</v>
      </c>
      <c r="AC23" s="81">
        <f t="shared" ca="1" si="11"/>
        <v>313.79999999999995</v>
      </c>
      <c r="AD23" s="81">
        <f t="shared" ca="1" si="11"/>
        <v>71.5</v>
      </c>
      <c r="AE23" s="81">
        <f t="shared" ca="1" si="11"/>
        <v>1.5</v>
      </c>
      <c r="AF23" s="81">
        <f t="shared" ca="1" si="11"/>
        <v>32.5</v>
      </c>
      <c r="AG23" s="81">
        <f t="shared" ca="1" si="11"/>
        <v>159.69999999999999</v>
      </c>
      <c r="AH23" s="81">
        <f t="shared" ca="1" si="11"/>
        <v>394.29999999999995</v>
      </c>
      <c r="AI23" s="81">
        <f t="shared" ca="1" si="11"/>
        <v>454.8</v>
      </c>
      <c r="AJ23" s="81">
        <f t="shared" ca="1" si="11"/>
        <v>691.29999999999984</v>
      </c>
      <c r="AL23" s="81">
        <f t="shared" si="12"/>
        <v>2020</v>
      </c>
      <c r="AM23" s="81">
        <f t="shared" ca="1" si="1"/>
        <v>667</v>
      </c>
      <c r="AN23" s="81">
        <f t="shared" ca="1" si="25"/>
        <v>669.80000000000007</v>
      </c>
      <c r="AO23" s="81">
        <f t="shared" ca="1" si="25"/>
        <v>520.69999999999993</v>
      </c>
      <c r="AP23" s="81">
        <f t="shared" ca="1" si="25"/>
        <v>422.2999999999999</v>
      </c>
      <c r="AQ23" s="81">
        <f t="shared" ca="1" si="25"/>
        <v>258.89999999999998</v>
      </c>
      <c r="AR23" s="81">
        <f t="shared" ca="1" si="25"/>
        <v>41.600000000000009</v>
      </c>
      <c r="AS23" s="81">
        <f t="shared" ca="1" si="25"/>
        <v>0</v>
      </c>
      <c r="AT23" s="81">
        <f t="shared" ca="1" si="25"/>
        <v>9.4999999999999964</v>
      </c>
      <c r="AU23" s="81">
        <f t="shared" ca="1" si="25"/>
        <v>108.60000000000001</v>
      </c>
      <c r="AV23" s="81">
        <f t="shared" ca="1" si="25"/>
        <v>332.3</v>
      </c>
      <c r="AW23" s="81">
        <f t="shared" ca="1" si="25"/>
        <v>394.8</v>
      </c>
      <c r="AX23" s="81">
        <f t="shared" ca="1" si="25"/>
        <v>629.29999999999984</v>
      </c>
      <c r="AY23" s="93"/>
      <c r="AZ23" s="81">
        <f t="shared" si="13"/>
        <v>2020</v>
      </c>
      <c r="BA23" s="81">
        <f t="shared" ca="1" si="21"/>
        <v>605</v>
      </c>
      <c r="BB23" s="81">
        <f t="shared" ca="1" si="21"/>
        <v>611.79999999999995</v>
      </c>
      <c r="BC23" s="81">
        <f t="shared" ca="1" si="21"/>
        <v>458.69999999999993</v>
      </c>
      <c r="BD23" s="81">
        <f t="shared" ca="1" si="21"/>
        <v>362.2999999999999</v>
      </c>
      <c r="BE23" s="81">
        <f t="shared" ca="1" si="21"/>
        <v>208.09999999999997</v>
      </c>
      <c r="BF23" s="81">
        <f t="shared" ca="1" si="21"/>
        <v>23.799999999999997</v>
      </c>
      <c r="BG23" s="81">
        <f t="shared" ca="1" si="21"/>
        <v>0</v>
      </c>
      <c r="BH23" s="81">
        <f t="shared" ca="1" si="21"/>
        <v>0.80000000000000071</v>
      </c>
      <c r="BI23" s="81">
        <f t="shared" ca="1" si="21"/>
        <v>69.100000000000009</v>
      </c>
      <c r="BJ23" s="81">
        <f t="shared" ca="1" si="21"/>
        <v>270.3</v>
      </c>
      <c r="BK23" s="81">
        <f t="shared" ca="1" si="21"/>
        <v>334.79999999999995</v>
      </c>
      <c r="BL23" s="81">
        <f t="shared" ca="1" si="21"/>
        <v>567.29999999999995</v>
      </c>
      <c r="BM23" s="93">
        <f t="shared" ca="1" si="4"/>
        <v>3512.0000000000009</v>
      </c>
      <c r="BN23" s="81">
        <f t="shared" si="14"/>
        <v>2020</v>
      </c>
      <c r="BO23" s="81">
        <f t="shared" ca="1" si="22"/>
        <v>543</v>
      </c>
      <c r="BP23" s="81">
        <f t="shared" ca="1" si="22"/>
        <v>553.80000000000007</v>
      </c>
      <c r="BQ23" s="81">
        <f t="shared" ca="1" si="22"/>
        <v>396.7</v>
      </c>
      <c r="BR23" s="81">
        <f t="shared" ca="1" si="22"/>
        <v>302.29999999999995</v>
      </c>
      <c r="BS23" s="81">
        <f t="shared" ca="1" si="22"/>
        <v>160.9</v>
      </c>
      <c r="BT23" s="81">
        <f t="shared" ca="1" si="22"/>
        <v>9.2999999999999989</v>
      </c>
      <c r="BU23" s="81">
        <f t="shared" ca="1" si="22"/>
        <v>0</v>
      </c>
      <c r="BV23" s="81">
        <f t="shared" ca="1" si="22"/>
        <v>0</v>
      </c>
      <c r="BW23" s="81">
        <f t="shared" ca="1" si="22"/>
        <v>35.6</v>
      </c>
      <c r="BX23" s="81">
        <f t="shared" ca="1" si="22"/>
        <v>208.8</v>
      </c>
      <c r="BY23" s="81">
        <f t="shared" ca="1" si="22"/>
        <v>274.89999999999998</v>
      </c>
      <c r="BZ23" s="81">
        <f t="shared" ca="1" si="22"/>
        <v>505.3</v>
      </c>
      <c r="CB23" s="81">
        <f t="shared" si="15"/>
        <v>2020</v>
      </c>
      <c r="CC23" s="81">
        <f t="shared" ca="1" si="23"/>
        <v>481</v>
      </c>
      <c r="CD23" s="81">
        <f t="shared" ca="1" si="23"/>
        <v>495.8</v>
      </c>
      <c r="CE23" s="81">
        <f t="shared" ca="1" si="23"/>
        <v>334.7</v>
      </c>
      <c r="CF23" s="81">
        <f t="shared" ca="1" si="23"/>
        <v>242.3</v>
      </c>
      <c r="CG23" s="81">
        <f t="shared" ca="1" si="23"/>
        <v>116.19999999999999</v>
      </c>
      <c r="CH23" s="81">
        <f t="shared" ca="1" si="23"/>
        <v>2.0999999999999996</v>
      </c>
      <c r="CI23" s="81">
        <f t="shared" ca="1" si="23"/>
        <v>0</v>
      </c>
      <c r="CJ23" s="81">
        <f t="shared" ca="1" si="23"/>
        <v>0</v>
      </c>
      <c r="CK23" s="81">
        <f t="shared" ca="1" si="23"/>
        <v>15.899999999999999</v>
      </c>
      <c r="CL23" s="81">
        <f t="shared" ca="1" si="23"/>
        <v>149.90000000000003</v>
      </c>
      <c r="CM23" s="81">
        <f t="shared" ca="1" si="23"/>
        <v>220.39999999999998</v>
      </c>
      <c r="CN23" s="81">
        <f t="shared" ca="1" si="23"/>
        <v>443.3</v>
      </c>
      <c r="CP23" s="81">
        <f t="shared" si="16"/>
        <v>2020</v>
      </c>
      <c r="CQ23" s="81">
        <f t="shared" ca="1" si="24"/>
        <v>419</v>
      </c>
      <c r="CR23" s="81">
        <f t="shared" ca="1" si="24"/>
        <v>437.8</v>
      </c>
      <c r="CS23" s="81">
        <f t="shared" ca="1" si="24"/>
        <v>273.2000000000001</v>
      </c>
      <c r="CT23" s="81">
        <f t="shared" ca="1" si="24"/>
        <v>182.29999999999998</v>
      </c>
      <c r="CU23" s="81">
        <f t="shared" ca="1" si="24"/>
        <v>82.2</v>
      </c>
      <c r="CV23" s="81">
        <f t="shared" ca="1" si="24"/>
        <v>0</v>
      </c>
      <c r="CW23" s="81">
        <f t="shared" ca="1" si="24"/>
        <v>0</v>
      </c>
      <c r="CX23" s="81">
        <f t="shared" ca="1" si="24"/>
        <v>0</v>
      </c>
      <c r="CY23" s="81">
        <f t="shared" ca="1" si="24"/>
        <v>4.7999999999999989</v>
      </c>
      <c r="CZ23" s="81">
        <f t="shared" ca="1" si="24"/>
        <v>98.9</v>
      </c>
      <c r="DA23" s="81">
        <f t="shared" ca="1" si="24"/>
        <v>170.79999999999995</v>
      </c>
      <c r="DB23" s="81">
        <f t="shared" ca="1" si="24"/>
        <v>381.30000000000007</v>
      </c>
      <c r="DD23" s="81">
        <f t="shared" si="17"/>
        <v>2020</v>
      </c>
      <c r="DE23" s="81">
        <f t="shared" ca="1" si="18"/>
        <v>357</v>
      </c>
      <c r="DF23" s="81">
        <f t="shared" ca="1" si="18"/>
        <v>379.79999999999995</v>
      </c>
      <c r="DG23" s="81">
        <f t="shared" ca="1" si="18"/>
        <v>214.70000000000005</v>
      </c>
      <c r="DH23" s="81">
        <f t="shared" ca="1" si="18"/>
        <v>125.50000000000001</v>
      </c>
      <c r="DI23" s="81">
        <f t="shared" ca="1" si="18"/>
        <v>57.5</v>
      </c>
      <c r="DJ23" s="81">
        <f t="shared" ca="1" si="18"/>
        <v>0</v>
      </c>
      <c r="DK23" s="81">
        <f t="shared" ca="1" si="18"/>
        <v>0</v>
      </c>
      <c r="DL23" s="81">
        <f t="shared" ca="1" si="18"/>
        <v>0</v>
      </c>
      <c r="DM23" s="81">
        <f t="shared" ca="1" si="18"/>
        <v>1.1999999999999993</v>
      </c>
      <c r="DN23" s="81">
        <f t="shared" ca="1" si="18"/>
        <v>60.7</v>
      </c>
      <c r="DO23" s="81">
        <f t="shared" ca="1" si="18"/>
        <v>127.39999999999999</v>
      </c>
      <c r="DP23" s="81">
        <f t="shared" ca="1" si="18"/>
        <v>319.30000000000007</v>
      </c>
      <c r="DR23" s="81">
        <f t="shared" si="19"/>
        <v>2020</v>
      </c>
      <c r="DS23" s="81">
        <f t="shared" ca="1" si="20"/>
        <v>295</v>
      </c>
      <c r="DT23" s="81">
        <f t="shared" ca="1" si="20"/>
        <v>321.8</v>
      </c>
      <c r="DU23" s="81">
        <f t="shared" ca="1" si="20"/>
        <v>156.70000000000002</v>
      </c>
      <c r="DV23" s="81">
        <f t="shared" ca="1" si="20"/>
        <v>77.599999999999994</v>
      </c>
      <c r="DW23" s="81">
        <f t="shared" ca="1" si="20"/>
        <v>37.1</v>
      </c>
      <c r="DX23" s="81">
        <f t="shared" ca="1" si="20"/>
        <v>0</v>
      </c>
      <c r="DY23" s="81">
        <f t="shared" ca="1" si="20"/>
        <v>0</v>
      </c>
      <c r="DZ23" s="81">
        <f t="shared" ca="1" si="20"/>
        <v>0</v>
      </c>
      <c r="EA23" s="81">
        <f t="shared" ca="1" si="20"/>
        <v>0</v>
      </c>
      <c r="EB23" s="81">
        <f t="shared" ca="1" si="20"/>
        <v>33</v>
      </c>
      <c r="EC23" s="81">
        <f t="shared" ca="1" si="20"/>
        <v>87.199999999999989</v>
      </c>
      <c r="ED23" s="81">
        <f t="shared" ca="1" si="20"/>
        <v>257.3</v>
      </c>
      <c r="EG23" s="86"/>
      <c r="EH23" s="86"/>
      <c r="EI23" s="86"/>
      <c r="EK23" s="86"/>
      <c r="EL23" s="86"/>
      <c r="EM23" s="82"/>
      <c r="EO23" s="82"/>
      <c r="EP23" s="85"/>
      <c r="EQ23" s="84"/>
      <c r="ER23" s="84"/>
      <c r="EY23" s="86"/>
      <c r="FA23" s="271" t="s">
        <v>149</v>
      </c>
      <c r="FB23" s="272">
        <v>-0.171749692994972</v>
      </c>
      <c r="FC23" s="272" t="s">
        <v>150</v>
      </c>
      <c r="FD23" s="272">
        <v>2.3241390883588502</v>
      </c>
      <c r="FE23" s="273"/>
      <c r="FF23" s="274"/>
    </row>
    <row r="24" spans="1:162" x14ac:dyDescent="0.2">
      <c r="A24" s="81">
        <v>2003</v>
      </c>
      <c r="B24" s="88">
        <v>11</v>
      </c>
      <c r="C24" s="88">
        <v>4.7166666666666659</v>
      </c>
      <c r="D24" s="87">
        <v>518.49999999999989</v>
      </c>
      <c r="E24" s="87">
        <v>0</v>
      </c>
      <c r="F24" s="87">
        <v>458.5</v>
      </c>
      <c r="G24" s="87">
        <v>0</v>
      </c>
      <c r="H24" s="133">
        <v>398.5</v>
      </c>
      <c r="I24" s="133">
        <v>0</v>
      </c>
      <c r="J24" s="87">
        <v>338.50000000000006</v>
      </c>
      <c r="K24" s="87">
        <v>0</v>
      </c>
      <c r="L24" s="87">
        <v>278.50000000000006</v>
      </c>
      <c r="M24" s="87">
        <v>0</v>
      </c>
      <c r="N24" s="87">
        <v>218.60000000000002</v>
      </c>
      <c r="O24" s="87">
        <v>9.9999999999999645E-2</v>
      </c>
      <c r="P24" s="87">
        <v>160.6</v>
      </c>
      <c r="Q24" s="87">
        <v>2.0999999999999996</v>
      </c>
      <c r="R24" s="87">
        <v>105.80000000000001</v>
      </c>
      <c r="S24" s="87">
        <v>7.2999999999999989</v>
      </c>
      <c r="T24" s="87"/>
      <c r="U24" s="87"/>
      <c r="V24" s="87"/>
      <c r="X24" s="81">
        <f t="shared" si="10"/>
        <v>2021</v>
      </c>
      <c r="Y24" s="81">
        <f t="shared" ca="1" si="11"/>
        <v>763.99999999999989</v>
      </c>
      <c r="Z24" s="81">
        <f t="shared" ca="1" si="11"/>
        <v>765.69999999999993</v>
      </c>
      <c r="AA24" s="81">
        <f t="shared" ca="1" si="11"/>
        <v>584.69999999999993</v>
      </c>
      <c r="AB24" s="81">
        <f t="shared" ca="1" si="11"/>
        <v>422.39999999999992</v>
      </c>
      <c r="AC24" s="81">
        <f t="shared" ca="1" si="11"/>
        <v>266.10000000000002</v>
      </c>
      <c r="AD24" s="81">
        <f t="shared" ca="1" si="11"/>
        <v>42.099999999999994</v>
      </c>
      <c r="AE24" s="81">
        <f t="shared" ca="1" si="11"/>
        <v>46.800000000000011</v>
      </c>
      <c r="AF24" s="81">
        <f t="shared" ca="1" si="11"/>
        <v>17.2</v>
      </c>
      <c r="AG24" s="81">
        <f t="shared" ca="1" si="11"/>
        <v>130.9</v>
      </c>
      <c r="AH24" s="81">
        <f t="shared" ca="1" si="11"/>
        <v>263.60000000000002</v>
      </c>
      <c r="AI24" s="81">
        <f t="shared" ca="1" si="11"/>
        <v>533.69999999999982</v>
      </c>
      <c r="AJ24" s="81">
        <f t="shared" ca="1" si="11"/>
        <v>629.4000000000002</v>
      </c>
      <c r="AL24" s="81">
        <f t="shared" si="12"/>
        <v>2021</v>
      </c>
      <c r="AM24" s="81">
        <f t="shared" ca="1" si="1"/>
        <v>701.99999999999989</v>
      </c>
      <c r="AN24" s="81">
        <f t="shared" ca="1" si="25"/>
        <v>709.7</v>
      </c>
      <c r="AO24" s="81">
        <f t="shared" ca="1" si="25"/>
        <v>522.70000000000005</v>
      </c>
      <c r="AP24" s="81">
        <f t="shared" ca="1" si="25"/>
        <v>362.4</v>
      </c>
      <c r="AQ24" s="81">
        <f t="shared" ca="1" si="25"/>
        <v>212.50000000000003</v>
      </c>
      <c r="AR24" s="81">
        <f t="shared" ca="1" si="25"/>
        <v>19.399999999999999</v>
      </c>
      <c r="AS24" s="81">
        <f t="shared" ca="1" si="25"/>
        <v>16</v>
      </c>
      <c r="AT24" s="81">
        <f t="shared" ca="1" si="25"/>
        <v>3.9000000000000021</v>
      </c>
      <c r="AU24" s="81">
        <f t="shared" ca="1" si="25"/>
        <v>75.7</v>
      </c>
      <c r="AV24" s="81">
        <f t="shared" ca="1" si="25"/>
        <v>201.6</v>
      </c>
      <c r="AW24" s="81">
        <f t="shared" ca="1" si="25"/>
        <v>473.69999999999987</v>
      </c>
      <c r="AX24" s="81">
        <f t="shared" ca="1" si="25"/>
        <v>567.40000000000009</v>
      </c>
      <c r="AY24" s="93"/>
      <c r="AZ24" s="81">
        <f t="shared" si="13"/>
        <v>2021</v>
      </c>
      <c r="BA24" s="81">
        <f t="shared" ca="1" si="21"/>
        <v>639.99999999999989</v>
      </c>
      <c r="BB24" s="81">
        <f t="shared" ca="1" si="21"/>
        <v>653.70000000000005</v>
      </c>
      <c r="BC24" s="81">
        <f t="shared" ca="1" si="21"/>
        <v>460.70000000000005</v>
      </c>
      <c r="BD24" s="81">
        <f t="shared" ca="1" si="21"/>
        <v>302.39999999999998</v>
      </c>
      <c r="BE24" s="81">
        <f t="shared" ca="1" si="21"/>
        <v>164.2</v>
      </c>
      <c r="BF24" s="81">
        <f t="shared" ca="1" si="21"/>
        <v>7</v>
      </c>
      <c r="BG24" s="81">
        <f t="shared" ca="1" si="21"/>
        <v>4.4000000000000021</v>
      </c>
      <c r="BH24" s="81">
        <f t="shared" ca="1" si="21"/>
        <v>0</v>
      </c>
      <c r="BI24" s="81">
        <f t="shared" ca="1" si="21"/>
        <v>35.600000000000009</v>
      </c>
      <c r="BJ24" s="81">
        <f t="shared" ca="1" si="21"/>
        <v>145.19999999999999</v>
      </c>
      <c r="BK24" s="81">
        <f t="shared" ca="1" si="21"/>
        <v>413.7</v>
      </c>
      <c r="BL24" s="81">
        <f t="shared" ca="1" si="21"/>
        <v>505.4</v>
      </c>
      <c r="BM24" s="93">
        <f t="shared" ref="BM24" ca="1" si="26">SUM(BA24:BL24)</f>
        <v>3332.2999999999993</v>
      </c>
      <c r="BN24" s="81">
        <f t="shared" si="14"/>
        <v>2021</v>
      </c>
      <c r="BO24" s="81">
        <f t="shared" ca="1" si="22"/>
        <v>577.99999999999989</v>
      </c>
      <c r="BP24" s="81">
        <f t="shared" ca="1" si="22"/>
        <v>597.70000000000005</v>
      </c>
      <c r="BQ24" s="81">
        <f t="shared" ca="1" si="22"/>
        <v>398.70000000000005</v>
      </c>
      <c r="BR24" s="81">
        <f t="shared" ca="1" si="22"/>
        <v>242.4</v>
      </c>
      <c r="BS24" s="81">
        <f t="shared" ca="1" si="22"/>
        <v>118.79999999999998</v>
      </c>
      <c r="BT24" s="81">
        <f t="shared" ca="1" si="22"/>
        <v>1.1999999999999993</v>
      </c>
      <c r="BU24" s="81">
        <f t="shared" ca="1" si="22"/>
        <v>0</v>
      </c>
      <c r="BV24" s="81">
        <f t="shared" ca="1" si="22"/>
        <v>0</v>
      </c>
      <c r="BW24" s="81">
        <f t="shared" ca="1" si="22"/>
        <v>14.3</v>
      </c>
      <c r="BX24" s="81">
        <f t="shared" ca="1" si="22"/>
        <v>102.60000000000001</v>
      </c>
      <c r="BY24" s="81">
        <f t="shared" ca="1" si="22"/>
        <v>353.7</v>
      </c>
      <c r="BZ24" s="81">
        <f t="shared" ca="1" si="22"/>
        <v>443.4</v>
      </c>
      <c r="CB24" s="81">
        <f t="shared" si="15"/>
        <v>2021</v>
      </c>
      <c r="CC24" s="81">
        <f t="shared" ca="1" si="23"/>
        <v>516</v>
      </c>
      <c r="CD24" s="81">
        <f t="shared" ca="1" si="23"/>
        <v>541.69999999999993</v>
      </c>
      <c r="CE24" s="81">
        <f t="shared" ca="1" si="23"/>
        <v>337.20000000000005</v>
      </c>
      <c r="CF24" s="81">
        <f t="shared" ca="1" si="23"/>
        <v>185.99999999999997</v>
      </c>
      <c r="CG24" s="81">
        <f t="shared" ca="1" si="23"/>
        <v>80.299999999999983</v>
      </c>
      <c r="CH24" s="81">
        <f t="shared" ca="1" si="23"/>
        <v>0</v>
      </c>
      <c r="CI24" s="81">
        <f t="shared" ca="1" si="23"/>
        <v>0</v>
      </c>
      <c r="CJ24" s="81">
        <f t="shared" ca="1" si="23"/>
        <v>0</v>
      </c>
      <c r="CK24" s="81">
        <f t="shared" ca="1" si="23"/>
        <v>3</v>
      </c>
      <c r="CL24" s="81">
        <f t="shared" ca="1" si="23"/>
        <v>68.600000000000009</v>
      </c>
      <c r="CM24" s="81">
        <f t="shared" ca="1" si="23"/>
        <v>293.70000000000005</v>
      </c>
      <c r="CN24" s="81">
        <f t="shared" ca="1" si="23"/>
        <v>381.4</v>
      </c>
      <c r="CP24" s="81">
        <f t="shared" si="16"/>
        <v>2021</v>
      </c>
      <c r="CQ24" s="81">
        <f t="shared" ca="1" si="24"/>
        <v>453.99999999999994</v>
      </c>
      <c r="CR24" s="81">
        <f t="shared" ca="1" si="24"/>
        <v>485.7</v>
      </c>
      <c r="CS24" s="81">
        <f t="shared" ca="1" si="24"/>
        <v>277.70000000000005</v>
      </c>
      <c r="CT24" s="81">
        <f t="shared" ca="1" si="24"/>
        <v>134.30000000000001</v>
      </c>
      <c r="CU24" s="81">
        <f t="shared" ca="1" si="24"/>
        <v>49.7</v>
      </c>
      <c r="CV24" s="81">
        <f t="shared" ca="1" si="24"/>
        <v>0</v>
      </c>
      <c r="CW24" s="81">
        <f t="shared" ca="1" si="24"/>
        <v>0</v>
      </c>
      <c r="CX24" s="81">
        <f t="shared" ca="1" si="24"/>
        <v>0</v>
      </c>
      <c r="CY24" s="81">
        <f t="shared" ca="1" si="24"/>
        <v>0</v>
      </c>
      <c r="CZ24" s="81">
        <f t="shared" ca="1" si="24"/>
        <v>40.099999999999994</v>
      </c>
      <c r="DA24" s="81">
        <f t="shared" ca="1" si="24"/>
        <v>233.70000000000005</v>
      </c>
      <c r="DB24" s="81">
        <f t="shared" ca="1" si="24"/>
        <v>319.39999999999998</v>
      </c>
      <c r="DD24" s="81">
        <f t="shared" si="17"/>
        <v>2021</v>
      </c>
      <c r="DE24" s="81">
        <f t="shared" ca="1" si="18"/>
        <v>392</v>
      </c>
      <c r="DF24" s="81">
        <f t="shared" ca="1" si="18"/>
        <v>429.7</v>
      </c>
      <c r="DG24" s="81">
        <f t="shared" ca="1" si="18"/>
        <v>222.10000000000002</v>
      </c>
      <c r="DH24" s="81">
        <f t="shared" ca="1" si="18"/>
        <v>87.600000000000023</v>
      </c>
      <c r="DI24" s="81">
        <f t="shared" ca="1" si="18"/>
        <v>25.399999999999995</v>
      </c>
      <c r="DJ24" s="81">
        <f t="shared" ca="1" si="18"/>
        <v>0</v>
      </c>
      <c r="DK24" s="81">
        <f t="shared" ca="1" si="18"/>
        <v>0</v>
      </c>
      <c r="DL24" s="81">
        <f t="shared" ca="1" si="18"/>
        <v>0</v>
      </c>
      <c r="DM24" s="81">
        <f t="shared" ca="1" si="18"/>
        <v>0</v>
      </c>
      <c r="DN24" s="81">
        <f t="shared" ca="1" si="18"/>
        <v>20.499999999999996</v>
      </c>
      <c r="DO24" s="81">
        <f t="shared" ca="1" si="18"/>
        <v>175.30000000000004</v>
      </c>
      <c r="DP24" s="81">
        <f t="shared" ca="1" si="18"/>
        <v>257.8</v>
      </c>
      <c r="DR24" s="81">
        <f t="shared" si="19"/>
        <v>2021</v>
      </c>
      <c r="DS24" s="81">
        <f t="shared" ca="1" si="20"/>
        <v>330</v>
      </c>
      <c r="DT24" s="81">
        <f t="shared" ca="1" si="20"/>
        <v>373.70000000000005</v>
      </c>
      <c r="DU24" s="81">
        <f t="shared" ca="1" si="20"/>
        <v>168.29999999999998</v>
      </c>
      <c r="DV24" s="81">
        <f t="shared" ca="1" si="20"/>
        <v>52.4</v>
      </c>
      <c r="DW24" s="81">
        <f t="shared" ca="1" si="20"/>
        <v>8.6</v>
      </c>
      <c r="DX24" s="81">
        <f t="shared" ca="1" si="20"/>
        <v>0</v>
      </c>
      <c r="DY24" s="81">
        <f t="shared" ca="1" si="20"/>
        <v>0</v>
      </c>
      <c r="DZ24" s="81">
        <f t="shared" ca="1" si="20"/>
        <v>0</v>
      </c>
      <c r="EA24" s="81">
        <f t="shared" ca="1" si="20"/>
        <v>0</v>
      </c>
      <c r="EB24" s="81">
        <f t="shared" ca="1" si="20"/>
        <v>6.5000000000000009</v>
      </c>
      <c r="EC24" s="81">
        <f t="shared" ca="1" si="20"/>
        <v>124.60000000000002</v>
      </c>
      <c r="ED24" s="81">
        <f t="shared" ca="1" si="20"/>
        <v>199.59999999999997</v>
      </c>
      <c r="EG24" s="86"/>
      <c r="EH24" s="86"/>
      <c r="EI24" s="86"/>
      <c r="EK24" s="86"/>
      <c r="EL24" s="86"/>
      <c r="EM24" s="82"/>
      <c r="EO24" s="82"/>
      <c r="EP24" s="85"/>
      <c r="EQ24" s="84"/>
      <c r="ER24" s="84"/>
      <c r="EY24" s="86"/>
      <c r="FB24" s="136"/>
    </row>
    <row r="25" spans="1:162" ht="15" x14ac:dyDescent="0.25">
      <c r="A25" s="81">
        <v>2003</v>
      </c>
      <c r="B25" s="88">
        <v>12</v>
      </c>
      <c r="C25" s="88">
        <v>-0.11290322580645111</v>
      </c>
      <c r="D25" s="87">
        <v>685.50000000000011</v>
      </c>
      <c r="E25" s="87">
        <v>0</v>
      </c>
      <c r="F25" s="87">
        <v>623.50000000000011</v>
      </c>
      <c r="G25" s="87">
        <v>0</v>
      </c>
      <c r="H25" s="133">
        <v>561.50000000000011</v>
      </c>
      <c r="I25" s="133">
        <v>0</v>
      </c>
      <c r="J25" s="87">
        <v>499.50000000000006</v>
      </c>
      <c r="K25" s="87">
        <v>0</v>
      </c>
      <c r="L25" s="87">
        <v>437.5</v>
      </c>
      <c r="M25" s="87">
        <v>0</v>
      </c>
      <c r="N25" s="87">
        <v>375.5</v>
      </c>
      <c r="O25" s="87">
        <v>0</v>
      </c>
      <c r="P25" s="87">
        <v>313.5</v>
      </c>
      <c r="Q25" s="87">
        <v>0</v>
      </c>
      <c r="R25" s="87">
        <v>251.5</v>
      </c>
      <c r="S25" s="87">
        <v>0</v>
      </c>
      <c r="T25" s="87"/>
      <c r="U25" s="87"/>
      <c r="V25" s="87"/>
      <c r="X25" s="94">
        <f t="shared" si="10"/>
        <v>2022</v>
      </c>
      <c r="Y25" s="99">
        <f ca="1">MAX(TREND(Y$5:Y$24,X$5:X$24,X25),0)</f>
        <v>805.82052631578927</v>
      </c>
      <c r="Z25" s="99">
        <f ca="1">MAX(TREND(Z$5:Z$24,X$5:X$24,X25),0)</f>
        <v>740.27263157894754</v>
      </c>
      <c r="AA25" s="99">
        <f ca="1">MAX(TREND(AA$5:AA$24,X$5:X$24,X25),0)</f>
        <v>647.31947368421061</v>
      </c>
      <c r="AB25" s="99">
        <f ca="1">MAX(TREND(AB$5:AB$24,X$5:X$24,X25),0)</f>
        <v>466.71000000000004</v>
      </c>
      <c r="AC25" s="99">
        <f ca="1">MAX(TREND(AC$5:AC$24,X$5:X$24,X25),0)</f>
        <v>233.54263157894729</v>
      </c>
      <c r="AD25" s="99">
        <f ca="1">MAX(TREND(AD$5:AD$24,X$5:X$24,X25),0)</f>
        <v>81.119473684210789</v>
      </c>
      <c r="AE25" s="99">
        <f ca="1">MAX(TREND(AE$5:AE$24,X$5:X$24,X25),0)</f>
        <v>24.838947368421032</v>
      </c>
      <c r="AF25" s="99">
        <f ca="1">MAX(TREND(AF$5:AF$24,X$5:X$24,X25),0)</f>
        <v>32.930526315789621</v>
      </c>
      <c r="AG25" s="99">
        <f ca="1">MAX(TREND(AG$5:AG$24,X$5:X$24,X25),0)</f>
        <v>140.81473684210522</v>
      </c>
      <c r="AH25" s="99">
        <f ca="1">MAX(TREND(AH$5:AH$24,X$5:X$24,X25),0)</f>
        <v>329.96157894736825</v>
      </c>
      <c r="AI25" s="99">
        <f ca="1">MAX(TREND(AI$5:AI$24,X$5:X$24,X25),0)</f>
        <v>543.97473684210559</v>
      </c>
      <c r="AJ25" s="99">
        <f ca="1">MAX(TREND(AJ$5:AJ$24,X$5:X$24,X25),0)</f>
        <v>685.7842105263162</v>
      </c>
      <c r="AL25" s="94">
        <f t="shared" si="12"/>
        <v>2022</v>
      </c>
      <c r="AM25" s="99">
        <f ca="1">MAX(TREND(AM$5:AM$24,AL$5:AL$24,AL25),0)</f>
        <v>743.82052631578881</v>
      </c>
      <c r="AN25" s="99">
        <f ca="1">MAX(TREND(AN$5:AN$24,AL$5:AL$24,AL25),0)</f>
        <v>683.69368421052627</v>
      </c>
      <c r="AO25" s="99">
        <f ca="1">MAX(TREND(AO$5:AO$24,AL$5:AL$24,AL25),0)</f>
        <v>585.31947368421061</v>
      </c>
      <c r="AP25" s="99">
        <f ca="1">MAX(TREND(AP$5:AP$24,AL$5:AL$24,AL25),0)</f>
        <v>406.46631578947336</v>
      </c>
      <c r="AQ25" s="99">
        <f ca="1">MAX(TREND(AQ$5:AQ$24,AL$5:AL$24,AL25),0)</f>
        <v>180.81789473684194</v>
      </c>
      <c r="AR25" s="99">
        <f ca="1">MAX(TREND(AR$5:AR$24,AL$5:AL$24,AL25),0)</f>
        <v>42.975789473684017</v>
      </c>
      <c r="AS25" s="99">
        <f ca="1">MAX(TREND(AS$5:AS$24,AL$5:AL$24,AL25),0)</f>
        <v>7.3531578947367962</v>
      </c>
      <c r="AT25" s="99">
        <f ca="1">MAX(TREND(AT$5:AT$24,AL$5:AL$24,AL25),0)</f>
        <v>10.92052631578963</v>
      </c>
      <c r="AU25" s="99">
        <f ca="1">MAX(TREND(AU$5:AU$24,AL$5:AL$24,AL25),0)</f>
        <v>94.133157894736883</v>
      </c>
      <c r="AV25" s="99">
        <f ca="1">MAX(TREND(AV$5:AV$24,AL$5:AL$24,AL25),0)</f>
        <v>268.7931578947364</v>
      </c>
      <c r="AW25" s="99">
        <f ca="1">MAX(TREND(AW$5:AW$24,AL$5:AL$24,AL25),0)</f>
        <v>483.97473684210536</v>
      </c>
      <c r="AX25" s="99">
        <f ca="1">MAX(TREND(AX$5:AX$24,AL$5:AL$24,AL25),0)</f>
        <v>623.7842105263162</v>
      </c>
      <c r="AY25" s="93"/>
      <c r="AZ25" s="94">
        <f t="shared" si="13"/>
        <v>2022</v>
      </c>
      <c r="BA25" s="99">
        <f ca="1">MAX(TREND(BA$5:BA$24,AZ$5:AZ$24,AZ25),0)</f>
        <v>681.82052631578927</v>
      </c>
      <c r="BB25" s="99">
        <f ca="1">MAX(TREND(BB$5:BB$24,AZ$5:AZ$24,AZ25),0)</f>
        <v>627.11473684210546</v>
      </c>
      <c r="BC25" s="99">
        <f ca="1">MAX(TREND(BC$5:BC$24,AZ$5:AZ$24,AZ25),0)</f>
        <v>523.33105263157859</v>
      </c>
      <c r="BD25" s="99">
        <f ca="1">MAX(TREND(BD$5:BD$24,AZ$5:AZ$24,AZ25),0)</f>
        <v>345.73052631578912</v>
      </c>
      <c r="BE25" s="99">
        <f ca="1">MAX(TREND(BE$5:BE$24,AZ$5:AZ$24,AZ25),0)</f>
        <v>133.22631578947357</v>
      </c>
      <c r="BF25" s="99">
        <f ca="1">MAX(TREND(BF$5:BF$24,AZ$5:AZ$24,AZ25),0)</f>
        <v>19.136842105263213</v>
      </c>
      <c r="BG25" s="99">
        <f ca="1">MAX(TREND(BG$5:BG$24,AZ$5:AZ$24,AZ25),0)</f>
        <v>1.5315789473684198</v>
      </c>
      <c r="BH25" s="99">
        <f ca="1">MAX(TREND(BH$5:BH$24,AZ$5:AZ$24,AZ25),0)</f>
        <v>2.5126315789473779</v>
      </c>
      <c r="BI25" s="99">
        <f ca="1">MAX(TREND(BI$5:BI$24,AZ$5:AZ$24,AZ25),0)</f>
        <v>54.889999999999986</v>
      </c>
      <c r="BJ25" s="99">
        <f ca="1">MAX(TREND(BJ$5:BJ$24,AZ$5:AZ$24,AZ25),0)</f>
        <v>209.08052631578903</v>
      </c>
      <c r="BK25" s="99">
        <f ca="1">MAX(TREND(BK$5:BK$24,AZ$5:AZ$24,AZ25),0)</f>
        <v>423.97473684210513</v>
      </c>
      <c r="BL25" s="99">
        <f ca="1">MAX(TREND(BL$5:BL$24,AZ$5:AZ$24,AZ25),0)</f>
        <v>561.78421052631529</v>
      </c>
      <c r="BM25" s="93">
        <f t="shared" ca="1" si="4"/>
        <v>3584.1336842105247</v>
      </c>
      <c r="BN25" s="94">
        <f t="shared" si="14"/>
        <v>2022</v>
      </c>
      <c r="BO25" s="99">
        <f ca="1">MAX(TREND(BO$5:BO$24,BN$5:BN$24,BN25),0)</f>
        <v>619.82052631578927</v>
      </c>
      <c r="BP25" s="99">
        <f ca="1">MAX(TREND(BP$5:BP$24,BN$5:BN$24,BN25),0)</f>
        <v>570.53578947368419</v>
      </c>
      <c r="BQ25" s="99">
        <f ca="1">MAX(TREND(BQ$5:BQ$24,BN$5:BN$24,BN25),0)</f>
        <v>461.49315789473712</v>
      </c>
      <c r="BR25" s="99">
        <f ca="1">MAX(TREND(BR$5:BR$24,BN$5:BN$24,BN25),0)</f>
        <v>285.02368421052643</v>
      </c>
      <c r="BS25" s="99">
        <f ca="1">MAX(TREND(BS$5:BS$24,BN$5:BN$24,BN25),0)</f>
        <v>92.127894736842109</v>
      </c>
      <c r="BT25" s="99">
        <f ca="1">MAX(TREND(BT$5:BT$24,BN$5:BN$24,BN25),0)</f>
        <v>6.5805263157894842</v>
      </c>
      <c r="BU25" s="99">
        <f ca="1">MAX(TREND(BU$5:BU$24,BN$5:BN$24,BN25),0)</f>
        <v>0</v>
      </c>
      <c r="BV25" s="99">
        <f ca="1">MAX(TREND(BV$5:BV$24,BN$5:BN$24,BN25),0)</f>
        <v>0.34105263157894772</v>
      </c>
      <c r="BW25" s="99">
        <f ca="1">MAX(TREND(BW$5:BW$24,BN$5:BN$24,BN25),0)</f>
        <v>26.567368421052606</v>
      </c>
      <c r="BX25" s="99">
        <f ca="1">MAX(TREND(BX$5:BX$24,BN$5:BN$24,BN25),0)</f>
        <v>154.52315789473778</v>
      </c>
      <c r="BY25" s="99">
        <f ca="1">MAX(TREND(BY$5:BY$24,BN$5:BN$24,BN25),0)</f>
        <v>363.9931578947369</v>
      </c>
      <c r="BZ25" s="99">
        <f ca="1">MAX(TREND(BZ$5:BZ$24,BN$5:BN$24,BN25),0)</f>
        <v>499.7842105263162</v>
      </c>
      <c r="CB25" s="94">
        <f t="shared" si="15"/>
        <v>2022</v>
      </c>
      <c r="CC25" s="99">
        <f ca="1">MAX(TREND(CC$5:CC$24,CB$5:CB$24,CB25),0)</f>
        <v>557.82052631578927</v>
      </c>
      <c r="CD25" s="99">
        <f ca="1">MAX(TREND(CD$5:CD$24,CB$5:CB$24,CB25),0)</f>
        <v>513.95684210526292</v>
      </c>
      <c r="CE25" s="99">
        <f ca="1">MAX(TREND(CE$5:CE$24,CB$5:CB$24,CB25),0)</f>
        <v>400.06210526315817</v>
      </c>
      <c r="CF25" s="99">
        <f ca="1">MAX(TREND(CF$5:CF$24,CB$5:CB$24,CB25),0)</f>
        <v>225.72052631578936</v>
      </c>
      <c r="CG25" s="99">
        <f ca="1">MAX(TREND(CG$5:CG$24,CB$5:CB$24,CB25),0)</f>
        <v>59.688947368421054</v>
      </c>
      <c r="CH25" s="99">
        <f ca="1">MAX(TREND(CH$5:CH$24,CB$5:CB$24,CB25),0)</f>
        <v>1.08894736842106</v>
      </c>
      <c r="CI25" s="99">
        <f ca="1">MAX(TREND(CI$5:CI$24,CB$5:CB$24,CB25),0)</f>
        <v>0</v>
      </c>
      <c r="CJ25" s="99">
        <f ca="1">MAX(TREND(CJ$5:CJ$24,CB$5:CB$24,CB25),0)</f>
        <v>0</v>
      </c>
      <c r="CK25" s="99">
        <f ca="1">MAX(TREND(CK$5:CK$24,CB$5:CB$24,CB25),0)</f>
        <v>9.9542105263157907</v>
      </c>
      <c r="CL25" s="99">
        <f ca="1">MAX(TREND(CL$5:CL$24,CB$5:CB$24,CB25),0)</f>
        <v>107.70315789473716</v>
      </c>
      <c r="CM25" s="99">
        <f ca="1">MAX(TREND(CM$5:CM$24,CB$5:CB$24,CB25),0)</f>
        <v>305.31105263157906</v>
      </c>
      <c r="CN25" s="99">
        <f ca="1">MAX(TREND(CN$5:CN$24,CB$5:CB$24,CB25),0)</f>
        <v>437.78421052631529</v>
      </c>
      <c r="CP25" s="94">
        <f t="shared" si="16"/>
        <v>2022</v>
      </c>
      <c r="CQ25" s="99">
        <f ca="1">MAX(TREND(CQ$5:CQ$24,CP$5:CP$24,CP25),0)</f>
        <v>495.81315789473638</v>
      </c>
      <c r="CR25" s="99">
        <f ca="1">MAX(TREND(CR$5:CR$24,CP$5:CP$24,CP25),0)</f>
        <v>457.37789473684211</v>
      </c>
      <c r="CS25" s="99">
        <f ca="1">MAX(TREND(CS$5:CS$24,CP$5:CP$24,CP25),0)</f>
        <v>339.39631578947365</v>
      </c>
      <c r="CT25" s="99">
        <f ca="1">MAX(TREND(CT$5:CT$24,CP$5:CP$24,CP25),0)</f>
        <v>168.59578947368414</v>
      </c>
      <c r="CU25" s="99">
        <f ca="1">MAX(TREND(CU$5:CU$24,CP$5:CP$24,CP25),0)</f>
        <v>35.084736842105279</v>
      </c>
      <c r="CV25" s="99">
        <f ca="1">MAX(TREND(CV$5:CV$24,CP$5:CP$24,CP25),0)</f>
        <v>0</v>
      </c>
      <c r="CW25" s="99">
        <f ca="1">MAX(TREND(CW$5:CW$24,CP$5:CP$24,CP25),0)</f>
        <v>0</v>
      </c>
      <c r="CX25" s="99">
        <f ca="1">MAX(TREND(CX$5:CX$24,CP$5:CP$24,CP25),0)</f>
        <v>0</v>
      </c>
      <c r="CY25" s="99">
        <f ca="1">MAX(TREND(CY$5:CY$24,CP$5:CP$24,CP25),0)</f>
        <v>2.2963157894736845</v>
      </c>
      <c r="CZ25" s="99">
        <f ca="1">MAX(TREND(CZ$5:CZ$24,CP$5:CP$24,CP25),0)</f>
        <v>67.904736842105649</v>
      </c>
      <c r="DA25" s="99">
        <f ca="1">MAX(TREND(DA$5:DA$24,CP$5:CP$24,CP25),0)</f>
        <v>247.79105263157908</v>
      </c>
      <c r="DB25" s="99">
        <f ca="1">MAX(TREND(DB$5:DB$24,CP$5:CP$24,CP25),0)</f>
        <v>375.7842105263162</v>
      </c>
      <c r="DD25" s="94">
        <f t="shared" si="17"/>
        <v>2022</v>
      </c>
      <c r="DE25" s="99">
        <f ca="1">MAX(TREND(DE$5:DE$24,DD$5:DD$24,DD25),0)</f>
        <v>433.7978947368415</v>
      </c>
      <c r="DF25" s="99">
        <f ca="1">MAX(TREND(DF$5:DF$24,DD$5:DD$24,DD25),0)</f>
        <v>400.92210526315807</v>
      </c>
      <c r="DG25" s="99">
        <f ca="1">MAX(TREND(DG$5:DG$24,DD$5:DD$24,DD25),0)</f>
        <v>280.64947368421008</v>
      </c>
      <c r="DH25" s="99">
        <f ca="1">MAX(TREND(DH$5:DH$24,DD$5:DD$24,DD25),0)</f>
        <v>116.4215789473684</v>
      </c>
      <c r="DI25" s="99">
        <f ca="1">MAX(TREND(DI$5:DI$24,DD$5:DD$24,DD25),0)</f>
        <v>18.07578947368421</v>
      </c>
      <c r="DJ25" s="99">
        <f ca="1">MAX(TREND(DJ$5:DJ$24,DD$5:DD$24,DD25),0)</f>
        <v>0</v>
      </c>
      <c r="DK25" s="99">
        <f ca="1">MAX(TREND(DK$5:DK$24,DD$5:DD$24,DD25),0)</f>
        <v>0</v>
      </c>
      <c r="DL25" s="99">
        <f ca="1">MAX(TREND(DL$5:DL$24,DD$5:DD$24,DD25),0)</f>
        <v>0</v>
      </c>
      <c r="DM25" s="99">
        <f ca="1">MAX(TREND(DM$5:DM$24,DD$5:DD$24,DD25),0)</f>
        <v>0.18105263157895024</v>
      </c>
      <c r="DN25" s="99">
        <f ca="1">MAX(TREND(DN$5:DN$24,DD$5:DD$24,DD25),0)</f>
        <v>37.205263157894933</v>
      </c>
      <c r="DO25" s="99">
        <f ca="1">MAX(TREND(DO$5:DO$24,DD$5:DD$24,DD25),0)</f>
        <v>193.53736842105263</v>
      </c>
      <c r="DP25" s="99">
        <f ca="1">MAX(TREND(DP$5:DP$24,DD$5:DD$24,DD25),0)</f>
        <v>313.92473684210563</v>
      </c>
      <c r="DR25" s="94">
        <f t="shared" si="19"/>
        <v>2022</v>
      </c>
      <c r="DS25" s="99">
        <f ca="1">MAX(TREND(DS$5:DS$24,DR$5:DR$24,DR25),0)</f>
        <v>372.09210526315792</v>
      </c>
      <c r="DT25" s="99">
        <f ca="1">MAX(TREND(DT$5:DT$24,DR$5:DR$24,DR25),0)</f>
        <v>345.23000000000025</v>
      </c>
      <c r="DU25" s="99">
        <f ca="1">MAX(TREND(DU$5:DU$24,DR$5:DR$24,DR25),0)</f>
        <v>222.74894736842089</v>
      </c>
      <c r="DV25" s="99">
        <f ca="1">MAX(TREND(DV$5:DV$24,DR$5:DR$24,DR25),0)</f>
        <v>73.468947368421027</v>
      </c>
      <c r="DW25" s="99">
        <f ca="1">MAX(TREND(DW$5:DW$24,DR$5:DR$24,DR25),0)</f>
        <v>8.2768421052631425</v>
      </c>
      <c r="DX25" s="99">
        <f ca="1">MAX(TREND(DX$5:DX$24,DR$5:DR$24,DR25),0)</f>
        <v>0</v>
      </c>
      <c r="DY25" s="99">
        <f ca="1">MAX(TREND(DY$5:DY$24,DR$5:DR$24,DR25),0)</f>
        <v>0</v>
      </c>
      <c r="DZ25" s="99">
        <f ca="1">MAX(TREND(DZ$5:DZ$24,DR$5:DR$24,DR25),0)</f>
        <v>0</v>
      </c>
      <c r="EA25" s="99">
        <f ca="1">MAX(TREND(EA$5:EA$24,DR$5:DR$24,DR25),0)</f>
        <v>0</v>
      </c>
      <c r="EB25" s="99">
        <f ca="1">MAX(TREND(EB$5:EB$24,DR$5:DR$24,DR25),0)</f>
        <v>16.166315789473856</v>
      </c>
      <c r="EC25" s="99">
        <f ca="1">MAX(TREND(EC$5:EC$24,DR$5:DR$24,DR25),0)</f>
        <v>143.36315789473656</v>
      </c>
      <c r="ED25" s="99">
        <f ca="1">MAX(TREND(ED$5:ED$24,DR$5:DR$24,DR25),0)</f>
        <v>253.48684210526335</v>
      </c>
      <c r="EG25" s="86"/>
      <c r="EH25" s="86"/>
      <c r="EI25" s="86"/>
      <c r="EK25" s="86"/>
      <c r="EL25" s="86"/>
      <c r="EM25" s="82"/>
      <c r="EO25" s="82"/>
      <c r="EP25" s="85"/>
      <c r="EQ25" s="84"/>
      <c r="ER25" s="84"/>
      <c r="FB25" s="137"/>
    </row>
    <row r="26" spans="1:162" ht="15" x14ac:dyDescent="0.25">
      <c r="A26" s="81">
        <v>2004</v>
      </c>
      <c r="B26" s="88">
        <v>1</v>
      </c>
      <c r="C26" s="88">
        <v>-9.3903225806451598</v>
      </c>
      <c r="D26" s="87">
        <v>973.09999999999991</v>
      </c>
      <c r="E26" s="87">
        <v>0</v>
      </c>
      <c r="F26" s="87">
        <v>911.09999999999991</v>
      </c>
      <c r="G26" s="87">
        <v>0</v>
      </c>
      <c r="H26" s="133">
        <v>849.09999999999991</v>
      </c>
      <c r="I26" s="133">
        <v>0</v>
      </c>
      <c r="J26" s="87">
        <v>787.09999999999991</v>
      </c>
      <c r="K26" s="87">
        <v>0</v>
      </c>
      <c r="L26" s="87">
        <v>725.09999999999991</v>
      </c>
      <c r="M26" s="87">
        <v>0</v>
      </c>
      <c r="N26" s="87">
        <v>663.09999999999991</v>
      </c>
      <c r="O26" s="87">
        <v>0</v>
      </c>
      <c r="P26" s="87">
        <v>601.09999999999991</v>
      </c>
      <c r="Q26" s="87">
        <v>0</v>
      </c>
      <c r="R26" s="87">
        <v>540.19999999999993</v>
      </c>
      <c r="S26" s="87">
        <v>1.0999999999999996</v>
      </c>
      <c r="T26" s="87"/>
      <c r="U26" s="87"/>
      <c r="V26" s="87"/>
      <c r="X26" s="94">
        <f t="shared" si="10"/>
        <v>2023</v>
      </c>
      <c r="Y26" s="99">
        <f ca="1">MAX(TREND(Y$5:Y$24,X$5:X$24,X26),0)</f>
        <v>803.95248120300721</v>
      </c>
      <c r="Z26" s="99">
        <f ca="1">MAX(TREND(Z$5:Z$24,X$5:X$24,X26),0)</f>
        <v>739.71097744360918</v>
      </c>
      <c r="AA26" s="99">
        <f ca="1">MAX(TREND(AA$5:AA$24,X$5:X$24,X26),0)</f>
        <v>645.95466165413518</v>
      </c>
      <c r="AB26" s="99">
        <f ca="1">MAX(TREND(AB$5:AB$24,X$5:X$24,X26),0)</f>
        <v>468.55142857142891</v>
      </c>
      <c r="AC26" s="99">
        <f ca="1">MAX(TREND(AC$5:AC$24,X$5:X$24,X26),0)</f>
        <v>231.19669172932299</v>
      </c>
      <c r="AD26" s="99">
        <f ca="1">MAX(TREND(AD$5:AD$24,X$5:X$24,X26),0)</f>
        <v>79.967518796992863</v>
      </c>
      <c r="AE26" s="99">
        <f ca="1">MAX(TREND(AE$5:AE$24,X$5:X$24,X26),0)</f>
        <v>24.315037593984925</v>
      </c>
      <c r="AF26" s="99">
        <f ca="1">MAX(TREND(AF$5:AF$24,X$5:X$24,X26),0)</f>
        <v>31.985338345864648</v>
      </c>
      <c r="AG26" s="99">
        <f ca="1">MAX(TREND(AG$5:AG$24,X$5:X$24,X26),0)</f>
        <v>141.13661654135336</v>
      </c>
      <c r="AH26" s="99">
        <f ca="1">MAX(TREND(AH$5:AH$24,X$5:X$24,X26),0)</f>
        <v>327.45887218045118</v>
      </c>
      <c r="AI26" s="99">
        <f ca="1">MAX(TREND(AI$5:AI$24,X$5:X$24,X26),0)</f>
        <v>544.93375939849648</v>
      </c>
      <c r="AJ26" s="99">
        <f ca="1">MAX(TREND(AJ$5:AJ$24,X$5:X$24,X26),0)</f>
        <v>682.76127819548856</v>
      </c>
      <c r="AL26" s="94">
        <f t="shared" si="12"/>
        <v>2023</v>
      </c>
      <c r="AM26" s="99">
        <f ca="1">MAX(TREND(AM$5:AM$24,AL$5:AL$24,AL26),0)</f>
        <v>741.95248120300676</v>
      </c>
      <c r="AN26" s="99">
        <f ca="1">MAX(TREND(AN$5:AN$24,AL$5:AL$24,AL26),0)</f>
        <v>683.12451127819554</v>
      </c>
      <c r="AO26" s="99">
        <f ca="1">MAX(TREND(AO$5:AO$24,AL$5:AL$24,AL26),0)</f>
        <v>583.95466165413563</v>
      </c>
      <c r="AP26" s="99">
        <f ca="1">MAX(TREND(AP$5:AP$24,AL$5:AL$24,AL26),0)</f>
        <v>408.27263157894731</v>
      </c>
      <c r="AQ26" s="99">
        <f ca="1">MAX(TREND(AQ$5:AQ$24,AL$5:AL$24,AL26),0)</f>
        <v>178.82150375939818</v>
      </c>
      <c r="AR26" s="99">
        <f ca="1">MAX(TREND(AR$5:AR$24,AL$5:AL$24,AL26),0)</f>
        <v>41.98300751879674</v>
      </c>
      <c r="AS26" s="99">
        <f ca="1">MAX(TREND(AS$5:AS$24,AL$5:AL$24,AL26),0)</f>
        <v>7.1020300751878835</v>
      </c>
      <c r="AT26" s="99">
        <f ca="1">MAX(TREND(AT$5:AT$24,AL$5:AL$24,AL26),0)</f>
        <v>10.368195488721994</v>
      </c>
      <c r="AU26" s="99">
        <f ca="1">MAX(TREND(AU$5:AU$24,AL$5:AL$24,AL26),0)</f>
        <v>94.55488721804511</v>
      </c>
      <c r="AV26" s="99">
        <f ca="1">MAX(TREND(AV$5:AV$24,AL$5:AL$24,AL26),0)</f>
        <v>266.29345864661627</v>
      </c>
      <c r="AW26" s="99">
        <f ca="1">MAX(TREND(AW$5:AW$24,AL$5:AL$24,AL26),0)</f>
        <v>484.93375939849625</v>
      </c>
      <c r="AX26" s="99">
        <f ca="1">MAX(TREND(AX$5:AX$24,AL$5:AL$24,AL26),0)</f>
        <v>620.76127819548856</v>
      </c>
      <c r="AY26" s="93"/>
      <c r="AZ26" s="94">
        <f t="shared" si="13"/>
        <v>2023</v>
      </c>
      <c r="BA26" s="99">
        <f ca="1">MAX(TREND(BA$5:BA$24,AZ$5:AZ$24,AZ26),0)</f>
        <v>679.95248120300721</v>
      </c>
      <c r="BB26" s="99">
        <f ca="1">MAX(TREND(BB$5:BB$24,AZ$5:AZ$24,AZ26),0)</f>
        <v>626.53804511278213</v>
      </c>
      <c r="BC26" s="99">
        <f ca="1">MAX(TREND(BC$5:BC$24,AZ$5:AZ$24,AZ26),0)</f>
        <v>521.96639097744355</v>
      </c>
      <c r="BD26" s="99">
        <f ca="1">MAX(TREND(BD$5:BD$24,AZ$5:AZ$24,AZ26),0)</f>
        <v>347.42390977443574</v>
      </c>
      <c r="BE26" s="99">
        <f ca="1">MAX(TREND(BE$5:BE$24,AZ$5:AZ$24,AZ26),0)</f>
        <v>131.66406015037592</v>
      </c>
      <c r="BF26" s="99">
        <f ca="1">MAX(TREND(BF$5:BF$24,AZ$5:AZ$24,AZ26),0)</f>
        <v>18.495112781954958</v>
      </c>
      <c r="BG26" s="99">
        <f ca="1">MAX(TREND(BG$5:BG$24,AZ$5:AZ$24,AZ26),0)</f>
        <v>1.5360150375939838</v>
      </c>
      <c r="BH26" s="99">
        <f ca="1">MAX(TREND(BH$5:BH$24,AZ$5:AZ$24,AZ26),0)</f>
        <v>2.3552631578947398</v>
      </c>
      <c r="BI26" s="99">
        <f ca="1">MAX(TREND(BI$5:BI$24,AZ$5:AZ$24,AZ26),0)</f>
        <v>55.222857142857151</v>
      </c>
      <c r="BJ26" s="99">
        <f ca="1">MAX(TREND(BJ$5:BJ$24,AZ$5:AZ$24,AZ26),0)</f>
        <v>206.54533834586437</v>
      </c>
      <c r="BK26" s="99">
        <f ca="1">MAX(TREND(BK$5:BK$24,AZ$5:AZ$24,AZ26),0)</f>
        <v>424.93375939849625</v>
      </c>
      <c r="BL26" s="99">
        <f ca="1">MAX(TREND(BL$5:BL$24,AZ$5:AZ$24,AZ26),0)</f>
        <v>558.76127819548765</v>
      </c>
      <c r="BM26" s="93">
        <f t="shared" ca="1" si="4"/>
        <v>3575.3945112781939</v>
      </c>
      <c r="BN26" s="94">
        <f t="shared" si="14"/>
        <v>2023</v>
      </c>
      <c r="BO26" s="99">
        <f ca="1">MAX(TREND(BO$5:BO$24,BN$5:BN$24,BN26),0)</f>
        <v>617.95248120300766</v>
      </c>
      <c r="BP26" s="99">
        <f ca="1">MAX(TREND(BP$5:BP$24,BN$5:BN$24,BN26),0)</f>
        <v>569.95157894736826</v>
      </c>
      <c r="BQ26" s="99">
        <f ca="1">MAX(TREND(BQ$5:BQ$24,BN$5:BN$24,BN26),0)</f>
        <v>460.13060150375986</v>
      </c>
      <c r="BR26" s="99">
        <f ca="1">MAX(TREND(BR$5:BR$24,BN$5:BN$24,BN26),0)</f>
        <v>286.53165413533861</v>
      </c>
      <c r="BS26" s="99">
        <f ca="1">MAX(TREND(BS$5:BS$24,BN$5:BN$24,BN26),0)</f>
        <v>91.11721804511285</v>
      </c>
      <c r="BT26" s="99">
        <f ca="1">MAX(TREND(BT$5:BT$24,BN$5:BN$24,BN26),0)</f>
        <v>6.265338345864734</v>
      </c>
      <c r="BU26" s="99">
        <f ca="1">MAX(TREND(BU$5:BU$24,BN$5:BN$24,BN26),0)</f>
        <v>0</v>
      </c>
      <c r="BV26" s="99">
        <f ca="1">MAX(TREND(BV$5:BV$24,BN$5:BN$24,BN26),0)</f>
        <v>0.34210526315789513</v>
      </c>
      <c r="BW26" s="99">
        <f ca="1">MAX(TREND(BW$5:BW$24,BN$5:BN$24,BN26),0)</f>
        <v>26.689022556390967</v>
      </c>
      <c r="BX26" s="99">
        <f ca="1">MAX(TREND(BX$5:BX$24,BN$5:BN$24,BN26),0)</f>
        <v>152.11488721804562</v>
      </c>
      <c r="BY26" s="99">
        <f ca="1">MAX(TREND(BY$5:BY$24,BN$5:BN$24,BN26),0)</f>
        <v>364.95345864661681</v>
      </c>
      <c r="BZ26" s="99">
        <f ca="1">MAX(TREND(BZ$5:BZ$24,BN$5:BN$24,BN26),0)</f>
        <v>496.76127819548856</v>
      </c>
      <c r="CB26" s="94">
        <f t="shared" si="15"/>
        <v>2023</v>
      </c>
      <c r="CC26" s="99">
        <f ca="1">MAX(TREND(CC$5:CC$24,CB$5:CB$24,CB26),0)</f>
        <v>555.95248120300721</v>
      </c>
      <c r="CD26" s="99">
        <f ca="1">MAX(TREND(CD$5:CD$24,CB$5:CB$24,CB26),0)</f>
        <v>513.36511278195462</v>
      </c>
      <c r="CE26" s="99">
        <f ca="1">MAX(TREND(CE$5:CE$24,CB$5:CB$24,CB26),0)</f>
        <v>398.7127819548873</v>
      </c>
      <c r="CF26" s="99">
        <f ca="1">MAX(TREND(CF$5:CF$24,CB$5:CB$24,CB26),0)</f>
        <v>226.94819548872192</v>
      </c>
      <c r="CG26" s="99">
        <f ca="1">MAX(TREND(CG$5:CG$24,CB$5:CB$24,CB26),0)</f>
        <v>59.265037593984971</v>
      </c>
      <c r="CH26" s="99">
        <f ca="1">MAX(TREND(CH$5:CH$24,CB$5:CB$24,CB26),0)</f>
        <v>0.98789473684209383</v>
      </c>
      <c r="CI26" s="99">
        <f ca="1">MAX(TREND(CI$5:CI$24,CB$5:CB$24,CB26),0)</f>
        <v>0</v>
      </c>
      <c r="CJ26" s="99">
        <f ca="1">MAX(TREND(CJ$5:CJ$24,CB$5:CB$24,CB26),0)</f>
        <v>0</v>
      </c>
      <c r="CK26" s="99">
        <f ca="1">MAX(TREND(CK$5:CK$24,CB$5:CB$24,CB26),0)</f>
        <v>9.991278195488718</v>
      </c>
      <c r="CL26" s="99">
        <f ca="1">MAX(TREND(CL$5:CL$24,CB$5:CB$24,CB26),0)</f>
        <v>105.69917293233129</v>
      </c>
      <c r="CM26" s="99">
        <f ca="1">MAX(TREND(CM$5:CM$24,CB$5:CB$24,CB26),0)</f>
        <v>306.35210526315814</v>
      </c>
      <c r="CN26" s="99">
        <f ca="1">MAX(TREND(CN$5:CN$24,CB$5:CB$24,CB26),0)</f>
        <v>434.76127819548765</v>
      </c>
      <c r="CP26" s="94">
        <f t="shared" si="16"/>
        <v>2023</v>
      </c>
      <c r="CQ26" s="99">
        <f ca="1">MAX(TREND(CQ$5:CQ$24,CP$5:CP$24,CP26),0)</f>
        <v>493.93774436090189</v>
      </c>
      <c r="CR26" s="99">
        <f ca="1">MAX(TREND(CR$5:CR$24,CP$5:CP$24,CP26),0)</f>
        <v>456.77864661654121</v>
      </c>
      <c r="CS26" s="99">
        <f ca="1">MAX(TREND(CS$5:CS$24,CP$5:CP$24,CP26),0)</f>
        <v>338.086917293233</v>
      </c>
      <c r="CT26" s="99">
        <f ca="1">MAX(TREND(CT$5:CT$24,CP$5:CP$24,CP26),0)</f>
        <v>169.45729323308274</v>
      </c>
      <c r="CU26" s="99">
        <f ca="1">MAX(TREND(CU$5:CU$24,CP$5:CP$24,CP26),0)</f>
        <v>35.068045112781967</v>
      </c>
      <c r="CV26" s="99">
        <f ca="1">MAX(TREND(CV$5:CV$24,CP$5:CP$24,CP26),0)</f>
        <v>0</v>
      </c>
      <c r="CW26" s="99">
        <f ca="1">MAX(TREND(CW$5:CW$24,CP$5:CP$24,CP26),0)</f>
        <v>0</v>
      </c>
      <c r="CX26" s="99">
        <f ca="1">MAX(TREND(CX$5:CX$24,CP$5:CP$24,CP26),0)</f>
        <v>0</v>
      </c>
      <c r="CY26" s="99">
        <f ca="1">MAX(TREND(CY$5:CY$24,CP$5:CP$24,CP26),0)</f>
        <v>2.2840601503759395</v>
      </c>
      <c r="CZ26" s="99">
        <f ca="1">MAX(TREND(CZ$5:CZ$24,CP$5:CP$24,CP26),0)</f>
        <v>66.373759398496532</v>
      </c>
      <c r="DA26" s="99">
        <f ca="1">MAX(TREND(DA$5:DA$24,CP$5:CP$24,CP26),0)</f>
        <v>248.92781954887187</v>
      </c>
      <c r="DB26" s="99">
        <f ca="1">MAX(TREND(DB$5:DB$24,CP$5:CP$24,CP26),0)</f>
        <v>372.76127819548856</v>
      </c>
      <c r="DD26" s="94">
        <f t="shared" si="17"/>
        <v>2023</v>
      </c>
      <c r="DE26" s="99">
        <f ca="1">MAX(TREND(DE$5:DE$24,DD$5:DD$24,DD26),0)</f>
        <v>431.90721804511259</v>
      </c>
      <c r="DF26" s="99">
        <f ca="1">MAX(TREND(DF$5:DF$24,DD$5:DD$24,DD26),0)</f>
        <v>400.32278195488743</v>
      </c>
      <c r="DG26" s="99">
        <f ca="1">MAX(TREND(DG$5:DG$24,DD$5:DD$24,DD26),0)</f>
        <v>279.42180451127797</v>
      </c>
      <c r="DH26" s="99">
        <f ca="1">MAX(TREND(DH$5:DH$24,DD$5:DD$24,DD26),0)</f>
        <v>116.88744360902251</v>
      </c>
      <c r="DI26" s="99">
        <f ca="1">MAX(TREND(DI$5:DI$24,DD$5:DD$24,DD26),0)</f>
        <v>18.215864661654166</v>
      </c>
      <c r="DJ26" s="99">
        <f ca="1">MAX(TREND(DJ$5:DJ$24,DD$5:DD$24,DD26),0)</f>
        <v>0</v>
      </c>
      <c r="DK26" s="99">
        <f ca="1">MAX(TREND(DK$5:DK$24,DD$5:DD$24,DD26),0)</f>
        <v>0</v>
      </c>
      <c r="DL26" s="99">
        <f ca="1">MAX(TREND(DL$5:DL$24,DD$5:DD$24,DD26),0)</f>
        <v>0</v>
      </c>
      <c r="DM26" s="99">
        <f ca="1">MAX(TREND(DM$5:DM$24,DD$5:DD$24,DD26),0)</f>
        <v>0.16639097744361209</v>
      </c>
      <c r="DN26" s="99">
        <f ca="1">MAX(TREND(DN$5:DN$24,DD$5:DD$24,DD26),0)</f>
        <v>36.129097744360934</v>
      </c>
      <c r="DO26" s="99">
        <f ca="1">MAX(TREND(DO$5:DO$24,DD$5:DD$24,DD26),0)</f>
        <v>194.78330827067657</v>
      </c>
      <c r="DP26" s="99">
        <f ca="1">MAX(TREND(DP$5:DP$24,DD$5:DD$24,DD26),0)</f>
        <v>310.90947368421075</v>
      </c>
      <c r="DR26" s="94">
        <f t="shared" si="19"/>
        <v>2023</v>
      </c>
      <c r="DS26" s="99">
        <f ca="1">MAX(TREND(DS$5:DS$24,DR$5:DR$24,DR26),0)</f>
        <v>370.16563909774413</v>
      </c>
      <c r="DT26" s="99">
        <f ca="1">MAX(TREND(DT$5:DT$24,DR$5:DR$24,DR26),0)</f>
        <v>344.6700000000003</v>
      </c>
      <c r="DU26" s="99">
        <f ca="1">MAX(TREND(DU$5:DU$24,DR$5:DR$24,DR26),0)</f>
        <v>221.50932330827072</v>
      </c>
      <c r="DV26" s="99">
        <f ca="1">MAX(TREND(DV$5:DV$24,DR$5:DR$24,DR26),0)</f>
        <v>73.710751879699217</v>
      </c>
      <c r="DW26" s="99">
        <f ca="1">MAX(TREND(DW$5:DW$24,DR$5:DR$24,DR26),0)</f>
        <v>8.4793984962406057</v>
      </c>
      <c r="DX26" s="99">
        <f ca="1">MAX(TREND(DX$5:DX$24,DR$5:DR$24,DR26),0)</f>
        <v>0</v>
      </c>
      <c r="DY26" s="99">
        <f ca="1">MAX(TREND(DY$5:DY$24,DR$5:DR$24,DR26),0)</f>
        <v>0</v>
      </c>
      <c r="DZ26" s="99">
        <f ca="1">MAX(TREND(DZ$5:DZ$24,DR$5:DR$24,DR26),0)</f>
        <v>0</v>
      </c>
      <c r="EA26" s="99">
        <f ca="1">MAX(TREND(EA$5:EA$24,DR$5:DR$24,DR26),0)</f>
        <v>0</v>
      </c>
      <c r="EB26" s="99">
        <f ca="1">MAX(TREND(EB$5:EB$24,DR$5:DR$24,DR26),0)</f>
        <v>15.464060150376099</v>
      </c>
      <c r="EC26" s="99">
        <f ca="1">MAX(TREND(EC$5:EC$24,DR$5:DR$24,DR26),0)</f>
        <v>144.64774436090192</v>
      </c>
      <c r="ED26" s="99">
        <f ca="1">MAX(TREND(ED$5:ED$24,DR$5:DR$24,DR26),0)</f>
        <v>250.55654135338318</v>
      </c>
      <c r="EG26" s="86"/>
      <c r="EH26" s="86"/>
      <c r="EI26" s="86"/>
      <c r="EK26" s="86"/>
      <c r="EL26" s="86"/>
      <c r="EM26" s="82"/>
      <c r="EO26" s="82"/>
      <c r="EP26" s="85"/>
      <c r="EQ26" s="84"/>
      <c r="ER26" s="84"/>
      <c r="FA26" s="261" t="s">
        <v>151</v>
      </c>
      <c r="FB26" s="262"/>
      <c r="FC26" s="262"/>
      <c r="FD26" s="262"/>
      <c r="FE26" s="263"/>
      <c r="FF26" s="264"/>
    </row>
    <row r="27" spans="1:162" x14ac:dyDescent="0.2">
      <c r="A27" s="81">
        <v>2004</v>
      </c>
      <c r="B27" s="88">
        <v>2</v>
      </c>
      <c r="C27" s="88">
        <v>-3.7827586206896551</v>
      </c>
      <c r="D27" s="87">
        <v>747.7</v>
      </c>
      <c r="E27" s="87">
        <v>0</v>
      </c>
      <c r="F27" s="87">
        <v>689.7</v>
      </c>
      <c r="G27" s="87">
        <v>0</v>
      </c>
      <c r="H27" s="133">
        <v>631.70000000000005</v>
      </c>
      <c r="I27" s="133">
        <v>0</v>
      </c>
      <c r="J27" s="87">
        <v>573.69999999999993</v>
      </c>
      <c r="K27" s="87">
        <v>0</v>
      </c>
      <c r="L27" s="87">
        <v>515.70000000000005</v>
      </c>
      <c r="M27" s="87">
        <v>0</v>
      </c>
      <c r="N27" s="87">
        <v>457.69999999999993</v>
      </c>
      <c r="O27" s="87">
        <v>0</v>
      </c>
      <c r="P27" s="87">
        <v>399.69999999999993</v>
      </c>
      <c r="Q27" s="87">
        <v>0</v>
      </c>
      <c r="R27" s="87">
        <v>341.7</v>
      </c>
      <c r="S27" s="87">
        <v>0</v>
      </c>
      <c r="T27" s="87"/>
      <c r="U27" s="87"/>
      <c r="V27" s="87"/>
      <c r="AL27" s="82"/>
      <c r="AM27" s="82"/>
      <c r="AY27" s="93"/>
      <c r="AZ27" s="82"/>
      <c r="BA27" s="82"/>
      <c r="BM27" s="93"/>
      <c r="BN27" s="82"/>
      <c r="BO27" s="82"/>
      <c r="CB27" s="82"/>
      <c r="CC27" s="82"/>
      <c r="CP27" s="82"/>
      <c r="CQ27" s="82"/>
      <c r="DD27" s="82"/>
      <c r="DE27" s="82"/>
      <c r="DR27" s="82"/>
      <c r="DS27" s="82"/>
      <c r="EG27" s="86"/>
      <c r="EH27" s="86"/>
      <c r="EI27" s="86"/>
      <c r="EK27" s="86"/>
      <c r="EL27" s="86"/>
      <c r="EM27" s="82"/>
      <c r="EO27" s="82"/>
      <c r="EP27" s="85"/>
      <c r="EQ27" s="84"/>
      <c r="ER27" s="84"/>
      <c r="FA27" s="265" t="s">
        <v>152</v>
      </c>
      <c r="FB27" s="266"/>
      <c r="FC27" s="266"/>
      <c r="FD27" s="266"/>
      <c r="FE27" s="267"/>
      <c r="FF27" s="268"/>
    </row>
    <row r="28" spans="1:162" x14ac:dyDescent="0.2">
      <c r="A28" s="81">
        <v>2004</v>
      </c>
      <c r="B28" s="88">
        <v>3</v>
      </c>
      <c r="C28" s="88">
        <v>2.2806451612903227</v>
      </c>
      <c r="D28" s="87">
        <v>611.29999999999995</v>
      </c>
      <c r="E28" s="87">
        <v>0</v>
      </c>
      <c r="F28" s="87">
        <v>549.29999999999984</v>
      </c>
      <c r="G28" s="87">
        <v>0</v>
      </c>
      <c r="H28" s="133">
        <v>487.29999999999995</v>
      </c>
      <c r="I28" s="133">
        <v>0</v>
      </c>
      <c r="J28" s="87">
        <v>425.29999999999995</v>
      </c>
      <c r="K28" s="87">
        <v>0</v>
      </c>
      <c r="L28" s="87">
        <v>363.29999999999995</v>
      </c>
      <c r="M28" s="87">
        <v>0</v>
      </c>
      <c r="N28" s="87">
        <v>302.39999999999998</v>
      </c>
      <c r="O28" s="87">
        <v>1.0999999999999996</v>
      </c>
      <c r="P28" s="87">
        <v>245.00000000000003</v>
      </c>
      <c r="Q28" s="87">
        <v>5.7000000000000011</v>
      </c>
      <c r="R28" s="87">
        <v>189</v>
      </c>
      <c r="S28" s="87">
        <v>11.700000000000001</v>
      </c>
      <c r="T28" s="87"/>
      <c r="U28" s="87"/>
      <c r="V28" s="87"/>
      <c r="X28" s="92" t="s">
        <v>153</v>
      </c>
      <c r="Y28" s="87">
        <f t="shared" ref="Y28:AJ28" ca="1" si="27">AVERAGE(Y15:Y24)</f>
        <v>811.49999999999989</v>
      </c>
      <c r="Z28" s="87">
        <f t="shared" ca="1" si="27"/>
        <v>743.01</v>
      </c>
      <c r="AA28" s="87">
        <f t="shared" ca="1" si="27"/>
        <v>656.74999999999989</v>
      </c>
      <c r="AB28" s="87">
        <f t="shared" ca="1" si="27"/>
        <v>465.19000000000005</v>
      </c>
      <c r="AC28" s="87">
        <f t="shared" ca="1" si="27"/>
        <v>241.42999999999998</v>
      </c>
      <c r="AD28" s="87">
        <f t="shared" ca="1" si="27"/>
        <v>88.86999999999999</v>
      </c>
      <c r="AE28" s="87">
        <f t="shared" ca="1" si="27"/>
        <v>27.689999999999998</v>
      </c>
      <c r="AF28" s="87">
        <f t="shared" ca="1" si="27"/>
        <v>39.200000000000003</v>
      </c>
      <c r="AG28" s="87">
        <f t="shared" ca="1" si="27"/>
        <v>137.72999999999999</v>
      </c>
      <c r="AH28" s="87">
        <f t="shared" ca="1" si="27"/>
        <v>343.83</v>
      </c>
      <c r="AI28" s="87">
        <f t="shared" ca="1" si="27"/>
        <v>546.24</v>
      </c>
      <c r="AJ28" s="87">
        <f t="shared" ca="1" si="27"/>
        <v>699.36</v>
      </c>
      <c r="AL28" s="92" t="s">
        <v>153</v>
      </c>
      <c r="AM28" s="87">
        <f t="shared" ref="AM28:AX28" ca="1" si="28">AVERAGE(AM15:AM24)</f>
        <v>749.5</v>
      </c>
      <c r="AN28" s="87">
        <f t="shared" ca="1" si="28"/>
        <v>686.41</v>
      </c>
      <c r="AO28" s="87">
        <f t="shared" ca="1" si="28"/>
        <v>594.75</v>
      </c>
      <c r="AP28" s="87">
        <f t="shared" ca="1" si="28"/>
        <v>405.19000000000005</v>
      </c>
      <c r="AQ28" s="87">
        <f t="shared" ca="1" si="28"/>
        <v>186.87000000000003</v>
      </c>
      <c r="AR28" s="87">
        <f t="shared" ca="1" si="28"/>
        <v>49.81</v>
      </c>
      <c r="AS28" s="87">
        <f t="shared" ca="1" si="28"/>
        <v>8.61</v>
      </c>
      <c r="AT28" s="87">
        <f t="shared" ca="1" si="28"/>
        <v>14.38</v>
      </c>
      <c r="AU28" s="87">
        <f t="shared" ca="1" si="28"/>
        <v>91.960000000000008</v>
      </c>
      <c r="AV28" s="87">
        <f t="shared" ca="1" si="28"/>
        <v>282.64</v>
      </c>
      <c r="AW28" s="87">
        <f t="shared" ca="1" si="28"/>
        <v>486.24000000000007</v>
      </c>
      <c r="AX28" s="87">
        <f t="shared" ca="1" si="28"/>
        <v>637.36</v>
      </c>
      <c r="AY28" s="93"/>
      <c r="AZ28" s="92" t="s">
        <v>153</v>
      </c>
      <c r="BA28" s="87">
        <f ca="1">AVERAGE(BA15:BA24)</f>
        <v>687.5</v>
      </c>
      <c r="BB28" s="87">
        <f t="shared" ref="BB28:BK28" ca="1" si="29">AVERAGE(BB15:BB24)</f>
        <v>629.80999999999995</v>
      </c>
      <c r="BC28" s="87">
        <f t="shared" ca="1" si="29"/>
        <v>532.77</v>
      </c>
      <c r="BD28" s="87">
        <f t="shared" ca="1" si="29"/>
        <v>345.19</v>
      </c>
      <c r="BE28" s="87">
        <f t="shared" ca="1" si="29"/>
        <v>137.13</v>
      </c>
      <c r="BF28" s="87">
        <f t="shared" ca="1" si="29"/>
        <v>23.610000000000003</v>
      </c>
      <c r="BG28" s="87">
        <f t="shared" ca="1" si="29"/>
        <v>1.3699999999999999</v>
      </c>
      <c r="BH28" s="87">
        <f t="shared" ca="1" si="29"/>
        <v>3.410000000000001</v>
      </c>
      <c r="BI28" s="87">
        <f t="shared" ca="1" si="29"/>
        <v>54.05</v>
      </c>
      <c r="BJ28" s="87">
        <f t="shared" ca="1" si="29"/>
        <v>222.99</v>
      </c>
      <c r="BK28" s="87">
        <f t="shared" ca="1" si="29"/>
        <v>426.24000000000007</v>
      </c>
      <c r="BL28" s="87">
        <f ca="1">AVERAGE(BL15:BL24)</f>
        <v>575.3599999999999</v>
      </c>
      <c r="BM28" s="93">
        <f ca="1">SUM(BA28:BL28)</f>
        <v>3639.4300000000003</v>
      </c>
      <c r="BN28" s="92" t="s">
        <v>153</v>
      </c>
      <c r="BO28" s="87">
        <f t="shared" ref="BO28:BZ28" ca="1" si="30">AVERAGE(BO15:BO24)</f>
        <v>625.5</v>
      </c>
      <c r="BP28" s="87">
        <f t="shared" ca="1" si="30"/>
        <v>573.20999999999992</v>
      </c>
      <c r="BQ28" s="87">
        <f t="shared" ca="1" si="30"/>
        <v>471.05</v>
      </c>
      <c r="BR28" s="87">
        <f t="shared" ca="1" si="30"/>
        <v>285.58000000000004</v>
      </c>
      <c r="BS28" s="87">
        <f t="shared" ca="1" si="30"/>
        <v>93.759999999999991</v>
      </c>
      <c r="BT28" s="87">
        <f t="shared" ca="1" si="30"/>
        <v>8.7399999999999984</v>
      </c>
      <c r="BU28" s="87">
        <f t="shared" ca="1" si="30"/>
        <v>0</v>
      </c>
      <c r="BV28" s="87">
        <f t="shared" ca="1" si="30"/>
        <v>0.29000000000000004</v>
      </c>
      <c r="BW28" s="87">
        <f t="shared" ca="1" si="30"/>
        <v>27</v>
      </c>
      <c r="BX28" s="87">
        <f t="shared" ca="1" si="30"/>
        <v>167.57</v>
      </c>
      <c r="BY28" s="87">
        <f t="shared" ca="1" si="30"/>
        <v>366.25</v>
      </c>
      <c r="BZ28" s="87">
        <f t="shared" ca="1" si="30"/>
        <v>513.3599999999999</v>
      </c>
      <c r="CB28" s="92" t="s">
        <v>153</v>
      </c>
      <c r="CC28" s="87">
        <f t="shared" ref="CC28:CN28" ca="1" si="31">AVERAGE(CC15:CC24)</f>
        <v>563.5</v>
      </c>
      <c r="CD28" s="87">
        <f t="shared" ca="1" si="31"/>
        <v>516.6099999999999</v>
      </c>
      <c r="CE28" s="87">
        <f t="shared" ca="1" si="31"/>
        <v>409.90999999999997</v>
      </c>
      <c r="CF28" s="87">
        <f t="shared" ca="1" si="31"/>
        <v>227.5</v>
      </c>
      <c r="CG28" s="87">
        <f t="shared" ca="1" si="31"/>
        <v>59.269999999999982</v>
      </c>
      <c r="CH28" s="87">
        <f t="shared" ca="1" si="31"/>
        <v>1.85</v>
      </c>
      <c r="CI28" s="87">
        <f t="shared" ca="1" si="31"/>
        <v>0</v>
      </c>
      <c r="CJ28" s="87">
        <f t="shared" ca="1" si="31"/>
        <v>0</v>
      </c>
      <c r="CK28" s="87">
        <f t="shared" ca="1" si="31"/>
        <v>10.66</v>
      </c>
      <c r="CL28" s="87">
        <f t="shared" ca="1" si="31"/>
        <v>118.80999999999999</v>
      </c>
      <c r="CM28" s="87">
        <f t="shared" ca="1" si="31"/>
        <v>307.13</v>
      </c>
      <c r="CN28" s="87">
        <f t="shared" ca="1" si="31"/>
        <v>451.35999999999996</v>
      </c>
      <c r="CP28" s="92" t="s">
        <v>153</v>
      </c>
      <c r="CQ28" s="87">
        <f t="shared" ref="CQ28:DB28" ca="1" si="32">AVERAGE(CQ15:CQ24)</f>
        <v>501.5</v>
      </c>
      <c r="CR28" s="87">
        <f t="shared" ca="1" si="32"/>
        <v>460.00999999999993</v>
      </c>
      <c r="CS28" s="87">
        <f t="shared" ca="1" si="32"/>
        <v>349.56000000000006</v>
      </c>
      <c r="CT28" s="87">
        <f t="shared" ca="1" si="32"/>
        <v>171.77</v>
      </c>
      <c r="CU28" s="87">
        <f t="shared" ca="1" si="32"/>
        <v>33.660000000000004</v>
      </c>
      <c r="CV28" s="87">
        <f t="shared" ca="1" si="32"/>
        <v>0.20999999999999996</v>
      </c>
      <c r="CW28" s="87">
        <f t="shared" ca="1" si="32"/>
        <v>0</v>
      </c>
      <c r="CX28" s="87">
        <f t="shared" ca="1" si="32"/>
        <v>0</v>
      </c>
      <c r="CY28" s="87">
        <f t="shared" ca="1" si="32"/>
        <v>2.9</v>
      </c>
      <c r="CZ28" s="87">
        <f t="shared" ca="1" si="32"/>
        <v>76.960000000000008</v>
      </c>
      <c r="DA28" s="87">
        <f t="shared" ca="1" si="32"/>
        <v>248.98000000000002</v>
      </c>
      <c r="DB28" s="87">
        <f t="shared" ca="1" si="32"/>
        <v>389.36</v>
      </c>
      <c r="DD28" s="92" t="s">
        <v>153</v>
      </c>
      <c r="DE28" s="87">
        <f t="shared" ref="DE28:DP28" ca="1" si="33">AVERAGE(DE15:DE24)</f>
        <v>439.5</v>
      </c>
      <c r="DF28" s="87">
        <f t="shared" ca="1" si="33"/>
        <v>403.5</v>
      </c>
      <c r="DG28" s="87">
        <f t="shared" ca="1" si="33"/>
        <v>291.06</v>
      </c>
      <c r="DH28" s="87">
        <f t="shared" ca="1" si="33"/>
        <v>120.71999999999998</v>
      </c>
      <c r="DI28" s="87">
        <f t="shared" ca="1" si="33"/>
        <v>16.330000000000002</v>
      </c>
      <c r="DJ28" s="87">
        <f t="shared" ca="1" si="33"/>
        <v>0</v>
      </c>
      <c r="DK28" s="87">
        <f t="shared" ca="1" si="33"/>
        <v>0</v>
      </c>
      <c r="DL28" s="87">
        <f t="shared" ca="1" si="33"/>
        <v>0</v>
      </c>
      <c r="DM28" s="87">
        <f t="shared" ca="1" si="33"/>
        <v>0.24999999999999983</v>
      </c>
      <c r="DN28" s="87">
        <f t="shared" ca="1" si="33"/>
        <v>44.309999999999995</v>
      </c>
      <c r="DO28" s="87">
        <f t="shared" ca="1" si="33"/>
        <v>193.95999999999998</v>
      </c>
      <c r="DP28" s="87">
        <f t="shared" ca="1" si="33"/>
        <v>327.48000000000008</v>
      </c>
      <c r="DR28" s="92" t="s">
        <v>153</v>
      </c>
      <c r="DS28" s="87">
        <f t="shared" ref="DS28:ED28" ca="1" si="34">AVERAGE(DS15:DS24)</f>
        <v>378.08000000000004</v>
      </c>
      <c r="DT28" s="87">
        <f t="shared" ca="1" si="34"/>
        <v>347.5800000000001</v>
      </c>
      <c r="DU28" s="87">
        <f t="shared" ca="1" si="34"/>
        <v>234</v>
      </c>
      <c r="DV28" s="87">
        <f t="shared" ca="1" si="34"/>
        <v>77.349999999999994</v>
      </c>
      <c r="DW28" s="87">
        <f t="shared" ca="1" si="34"/>
        <v>6.74</v>
      </c>
      <c r="DX28" s="87">
        <f t="shared" ca="1" si="34"/>
        <v>0</v>
      </c>
      <c r="DY28" s="87">
        <f t="shared" ca="1" si="34"/>
        <v>0</v>
      </c>
      <c r="DZ28" s="87">
        <f t="shared" ca="1" si="34"/>
        <v>0</v>
      </c>
      <c r="EA28" s="87">
        <f t="shared" ca="1" si="34"/>
        <v>0</v>
      </c>
      <c r="EB28" s="87">
        <f t="shared" ca="1" si="34"/>
        <v>20.779999999999998</v>
      </c>
      <c r="EC28" s="87">
        <f t="shared" ca="1" si="34"/>
        <v>143.16</v>
      </c>
      <c r="ED28" s="87">
        <f t="shared" ca="1" si="34"/>
        <v>266.75</v>
      </c>
      <c r="EG28" s="86"/>
      <c r="EH28" s="86"/>
      <c r="EI28" s="86"/>
      <c r="EK28" s="86"/>
      <c r="EL28" s="86"/>
      <c r="EM28" s="82"/>
      <c r="EO28" s="82"/>
      <c r="EP28" s="85"/>
      <c r="EQ28" s="84"/>
      <c r="ER28" s="84"/>
      <c r="FA28" s="265" t="s">
        <v>154</v>
      </c>
      <c r="FB28" s="266"/>
      <c r="FC28" s="266"/>
      <c r="FD28" s="266"/>
      <c r="FE28" s="267"/>
      <c r="FF28" s="268"/>
    </row>
    <row r="29" spans="1:162" x14ac:dyDescent="0.2">
      <c r="A29" s="81">
        <v>2004</v>
      </c>
      <c r="B29" s="88">
        <v>4</v>
      </c>
      <c r="C29" s="88">
        <v>6.95</v>
      </c>
      <c r="D29" s="87">
        <v>451.49999999999994</v>
      </c>
      <c r="E29" s="87">
        <v>0</v>
      </c>
      <c r="F29" s="87">
        <v>391.49999999999994</v>
      </c>
      <c r="G29" s="87">
        <v>0</v>
      </c>
      <c r="H29" s="133">
        <v>331.49999999999994</v>
      </c>
      <c r="I29" s="133">
        <v>0</v>
      </c>
      <c r="J29" s="87">
        <v>272.70000000000005</v>
      </c>
      <c r="K29" s="87">
        <v>1.2000000000000028</v>
      </c>
      <c r="L29" s="87">
        <v>217.50000000000003</v>
      </c>
      <c r="M29" s="87">
        <v>6.0000000000000036</v>
      </c>
      <c r="N29" s="87">
        <v>165</v>
      </c>
      <c r="O29" s="87">
        <v>13.500000000000004</v>
      </c>
      <c r="P29" s="87">
        <v>116.39999999999999</v>
      </c>
      <c r="Q29" s="87">
        <v>24.900000000000006</v>
      </c>
      <c r="R29" s="87">
        <v>73.2</v>
      </c>
      <c r="S29" s="87">
        <v>41.7</v>
      </c>
      <c r="T29" s="87"/>
      <c r="U29" s="87"/>
      <c r="V29" s="87"/>
      <c r="EG29" s="86"/>
      <c r="EH29" s="86"/>
      <c r="EI29" s="86"/>
      <c r="EK29" s="86"/>
      <c r="EL29" s="86"/>
      <c r="EM29" s="82"/>
      <c r="EO29" s="82"/>
      <c r="EP29" s="85"/>
      <c r="EQ29" s="84"/>
      <c r="ER29" s="84"/>
      <c r="FA29" s="265"/>
      <c r="FB29" s="266"/>
      <c r="FC29" s="266"/>
      <c r="FD29" s="266"/>
      <c r="FE29" s="267"/>
      <c r="FF29" s="268"/>
    </row>
    <row r="30" spans="1:162" x14ac:dyDescent="0.2">
      <c r="A30" s="81">
        <v>2004</v>
      </c>
      <c r="B30" s="88">
        <v>5</v>
      </c>
      <c r="C30" s="88">
        <v>13.151612903225805</v>
      </c>
      <c r="D30" s="87">
        <v>274.29999999999995</v>
      </c>
      <c r="E30" s="87">
        <v>0</v>
      </c>
      <c r="F30" s="87">
        <v>213.99999999999997</v>
      </c>
      <c r="G30" s="87">
        <v>1.6999999999999993</v>
      </c>
      <c r="H30" s="133">
        <v>158.9</v>
      </c>
      <c r="I30" s="133">
        <v>8.5999999999999979</v>
      </c>
      <c r="J30" s="87">
        <v>109.10000000000001</v>
      </c>
      <c r="K30" s="87">
        <v>20.799999999999997</v>
      </c>
      <c r="L30" s="87">
        <v>66.600000000000009</v>
      </c>
      <c r="M30" s="87">
        <v>40.300000000000004</v>
      </c>
      <c r="N30" s="87">
        <v>36.599999999999994</v>
      </c>
      <c r="O30" s="87">
        <v>72.299999999999983</v>
      </c>
      <c r="P30" s="87">
        <v>18.899999999999999</v>
      </c>
      <c r="Q30" s="87">
        <v>116.6</v>
      </c>
      <c r="R30" s="87">
        <v>9.7999999999999989</v>
      </c>
      <c r="S30" s="87">
        <v>169.5</v>
      </c>
      <c r="T30" s="87"/>
      <c r="U30" s="87"/>
      <c r="V30" s="87"/>
      <c r="X30" s="81"/>
      <c r="Y30" s="81"/>
      <c r="EG30" s="86"/>
      <c r="EH30" s="86"/>
      <c r="EI30" s="86"/>
      <c r="EK30" s="86"/>
      <c r="EL30" s="86"/>
      <c r="EM30" s="82"/>
      <c r="EO30" s="82"/>
      <c r="EP30" s="85"/>
      <c r="EQ30" s="84"/>
      <c r="ER30" s="84"/>
      <c r="FA30" s="265"/>
      <c r="FB30" s="266" t="s">
        <v>135</v>
      </c>
      <c r="FC30" s="266" t="s">
        <v>136</v>
      </c>
      <c r="FD30" s="266" t="s">
        <v>137</v>
      </c>
      <c r="FE30" s="267" t="s">
        <v>138</v>
      </c>
      <c r="FF30" s="268"/>
    </row>
    <row r="31" spans="1:162" x14ac:dyDescent="0.2">
      <c r="A31" s="81">
        <v>2004</v>
      </c>
      <c r="B31" s="88">
        <v>6</v>
      </c>
      <c r="C31" s="88">
        <v>17.579999999999998</v>
      </c>
      <c r="D31" s="87">
        <v>138.9</v>
      </c>
      <c r="E31" s="87">
        <v>6.3000000000000007</v>
      </c>
      <c r="F31" s="87">
        <v>88.600000000000009</v>
      </c>
      <c r="G31" s="87">
        <v>16.000000000000004</v>
      </c>
      <c r="H31" s="133">
        <v>44.2</v>
      </c>
      <c r="I31" s="133">
        <v>31.600000000000005</v>
      </c>
      <c r="J31" s="87">
        <v>15.9</v>
      </c>
      <c r="K31" s="87">
        <v>63.3</v>
      </c>
      <c r="L31" s="87">
        <v>1.5999999999999996</v>
      </c>
      <c r="M31" s="87">
        <v>109.00000000000001</v>
      </c>
      <c r="N31" s="87">
        <v>0</v>
      </c>
      <c r="O31" s="87">
        <v>167.39999999999998</v>
      </c>
      <c r="P31" s="87">
        <v>0</v>
      </c>
      <c r="Q31" s="87">
        <v>227.4</v>
      </c>
      <c r="R31" s="87">
        <v>0</v>
      </c>
      <c r="S31" s="87">
        <v>287.39999999999998</v>
      </c>
      <c r="T31" s="87"/>
      <c r="U31" s="87"/>
      <c r="V31" s="87"/>
      <c r="X31" s="98" t="str">
        <f>E1</f>
        <v>CDD22</v>
      </c>
      <c r="Y31" s="97" t="s">
        <v>37</v>
      </c>
      <c r="Z31" s="97" t="s">
        <v>38</v>
      </c>
      <c r="AA31" s="97" t="s">
        <v>39</v>
      </c>
      <c r="AB31" s="97" t="s">
        <v>40</v>
      </c>
      <c r="AC31" s="97" t="s">
        <v>41</v>
      </c>
      <c r="AD31" s="97" t="s">
        <v>128</v>
      </c>
      <c r="AE31" s="97" t="s">
        <v>129</v>
      </c>
      <c r="AF31" s="96" t="s">
        <v>130</v>
      </c>
      <c r="AG31" s="96" t="s">
        <v>131</v>
      </c>
      <c r="AH31" s="96" t="s">
        <v>46</v>
      </c>
      <c r="AI31" s="96" t="s">
        <v>47</v>
      </c>
      <c r="AJ31" s="96" t="s">
        <v>48</v>
      </c>
      <c r="AL31" s="98" t="str">
        <f>G1</f>
        <v>CDD20</v>
      </c>
      <c r="AM31" s="97" t="s">
        <v>37</v>
      </c>
      <c r="AN31" s="97" t="s">
        <v>38</v>
      </c>
      <c r="AO31" s="97" t="s">
        <v>39</v>
      </c>
      <c r="AP31" s="97" t="s">
        <v>40</v>
      </c>
      <c r="AQ31" s="97" t="s">
        <v>41</v>
      </c>
      <c r="AR31" s="97" t="s">
        <v>128</v>
      </c>
      <c r="AS31" s="97" t="s">
        <v>129</v>
      </c>
      <c r="AT31" s="96" t="s">
        <v>130</v>
      </c>
      <c r="AU31" s="96" t="s">
        <v>131</v>
      </c>
      <c r="AV31" s="96" t="s">
        <v>46</v>
      </c>
      <c r="AW31" s="96" t="s">
        <v>47</v>
      </c>
      <c r="AX31" s="96" t="s">
        <v>48</v>
      </c>
      <c r="AZ31" s="98" t="str">
        <f>I1</f>
        <v>CDD18</v>
      </c>
      <c r="BA31" s="97" t="s">
        <v>37</v>
      </c>
      <c r="BB31" s="97" t="s">
        <v>38</v>
      </c>
      <c r="BC31" s="97" t="s">
        <v>39</v>
      </c>
      <c r="BD31" s="97" t="s">
        <v>40</v>
      </c>
      <c r="BE31" s="97" t="s">
        <v>41</v>
      </c>
      <c r="BF31" s="97" t="s">
        <v>128</v>
      </c>
      <c r="BG31" s="97" t="s">
        <v>129</v>
      </c>
      <c r="BH31" s="96" t="s">
        <v>130</v>
      </c>
      <c r="BI31" s="96" t="s">
        <v>131</v>
      </c>
      <c r="BJ31" s="96" t="s">
        <v>46</v>
      </c>
      <c r="BK31" s="96" t="s">
        <v>47</v>
      </c>
      <c r="BL31" s="96" t="s">
        <v>48</v>
      </c>
      <c r="BN31" s="98" t="str">
        <f>K1</f>
        <v>CDD16</v>
      </c>
      <c r="BO31" s="97" t="s">
        <v>37</v>
      </c>
      <c r="BP31" s="97" t="s">
        <v>38</v>
      </c>
      <c r="BQ31" s="97" t="s">
        <v>39</v>
      </c>
      <c r="BR31" s="97" t="s">
        <v>40</v>
      </c>
      <c r="BS31" s="97" t="s">
        <v>41</v>
      </c>
      <c r="BT31" s="97" t="s">
        <v>128</v>
      </c>
      <c r="BU31" s="97" t="s">
        <v>129</v>
      </c>
      <c r="BV31" s="96" t="s">
        <v>130</v>
      </c>
      <c r="BW31" s="96" t="s">
        <v>131</v>
      </c>
      <c r="BX31" s="96" t="s">
        <v>46</v>
      </c>
      <c r="BY31" s="96" t="s">
        <v>47</v>
      </c>
      <c r="BZ31" s="96" t="s">
        <v>48</v>
      </c>
      <c r="CB31" s="98" t="str">
        <f>M1</f>
        <v>CDD14</v>
      </c>
      <c r="CC31" s="97" t="s">
        <v>37</v>
      </c>
      <c r="CD31" s="97" t="s">
        <v>38</v>
      </c>
      <c r="CE31" s="97" t="s">
        <v>39</v>
      </c>
      <c r="CF31" s="97" t="s">
        <v>40</v>
      </c>
      <c r="CG31" s="97" t="s">
        <v>41</v>
      </c>
      <c r="CH31" s="97" t="s">
        <v>128</v>
      </c>
      <c r="CI31" s="97" t="s">
        <v>129</v>
      </c>
      <c r="CJ31" s="96" t="s">
        <v>130</v>
      </c>
      <c r="CK31" s="96" t="s">
        <v>131</v>
      </c>
      <c r="CL31" s="96" t="s">
        <v>46</v>
      </c>
      <c r="CM31" s="96" t="s">
        <v>47</v>
      </c>
      <c r="CN31" s="96" t="s">
        <v>48</v>
      </c>
      <c r="CP31" s="98" t="str">
        <f>O1</f>
        <v>CDD12</v>
      </c>
      <c r="CQ31" s="97" t="s">
        <v>37</v>
      </c>
      <c r="CR31" s="97" t="s">
        <v>38</v>
      </c>
      <c r="CS31" s="97" t="s">
        <v>39</v>
      </c>
      <c r="CT31" s="97" t="s">
        <v>40</v>
      </c>
      <c r="CU31" s="97" t="s">
        <v>41</v>
      </c>
      <c r="CV31" s="97" t="s">
        <v>128</v>
      </c>
      <c r="CW31" s="97" t="s">
        <v>129</v>
      </c>
      <c r="CX31" s="96" t="s">
        <v>130</v>
      </c>
      <c r="CY31" s="96" t="s">
        <v>131</v>
      </c>
      <c r="CZ31" s="96" t="s">
        <v>46</v>
      </c>
      <c r="DA31" s="96" t="s">
        <v>47</v>
      </c>
      <c r="DB31" s="96" t="s">
        <v>48</v>
      </c>
      <c r="DD31" s="98" t="str">
        <f>Q1</f>
        <v>CDD10</v>
      </c>
      <c r="DE31" s="97" t="s">
        <v>37</v>
      </c>
      <c r="DF31" s="97" t="s">
        <v>38</v>
      </c>
      <c r="DG31" s="97" t="s">
        <v>39</v>
      </c>
      <c r="DH31" s="97" t="s">
        <v>40</v>
      </c>
      <c r="DI31" s="97" t="s">
        <v>41</v>
      </c>
      <c r="DJ31" s="97" t="s">
        <v>128</v>
      </c>
      <c r="DK31" s="97" t="s">
        <v>129</v>
      </c>
      <c r="DL31" s="96" t="s">
        <v>130</v>
      </c>
      <c r="DM31" s="96" t="s">
        <v>131</v>
      </c>
      <c r="DN31" s="96" t="s">
        <v>46</v>
      </c>
      <c r="DO31" s="96" t="s">
        <v>47</v>
      </c>
      <c r="DP31" s="96" t="s">
        <v>48</v>
      </c>
      <c r="DR31" s="98" t="str">
        <f>S1</f>
        <v>CDD8</v>
      </c>
      <c r="DS31" s="97" t="s">
        <v>37</v>
      </c>
      <c r="DT31" s="97" t="s">
        <v>38</v>
      </c>
      <c r="DU31" s="97" t="s">
        <v>39</v>
      </c>
      <c r="DV31" s="97" t="s">
        <v>40</v>
      </c>
      <c r="DW31" s="97" t="s">
        <v>41</v>
      </c>
      <c r="DX31" s="97" t="s">
        <v>128</v>
      </c>
      <c r="DY31" s="97" t="s">
        <v>129</v>
      </c>
      <c r="DZ31" s="96" t="s">
        <v>130</v>
      </c>
      <c r="EA31" s="96" t="s">
        <v>131</v>
      </c>
      <c r="EB31" s="96" t="s">
        <v>46</v>
      </c>
      <c r="EC31" s="96" t="s">
        <v>47</v>
      </c>
      <c r="ED31" s="96" t="s">
        <v>48</v>
      </c>
      <c r="EG31" s="86"/>
      <c r="EH31" s="86"/>
      <c r="EI31" s="86"/>
      <c r="EK31" s="86"/>
      <c r="EL31" s="86"/>
      <c r="EM31" s="82"/>
      <c r="EO31" s="82"/>
      <c r="EP31" s="85"/>
      <c r="EQ31" s="84"/>
      <c r="ER31" s="84"/>
      <c r="FA31" s="265" t="s">
        <v>139</v>
      </c>
      <c r="FB31" s="266">
        <v>5788532.4761949005</v>
      </c>
      <c r="FC31" s="266">
        <v>124192.99734397201</v>
      </c>
      <c r="FD31" s="266">
        <v>46.609169598851302</v>
      </c>
      <c r="FE31" s="269">
        <v>1.3693081840189099E-79</v>
      </c>
      <c r="FF31" s="268"/>
    </row>
    <row r="32" spans="1:162" x14ac:dyDescent="0.2">
      <c r="A32" s="81">
        <v>2004</v>
      </c>
      <c r="B32" s="88">
        <v>7</v>
      </c>
      <c r="C32" s="88">
        <v>20.670967741935488</v>
      </c>
      <c r="D32" s="87">
        <v>52.8</v>
      </c>
      <c r="E32" s="87">
        <v>11.600000000000001</v>
      </c>
      <c r="F32" s="87">
        <v>22.000000000000004</v>
      </c>
      <c r="G32" s="87">
        <v>42.800000000000011</v>
      </c>
      <c r="H32" s="133">
        <v>3.6000000000000014</v>
      </c>
      <c r="I32" s="133">
        <v>86.399999999999991</v>
      </c>
      <c r="J32" s="87">
        <v>0</v>
      </c>
      <c r="K32" s="87">
        <v>144.79999999999998</v>
      </c>
      <c r="L32" s="87">
        <v>0</v>
      </c>
      <c r="M32" s="87">
        <v>206.79999999999993</v>
      </c>
      <c r="N32" s="87">
        <v>0</v>
      </c>
      <c r="O32" s="87">
        <v>268.79999999999995</v>
      </c>
      <c r="P32" s="87">
        <v>0</v>
      </c>
      <c r="Q32" s="87">
        <v>330.79999999999995</v>
      </c>
      <c r="R32" s="87">
        <v>0</v>
      </c>
      <c r="S32" s="87">
        <v>392.79999999999995</v>
      </c>
      <c r="T32" s="87"/>
      <c r="U32" s="87"/>
      <c r="V32" s="87"/>
      <c r="X32" s="81">
        <v>2002</v>
      </c>
      <c r="Y32" s="87">
        <f ca="1">OFFSET($E$2,(ROW()-32)*12+COLUMN()-25,0)</f>
        <v>0</v>
      </c>
      <c r="Z32" s="87">
        <f t="shared" ref="Z32:AJ40" ca="1" si="35">OFFSET($E$2,(ROW()-32)*12+COLUMN()-25,0)</f>
        <v>0</v>
      </c>
      <c r="AA32" s="87">
        <f t="shared" ca="1" si="35"/>
        <v>0</v>
      </c>
      <c r="AB32" s="87">
        <f t="shared" ca="1" si="35"/>
        <v>0.39999999999999858</v>
      </c>
      <c r="AC32" s="87">
        <f t="shared" ca="1" si="35"/>
        <v>0.30000000000000071</v>
      </c>
      <c r="AD32" s="87">
        <f t="shared" ca="1" si="35"/>
        <v>19.399999999999999</v>
      </c>
      <c r="AE32" s="87">
        <f t="shared" ca="1" si="35"/>
        <v>85.100000000000009</v>
      </c>
      <c r="AF32" s="87">
        <f t="shared" ca="1" si="35"/>
        <v>49</v>
      </c>
      <c r="AG32" s="87">
        <f t="shared" ca="1" si="35"/>
        <v>24.3</v>
      </c>
      <c r="AH32" s="87">
        <f t="shared" ca="1" si="35"/>
        <v>2.5</v>
      </c>
      <c r="AI32" s="87">
        <f t="shared" ca="1" si="35"/>
        <v>0</v>
      </c>
      <c r="AJ32" s="87">
        <f t="shared" ca="1" si="35"/>
        <v>0</v>
      </c>
      <c r="AL32" s="81">
        <v>2002</v>
      </c>
      <c r="AM32" s="87">
        <f t="shared" ref="AM32:AX41" ca="1" si="36">OFFSET($G$2,(ROW()-32)*12+COLUMN()-39,0)</f>
        <v>0</v>
      </c>
      <c r="AN32" s="87">
        <f t="shared" ca="1" si="36"/>
        <v>0</v>
      </c>
      <c r="AO32" s="87">
        <f t="shared" ca="1" si="36"/>
        <v>0</v>
      </c>
      <c r="AP32" s="87">
        <f t="shared" ca="1" si="36"/>
        <v>2.5</v>
      </c>
      <c r="AQ32" s="87">
        <f t="shared" ca="1" si="36"/>
        <v>2.6999999999999993</v>
      </c>
      <c r="AR32" s="87">
        <f t="shared" ca="1" si="36"/>
        <v>41.8</v>
      </c>
      <c r="AS32" s="87">
        <f t="shared" ca="1" si="36"/>
        <v>133.19999999999999</v>
      </c>
      <c r="AT32" s="87">
        <f t="shared" ca="1" si="36"/>
        <v>88.3</v>
      </c>
      <c r="AU32" s="87">
        <f t="shared" ca="1" si="36"/>
        <v>51</v>
      </c>
      <c r="AV32" s="87">
        <f t="shared" ca="1" si="36"/>
        <v>4.8999999999999986</v>
      </c>
      <c r="AW32" s="87">
        <f t="shared" ca="1" si="36"/>
        <v>0</v>
      </c>
      <c r="AX32" s="87">
        <f t="shared" ca="1" si="36"/>
        <v>0</v>
      </c>
      <c r="AY32" s="93"/>
      <c r="AZ32" s="81">
        <v>2002</v>
      </c>
      <c r="BA32" s="87">
        <f t="shared" ref="BA32:BL41" ca="1" si="37">OFFSET($I$2,(ROW()-32)*12+COLUMN()-53,0)</f>
        <v>0</v>
      </c>
      <c r="BB32" s="87">
        <f t="shared" ca="1" si="37"/>
        <v>0</v>
      </c>
      <c r="BC32" s="87">
        <f t="shared" ca="1" si="37"/>
        <v>0</v>
      </c>
      <c r="BD32" s="87">
        <f t="shared" ca="1" si="37"/>
        <v>8.3000000000000007</v>
      </c>
      <c r="BE32" s="87">
        <f t="shared" ca="1" si="37"/>
        <v>7.8000000000000007</v>
      </c>
      <c r="BF32" s="87">
        <f t="shared" ca="1" si="37"/>
        <v>70</v>
      </c>
      <c r="BG32" s="87">
        <f t="shared" ca="1" si="37"/>
        <v>192.39999999999998</v>
      </c>
      <c r="BH32" s="87">
        <f t="shared" ca="1" si="37"/>
        <v>142.70000000000002</v>
      </c>
      <c r="BI32" s="87">
        <f t="shared" ca="1" si="37"/>
        <v>87.600000000000009</v>
      </c>
      <c r="BJ32" s="87">
        <f t="shared" ca="1" si="37"/>
        <v>10</v>
      </c>
      <c r="BK32" s="87">
        <f t="shared" ca="1" si="37"/>
        <v>0</v>
      </c>
      <c r="BL32" s="87">
        <f t="shared" ca="1" si="37"/>
        <v>0</v>
      </c>
      <c r="BM32" s="93">
        <f t="shared" ref="BM32:BM53" ca="1" si="38">SUM(BA32:BL32)</f>
        <v>518.80000000000007</v>
      </c>
      <c r="BN32" s="81">
        <v>2002</v>
      </c>
      <c r="BO32" s="87">
        <f t="shared" ref="BO32:BZ41" ca="1" si="39">OFFSET($K$2,(ROW()-32)*12+COLUMN()-67,0)</f>
        <v>0</v>
      </c>
      <c r="BP32" s="87">
        <f t="shared" ca="1" si="39"/>
        <v>0</v>
      </c>
      <c r="BQ32" s="87">
        <f t="shared" ca="1" si="39"/>
        <v>0</v>
      </c>
      <c r="BR32" s="87">
        <f t="shared" ca="1" si="39"/>
        <v>14.900000000000002</v>
      </c>
      <c r="BS32" s="87">
        <f t="shared" ca="1" si="39"/>
        <v>17.599999999999998</v>
      </c>
      <c r="BT32" s="87">
        <f t="shared" ca="1" si="39"/>
        <v>110.80000000000001</v>
      </c>
      <c r="BU32" s="87">
        <f t="shared" ca="1" si="39"/>
        <v>254.39999999999995</v>
      </c>
      <c r="BV32" s="87">
        <f t="shared" ca="1" si="39"/>
        <v>204.50000000000006</v>
      </c>
      <c r="BW32" s="87">
        <f t="shared" ca="1" si="39"/>
        <v>132.50000000000003</v>
      </c>
      <c r="BX32" s="87">
        <f t="shared" ca="1" si="39"/>
        <v>16</v>
      </c>
      <c r="BY32" s="87">
        <f t="shared" ca="1" si="39"/>
        <v>0</v>
      </c>
      <c r="BZ32" s="87">
        <f t="shared" ca="1" si="39"/>
        <v>0</v>
      </c>
      <c r="CB32" s="81">
        <v>2002</v>
      </c>
      <c r="CC32" s="87">
        <f t="shared" ref="CC32:CN41" ca="1" si="40">OFFSET($M$2,(ROW()-32)*12+COLUMN()-81,0)</f>
        <v>0</v>
      </c>
      <c r="CD32" s="87">
        <f t="shared" ca="1" si="40"/>
        <v>0</v>
      </c>
      <c r="CE32" s="87">
        <f t="shared" ca="1" si="40"/>
        <v>0</v>
      </c>
      <c r="CF32" s="87">
        <f t="shared" ca="1" si="40"/>
        <v>23.400000000000002</v>
      </c>
      <c r="CG32" s="87">
        <f t="shared" ca="1" si="40"/>
        <v>29.699999999999996</v>
      </c>
      <c r="CH32" s="87">
        <f t="shared" ca="1" si="40"/>
        <v>160.00000000000003</v>
      </c>
      <c r="CI32" s="87">
        <f t="shared" ca="1" si="40"/>
        <v>316.39999999999992</v>
      </c>
      <c r="CJ32" s="87">
        <f t="shared" ca="1" si="40"/>
        <v>266.5</v>
      </c>
      <c r="CK32" s="87">
        <f t="shared" ca="1" si="40"/>
        <v>186.09999999999997</v>
      </c>
      <c r="CL32" s="87">
        <f t="shared" ca="1" si="40"/>
        <v>22.700000000000003</v>
      </c>
      <c r="CM32" s="87">
        <f t="shared" ca="1" si="40"/>
        <v>0.59999999999999964</v>
      </c>
      <c r="CN32" s="87">
        <f t="shared" ca="1" si="40"/>
        <v>0</v>
      </c>
      <c r="CP32" s="81">
        <v>2002</v>
      </c>
      <c r="CQ32" s="87">
        <f t="shared" ref="CQ32:DB41" ca="1" si="41">OFFSET($O$2,(ROW()-32)*12+COLUMN()-95,0)</f>
        <v>0</v>
      </c>
      <c r="CR32" s="87">
        <f t="shared" ca="1" si="41"/>
        <v>0</v>
      </c>
      <c r="CS32" s="87">
        <f t="shared" ca="1" si="41"/>
        <v>0</v>
      </c>
      <c r="CT32" s="87">
        <f t="shared" ca="1" si="41"/>
        <v>34.1</v>
      </c>
      <c r="CU32" s="87">
        <f t="shared" ca="1" si="41"/>
        <v>49.6</v>
      </c>
      <c r="CV32" s="87">
        <f t="shared" ca="1" si="41"/>
        <v>215.70000000000002</v>
      </c>
      <c r="CW32" s="87">
        <f t="shared" ca="1" si="41"/>
        <v>378.39999999999992</v>
      </c>
      <c r="CX32" s="87">
        <f t="shared" ca="1" si="41"/>
        <v>328.50000000000006</v>
      </c>
      <c r="CY32" s="87">
        <f t="shared" ca="1" si="41"/>
        <v>245.79999999999993</v>
      </c>
      <c r="CZ32" s="87">
        <f t="shared" ca="1" si="41"/>
        <v>36.700000000000003</v>
      </c>
      <c r="DA32" s="87">
        <f t="shared" ca="1" si="41"/>
        <v>2.7999999999999989</v>
      </c>
      <c r="DB32" s="87">
        <f t="shared" ca="1" si="41"/>
        <v>0</v>
      </c>
      <c r="DD32" s="81">
        <v>2002</v>
      </c>
      <c r="DE32" s="87">
        <f t="shared" ref="DE32:DE51" ca="1" si="42">OFFSET($Q$2,(ROW()-32)*12+COLUMN()-109,0)</f>
        <v>0</v>
      </c>
      <c r="DF32" s="87">
        <f t="shared" ref="DF32:DP47" ca="1" si="43">OFFSET($Q$2,(ROW()-32)*12+COLUMN()-109,0)</f>
        <v>0</v>
      </c>
      <c r="DG32" s="87">
        <f t="shared" ca="1" si="43"/>
        <v>0</v>
      </c>
      <c r="DH32" s="87">
        <f t="shared" ca="1" si="43"/>
        <v>48.2</v>
      </c>
      <c r="DI32" s="87">
        <f t="shared" ca="1" si="43"/>
        <v>77.300000000000011</v>
      </c>
      <c r="DJ32" s="87">
        <f t="shared" ca="1" si="43"/>
        <v>273.79999999999995</v>
      </c>
      <c r="DK32" s="87">
        <f t="shared" ca="1" si="43"/>
        <v>440.40000000000003</v>
      </c>
      <c r="DL32" s="87">
        <f t="shared" ca="1" si="43"/>
        <v>390.5</v>
      </c>
      <c r="DM32" s="87">
        <f t="shared" ca="1" si="43"/>
        <v>305.79999999999995</v>
      </c>
      <c r="DN32" s="87">
        <f t="shared" ca="1" si="43"/>
        <v>57.600000000000009</v>
      </c>
      <c r="DO32" s="87">
        <f t="shared" ca="1" si="43"/>
        <v>9.1999999999999993</v>
      </c>
      <c r="DP32" s="87">
        <f t="shared" ca="1" si="43"/>
        <v>0</v>
      </c>
      <c r="DR32" s="81">
        <v>2002</v>
      </c>
      <c r="DS32" s="87">
        <f t="shared" ref="DS32:DS51" ca="1" si="44">OFFSET($S$2,(ROW()-32)*12+COLUMN()-123,0)</f>
        <v>0</v>
      </c>
      <c r="DT32" s="87">
        <f t="shared" ref="DT32:ED47" ca="1" si="45">OFFSET($S$2,(ROW()-32)*12+COLUMN()-123,0)</f>
        <v>1.0999999999999996</v>
      </c>
      <c r="DU32" s="87">
        <f t="shared" ca="1" si="45"/>
        <v>0</v>
      </c>
      <c r="DV32" s="87">
        <f t="shared" ca="1" si="45"/>
        <v>67.699999999999989</v>
      </c>
      <c r="DW32" s="87">
        <f t="shared" ca="1" si="45"/>
        <v>108.69999999999999</v>
      </c>
      <c r="DX32" s="87">
        <f t="shared" ca="1" si="45"/>
        <v>333.79999999999995</v>
      </c>
      <c r="DY32" s="87">
        <f t="shared" ca="1" si="45"/>
        <v>502.40000000000003</v>
      </c>
      <c r="DZ32" s="87">
        <f t="shared" ca="1" si="45"/>
        <v>452.50000000000006</v>
      </c>
      <c r="EA32" s="87">
        <f t="shared" ca="1" si="45"/>
        <v>365.79999999999995</v>
      </c>
      <c r="EB32" s="87">
        <f t="shared" ca="1" si="45"/>
        <v>83.3</v>
      </c>
      <c r="EC32" s="87">
        <f t="shared" ca="1" si="45"/>
        <v>17.7</v>
      </c>
      <c r="ED32" s="87">
        <f t="shared" ca="1" si="45"/>
        <v>0</v>
      </c>
      <c r="EG32" s="86"/>
      <c r="EH32" s="86"/>
      <c r="EI32" s="86"/>
      <c r="EK32" s="86"/>
      <c r="EL32" s="86"/>
      <c r="EM32" s="82"/>
      <c r="EO32" s="82"/>
      <c r="EP32" s="85"/>
      <c r="EQ32" s="84"/>
      <c r="ER32" s="84"/>
      <c r="FA32" s="265" t="s">
        <v>113</v>
      </c>
      <c r="FB32" s="266">
        <v>3442.4089839879198</v>
      </c>
      <c r="FC32" s="266">
        <v>285.57154554574697</v>
      </c>
      <c r="FD32" s="266">
        <v>12.054453735610201</v>
      </c>
      <c r="FE32" s="269">
        <v>1.612031159615E-22</v>
      </c>
      <c r="FF32" s="268"/>
    </row>
    <row r="33" spans="1:162" x14ac:dyDescent="0.2">
      <c r="A33" s="81">
        <v>2004</v>
      </c>
      <c r="B33" s="88">
        <v>8</v>
      </c>
      <c r="C33" s="88">
        <v>19.509677419354841</v>
      </c>
      <c r="D33" s="87">
        <v>88.800000000000011</v>
      </c>
      <c r="E33" s="87">
        <v>11.600000000000001</v>
      </c>
      <c r="F33" s="87">
        <v>45.3</v>
      </c>
      <c r="G33" s="87">
        <v>30.099999999999998</v>
      </c>
      <c r="H33" s="133">
        <v>12.800000000000002</v>
      </c>
      <c r="I33" s="133">
        <v>59.599999999999994</v>
      </c>
      <c r="J33" s="87">
        <v>9.9999999999999645E-2</v>
      </c>
      <c r="K33" s="87">
        <v>108.89999999999998</v>
      </c>
      <c r="L33" s="87">
        <v>0</v>
      </c>
      <c r="M33" s="87">
        <v>170.8</v>
      </c>
      <c r="N33" s="87">
        <v>0</v>
      </c>
      <c r="O33" s="87">
        <v>232.8</v>
      </c>
      <c r="P33" s="87">
        <v>0</v>
      </c>
      <c r="Q33" s="87">
        <v>294.8</v>
      </c>
      <c r="R33" s="87">
        <v>0</v>
      </c>
      <c r="S33" s="87">
        <v>356.8</v>
      </c>
      <c r="T33" s="87"/>
      <c r="U33" s="87"/>
      <c r="V33" s="87"/>
      <c r="X33" s="81">
        <f t="shared" ref="X33:X51" si="46">1+X32</f>
        <v>2003</v>
      </c>
      <c r="Y33" s="87">
        <f t="shared" ref="Y33:Y51" ca="1" si="47">OFFSET($E$2,(ROW()-32)*12+COLUMN()-25,0)</f>
        <v>0</v>
      </c>
      <c r="Z33" s="87">
        <f t="shared" ca="1" si="35"/>
        <v>0</v>
      </c>
      <c r="AA33" s="87">
        <f t="shared" ca="1" si="35"/>
        <v>0</v>
      </c>
      <c r="AB33" s="87">
        <f t="shared" ca="1" si="35"/>
        <v>0</v>
      </c>
      <c r="AC33" s="87">
        <f t="shared" ca="1" si="35"/>
        <v>0</v>
      </c>
      <c r="AD33" s="87">
        <f t="shared" ca="1" si="35"/>
        <v>15.399999999999999</v>
      </c>
      <c r="AE33" s="87">
        <f t="shared" ca="1" si="35"/>
        <v>24.799999999999997</v>
      </c>
      <c r="AF33" s="87">
        <f t="shared" ca="1" si="35"/>
        <v>30.499999999999993</v>
      </c>
      <c r="AG33" s="87">
        <f t="shared" ca="1" si="35"/>
        <v>0.30000000000000071</v>
      </c>
      <c r="AH33" s="87">
        <f t="shared" ca="1" si="35"/>
        <v>0</v>
      </c>
      <c r="AI33" s="87">
        <f t="shared" ca="1" si="35"/>
        <v>0</v>
      </c>
      <c r="AJ33" s="87">
        <f t="shared" ca="1" si="35"/>
        <v>0</v>
      </c>
      <c r="AL33" s="81">
        <f t="shared" ref="AL33:AL51" si="48">1+AL32</f>
        <v>2003</v>
      </c>
      <c r="AM33" s="87">
        <f t="shared" ca="1" si="36"/>
        <v>0</v>
      </c>
      <c r="AN33" s="87">
        <f t="shared" ca="1" si="36"/>
        <v>0</v>
      </c>
      <c r="AO33" s="87">
        <f t="shared" ca="1" si="36"/>
        <v>0</v>
      </c>
      <c r="AP33" s="87">
        <f t="shared" ca="1" si="36"/>
        <v>0.39999999999999858</v>
      </c>
      <c r="AQ33" s="87">
        <f t="shared" ca="1" si="36"/>
        <v>0</v>
      </c>
      <c r="AR33" s="87">
        <f t="shared" ca="1" si="36"/>
        <v>29.9</v>
      </c>
      <c r="AS33" s="87">
        <f t="shared" ca="1" si="36"/>
        <v>63.800000000000004</v>
      </c>
      <c r="AT33" s="87">
        <f t="shared" ca="1" si="36"/>
        <v>75.2</v>
      </c>
      <c r="AU33" s="87">
        <f t="shared" ca="1" si="36"/>
        <v>7.6000000000000014</v>
      </c>
      <c r="AV33" s="87">
        <f t="shared" ca="1" si="36"/>
        <v>0</v>
      </c>
      <c r="AW33" s="87">
        <f t="shared" ca="1" si="36"/>
        <v>0</v>
      </c>
      <c r="AX33" s="87">
        <f t="shared" ca="1" si="36"/>
        <v>0</v>
      </c>
      <c r="AY33" s="93"/>
      <c r="AZ33" s="81">
        <f t="shared" ref="AZ33:AZ51" si="49">1+AZ32</f>
        <v>2003</v>
      </c>
      <c r="BA33" s="87">
        <f t="shared" ca="1" si="37"/>
        <v>0</v>
      </c>
      <c r="BB33" s="87">
        <f t="shared" ca="1" si="37"/>
        <v>0</v>
      </c>
      <c r="BC33" s="87">
        <f t="shared" ca="1" si="37"/>
        <v>0</v>
      </c>
      <c r="BD33" s="87">
        <f t="shared" ca="1" si="37"/>
        <v>2.3999999999999986</v>
      </c>
      <c r="BE33" s="87">
        <f t="shared" ca="1" si="37"/>
        <v>0</v>
      </c>
      <c r="BF33" s="87">
        <f t="shared" ca="1" si="37"/>
        <v>52.9</v>
      </c>
      <c r="BG33" s="87">
        <f t="shared" ca="1" si="37"/>
        <v>118.29999999999998</v>
      </c>
      <c r="BH33" s="87">
        <f t="shared" ca="1" si="37"/>
        <v>128</v>
      </c>
      <c r="BI33" s="87">
        <f t="shared" ca="1" si="37"/>
        <v>24</v>
      </c>
      <c r="BJ33" s="87">
        <f t="shared" ca="1" si="37"/>
        <v>0</v>
      </c>
      <c r="BK33" s="87">
        <f t="shared" ca="1" si="37"/>
        <v>0</v>
      </c>
      <c r="BL33" s="87">
        <f t="shared" ca="1" si="37"/>
        <v>0</v>
      </c>
      <c r="BM33" s="93">
        <f t="shared" ca="1" si="38"/>
        <v>325.59999999999997</v>
      </c>
      <c r="BN33" s="81">
        <f t="shared" ref="BN33:BN51" si="50">1+BN32</f>
        <v>2003</v>
      </c>
      <c r="BO33" s="87">
        <f t="shared" ca="1" si="39"/>
        <v>0</v>
      </c>
      <c r="BP33" s="87">
        <f t="shared" ca="1" si="39"/>
        <v>0</v>
      </c>
      <c r="BQ33" s="87">
        <f t="shared" ca="1" si="39"/>
        <v>0</v>
      </c>
      <c r="BR33" s="87">
        <f t="shared" ca="1" si="39"/>
        <v>6.0999999999999979</v>
      </c>
      <c r="BS33" s="87">
        <f t="shared" ca="1" si="39"/>
        <v>1.3000000000000007</v>
      </c>
      <c r="BT33" s="87">
        <f t="shared" ca="1" si="39"/>
        <v>86.700000000000017</v>
      </c>
      <c r="BU33" s="87">
        <f t="shared" ca="1" si="39"/>
        <v>180.1</v>
      </c>
      <c r="BV33" s="87">
        <f t="shared" ca="1" si="39"/>
        <v>187.99999999999994</v>
      </c>
      <c r="BW33" s="87">
        <f t="shared" ca="1" si="39"/>
        <v>58.2</v>
      </c>
      <c r="BX33" s="87">
        <f t="shared" ca="1" si="39"/>
        <v>3.5</v>
      </c>
      <c r="BY33" s="87">
        <f t="shared" ca="1" si="39"/>
        <v>0</v>
      </c>
      <c r="BZ33" s="87">
        <f t="shared" ca="1" si="39"/>
        <v>0</v>
      </c>
      <c r="CB33" s="81">
        <f t="shared" ref="CB33:CB51" si="51">1+CB32</f>
        <v>2003</v>
      </c>
      <c r="CC33" s="87">
        <f t="shared" ca="1" si="40"/>
        <v>0</v>
      </c>
      <c r="CD33" s="87">
        <f t="shared" ca="1" si="40"/>
        <v>0</v>
      </c>
      <c r="CE33" s="87">
        <f t="shared" ca="1" si="40"/>
        <v>0</v>
      </c>
      <c r="CF33" s="87">
        <f t="shared" ca="1" si="40"/>
        <v>10.599999999999998</v>
      </c>
      <c r="CG33" s="87">
        <f t="shared" ca="1" si="40"/>
        <v>10.100000000000001</v>
      </c>
      <c r="CH33" s="87">
        <f t="shared" ca="1" si="40"/>
        <v>135.20000000000002</v>
      </c>
      <c r="CI33" s="87">
        <f t="shared" ca="1" si="40"/>
        <v>242.10000000000002</v>
      </c>
      <c r="CJ33" s="87">
        <f t="shared" ca="1" si="40"/>
        <v>250</v>
      </c>
      <c r="CK33" s="87">
        <f t="shared" ca="1" si="40"/>
        <v>102.09999999999998</v>
      </c>
      <c r="CL33" s="87">
        <f t="shared" ca="1" si="40"/>
        <v>10.5</v>
      </c>
      <c r="CM33" s="87">
        <f t="shared" ca="1" si="40"/>
        <v>0</v>
      </c>
      <c r="CN33" s="87">
        <f t="shared" ca="1" si="40"/>
        <v>0</v>
      </c>
      <c r="CP33" s="81">
        <f t="shared" ref="CP33:CP51" si="52">1+CP32</f>
        <v>2003</v>
      </c>
      <c r="CQ33" s="87">
        <f t="shared" ca="1" si="41"/>
        <v>0</v>
      </c>
      <c r="CR33" s="87">
        <f t="shared" ca="1" si="41"/>
        <v>0</v>
      </c>
      <c r="CS33" s="87">
        <f t="shared" ca="1" si="41"/>
        <v>0</v>
      </c>
      <c r="CT33" s="87">
        <f t="shared" ca="1" si="41"/>
        <v>18.199999999999996</v>
      </c>
      <c r="CU33" s="87">
        <f t="shared" ca="1" si="41"/>
        <v>32.5</v>
      </c>
      <c r="CV33" s="87">
        <f t="shared" ca="1" si="41"/>
        <v>190.60000000000002</v>
      </c>
      <c r="CW33" s="87">
        <f t="shared" ca="1" si="41"/>
        <v>304.10000000000002</v>
      </c>
      <c r="CX33" s="87">
        <f t="shared" ca="1" si="41"/>
        <v>312</v>
      </c>
      <c r="CY33" s="87">
        <f t="shared" ca="1" si="41"/>
        <v>154.19999999999999</v>
      </c>
      <c r="CZ33" s="87">
        <f t="shared" ca="1" si="41"/>
        <v>22.400000000000002</v>
      </c>
      <c r="DA33" s="87">
        <f t="shared" ca="1" si="41"/>
        <v>9.9999999999999645E-2</v>
      </c>
      <c r="DB33" s="87">
        <f t="shared" ca="1" si="41"/>
        <v>0</v>
      </c>
      <c r="DD33" s="81">
        <f t="shared" ref="DD33:DD51" si="53">1+DD32</f>
        <v>2003</v>
      </c>
      <c r="DE33" s="87">
        <f t="shared" ca="1" si="42"/>
        <v>0</v>
      </c>
      <c r="DF33" s="87">
        <f t="shared" ca="1" si="43"/>
        <v>0</v>
      </c>
      <c r="DG33" s="87">
        <f t="shared" ca="1" si="43"/>
        <v>1.4000000000000004</v>
      </c>
      <c r="DH33" s="87">
        <f t="shared" ca="1" si="43"/>
        <v>30.199999999999996</v>
      </c>
      <c r="DI33" s="87">
        <f t="shared" ca="1" si="43"/>
        <v>75.299999999999983</v>
      </c>
      <c r="DJ33" s="87">
        <f t="shared" ca="1" si="43"/>
        <v>249.49999999999997</v>
      </c>
      <c r="DK33" s="87">
        <f t="shared" ca="1" si="43"/>
        <v>366.09999999999997</v>
      </c>
      <c r="DL33" s="87">
        <f t="shared" ca="1" si="43"/>
        <v>374</v>
      </c>
      <c r="DM33" s="87">
        <f t="shared" ca="1" si="43"/>
        <v>210.2</v>
      </c>
      <c r="DN33" s="87">
        <f t="shared" ca="1" si="43"/>
        <v>42</v>
      </c>
      <c r="DO33" s="87">
        <f t="shared" ca="1" si="43"/>
        <v>2.0999999999999996</v>
      </c>
      <c r="DP33" s="87">
        <f t="shared" ca="1" si="43"/>
        <v>0</v>
      </c>
      <c r="DR33" s="81">
        <f t="shared" ref="DR33:DR51" si="54">1+DR32</f>
        <v>2003</v>
      </c>
      <c r="DS33" s="87">
        <f t="shared" ca="1" si="44"/>
        <v>0</v>
      </c>
      <c r="DT33" s="87">
        <f t="shared" ca="1" si="45"/>
        <v>0</v>
      </c>
      <c r="DU33" s="87">
        <f t="shared" ca="1" si="45"/>
        <v>6.9</v>
      </c>
      <c r="DV33" s="87">
        <f t="shared" ca="1" si="45"/>
        <v>47.300000000000004</v>
      </c>
      <c r="DW33" s="87">
        <f t="shared" ca="1" si="45"/>
        <v>133</v>
      </c>
      <c r="DX33" s="87">
        <f t="shared" ca="1" si="45"/>
        <v>309.5</v>
      </c>
      <c r="DY33" s="87">
        <f t="shared" ca="1" si="45"/>
        <v>428.09999999999997</v>
      </c>
      <c r="DZ33" s="87">
        <f t="shared" ca="1" si="45"/>
        <v>435.99999999999994</v>
      </c>
      <c r="EA33" s="87">
        <f t="shared" ca="1" si="45"/>
        <v>269.09999999999997</v>
      </c>
      <c r="EB33" s="87">
        <f t="shared" ca="1" si="45"/>
        <v>67.499999999999986</v>
      </c>
      <c r="EC33" s="87">
        <f t="shared" ca="1" si="45"/>
        <v>7.2999999999999989</v>
      </c>
      <c r="ED33" s="87">
        <f t="shared" ca="1" si="45"/>
        <v>0</v>
      </c>
      <c r="EG33" s="86"/>
      <c r="EH33" s="86"/>
      <c r="EI33" s="86"/>
      <c r="EK33" s="86"/>
      <c r="EL33" s="86"/>
      <c r="EM33" s="82"/>
      <c r="EO33" s="82"/>
      <c r="EP33" s="85"/>
      <c r="EQ33" s="84"/>
      <c r="ER33" s="84"/>
      <c r="FA33" s="265" t="s">
        <v>114</v>
      </c>
      <c r="FB33" s="266">
        <v>7690.1719588810602</v>
      </c>
      <c r="FC33" s="266">
        <v>903.02497934319899</v>
      </c>
      <c r="FD33" s="266">
        <v>8.5160124412885896</v>
      </c>
      <c r="FE33" s="269">
        <v>5.09571389277203E-14</v>
      </c>
      <c r="FF33" s="268"/>
    </row>
    <row r="34" spans="1:162" x14ac:dyDescent="0.2">
      <c r="A34" s="81">
        <v>2004</v>
      </c>
      <c r="B34" s="88">
        <v>9</v>
      </c>
      <c r="C34" s="88">
        <v>18.373333333333338</v>
      </c>
      <c r="D34" s="87">
        <v>111.3</v>
      </c>
      <c r="E34" s="87">
        <v>2.5</v>
      </c>
      <c r="F34" s="87">
        <v>64</v>
      </c>
      <c r="G34" s="87">
        <v>15.200000000000003</v>
      </c>
      <c r="H34" s="133">
        <v>30.000000000000004</v>
      </c>
      <c r="I34" s="133">
        <v>41.20000000000001</v>
      </c>
      <c r="J34" s="87">
        <v>14.2</v>
      </c>
      <c r="K34" s="87">
        <v>85.399999999999977</v>
      </c>
      <c r="L34" s="87">
        <v>3.5999999999999996</v>
      </c>
      <c r="M34" s="87">
        <v>134.79999999999998</v>
      </c>
      <c r="N34" s="87">
        <v>0</v>
      </c>
      <c r="O34" s="87">
        <v>191.2</v>
      </c>
      <c r="P34" s="87">
        <v>0</v>
      </c>
      <c r="Q34" s="87">
        <v>251.2</v>
      </c>
      <c r="R34" s="87">
        <v>0</v>
      </c>
      <c r="S34" s="87">
        <v>311.2</v>
      </c>
      <c r="T34" s="87"/>
      <c r="U34" s="87"/>
      <c r="V34" s="87"/>
      <c r="X34" s="81">
        <f t="shared" si="46"/>
        <v>2004</v>
      </c>
      <c r="Y34" s="87">
        <f t="shared" ca="1" si="47"/>
        <v>0</v>
      </c>
      <c r="Z34" s="87">
        <f t="shared" ca="1" si="35"/>
        <v>0</v>
      </c>
      <c r="AA34" s="87">
        <f t="shared" ca="1" si="35"/>
        <v>0</v>
      </c>
      <c r="AB34" s="87">
        <f t="shared" ca="1" si="35"/>
        <v>0</v>
      </c>
      <c r="AC34" s="87">
        <f t="shared" ca="1" si="35"/>
        <v>0</v>
      </c>
      <c r="AD34" s="87">
        <f t="shared" ca="1" si="35"/>
        <v>6.3000000000000007</v>
      </c>
      <c r="AE34" s="87">
        <f t="shared" ca="1" si="35"/>
        <v>11.600000000000001</v>
      </c>
      <c r="AF34" s="87">
        <f t="shared" ca="1" si="35"/>
        <v>11.600000000000001</v>
      </c>
      <c r="AG34" s="87">
        <f t="shared" ca="1" si="35"/>
        <v>2.5</v>
      </c>
      <c r="AH34" s="87">
        <f t="shared" ca="1" si="35"/>
        <v>0</v>
      </c>
      <c r="AI34" s="87">
        <f t="shared" ca="1" si="35"/>
        <v>0</v>
      </c>
      <c r="AJ34" s="87">
        <f t="shared" ca="1" si="35"/>
        <v>0</v>
      </c>
      <c r="AL34" s="81">
        <f t="shared" si="48"/>
        <v>2004</v>
      </c>
      <c r="AM34" s="87">
        <f t="shared" ca="1" si="36"/>
        <v>0</v>
      </c>
      <c r="AN34" s="87">
        <f t="shared" ca="1" si="36"/>
        <v>0</v>
      </c>
      <c r="AO34" s="87">
        <f t="shared" ca="1" si="36"/>
        <v>0</v>
      </c>
      <c r="AP34" s="87">
        <f t="shared" ca="1" si="36"/>
        <v>0</v>
      </c>
      <c r="AQ34" s="87">
        <f t="shared" ca="1" si="36"/>
        <v>1.6999999999999993</v>
      </c>
      <c r="AR34" s="87">
        <f t="shared" ca="1" si="36"/>
        <v>16.000000000000004</v>
      </c>
      <c r="AS34" s="87">
        <f t="shared" ca="1" si="36"/>
        <v>42.800000000000011</v>
      </c>
      <c r="AT34" s="87">
        <f t="shared" ca="1" si="36"/>
        <v>30.099999999999998</v>
      </c>
      <c r="AU34" s="87">
        <f t="shared" ca="1" si="36"/>
        <v>15.200000000000003</v>
      </c>
      <c r="AV34" s="87">
        <f t="shared" ca="1" si="36"/>
        <v>0</v>
      </c>
      <c r="AW34" s="87">
        <f t="shared" ca="1" si="36"/>
        <v>0</v>
      </c>
      <c r="AX34" s="87">
        <f t="shared" ca="1" si="36"/>
        <v>0</v>
      </c>
      <c r="AY34" s="93"/>
      <c r="AZ34" s="81">
        <f t="shared" si="49"/>
        <v>2004</v>
      </c>
      <c r="BA34" s="87">
        <f t="shared" ca="1" si="37"/>
        <v>0</v>
      </c>
      <c r="BB34" s="87">
        <f t="shared" ca="1" si="37"/>
        <v>0</v>
      </c>
      <c r="BC34" s="87">
        <f t="shared" ca="1" si="37"/>
        <v>0</v>
      </c>
      <c r="BD34" s="87">
        <f t="shared" ca="1" si="37"/>
        <v>0</v>
      </c>
      <c r="BE34" s="87">
        <f t="shared" ca="1" si="37"/>
        <v>8.5999999999999979</v>
      </c>
      <c r="BF34" s="87">
        <f t="shared" ca="1" si="37"/>
        <v>31.600000000000005</v>
      </c>
      <c r="BG34" s="87">
        <f t="shared" ca="1" si="37"/>
        <v>86.399999999999991</v>
      </c>
      <c r="BH34" s="87">
        <f t="shared" ca="1" si="37"/>
        <v>59.599999999999994</v>
      </c>
      <c r="BI34" s="87">
        <f t="shared" ca="1" si="37"/>
        <v>41.20000000000001</v>
      </c>
      <c r="BJ34" s="87">
        <f t="shared" ca="1" si="37"/>
        <v>1.5</v>
      </c>
      <c r="BK34" s="87">
        <f t="shared" ca="1" si="37"/>
        <v>0</v>
      </c>
      <c r="BL34" s="87">
        <f t="shared" ca="1" si="37"/>
        <v>0</v>
      </c>
      <c r="BM34" s="93">
        <f t="shared" ca="1" si="38"/>
        <v>228.9</v>
      </c>
      <c r="BN34" s="81">
        <f t="shared" si="50"/>
        <v>2004</v>
      </c>
      <c r="BO34" s="87">
        <f t="shared" ca="1" si="39"/>
        <v>0</v>
      </c>
      <c r="BP34" s="87">
        <f t="shared" ca="1" si="39"/>
        <v>0</v>
      </c>
      <c r="BQ34" s="87">
        <f t="shared" ca="1" si="39"/>
        <v>0</v>
      </c>
      <c r="BR34" s="87">
        <f t="shared" ca="1" si="39"/>
        <v>1.2000000000000028</v>
      </c>
      <c r="BS34" s="87">
        <f t="shared" ca="1" si="39"/>
        <v>20.799999999999997</v>
      </c>
      <c r="BT34" s="87">
        <f t="shared" ca="1" si="39"/>
        <v>63.3</v>
      </c>
      <c r="BU34" s="87">
        <f t="shared" ca="1" si="39"/>
        <v>144.79999999999998</v>
      </c>
      <c r="BV34" s="87">
        <f t="shared" ca="1" si="39"/>
        <v>108.89999999999998</v>
      </c>
      <c r="BW34" s="87">
        <f t="shared" ca="1" si="39"/>
        <v>85.399999999999977</v>
      </c>
      <c r="BX34" s="87">
        <f t="shared" ca="1" si="39"/>
        <v>5.5</v>
      </c>
      <c r="BY34" s="87">
        <f t="shared" ca="1" si="39"/>
        <v>0</v>
      </c>
      <c r="BZ34" s="87">
        <f t="shared" ca="1" si="39"/>
        <v>0</v>
      </c>
      <c r="CB34" s="81">
        <f t="shared" si="51"/>
        <v>2004</v>
      </c>
      <c r="CC34" s="87">
        <f t="shared" ca="1" si="40"/>
        <v>0</v>
      </c>
      <c r="CD34" s="87">
        <f t="shared" ca="1" si="40"/>
        <v>0</v>
      </c>
      <c r="CE34" s="87">
        <f t="shared" ca="1" si="40"/>
        <v>0</v>
      </c>
      <c r="CF34" s="87">
        <f t="shared" ca="1" si="40"/>
        <v>6.0000000000000036</v>
      </c>
      <c r="CG34" s="87">
        <f t="shared" ca="1" si="40"/>
        <v>40.300000000000004</v>
      </c>
      <c r="CH34" s="87">
        <f t="shared" ca="1" si="40"/>
        <v>109.00000000000001</v>
      </c>
      <c r="CI34" s="87">
        <f t="shared" ca="1" si="40"/>
        <v>206.79999999999993</v>
      </c>
      <c r="CJ34" s="87">
        <f t="shared" ca="1" si="40"/>
        <v>170.8</v>
      </c>
      <c r="CK34" s="87">
        <f t="shared" ca="1" si="40"/>
        <v>134.79999999999998</v>
      </c>
      <c r="CL34" s="87">
        <f t="shared" ca="1" si="40"/>
        <v>13</v>
      </c>
      <c r="CM34" s="87">
        <f t="shared" ca="1" si="40"/>
        <v>0</v>
      </c>
      <c r="CN34" s="87">
        <f t="shared" ca="1" si="40"/>
        <v>0</v>
      </c>
      <c r="CP34" s="81">
        <f t="shared" si="52"/>
        <v>2004</v>
      </c>
      <c r="CQ34" s="87">
        <f t="shared" ca="1" si="41"/>
        <v>0</v>
      </c>
      <c r="CR34" s="87">
        <f t="shared" ca="1" si="41"/>
        <v>0</v>
      </c>
      <c r="CS34" s="87">
        <f t="shared" ca="1" si="41"/>
        <v>1.0999999999999996</v>
      </c>
      <c r="CT34" s="87">
        <f t="shared" ca="1" si="41"/>
        <v>13.500000000000004</v>
      </c>
      <c r="CU34" s="87">
        <f t="shared" ca="1" si="41"/>
        <v>72.299999999999983</v>
      </c>
      <c r="CV34" s="87">
        <f t="shared" ca="1" si="41"/>
        <v>167.39999999999998</v>
      </c>
      <c r="CW34" s="87">
        <f t="shared" ca="1" si="41"/>
        <v>268.79999999999995</v>
      </c>
      <c r="CX34" s="87">
        <f t="shared" ca="1" si="41"/>
        <v>232.8</v>
      </c>
      <c r="CY34" s="87">
        <f t="shared" ca="1" si="41"/>
        <v>191.2</v>
      </c>
      <c r="CZ34" s="87">
        <f t="shared" ca="1" si="41"/>
        <v>25.6</v>
      </c>
      <c r="DA34" s="87">
        <f t="shared" ca="1" si="41"/>
        <v>0</v>
      </c>
      <c r="DB34" s="87">
        <f t="shared" ca="1" si="41"/>
        <v>0</v>
      </c>
      <c r="DD34" s="81">
        <f t="shared" si="53"/>
        <v>2004</v>
      </c>
      <c r="DE34" s="87">
        <f t="shared" ca="1" si="42"/>
        <v>0</v>
      </c>
      <c r="DF34" s="87">
        <f t="shared" ca="1" si="43"/>
        <v>0</v>
      </c>
      <c r="DG34" s="87">
        <f t="shared" ca="1" si="43"/>
        <v>5.7000000000000011</v>
      </c>
      <c r="DH34" s="87">
        <f t="shared" ca="1" si="43"/>
        <v>24.900000000000006</v>
      </c>
      <c r="DI34" s="87">
        <f t="shared" ca="1" si="43"/>
        <v>116.6</v>
      </c>
      <c r="DJ34" s="87">
        <f t="shared" ca="1" si="43"/>
        <v>227.4</v>
      </c>
      <c r="DK34" s="87">
        <f t="shared" ca="1" si="43"/>
        <v>330.79999999999995</v>
      </c>
      <c r="DL34" s="87">
        <f t="shared" ca="1" si="43"/>
        <v>294.8</v>
      </c>
      <c r="DM34" s="87">
        <f t="shared" ca="1" si="43"/>
        <v>251.2</v>
      </c>
      <c r="DN34" s="87">
        <f t="shared" ca="1" si="43"/>
        <v>48.900000000000013</v>
      </c>
      <c r="DO34" s="87">
        <f t="shared" ca="1" si="43"/>
        <v>1</v>
      </c>
      <c r="DP34" s="87">
        <f t="shared" ca="1" si="43"/>
        <v>0</v>
      </c>
      <c r="DR34" s="81">
        <f t="shared" si="54"/>
        <v>2004</v>
      </c>
      <c r="DS34" s="87">
        <f t="shared" ca="1" si="44"/>
        <v>1.0999999999999996</v>
      </c>
      <c r="DT34" s="87">
        <f t="shared" ca="1" si="45"/>
        <v>0</v>
      </c>
      <c r="DU34" s="87">
        <f t="shared" ca="1" si="45"/>
        <v>11.700000000000001</v>
      </c>
      <c r="DV34" s="87">
        <f t="shared" ca="1" si="45"/>
        <v>41.7</v>
      </c>
      <c r="DW34" s="87">
        <f t="shared" ca="1" si="45"/>
        <v>169.5</v>
      </c>
      <c r="DX34" s="87">
        <f t="shared" ca="1" si="45"/>
        <v>287.39999999999998</v>
      </c>
      <c r="DY34" s="87">
        <f t="shared" ca="1" si="45"/>
        <v>392.79999999999995</v>
      </c>
      <c r="DZ34" s="87">
        <f t="shared" ca="1" si="45"/>
        <v>356.8</v>
      </c>
      <c r="EA34" s="87">
        <f t="shared" ca="1" si="45"/>
        <v>311.2</v>
      </c>
      <c r="EB34" s="87">
        <f t="shared" ca="1" si="45"/>
        <v>92.299999999999983</v>
      </c>
      <c r="EC34" s="87">
        <f t="shared" ca="1" si="45"/>
        <v>8.0999999999999979</v>
      </c>
      <c r="ED34" s="87">
        <f t="shared" ca="1" si="45"/>
        <v>0</v>
      </c>
      <c r="EG34" s="86"/>
      <c r="EH34" s="86"/>
      <c r="EI34" s="86"/>
      <c r="EK34" s="86"/>
      <c r="EL34" s="86"/>
      <c r="EM34" s="82"/>
      <c r="EO34" s="82"/>
      <c r="EP34" s="85"/>
      <c r="EQ34" s="84"/>
      <c r="ER34" s="84"/>
      <c r="FA34" s="265"/>
      <c r="FB34" s="266"/>
      <c r="FC34" s="266"/>
      <c r="FD34" s="266"/>
      <c r="FE34" s="267"/>
      <c r="FF34" s="268"/>
    </row>
    <row r="35" spans="1:162" x14ac:dyDescent="0.2">
      <c r="A35" s="81">
        <v>2004</v>
      </c>
      <c r="B35" s="88">
        <v>10</v>
      </c>
      <c r="C35" s="88">
        <v>10.748387096774191</v>
      </c>
      <c r="D35" s="87">
        <v>348.8</v>
      </c>
      <c r="E35" s="87">
        <v>0</v>
      </c>
      <c r="F35" s="87">
        <v>286.8</v>
      </c>
      <c r="G35" s="87">
        <v>0</v>
      </c>
      <c r="H35" s="133">
        <v>226.3</v>
      </c>
      <c r="I35" s="133">
        <v>1.5</v>
      </c>
      <c r="J35" s="87">
        <v>168.3</v>
      </c>
      <c r="K35" s="87">
        <v>5.5</v>
      </c>
      <c r="L35" s="87">
        <v>113.8</v>
      </c>
      <c r="M35" s="87">
        <v>13</v>
      </c>
      <c r="N35" s="87">
        <v>64.399999999999991</v>
      </c>
      <c r="O35" s="87">
        <v>25.6</v>
      </c>
      <c r="P35" s="87">
        <v>25.700000000000003</v>
      </c>
      <c r="Q35" s="87">
        <v>48.900000000000013</v>
      </c>
      <c r="R35" s="87">
        <v>7.1</v>
      </c>
      <c r="S35" s="87">
        <v>92.299999999999983</v>
      </c>
      <c r="T35" s="87"/>
      <c r="U35" s="87"/>
      <c r="V35" s="87"/>
      <c r="X35" s="81">
        <f t="shared" si="46"/>
        <v>2005</v>
      </c>
      <c r="Y35" s="87">
        <f t="shared" ca="1" si="47"/>
        <v>0</v>
      </c>
      <c r="Z35" s="87">
        <f t="shared" ca="1" si="35"/>
        <v>0</v>
      </c>
      <c r="AA35" s="87">
        <f t="shared" ca="1" si="35"/>
        <v>0</v>
      </c>
      <c r="AB35" s="87">
        <f t="shared" ca="1" si="35"/>
        <v>0</v>
      </c>
      <c r="AC35" s="87">
        <f t="shared" ca="1" si="35"/>
        <v>0</v>
      </c>
      <c r="AD35" s="87">
        <f t="shared" ca="1" si="35"/>
        <v>62.300000000000004</v>
      </c>
      <c r="AE35" s="87">
        <f t="shared" ca="1" si="35"/>
        <v>80.3</v>
      </c>
      <c r="AF35" s="87">
        <f t="shared" ca="1" si="35"/>
        <v>41.3</v>
      </c>
      <c r="AG35" s="87">
        <f t="shared" ca="1" si="35"/>
        <v>7.1000000000000014</v>
      </c>
      <c r="AH35" s="87">
        <f t="shared" ca="1" si="35"/>
        <v>0</v>
      </c>
      <c r="AI35" s="87">
        <f t="shared" ca="1" si="35"/>
        <v>0</v>
      </c>
      <c r="AJ35" s="87">
        <f t="shared" ca="1" si="35"/>
        <v>0</v>
      </c>
      <c r="AL35" s="81">
        <f t="shared" si="48"/>
        <v>2005</v>
      </c>
      <c r="AM35" s="87">
        <f t="shared" ca="1" si="36"/>
        <v>0</v>
      </c>
      <c r="AN35" s="87">
        <f t="shared" ca="1" si="36"/>
        <v>0</v>
      </c>
      <c r="AO35" s="87">
        <f t="shared" ca="1" si="36"/>
        <v>0</v>
      </c>
      <c r="AP35" s="87">
        <f t="shared" ca="1" si="36"/>
        <v>0</v>
      </c>
      <c r="AQ35" s="87">
        <f t="shared" ca="1" si="36"/>
        <v>0</v>
      </c>
      <c r="AR35" s="87">
        <f t="shared" ca="1" si="36"/>
        <v>99.200000000000017</v>
      </c>
      <c r="AS35" s="87">
        <f t="shared" ca="1" si="36"/>
        <v>130.80000000000001</v>
      </c>
      <c r="AT35" s="87">
        <f t="shared" ca="1" si="36"/>
        <v>83.899999999999991</v>
      </c>
      <c r="AU35" s="87">
        <f t="shared" ca="1" si="36"/>
        <v>19</v>
      </c>
      <c r="AV35" s="87">
        <f t="shared" ca="1" si="36"/>
        <v>1.1000000000000014</v>
      </c>
      <c r="AW35" s="87">
        <f t="shared" ca="1" si="36"/>
        <v>0</v>
      </c>
      <c r="AX35" s="87">
        <f t="shared" ca="1" si="36"/>
        <v>0</v>
      </c>
      <c r="AY35" s="93"/>
      <c r="AZ35" s="81">
        <f t="shared" si="49"/>
        <v>2005</v>
      </c>
      <c r="BA35" s="87">
        <f t="shared" ca="1" si="37"/>
        <v>0</v>
      </c>
      <c r="BB35" s="87">
        <f t="shared" ca="1" si="37"/>
        <v>0</v>
      </c>
      <c r="BC35" s="87">
        <f t="shared" ca="1" si="37"/>
        <v>0</v>
      </c>
      <c r="BD35" s="87">
        <f t="shared" ca="1" si="37"/>
        <v>0</v>
      </c>
      <c r="BE35" s="87">
        <f t="shared" ca="1" si="37"/>
        <v>0.80000000000000071</v>
      </c>
      <c r="BF35" s="87">
        <f t="shared" ca="1" si="37"/>
        <v>146.30000000000001</v>
      </c>
      <c r="BG35" s="87">
        <f t="shared" ca="1" si="37"/>
        <v>188.7</v>
      </c>
      <c r="BH35" s="87">
        <f t="shared" ca="1" si="37"/>
        <v>140.70000000000002</v>
      </c>
      <c r="BI35" s="87">
        <f t="shared" ca="1" si="37"/>
        <v>52.1</v>
      </c>
      <c r="BJ35" s="87">
        <f t="shared" ca="1" si="37"/>
        <v>7.6000000000000014</v>
      </c>
      <c r="BK35" s="87">
        <f t="shared" ca="1" si="37"/>
        <v>0</v>
      </c>
      <c r="BL35" s="87">
        <f t="shared" ca="1" si="37"/>
        <v>0</v>
      </c>
      <c r="BM35" s="93">
        <f t="shared" ca="1" si="38"/>
        <v>536.20000000000005</v>
      </c>
      <c r="BN35" s="81">
        <f t="shared" si="50"/>
        <v>2005</v>
      </c>
      <c r="BO35" s="87">
        <f t="shared" ca="1" si="39"/>
        <v>0</v>
      </c>
      <c r="BP35" s="87">
        <f t="shared" ca="1" si="39"/>
        <v>0</v>
      </c>
      <c r="BQ35" s="87">
        <f t="shared" ca="1" si="39"/>
        <v>0</v>
      </c>
      <c r="BR35" s="87">
        <f t="shared" ca="1" si="39"/>
        <v>1.3999999999999986</v>
      </c>
      <c r="BS35" s="87">
        <f t="shared" ca="1" si="39"/>
        <v>5.6000000000000014</v>
      </c>
      <c r="BT35" s="87">
        <f t="shared" ca="1" si="39"/>
        <v>198.70000000000002</v>
      </c>
      <c r="BU35" s="87">
        <f t="shared" ca="1" si="39"/>
        <v>250.7</v>
      </c>
      <c r="BV35" s="87">
        <f t="shared" ca="1" si="39"/>
        <v>202.5</v>
      </c>
      <c r="BW35" s="87">
        <f t="shared" ca="1" si="39"/>
        <v>97.9</v>
      </c>
      <c r="BX35" s="87">
        <f t="shared" ca="1" si="39"/>
        <v>16.899999999999999</v>
      </c>
      <c r="BY35" s="87">
        <f t="shared" ca="1" si="39"/>
        <v>0</v>
      </c>
      <c r="BZ35" s="87">
        <f t="shared" ca="1" si="39"/>
        <v>0</v>
      </c>
      <c r="CB35" s="81">
        <f t="shared" si="51"/>
        <v>2005</v>
      </c>
      <c r="CC35" s="87">
        <f t="shared" ca="1" si="40"/>
        <v>0</v>
      </c>
      <c r="CD35" s="87">
        <f t="shared" ca="1" si="40"/>
        <v>0</v>
      </c>
      <c r="CE35" s="87">
        <f t="shared" ca="1" si="40"/>
        <v>0</v>
      </c>
      <c r="CF35" s="87">
        <f t="shared" ca="1" si="40"/>
        <v>3.3999999999999986</v>
      </c>
      <c r="CG35" s="87">
        <f t="shared" ca="1" si="40"/>
        <v>21.100000000000005</v>
      </c>
      <c r="CH35" s="87">
        <f t="shared" ca="1" si="40"/>
        <v>257.39999999999998</v>
      </c>
      <c r="CI35" s="87">
        <f t="shared" ca="1" si="40"/>
        <v>312.7</v>
      </c>
      <c r="CJ35" s="87">
        <f t="shared" ca="1" si="40"/>
        <v>264.5</v>
      </c>
      <c r="CK35" s="87">
        <f t="shared" ca="1" si="40"/>
        <v>151.1</v>
      </c>
      <c r="CL35" s="87">
        <f t="shared" ca="1" si="40"/>
        <v>30.4</v>
      </c>
      <c r="CM35" s="87">
        <f t="shared" ca="1" si="40"/>
        <v>0</v>
      </c>
      <c r="CN35" s="87">
        <f t="shared" ca="1" si="40"/>
        <v>0</v>
      </c>
      <c r="CP35" s="81">
        <f t="shared" si="52"/>
        <v>2005</v>
      </c>
      <c r="CQ35" s="87">
        <f t="shared" ca="1" si="41"/>
        <v>0</v>
      </c>
      <c r="CR35" s="87">
        <f t="shared" ca="1" si="41"/>
        <v>0</v>
      </c>
      <c r="CS35" s="87">
        <f t="shared" ca="1" si="41"/>
        <v>0</v>
      </c>
      <c r="CT35" s="87">
        <f t="shared" ca="1" si="41"/>
        <v>8.7999999999999989</v>
      </c>
      <c r="CU35" s="87">
        <f t="shared" ca="1" si="41"/>
        <v>49.400000000000006</v>
      </c>
      <c r="CV35" s="87">
        <f t="shared" ca="1" si="41"/>
        <v>317.39999999999998</v>
      </c>
      <c r="CW35" s="87">
        <f t="shared" ca="1" si="41"/>
        <v>374.69999999999993</v>
      </c>
      <c r="CX35" s="87">
        <f t="shared" ca="1" si="41"/>
        <v>326.5</v>
      </c>
      <c r="CY35" s="87">
        <f t="shared" ca="1" si="41"/>
        <v>209.50000000000003</v>
      </c>
      <c r="CZ35" s="87">
        <f t="shared" ca="1" si="41"/>
        <v>48.199999999999996</v>
      </c>
      <c r="DA35" s="87">
        <f t="shared" ca="1" si="41"/>
        <v>4.4000000000000004</v>
      </c>
      <c r="DB35" s="87">
        <f t="shared" ca="1" si="41"/>
        <v>0</v>
      </c>
      <c r="DD35" s="81">
        <f t="shared" si="53"/>
        <v>2005</v>
      </c>
      <c r="DE35" s="87">
        <f t="shared" ca="1" si="42"/>
        <v>0</v>
      </c>
      <c r="DF35" s="87">
        <f t="shared" ca="1" si="43"/>
        <v>0</v>
      </c>
      <c r="DG35" s="87">
        <f t="shared" ca="1" si="43"/>
        <v>0.5</v>
      </c>
      <c r="DH35" s="87">
        <f t="shared" ca="1" si="43"/>
        <v>16.399999999999999</v>
      </c>
      <c r="DI35" s="87">
        <f t="shared" ca="1" si="43"/>
        <v>88</v>
      </c>
      <c r="DJ35" s="87">
        <f t="shared" ca="1" si="43"/>
        <v>377.4</v>
      </c>
      <c r="DK35" s="87">
        <f t="shared" ca="1" si="43"/>
        <v>436.7</v>
      </c>
      <c r="DL35" s="87">
        <f t="shared" ca="1" si="43"/>
        <v>388.50000000000006</v>
      </c>
      <c r="DM35" s="87">
        <f t="shared" ca="1" si="43"/>
        <v>269.5</v>
      </c>
      <c r="DN35" s="87">
        <f t="shared" ca="1" si="43"/>
        <v>76.600000000000009</v>
      </c>
      <c r="DO35" s="87">
        <f t="shared" ca="1" si="43"/>
        <v>12.8</v>
      </c>
      <c r="DP35" s="87">
        <f t="shared" ca="1" si="43"/>
        <v>0</v>
      </c>
      <c r="DR35" s="81">
        <f t="shared" si="54"/>
        <v>2005</v>
      </c>
      <c r="DS35" s="87">
        <f t="shared" ca="1" si="44"/>
        <v>1</v>
      </c>
      <c r="DT35" s="87">
        <f t="shared" ca="1" si="45"/>
        <v>0</v>
      </c>
      <c r="DU35" s="87">
        <f t="shared" ca="1" si="45"/>
        <v>2.5</v>
      </c>
      <c r="DV35" s="87">
        <f t="shared" ca="1" si="45"/>
        <v>35.999999999999993</v>
      </c>
      <c r="DW35" s="87">
        <f t="shared" ca="1" si="45"/>
        <v>133.1</v>
      </c>
      <c r="DX35" s="87">
        <f t="shared" ca="1" si="45"/>
        <v>437.40000000000003</v>
      </c>
      <c r="DY35" s="87">
        <f t="shared" ca="1" si="45"/>
        <v>498.7</v>
      </c>
      <c r="DZ35" s="87">
        <f t="shared" ca="1" si="45"/>
        <v>450.50000000000006</v>
      </c>
      <c r="EA35" s="87">
        <f t="shared" ca="1" si="45"/>
        <v>329.50000000000006</v>
      </c>
      <c r="EB35" s="87">
        <f t="shared" ca="1" si="45"/>
        <v>117.80000000000001</v>
      </c>
      <c r="EC35" s="87">
        <f t="shared" ca="1" si="45"/>
        <v>30.4</v>
      </c>
      <c r="ED35" s="87">
        <f t="shared" ca="1" si="45"/>
        <v>0</v>
      </c>
      <c r="EG35" s="86"/>
      <c r="EH35" s="86"/>
      <c r="EI35" s="86"/>
      <c r="EK35" s="86"/>
      <c r="EL35" s="86"/>
      <c r="EM35" s="82"/>
      <c r="EO35" s="82"/>
      <c r="EP35" s="85"/>
      <c r="EQ35" s="84"/>
      <c r="ER35" s="84"/>
      <c r="FA35" s="265" t="s">
        <v>140</v>
      </c>
      <c r="FB35" s="266"/>
      <c r="FC35" s="266"/>
      <c r="FD35" s="266"/>
      <c r="FE35" s="267"/>
      <c r="FF35" s="268"/>
    </row>
    <row r="36" spans="1:162" x14ac:dyDescent="0.2">
      <c r="A36" s="81">
        <v>2004</v>
      </c>
      <c r="B36" s="88">
        <v>11</v>
      </c>
      <c r="C36" s="88">
        <v>5.3633333333333333</v>
      </c>
      <c r="D36" s="87">
        <v>499.1</v>
      </c>
      <c r="E36" s="87">
        <v>0</v>
      </c>
      <c r="F36" s="87">
        <v>439.1</v>
      </c>
      <c r="G36" s="87">
        <v>0</v>
      </c>
      <c r="H36" s="133">
        <v>379.1</v>
      </c>
      <c r="I36" s="133">
        <v>0</v>
      </c>
      <c r="J36" s="87">
        <v>319.09999999999997</v>
      </c>
      <c r="K36" s="87">
        <v>0</v>
      </c>
      <c r="L36" s="87">
        <v>259.10000000000002</v>
      </c>
      <c r="M36" s="87">
        <v>0</v>
      </c>
      <c r="N36" s="87">
        <v>199.1</v>
      </c>
      <c r="O36" s="87">
        <v>0</v>
      </c>
      <c r="P36" s="87">
        <v>140.1</v>
      </c>
      <c r="Q36" s="87">
        <v>1</v>
      </c>
      <c r="R36" s="87">
        <v>87.2</v>
      </c>
      <c r="S36" s="87">
        <v>8.0999999999999979</v>
      </c>
      <c r="T36" s="87"/>
      <c r="U36" s="87"/>
      <c r="V36" s="87"/>
      <c r="X36" s="81">
        <f t="shared" si="46"/>
        <v>2006</v>
      </c>
      <c r="Y36" s="87">
        <f t="shared" ca="1" si="47"/>
        <v>0</v>
      </c>
      <c r="Z36" s="87">
        <f t="shared" ca="1" si="35"/>
        <v>0</v>
      </c>
      <c r="AA36" s="87">
        <f t="shared" ca="1" si="35"/>
        <v>0</v>
      </c>
      <c r="AB36" s="87">
        <f t="shared" ca="1" si="35"/>
        <v>0</v>
      </c>
      <c r="AC36" s="87">
        <f t="shared" ca="1" si="35"/>
        <v>11.600000000000001</v>
      </c>
      <c r="AD36" s="87">
        <f t="shared" ca="1" si="35"/>
        <v>16.7</v>
      </c>
      <c r="AE36" s="87">
        <f t="shared" ca="1" si="35"/>
        <v>62.400000000000006</v>
      </c>
      <c r="AF36" s="87">
        <f t="shared" ca="1" si="35"/>
        <v>26.7</v>
      </c>
      <c r="AG36" s="87">
        <f t="shared" ca="1" si="35"/>
        <v>0</v>
      </c>
      <c r="AH36" s="87">
        <f t="shared" ca="1" si="35"/>
        <v>0</v>
      </c>
      <c r="AI36" s="87">
        <f t="shared" ca="1" si="35"/>
        <v>0</v>
      </c>
      <c r="AJ36" s="87">
        <f t="shared" ca="1" si="35"/>
        <v>0</v>
      </c>
      <c r="AL36" s="81">
        <f t="shared" si="48"/>
        <v>2006</v>
      </c>
      <c r="AM36" s="87">
        <f t="shared" ca="1" si="36"/>
        <v>0</v>
      </c>
      <c r="AN36" s="87">
        <f t="shared" ca="1" si="36"/>
        <v>0</v>
      </c>
      <c r="AO36" s="87">
        <f t="shared" ca="1" si="36"/>
        <v>0</v>
      </c>
      <c r="AP36" s="87">
        <f t="shared" ca="1" si="36"/>
        <v>0</v>
      </c>
      <c r="AQ36" s="87">
        <f t="shared" ca="1" si="36"/>
        <v>17.600000000000001</v>
      </c>
      <c r="AR36" s="87">
        <f t="shared" ca="1" si="36"/>
        <v>35.299999999999997</v>
      </c>
      <c r="AS36" s="87">
        <f t="shared" ca="1" si="36"/>
        <v>110.80000000000001</v>
      </c>
      <c r="AT36" s="87">
        <f t="shared" ca="1" si="36"/>
        <v>54.599999999999994</v>
      </c>
      <c r="AU36" s="87">
        <f t="shared" ca="1" si="36"/>
        <v>1.9000000000000021</v>
      </c>
      <c r="AV36" s="87">
        <f t="shared" ca="1" si="36"/>
        <v>0</v>
      </c>
      <c r="AW36" s="87">
        <f t="shared" ca="1" si="36"/>
        <v>0</v>
      </c>
      <c r="AX36" s="87">
        <f t="shared" ca="1" si="36"/>
        <v>0</v>
      </c>
      <c r="AY36" s="93"/>
      <c r="AZ36" s="81">
        <f t="shared" si="49"/>
        <v>2006</v>
      </c>
      <c r="BA36" s="87">
        <f t="shared" ca="1" si="37"/>
        <v>0</v>
      </c>
      <c r="BB36" s="87">
        <f t="shared" ca="1" si="37"/>
        <v>0</v>
      </c>
      <c r="BC36" s="87">
        <f t="shared" ca="1" si="37"/>
        <v>0</v>
      </c>
      <c r="BD36" s="87">
        <f t="shared" ca="1" si="37"/>
        <v>0</v>
      </c>
      <c r="BE36" s="87">
        <f t="shared" ca="1" si="37"/>
        <v>26</v>
      </c>
      <c r="BF36" s="87">
        <f t="shared" ca="1" si="37"/>
        <v>73.599999999999994</v>
      </c>
      <c r="BG36" s="87">
        <f t="shared" ca="1" si="37"/>
        <v>167.30000000000004</v>
      </c>
      <c r="BH36" s="87">
        <f t="shared" ca="1" si="37"/>
        <v>101.6</v>
      </c>
      <c r="BI36" s="87">
        <f t="shared" ca="1" si="37"/>
        <v>12.900000000000002</v>
      </c>
      <c r="BJ36" s="87">
        <f t="shared" ca="1" si="37"/>
        <v>1.1000000000000014</v>
      </c>
      <c r="BK36" s="87">
        <f t="shared" ca="1" si="37"/>
        <v>0</v>
      </c>
      <c r="BL36" s="87">
        <f t="shared" ca="1" si="37"/>
        <v>0</v>
      </c>
      <c r="BM36" s="93">
        <f t="shared" ca="1" si="38"/>
        <v>382.5</v>
      </c>
      <c r="BN36" s="81">
        <f t="shared" si="50"/>
        <v>2006</v>
      </c>
      <c r="BO36" s="87">
        <f t="shared" ca="1" si="39"/>
        <v>0</v>
      </c>
      <c r="BP36" s="87">
        <f t="shared" ca="1" si="39"/>
        <v>0</v>
      </c>
      <c r="BQ36" s="87">
        <f t="shared" ca="1" si="39"/>
        <v>0</v>
      </c>
      <c r="BR36" s="87">
        <f t="shared" ca="1" si="39"/>
        <v>0</v>
      </c>
      <c r="BS36" s="87">
        <f t="shared" ca="1" si="39"/>
        <v>38.1</v>
      </c>
      <c r="BT36" s="87">
        <f t="shared" ca="1" si="39"/>
        <v>122.29999999999998</v>
      </c>
      <c r="BU36" s="87">
        <f t="shared" ca="1" si="39"/>
        <v>229.29999999999995</v>
      </c>
      <c r="BV36" s="87">
        <f t="shared" ca="1" si="39"/>
        <v>159.40000000000003</v>
      </c>
      <c r="BW36" s="87">
        <f t="shared" ca="1" si="39"/>
        <v>36.800000000000011</v>
      </c>
      <c r="BX36" s="87">
        <f t="shared" ca="1" si="39"/>
        <v>3.1000000000000014</v>
      </c>
      <c r="BY36" s="87">
        <f t="shared" ca="1" si="39"/>
        <v>0</v>
      </c>
      <c r="BZ36" s="87">
        <f t="shared" ca="1" si="39"/>
        <v>0</v>
      </c>
      <c r="CB36" s="81">
        <f t="shared" si="51"/>
        <v>2006</v>
      </c>
      <c r="CC36" s="87">
        <f t="shared" ca="1" si="40"/>
        <v>0</v>
      </c>
      <c r="CD36" s="87">
        <f t="shared" ca="1" si="40"/>
        <v>0</v>
      </c>
      <c r="CE36" s="87">
        <f t="shared" ca="1" si="40"/>
        <v>0</v>
      </c>
      <c r="CF36" s="87">
        <f t="shared" ca="1" si="40"/>
        <v>3.1999999999999993</v>
      </c>
      <c r="CG36" s="87">
        <f t="shared" ca="1" si="40"/>
        <v>60.2</v>
      </c>
      <c r="CH36" s="87">
        <f t="shared" ca="1" si="40"/>
        <v>176.50000000000003</v>
      </c>
      <c r="CI36" s="87">
        <f t="shared" ca="1" si="40"/>
        <v>291.29999999999995</v>
      </c>
      <c r="CJ36" s="87">
        <f t="shared" ca="1" si="40"/>
        <v>221.40000000000003</v>
      </c>
      <c r="CK36" s="87">
        <f t="shared" ca="1" si="40"/>
        <v>73.599999999999994</v>
      </c>
      <c r="CL36" s="87">
        <f t="shared" ca="1" si="40"/>
        <v>6.0000000000000018</v>
      </c>
      <c r="CM36" s="87">
        <f t="shared" ca="1" si="40"/>
        <v>0</v>
      </c>
      <c r="CN36" s="87">
        <f t="shared" ca="1" si="40"/>
        <v>0</v>
      </c>
      <c r="CP36" s="81">
        <f t="shared" si="52"/>
        <v>2006</v>
      </c>
      <c r="CQ36" s="87">
        <f t="shared" ca="1" si="41"/>
        <v>0</v>
      </c>
      <c r="CR36" s="87">
        <f t="shared" ca="1" si="41"/>
        <v>0</v>
      </c>
      <c r="CS36" s="87">
        <f t="shared" ca="1" si="41"/>
        <v>0</v>
      </c>
      <c r="CT36" s="87">
        <f t="shared" ca="1" si="41"/>
        <v>10.5</v>
      </c>
      <c r="CU36" s="87">
        <f t="shared" ca="1" si="41"/>
        <v>98.100000000000009</v>
      </c>
      <c r="CV36" s="87">
        <f t="shared" ca="1" si="41"/>
        <v>234.09999999999997</v>
      </c>
      <c r="CW36" s="87">
        <f t="shared" ca="1" si="41"/>
        <v>353.29999999999995</v>
      </c>
      <c r="CX36" s="87">
        <f t="shared" ca="1" si="41"/>
        <v>283.40000000000003</v>
      </c>
      <c r="CY36" s="87">
        <f t="shared" ca="1" si="41"/>
        <v>118.00000000000001</v>
      </c>
      <c r="CZ36" s="87">
        <f t="shared" ca="1" si="41"/>
        <v>16</v>
      </c>
      <c r="DA36" s="87">
        <f t="shared" ca="1" si="41"/>
        <v>0</v>
      </c>
      <c r="DB36" s="87">
        <f t="shared" ca="1" si="41"/>
        <v>0</v>
      </c>
      <c r="DD36" s="81">
        <f t="shared" si="53"/>
        <v>2006</v>
      </c>
      <c r="DE36" s="87">
        <f t="shared" ca="1" si="42"/>
        <v>0</v>
      </c>
      <c r="DF36" s="87">
        <f t="shared" ca="1" si="43"/>
        <v>0</v>
      </c>
      <c r="DG36" s="87">
        <f t="shared" ca="1" si="43"/>
        <v>9.9999999999999645E-2</v>
      </c>
      <c r="DH36" s="87">
        <f t="shared" ca="1" si="43"/>
        <v>24.200000000000003</v>
      </c>
      <c r="DI36" s="87">
        <f t="shared" ca="1" si="43"/>
        <v>146.70000000000005</v>
      </c>
      <c r="DJ36" s="87">
        <f t="shared" ca="1" si="43"/>
        <v>294.09999999999997</v>
      </c>
      <c r="DK36" s="87">
        <f t="shared" ca="1" si="43"/>
        <v>415.3</v>
      </c>
      <c r="DL36" s="87">
        <f t="shared" ca="1" si="43"/>
        <v>345.4</v>
      </c>
      <c r="DM36" s="87">
        <f t="shared" ca="1" si="43"/>
        <v>173.50000000000003</v>
      </c>
      <c r="DN36" s="87">
        <f t="shared" ca="1" si="43"/>
        <v>35.700000000000003</v>
      </c>
      <c r="DO36" s="87">
        <f t="shared" ca="1" si="43"/>
        <v>1.0999999999999996</v>
      </c>
      <c r="DP36" s="87">
        <f t="shared" ca="1" si="43"/>
        <v>0</v>
      </c>
      <c r="DR36" s="81">
        <f t="shared" si="54"/>
        <v>2006</v>
      </c>
      <c r="DS36" s="87">
        <f t="shared" ca="1" si="44"/>
        <v>0</v>
      </c>
      <c r="DT36" s="87">
        <f t="shared" ca="1" si="45"/>
        <v>0</v>
      </c>
      <c r="DU36" s="87">
        <f t="shared" ca="1" si="45"/>
        <v>4.0999999999999996</v>
      </c>
      <c r="DV36" s="87">
        <f t="shared" ca="1" si="45"/>
        <v>49.000000000000007</v>
      </c>
      <c r="DW36" s="87">
        <f t="shared" ca="1" si="45"/>
        <v>201.1</v>
      </c>
      <c r="DX36" s="87">
        <f t="shared" ca="1" si="45"/>
        <v>354.09999999999997</v>
      </c>
      <c r="DY36" s="87">
        <f t="shared" ca="1" si="45"/>
        <v>477.29999999999995</v>
      </c>
      <c r="DZ36" s="87">
        <f t="shared" ca="1" si="45"/>
        <v>407.40000000000003</v>
      </c>
      <c r="EA36" s="87">
        <f t="shared" ca="1" si="45"/>
        <v>232</v>
      </c>
      <c r="EB36" s="87">
        <f t="shared" ca="1" si="45"/>
        <v>61.899999999999991</v>
      </c>
      <c r="EC36" s="87">
        <f t="shared" ca="1" si="45"/>
        <v>13.3</v>
      </c>
      <c r="ED36" s="87">
        <f t="shared" ca="1" si="45"/>
        <v>0.59999999999999964</v>
      </c>
      <c r="EG36" s="86"/>
      <c r="EH36" s="86"/>
      <c r="EI36" s="86"/>
      <c r="EK36" s="86"/>
      <c r="EL36" s="86"/>
      <c r="EM36" s="82"/>
      <c r="EO36" s="82"/>
      <c r="EP36" s="85"/>
      <c r="EQ36" s="84"/>
      <c r="ER36" s="84"/>
      <c r="FA36" s="265" t="s">
        <v>141</v>
      </c>
      <c r="FB36" s="266">
        <v>7106964.5482226498</v>
      </c>
      <c r="FC36" s="266" t="s">
        <v>142</v>
      </c>
      <c r="FD36" s="266">
        <v>771774.44858636602</v>
      </c>
      <c r="FE36" s="267"/>
      <c r="FF36" s="268"/>
    </row>
    <row r="37" spans="1:162" x14ac:dyDescent="0.2">
      <c r="A37" s="81">
        <v>2004</v>
      </c>
      <c r="B37" s="88">
        <v>12</v>
      </c>
      <c r="C37" s="88">
        <v>-2.7548387096774194</v>
      </c>
      <c r="D37" s="87">
        <v>767.40000000000009</v>
      </c>
      <c r="E37" s="87">
        <v>0</v>
      </c>
      <c r="F37" s="87">
        <v>705.40000000000009</v>
      </c>
      <c r="G37" s="87">
        <v>0</v>
      </c>
      <c r="H37" s="133">
        <v>643.40000000000009</v>
      </c>
      <c r="I37" s="133">
        <v>0</v>
      </c>
      <c r="J37" s="87">
        <v>581.4000000000002</v>
      </c>
      <c r="K37" s="87">
        <v>0</v>
      </c>
      <c r="L37" s="87">
        <v>519.4000000000002</v>
      </c>
      <c r="M37" s="87">
        <v>0</v>
      </c>
      <c r="N37" s="87">
        <v>457.40000000000009</v>
      </c>
      <c r="O37" s="87">
        <v>0</v>
      </c>
      <c r="P37" s="87">
        <v>395.40000000000003</v>
      </c>
      <c r="Q37" s="87">
        <v>0</v>
      </c>
      <c r="R37" s="87">
        <v>333.40000000000003</v>
      </c>
      <c r="S37" s="87">
        <v>0</v>
      </c>
      <c r="T37" s="87"/>
      <c r="U37" s="87"/>
      <c r="V37" s="87"/>
      <c r="X37" s="81">
        <f t="shared" si="46"/>
        <v>2007</v>
      </c>
      <c r="Y37" s="87">
        <f t="shared" ca="1" si="47"/>
        <v>0</v>
      </c>
      <c r="Z37" s="87">
        <f t="shared" ca="1" si="35"/>
        <v>0</v>
      </c>
      <c r="AA37" s="87">
        <f t="shared" ca="1" si="35"/>
        <v>0</v>
      </c>
      <c r="AB37" s="87">
        <f t="shared" ca="1" si="35"/>
        <v>0</v>
      </c>
      <c r="AC37" s="87">
        <f t="shared" ca="1" si="35"/>
        <v>1.6999999999999993</v>
      </c>
      <c r="AD37" s="87">
        <f t="shared" ca="1" si="35"/>
        <v>26.400000000000002</v>
      </c>
      <c r="AE37" s="87">
        <f t="shared" ca="1" si="35"/>
        <v>25.299999999999994</v>
      </c>
      <c r="AF37" s="87">
        <f t="shared" ca="1" si="35"/>
        <v>47.7</v>
      </c>
      <c r="AG37" s="87">
        <f t="shared" ca="1" si="35"/>
        <v>14.3</v>
      </c>
      <c r="AH37" s="87">
        <f t="shared" ca="1" si="35"/>
        <v>2.3000000000000007</v>
      </c>
      <c r="AI37" s="87">
        <f t="shared" ca="1" si="35"/>
        <v>0</v>
      </c>
      <c r="AJ37" s="87">
        <f t="shared" ca="1" si="35"/>
        <v>0</v>
      </c>
      <c r="AL37" s="81">
        <f t="shared" si="48"/>
        <v>2007</v>
      </c>
      <c r="AM37" s="87">
        <f t="shared" ca="1" si="36"/>
        <v>0</v>
      </c>
      <c r="AN37" s="87">
        <f t="shared" ca="1" si="36"/>
        <v>0</v>
      </c>
      <c r="AO37" s="87">
        <f t="shared" ca="1" si="36"/>
        <v>0</v>
      </c>
      <c r="AP37" s="87">
        <f t="shared" ca="1" si="36"/>
        <v>0</v>
      </c>
      <c r="AQ37" s="87">
        <f t="shared" ca="1" si="36"/>
        <v>9.0999999999999979</v>
      </c>
      <c r="AR37" s="87">
        <f t="shared" ca="1" si="36"/>
        <v>58.000000000000007</v>
      </c>
      <c r="AS37" s="87">
        <f t="shared" ca="1" si="36"/>
        <v>57.699999999999989</v>
      </c>
      <c r="AT37" s="87">
        <f t="shared" ca="1" si="36"/>
        <v>88.09999999999998</v>
      </c>
      <c r="AU37" s="87">
        <f t="shared" ca="1" si="36"/>
        <v>24.400000000000002</v>
      </c>
      <c r="AV37" s="87">
        <f t="shared" ca="1" si="36"/>
        <v>6.6999999999999993</v>
      </c>
      <c r="AW37" s="87">
        <f t="shared" ca="1" si="36"/>
        <v>0</v>
      </c>
      <c r="AX37" s="87">
        <f t="shared" ca="1" si="36"/>
        <v>0</v>
      </c>
      <c r="AY37" s="93"/>
      <c r="AZ37" s="81">
        <f t="shared" si="49"/>
        <v>2007</v>
      </c>
      <c r="BA37" s="87">
        <f t="shared" ca="1" si="37"/>
        <v>0</v>
      </c>
      <c r="BB37" s="87">
        <f t="shared" ca="1" si="37"/>
        <v>0</v>
      </c>
      <c r="BC37" s="87">
        <f t="shared" ca="1" si="37"/>
        <v>0</v>
      </c>
      <c r="BD37" s="87">
        <f t="shared" ca="1" si="37"/>
        <v>0</v>
      </c>
      <c r="BE37" s="87">
        <f t="shared" ca="1" si="37"/>
        <v>22.4</v>
      </c>
      <c r="BF37" s="87">
        <f t="shared" ca="1" si="37"/>
        <v>99.200000000000017</v>
      </c>
      <c r="BG37" s="87">
        <f t="shared" ca="1" si="37"/>
        <v>106.1</v>
      </c>
      <c r="BH37" s="87">
        <f t="shared" ca="1" si="37"/>
        <v>141</v>
      </c>
      <c r="BI37" s="87">
        <f t="shared" ca="1" si="37"/>
        <v>47.499999999999993</v>
      </c>
      <c r="BJ37" s="87">
        <f t="shared" ca="1" si="37"/>
        <v>19.800000000000004</v>
      </c>
      <c r="BK37" s="87">
        <f t="shared" ca="1" si="37"/>
        <v>0</v>
      </c>
      <c r="BL37" s="87">
        <f t="shared" ca="1" si="37"/>
        <v>0</v>
      </c>
      <c r="BM37" s="93">
        <f t="shared" ca="1" si="38"/>
        <v>436.00000000000006</v>
      </c>
      <c r="BN37" s="81">
        <f t="shared" si="50"/>
        <v>2007</v>
      </c>
      <c r="BO37" s="87">
        <f t="shared" ca="1" si="39"/>
        <v>0</v>
      </c>
      <c r="BP37" s="87">
        <f t="shared" ca="1" si="39"/>
        <v>0</v>
      </c>
      <c r="BQ37" s="87">
        <f t="shared" ca="1" si="39"/>
        <v>0</v>
      </c>
      <c r="BR37" s="87">
        <f t="shared" ca="1" si="39"/>
        <v>1.5</v>
      </c>
      <c r="BS37" s="87">
        <f t="shared" ca="1" si="39"/>
        <v>39.5</v>
      </c>
      <c r="BT37" s="87">
        <f t="shared" ca="1" si="39"/>
        <v>149.19999999999996</v>
      </c>
      <c r="BU37" s="87">
        <f t="shared" ca="1" si="39"/>
        <v>164.9</v>
      </c>
      <c r="BV37" s="87">
        <f t="shared" ca="1" si="39"/>
        <v>198</v>
      </c>
      <c r="BW37" s="87">
        <f t="shared" ca="1" si="39"/>
        <v>86.600000000000009</v>
      </c>
      <c r="BX37" s="87">
        <f t="shared" ca="1" si="39"/>
        <v>42.600000000000009</v>
      </c>
      <c r="BY37" s="87">
        <f t="shared" ca="1" si="39"/>
        <v>0</v>
      </c>
      <c r="BZ37" s="87">
        <f t="shared" ca="1" si="39"/>
        <v>0</v>
      </c>
      <c r="CB37" s="81">
        <f t="shared" si="51"/>
        <v>2007</v>
      </c>
      <c r="CC37" s="87">
        <f t="shared" ca="1" si="40"/>
        <v>0</v>
      </c>
      <c r="CD37" s="87">
        <f t="shared" ca="1" si="40"/>
        <v>0</v>
      </c>
      <c r="CE37" s="87">
        <f t="shared" ca="1" si="40"/>
        <v>0</v>
      </c>
      <c r="CF37" s="87">
        <f t="shared" ca="1" si="40"/>
        <v>5.5</v>
      </c>
      <c r="CG37" s="87">
        <f t="shared" ca="1" si="40"/>
        <v>67.099999999999994</v>
      </c>
      <c r="CH37" s="87">
        <f t="shared" ca="1" si="40"/>
        <v>205.19999999999996</v>
      </c>
      <c r="CI37" s="87">
        <f t="shared" ca="1" si="40"/>
        <v>226.90000000000003</v>
      </c>
      <c r="CJ37" s="87">
        <f t="shared" ca="1" si="40"/>
        <v>259.80000000000007</v>
      </c>
      <c r="CK37" s="87">
        <f t="shared" ca="1" si="40"/>
        <v>137.19999999999999</v>
      </c>
      <c r="CL37" s="87">
        <f t="shared" ca="1" si="40"/>
        <v>70.599999999999994</v>
      </c>
      <c r="CM37" s="87">
        <f t="shared" ca="1" si="40"/>
        <v>0</v>
      </c>
      <c r="CN37" s="87">
        <f t="shared" ca="1" si="40"/>
        <v>0</v>
      </c>
      <c r="CP37" s="81">
        <f t="shared" si="52"/>
        <v>2007</v>
      </c>
      <c r="CQ37" s="87">
        <f t="shared" ca="1" si="41"/>
        <v>0</v>
      </c>
      <c r="CR37" s="87">
        <f t="shared" ca="1" si="41"/>
        <v>0</v>
      </c>
      <c r="CS37" s="87">
        <f t="shared" ca="1" si="41"/>
        <v>0.69999999999999929</v>
      </c>
      <c r="CT37" s="87">
        <f t="shared" ca="1" si="41"/>
        <v>15.100000000000001</v>
      </c>
      <c r="CU37" s="87">
        <f t="shared" ca="1" si="41"/>
        <v>100.19999999999997</v>
      </c>
      <c r="CV37" s="87">
        <f t="shared" ca="1" si="41"/>
        <v>262.7</v>
      </c>
      <c r="CW37" s="87">
        <f t="shared" ca="1" si="41"/>
        <v>288.90000000000003</v>
      </c>
      <c r="CX37" s="87">
        <f t="shared" ca="1" si="41"/>
        <v>321.80000000000007</v>
      </c>
      <c r="CY37" s="87">
        <f t="shared" ca="1" si="41"/>
        <v>192.89999999999998</v>
      </c>
      <c r="CZ37" s="87">
        <f t="shared" ca="1" si="41"/>
        <v>103.2</v>
      </c>
      <c r="DA37" s="87">
        <f t="shared" ca="1" si="41"/>
        <v>0</v>
      </c>
      <c r="DB37" s="87">
        <f t="shared" ca="1" si="41"/>
        <v>0</v>
      </c>
      <c r="DD37" s="81">
        <f t="shared" si="53"/>
        <v>2007</v>
      </c>
      <c r="DE37" s="87">
        <f t="shared" ca="1" si="42"/>
        <v>0</v>
      </c>
      <c r="DF37" s="87">
        <f t="shared" ca="1" si="43"/>
        <v>0</v>
      </c>
      <c r="DG37" s="87">
        <f t="shared" ca="1" si="43"/>
        <v>4.1999999999999993</v>
      </c>
      <c r="DH37" s="87">
        <f t="shared" ca="1" si="43"/>
        <v>29.4</v>
      </c>
      <c r="DI37" s="87">
        <f t="shared" ca="1" si="43"/>
        <v>139.89999999999998</v>
      </c>
      <c r="DJ37" s="87">
        <f t="shared" ca="1" si="43"/>
        <v>322.7</v>
      </c>
      <c r="DK37" s="87">
        <f t="shared" ca="1" si="43"/>
        <v>350.9</v>
      </c>
      <c r="DL37" s="87">
        <f t="shared" ca="1" si="43"/>
        <v>383.80000000000013</v>
      </c>
      <c r="DM37" s="87">
        <f t="shared" ca="1" si="43"/>
        <v>250.9</v>
      </c>
      <c r="DN37" s="87">
        <f t="shared" ca="1" si="43"/>
        <v>145.20000000000005</v>
      </c>
      <c r="DO37" s="87">
        <f t="shared" ca="1" si="43"/>
        <v>0.5</v>
      </c>
      <c r="DP37" s="87">
        <f t="shared" ca="1" si="43"/>
        <v>0</v>
      </c>
      <c r="DR37" s="81">
        <f t="shared" si="54"/>
        <v>2007</v>
      </c>
      <c r="DS37" s="87">
        <f t="shared" ca="1" si="44"/>
        <v>1.5</v>
      </c>
      <c r="DT37" s="87">
        <f t="shared" ca="1" si="45"/>
        <v>0</v>
      </c>
      <c r="DU37" s="87">
        <f t="shared" ca="1" si="45"/>
        <v>11.2</v>
      </c>
      <c r="DV37" s="87">
        <f t="shared" ca="1" si="45"/>
        <v>48.699999999999996</v>
      </c>
      <c r="DW37" s="87">
        <f t="shared" ca="1" si="45"/>
        <v>196.00000000000003</v>
      </c>
      <c r="DX37" s="87">
        <f t="shared" ca="1" si="45"/>
        <v>382.7</v>
      </c>
      <c r="DY37" s="87">
        <f t="shared" ca="1" si="45"/>
        <v>412.9</v>
      </c>
      <c r="DZ37" s="87">
        <f t="shared" ca="1" si="45"/>
        <v>445.80000000000013</v>
      </c>
      <c r="EA37" s="87">
        <f t="shared" ca="1" si="45"/>
        <v>310.60000000000008</v>
      </c>
      <c r="EB37" s="87">
        <f t="shared" ca="1" si="45"/>
        <v>197.10000000000002</v>
      </c>
      <c r="EC37" s="87">
        <f t="shared" ca="1" si="45"/>
        <v>3.8000000000000007</v>
      </c>
      <c r="ED37" s="87">
        <f t="shared" ca="1" si="45"/>
        <v>0</v>
      </c>
      <c r="EG37" s="86"/>
      <c r="EH37" s="86"/>
      <c r="EI37" s="86"/>
      <c r="EK37" s="86"/>
      <c r="EL37" s="86"/>
      <c r="EM37" s="82"/>
      <c r="EO37" s="82"/>
      <c r="EP37" s="85"/>
      <c r="EQ37" s="84"/>
      <c r="ER37" s="84"/>
      <c r="FA37" s="265" t="s">
        <v>143</v>
      </c>
      <c r="FB37" s="266">
        <v>32299035265782</v>
      </c>
      <c r="FC37" s="266" t="s">
        <v>144</v>
      </c>
      <c r="FD37" s="266">
        <v>514534.92661152902</v>
      </c>
      <c r="FE37" s="267"/>
      <c r="FF37" s="268"/>
    </row>
    <row r="38" spans="1:162" x14ac:dyDescent="0.2">
      <c r="A38" s="81">
        <v>2005</v>
      </c>
      <c r="B38" s="88">
        <v>1</v>
      </c>
      <c r="C38" s="88">
        <v>-6.838709677419355</v>
      </c>
      <c r="D38" s="87">
        <v>894</v>
      </c>
      <c r="E38" s="87">
        <v>0</v>
      </c>
      <c r="F38" s="87">
        <v>832</v>
      </c>
      <c r="G38" s="87">
        <v>0</v>
      </c>
      <c r="H38" s="133">
        <v>770</v>
      </c>
      <c r="I38" s="133">
        <v>0</v>
      </c>
      <c r="J38" s="87">
        <v>708</v>
      </c>
      <c r="K38" s="87">
        <v>0</v>
      </c>
      <c r="L38" s="87">
        <v>646</v>
      </c>
      <c r="M38" s="87">
        <v>0</v>
      </c>
      <c r="N38" s="87">
        <v>583.99999999999989</v>
      </c>
      <c r="O38" s="87">
        <v>0</v>
      </c>
      <c r="P38" s="87">
        <v>522</v>
      </c>
      <c r="Q38" s="87">
        <v>0</v>
      </c>
      <c r="R38" s="87">
        <v>460.99999999999994</v>
      </c>
      <c r="S38" s="87">
        <v>1</v>
      </c>
      <c r="T38" s="87"/>
      <c r="U38" s="87"/>
      <c r="V38" s="87"/>
      <c r="X38" s="81">
        <f t="shared" si="46"/>
        <v>2008</v>
      </c>
      <c r="Y38" s="87">
        <f t="shared" ca="1" si="47"/>
        <v>0</v>
      </c>
      <c r="Z38" s="87">
        <f t="shared" ca="1" si="35"/>
        <v>0</v>
      </c>
      <c r="AA38" s="87">
        <f t="shared" ca="1" si="35"/>
        <v>0</v>
      </c>
      <c r="AB38" s="87">
        <f t="shared" ca="1" si="35"/>
        <v>0</v>
      </c>
      <c r="AC38" s="87">
        <f t="shared" ca="1" si="35"/>
        <v>0</v>
      </c>
      <c r="AD38" s="87">
        <f t="shared" ca="1" si="35"/>
        <v>20.600000000000005</v>
      </c>
      <c r="AE38" s="87">
        <f t="shared" ca="1" si="35"/>
        <v>22.7</v>
      </c>
      <c r="AF38" s="87">
        <f t="shared" ca="1" si="35"/>
        <v>4.3000000000000007</v>
      </c>
      <c r="AG38" s="87">
        <f t="shared" ca="1" si="35"/>
        <v>1.5</v>
      </c>
      <c r="AH38" s="87">
        <f t="shared" ca="1" si="35"/>
        <v>0</v>
      </c>
      <c r="AI38" s="87">
        <f t="shared" ca="1" si="35"/>
        <v>0</v>
      </c>
      <c r="AJ38" s="87">
        <f t="shared" ca="1" si="35"/>
        <v>0</v>
      </c>
      <c r="AL38" s="81">
        <f t="shared" si="48"/>
        <v>2008</v>
      </c>
      <c r="AM38" s="87">
        <f t="shared" ca="1" si="36"/>
        <v>0</v>
      </c>
      <c r="AN38" s="87">
        <f t="shared" ca="1" si="36"/>
        <v>0</v>
      </c>
      <c r="AO38" s="87">
        <f t="shared" ca="1" si="36"/>
        <v>0</v>
      </c>
      <c r="AP38" s="87">
        <f t="shared" ca="1" si="36"/>
        <v>0</v>
      </c>
      <c r="AQ38" s="87">
        <f t="shared" ca="1" si="36"/>
        <v>0.19999999999999929</v>
      </c>
      <c r="AR38" s="87">
        <f t="shared" ca="1" si="36"/>
        <v>39.600000000000009</v>
      </c>
      <c r="AS38" s="87">
        <f t="shared" ca="1" si="36"/>
        <v>57.6</v>
      </c>
      <c r="AT38" s="87">
        <f t="shared" ca="1" si="36"/>
        <v>27.000000000000004</v>
      </c>
      <c r="AU38" s="87">
        <f t="shared" ca="1" si="36"/>
        <v>10</v>
      </c>
      <c r="AV38" s="87">
        <f t="shared" ca="1" si="36"/>
        <v>0</v>
      </c>
      <c r="AW38" s="87">
        <f t="shared" ca="1" si="36"/>
        <v>0</v>
      </c>
      <c r="AX38" s="87">
        <f t="shared" ca="1" si="36"/>
        <v>0</v>
      </c>
      <c r="AY38" s="93"/>
      <c r="AZ38" s="81">
        <f t="shared" si="49"/>
        <v>2008</v>
      </c>
      <c r="BA38" s="87">
        <f t="shared" ca="1" si="37"/>
        <v>0</v>
      </c>
      <c r="BB38" s="87">
        <f t="shared" ca="1" si="37"/>
        <v>0</v>
      </c>
      <c r="BC38" s="87">
        <f t="shared" ca="1" si="37"/>
        <v>0</v>
      </c>
      <c r="BD38" s="87">
        <f t="shared" ca="1" si="37"/>
        <v>0</v>
      </c>
      <c r="BE38" s="87">
        <f t="shared" ca="1" si="37"/>
        <v>2.5</v>
      </c>
      <c r="BF38" s="87">
        <f t="shared" ca="1" si="37"/>
        <v>71.5</v>
      </c>
      <c r="BG38" s="87">
        <f t="shared" ca="1" si="37"/>
        <v>111</v>
      </c>
      <c r="BH38" s="87">
        <f t="shared" ca="1" si="37"/>
        <v>64</v>
      </c>
      <c r="BI38" s="87">
        <f t="shared" ca="1" si="37"/>
        <v>26.7</v>
      </c>
      <c r="BJ38" s="87">
        <f t="shared" ca="1" si="37"/>
        <v>0</v>
      </c>
      <c r="BK38" s="87">
        <f t="shared" ca="1" si="37"/>
        <v>0</v>
      </c>
      <c r="BL38" s="87">
        <f t="shared" ca="1" si="37"/>
        <v>0</v>
      </c>
      <c r="BM38" s="93">
        <f t="shared" ca="1" si="38"/>
        <v>275.7</v>
      </c>
      <c r="BN38" s="81">
        <f t="shared" si="50"/>
        <v>2008</v>
      </c>
      <c r="BO38" s="87">
        <f t="shared" ca="1" si="39"/>
        <v>0</v>
      </c>
      <c r="BP38" s="87">
        <f t="shared" ca="1" si="39"/>
        <v>0</v>
      </c>
      <c r="BQ38" s="87">
        <f t="shared" ca="1" si="39"/>
        <v>0</v>
      </c>
      <c r="BR38" s="87">
        <f t="shared" ca="1" si="39"/>
        <v>2.7000000000000064</v>
      </c>
      <c r="BS38" s="87">
        <f t="shared" ca="1" si="39"/>
        <v>6.5</v>
      </c>
      <c r="BT38" s="87">
        <f t="shared" ca="1" si="39"/>
        <v>117.30000000000001</v>
      </c>
      <c r="BU38" s="87">
        <f t="shared" ca="1" si="39"/>
        <v>172.00000000000003</v>
      </c>
      <c r="BV38" s="87">
        <f t="shared" ca="1" si="39"/>
        <v>115.4</v>
      </c>
      <c r="BW38" s="87">
        <f t="shared" ca="1" si="39"/>
        <v>54.400000000000006</v>
      </c>
      <c r="BX38" s="87">
        <f t="shared" ca="1" si="39"/>
        <v>0.89999999999999858</v>
      </c>
      <c r="BY38" s="87">
        <f t="shared" ca="1" si="39"/>
        <v>0</v>
      </c>
      <c r="BZ38" s="87">
        <f t="shared" ca="1" si="39"/>
        <v>0</v>
      </c>
      <c r="CB38" s="81">
        <f t="shared" si="51"/>
        <v>2008</v>
      </c>
      <c r="CC38" s="87">
        <f t="shared" ca="1" si="40"/>
        <v>0</v>
      </c>
      <c r="CD38" s="87">
        <f t="shared" ca="1" si="40"/>
        <v>0</v>
      </c>
      <c r="CE38" s="87">
        <f t="shared" ca="1" si="40"/>
        <v>0</v>
      </c>
      <c r="CF38" s="87">
        <f t="shared" ca="1" si="40"/>
        <v>17.000000000000007</v>
      </c>
      <c r="CG38" s="87">
        <f t="shared" ca="1" si="40"/>
        <v>14.5</v>
      </c>
      <c r="CH38" s="87">
        <f t="shared" ca="1" si="40"/>
        <v>170.20000000000002</v>
      </c>
      <c r="CI38" s="87">
        <f t="shared" ca="1" si="40"/>
        <v>234.00000000000006</v>
      </c>
      <c r="CJ38" s="87">
        <f t="shared" ca="1" si="40"/>
        <v>175.39999999999998</v>
      </c>
      <c r="CK38" s="87">
        <f t="shared" ca="1" si="40"/>
        <v>92.90000000000002</v>
      </c>
      <c r="CL38" s="87">
        <f t="shared" ca="1" si="40"/>
        <v>3.4999999999999982</v>
      </c>
      <c r="CM38" s="87">
        <f t="shared" ca="1" si="40"/>
        <v>0</v>
      </c>
      <c r="CN38" s="87">
        <f t="shared" ca="1" si="40"/>
        <v>0</v>
      </c>
      <c r="CP38" s="81">
        <f t="shared" si="52"/>
        <v>2008</v>
      </c>
      <c r="CQ38" s="87">
        <f t="shared" ca="1" si="41"/>
        <v>1.4000000000000004</v>
      </c>
      <c r="CR38" s="87">
        <f t="shared" ca="1" si="41"/>
        <v>0</v>
      </c>
      <c r="CS38" s="87">
        <f t="shared" ca="1" si="41"/>
        <v>0</v>
      </c>
      <c r="CT38" s="87">
        <f t="shared" ca="1" si="41"/>
        <v>36.800000000000004</v>
      </c>
      <c r="CU38" s="87">
        <f t="shared" ca="1" si="41"/>
        <v>32.700000000000003</v>
      </c>
      <c r="CV38" s="87">
        <f t="shared" ca="1" si="41"/>
        <v>228.79999999999998</v>
      </c>
      <c r="CW38" s="87">
        <f t="shared" ca="1" si="41"/>
        <v>296</v>
      </c>
      <c r="CX38" s="87">
        <f t="shared" ca="1" si="41"/>
        <v>237.29999999999995</v>
      </c>
      <c r="CY38" s="87">
        <f t="shared" ca="1" si="41"/>
        <v>147.70000000000002</v>
      </c>
      <c r="CZ38" s="87">
        <f t="shared" ca="1" si="41"/>
        <v>13.1</v>
      </c>
      <c r="DA38" s="87">
        <f t="shared" ca="1" si="41"/>
        <v>0.69999999999999929</v>
      </c>
      <c r="DB38" s="87">
        <f t="shared" ca="1" si="41"/>
        <v>0</v>
      </c>
      <c r="DD38" s="81">
        <f t="shared" si="53"/>
        <v>2008</v>
      </c>
      <c r="DE38" s="87">
        <f t="shared" ca="1" si="42"/>
        <v>4.3000000000000007</v>
      </c>
      <c r="DF38" s="87">
        <f t="shared" ca="1" si="43"/>
        <v>0</v>
      </c>
      <c r="DG38" s="87">
        <f t="shared" ca="1" si="43"/>
        <v>0</v>
      </c>
      <c r="DH38" s="87">
        <f t="shared" ca="1" si="43"/>
        <v>64</v>
      </c>
      <c r="DI38" s="87">
        <f t="shared" ca="1" si="43"/>
        <v>70.900000000000006</v>
      </c>
      <c r="DJ38" s="87">
        <f t="shared" ca="1" si="43"/>
        <v>288.8</v>
      </c>
      <c r="DK38" s="87">
        <f t="shared" ca="1" si="43"/>
        <v>358</v>
      </c>
      <c r="DL38" s="87">
        <f t="shared" ca="1" si="43"/>
        <v>299.30000000000007</v>
      </c>
      <c r="DM38" s="87">
        <f t="shared" ca="1" si="43"/>
        <v>207.70000000000005</v>
      </c>
      <c r="DN38" s="87">
        <f t="shared" ca="1" si="43"/>
        <v>31.3</v>
      </c>
      <c r="DO38" s="87">
        <f t="shared" ca="1" si="43"/>
        <v>7.7999999999999989</v>
      </c>
      <c r="DP38" s="87">
        <f t="shared" ca="1" si="43"/>
        <v>0</v>
      </c>
      <c r="DR38" s="81">
        <f t="shared" si="54"/>
        <v>2008</v>
      </c>
      <c r="DS38" s="87">
        <f t="shared" ca="1" si="44"/>
        <v>8.3000000000000007</v>
      </c>
      <c r="DT38" s="87">
        <f t="shared" ca="1" si="45"/>
        <v>0</v>
      </c>
      <c r="DU38" s="87">
        <f t="shared" ca="1" si="45"/>
        <v>0</v>
      </c>
      <c r="DV38" s="87">
        <f t="shared" ca="1" si="45"/>
        <v>92.600000000000023</v>
      </c>
      <c r="DW38" s="87">
        <f t="shared" ca="1" si="45"/>
        <v>122.50000000000001</v>
      </c>
      <c r="DX38" s="87">
        <f t="shared" ca="1" si="45"/>
        <v>348.80000000000007</v>
      </c>
      <c r="DY38" s="87">
        <f t="shared" ca="1" si="45"/>
        <v>419.99999999999994</v>
      </c>
      <c r="DZ38" s="87">
        <f t="shared" ca="1" si="45"/>
        <v>361.30000000000007</v>
      </c>
      <c r="EA38" s="87">
        <f t="shared" ca="1" si="45"/>
        <v>267.70000000000005</v>
      </c>
      <c r="EB38" s="87">
        <f t="shared" ca="1" si="45"/>
        <v>63.100000000000009</v>
      </c>
      <c r="EC38" s="87">
        <f t="shared" ca="1" si="45"/>
        <v>20</v>
      </c>
      <c r="ED38" s="87">
        <f t="shared" ca="1" si="45"/>
        <v>0</v>
      </c>
      <c r="EG38" s="86"/>
      <c r="EH38" s="86"/>
      <c r="EI38" s="86"/>
      <c r="EK38" s="86"/>
      <c r="EL38" s="86"/>
      <c r="EM38" s="82"/>
      <c r="EO38" s="82"/>
      <c r="EP38" s="85"/>
      <c r="EQ38" s="84"/>
      <c r="ER38" s="84"/>
      <c r="FA38" s="265" t="s">
        <v>145</v>
      </c>
      <c r="FB38" s="266">
        <v>0.56274333345641303</v>
      </c>
      <c r="FC38" s="266" t="s">
        <v>146</v>
      </c>
      <c r="FD38" s="266">
        <v>0.55557519138192801</v>
      </c>
      <c r="FE38" s="267"/>
      <c r="FF38" s="268"/>
    </row>
    <row r="39" spans="1:162" x14ac:dyDescent="0.2">
      <c r="A39" s="81">
        <v>2005</v>
      </c>
      <c r="B39" s="88">
        <v>2</v>
      </c>
      <c r="C39" s="88">
        <v>-4.0142857142857142</v>
      </c>
      <c r="D39" s="87">
        <v>728.4</v>
      </c>
      <c r="E39" s="87">
        <v>0</v>
      </c>
      <c r="F39" s="87">
        <v>672.39999999999986</v>
      </c>
      <c r="G39" s="87">
        <v>0</v>
      </c>
      <c r="H39" s="133">
        <v>616.39999999999986</v>
      </c>
      <c r="I39" s="133">
        <v>0</v>
      </c>
      <c r="J39" s="87">
        <v>560.39999999999975</v>
      </c>
      <c r="K39" s="87">
        <v>0</v>
      </c>
      <c r="L39" s="87">
        <v>504.39999999999992</v>
      </c>
      <c r="M39" s="87">
        <v>0</v>
      </c>
      <c r="N39" s="87">
        <v>448.39999999999992</v>
      </c>
      <c r="O39" s="87">
        <v>0</v>
      </c>
      <c r="P39" s="87">
        <v>392.39999999999992</v>
      </c>
      <c r="Q39" s="87">
        <v>0</v>
      </c>
      <c r="R39" s="87">
        <v>336.39999999999992</v>
      </c>
      <c r="S39" s="87">
        <v>0</v>
      </c>
      <c r="T39" s="87"/>
      <c r="U39" s="87"/>
      <c r="V39" s="87"/>
      <c r="X39" s="81">
        <f t="shared" si="46"/>
        <v>2009</v>
      </c>
      <c r="Y39" s="87">
        <f t="shared" ca="1" si="47"/>
        <v>0</v>
      </c>
      <c r="Z39" s="87">
        <f t="shared" ca="1" si="35"/>
        <v>0</v>
      </c>
      <c r="AA39" s="87">
        <f t="shared" ca="1" si="35"/>
        <v>0</v>
      </c>
      <c r="AB39" s="87">
        <f t="shared" ca="1" si="35"/>
        <v>0</v>
      </c>
      <c r="AC39" s="87">
        <f t="shared" ca="1" si="35"/>
        <v>0</v>
      </c>
      <c r="AD39" s="87">
        <f t="shared" ca="1" si="35"/>
        <v>6.5</v>
      </c>
      <c r="AE39" s="87">
        <f t="shared" ca="1" si="35"/>
        <v>2</v>
      </c>
      <c r="AF39" s="87">
        <f t="shared" ca="1" si="35"/>
        <v>22.699999999999996</v>
      </c>
      <c r="AG39" s="87">
        <f t="shared" ca="1" si="35"/>
        <v>0</v>
      </c>
      <c r="AH39" s="87">
        <f t="shared" ca="1" si="35"/>
        <v>0</v>
      </c>
      <c r="AI39" s="87">
        <f t="shared" ca="1" si="35"/>
        <v>0</v>
      </c>
      <c r="AJ39" s="87">
        <f t="shared" ca="1" si="35"/>
        <v>0</v>
      </c>
      <c r="AL39" s="81">
        <f t="shared" si="48"/>
        <v>2009</v>
      </c>
      <c r="AM39" s="87">
        <f t="shared" ca="1" si="36"/>
        <v>0</v>
      </c>
      <c r="AN39" s="87">
        <f t="shared" ca="1" si="36"/>
        <v>0</v>
      </c>
      <c r="AO39" s="87">
        <f t="shared" ca="1" si="36"/>
        <v>0</v>
      </c>
      <c r="AP39" s="87">
        <f t="shared" ca="1" si="36"/>
        <v>0</v>
      </c>
      <c r="AQ39" s="87">
        <f t="shared" ca="1" si="36"/>
        <v>2.3000000000000007</v>
      </c>
      <c r="AR39" s="87">
        <f t="shared" ca="1" si="36"/>
        <v>18.399999999999999</v>
      </c>
      <c r="AS39" s="87">
        <f t="shared" ca="1" si="36"/>
        <v>12.899999999999999</v>
      </c>
      <c r="AT39" s="87">
        <f t="shared" ca="1" si="36"/>
        <v>49.70000000000001</v>
      </c>
      <c r="AU39" s="87">
        <f t="shared" ca="1" si="36"/>
        <v>4.5</v>
      </c>
      <c r="AV39" s="87">
        <f t="shared" ca="1" si="36"/>
        <v>0</v>
      </c>
      <c r="AW39" s="87">
        <f t="shared" ca="1" si="36"/>
        <v>0</v>
      </c>
      <c r="AX39" s="87">
        <f t="shared" ca="1" si="36"/>
        <v>0</v>
      </c>
      <c r="AY39" s="93"/>
      <c r="AZ39" s="81">
        <f t="shared" si="49"/>
        <v>2009</v>
      </c>
      <c r="BA39" s="87">
        <f t="shared" ca="1" si="37"/>
        <v>0</v>
      </c>
      <c r="BB39" s="87">
        <f t="shared" ca="1" si="37"/>
        <v>0</v>
      </c>
      <c r="BC39" s="87">
        <f t="shared" ca="1" si="37"/>
        <v>0</v>
      </c>
      <c r="BD39" s="87">
        <f t="shared" ca="1" si="37"/>
        <v>1.1999999999999993</v>
      </c>
      <c r="BE39" s="87">
        <f t="shared" ca="1" si="37"/>
        <v>6.9000000000000021</v>
      </c>
      <c r="BF39" s="87">
        <f t="shared" ca="1" si="37"/>
        <v>34.199999999999996</v>
      </c>
      <c r="BG39" s="87">
        <f t="shared" ca="1" si="37"/>
        <v>43.699999999999996</v>
      </c>
      <c r="BH39" s="87">
        <f t="shared" ca="1" si="37"/>
        <v>91.000000000000028</v>
      </c>
      <c r="BI39" s="87">
        <f t="shared" ca="1" si="37"/>
        <v>20.9</v>
      </c>
      <c r="BJ39" s="87">
        <f t="shared" ca="1" si="37"/>
        <v>0</v>
      </c>
      <c r="BK39" s="87">
        <f t="shared" ca="1" si="37"/>
        <v>0</v>
      </c>
      <c r="BL39" s="87">
        <f t="shared" ca="1" si="37"/>
        <v>0</v>
      </c>
      <c r="BM39" s="93">
        <f t="shared" ca="1" si="38"/>
        <v>197.90000000000003</v>
      </c>
      <c r="BN39" s="81">
        <f t="shared" si="50"/>
        <v>2009</v>
      </c>
      <c r="BO39" s="87">
        <f t="shared" ca="1" si="39"/>
        <v>0</v>
      </c>
      <c r="BP39" s="87">
        <f t="shared" ca="1" si="39"/>
        <v>0</v>
      </c>
      <c r="BQ39" s="87">
        <f t="shared" ca="1" si="39"/>
        <v>0</v>
      </c>
      <c r="BR39" s="87">
        <f t="shared" ca="1" si="39"/>
        <v>4.5</v>
      </c>
      <c r="BS39" s="87">
        <f t="shared" ca="1" si="39"/>
        <v>14.599999999999998</v>
      </c>
      <c r="BT39" s="87">
        <f t="shared" ca="1" si="39"/>
        <v>67.800000000000011</v>
      </c>
      <c r="BU39" s="87">
        <f t="shared" ca="1" si="39"/>
        <v>99.5</v>
      </c>
      <c r="BV39" s="87">
        <f t="shared" ca="1" si="39"/>
        <v>144.5</v>
      </c>
      <c r="BW39" s="87">
        <f t="shared" ca="1" si="39"/>
        <v>55.5</v>
      </c>
      <c r="BX39" s="87">
        <f t="shared" ca="1" si="39"/>
        <v>0</v>
      </c>
      <c r="BY39" s="87">
        <f t="shared" ca="1" si="39"/>
        <v>0</v>
      </c>
      <c r="BZ39" s="87">
        <f t="shared" ca="1" si="39"/>
        <v>0</v>
      </c>
      <c r="CB39" s="81">
        <f t="shared" si="51"/>
        <v>2009</v>
      </c>
      <c r="CC39" s="87">
        <f t="shared" ca="1" si="40"/>
        <v>0</v>
      </c>
      <c r="CD39" s="87">
        <f t="shared" ca="1" si="40"/>
        <v>0</v>
      </c>
      <c r="CE39" s="87">
        <f t="shared" ca="1" si="40"/>
        <v>0</v>
      </c>
      <c r="CF39" s="87">
        <f t="shared" ca="1" si="40"/>
        <v>9.1</v>
      </c>
      <c r="CG39" s="87">
        <f t="shared" ca="1" si="40"/>
        <v>31.199999999999996</v>
      </c>
      <c r="CH39" s="87">
        <f t="shared" ca="1" si="40"/>
        <v>109.5</v>
      </c>
      <c r="CI39" s="87">
        <f t="shared" ca="1" si="40"/>
        <v>161.50000000000003</v>
      </c>
      <c r="CJ39" s="87">
        <f t="shared" ca="1" si="40"/>
        <v>205.19999999999993</v>
      </c>
      <c r="CK39" s="87">
        <f t="shared" ca="1" si="40"/>
        <v>98</v>
      </c>
      <c r="CL39" s="87">
        <f t="shared" ca="1" si="40"/>
        <v>0</v>
      </c>
      <c r="CM39" s="87">
        <f t="shared" ca="1" si="40"/>
        <v>0</v>
      </c>
      <c r="CN39" s="87">
        <f t="shared" ca="1" si="40"/>
        <v>0</v>
      </c>
      <c r="CP39" s="81">
        <f t="shared" si="52"/>
        <v>2009</v>
      </c>
      <c r="CQ39" s="87">
        <f t="shared" ca="1" si="41"/>
        <v>0</v>
      </c>
      <c r="CR39" s="87">
        <f t="shared" ca="1" si="41"/>
        <v>0</v>
      </c>
      <c r="CS39" s="87">
        <f t="shared" ca="1" si="41"/>
        <v>0</v>
      </c>
      <c r="CT39" s="87">
        <f t="shared" ca="1" si="41"/>
        <v>16.399999999999999</v>
      </c>
      <c r="CU39" s="87">
        <f t="shared" ca="1" si="41"/>
        <v>62.199999999999996</v>
      </c>
      <c r="CV39" s="87">
        <f t="shared" ca="1" si="41"/>
        <v>164.89999999999998</v>
      </c>
      <c r="CW39" s="87">
        <f t="shared" ca="1" si="41"/>
        <v>223.50000000000003</v>
      </c>
      <c r="CX39" s="87">
        <f t="shared" ca="1" si="41"/>
        <v>267.19999999999993</v>
      </c>
      <c r="CY39" s="87">
        <f t="shared" ca="1" si="41"/>
        <v>149.5</v>
      </c>
      <c r="CZ39" s="87">
        <f t="shared" ca="1" si="41"/>
        <v>3.0999999999999996</v>
      </c>
      <c r="DA39" s="87">
        <f t="shared" ca="1" si="41"/>
        <v>0</v>
      </c>
      <c r="DB39" s="87">
        <f t="shared" ca="1" si="41"/>
        <v>0</v>
      </c>
      <c r="DD39" s="81">
        <f t="shared" si="53"/>
        <v>2009</v>
      </c>
      <c r="DE39" s="87">
        <f t="shared" ca="1" si="42"/>
        <v>0</v>
      </c>
      <c r="DF39" s="87">
        <f t="shared" ca="1" si="43"/>
        <v>0</v>
      </c>
      <c r="DG39" s="87">
        <f t="shared" ca="1" si="43"/>
        <v>9.9999999999999645E-2</v>
      </c>
      <c r="DH39" s="87">
        <f t="shared" ca="1" si="43"/>
        <v>31.299999999999997</v>
      </c>
      <c r="DI39" s="87">
        <f t="shared" ca="1" si="43"/>
        <v>108.70000000000002</v>
      </c>
      <c r="DJ39" s="87">
        <f t="shared" ca="1" si="43"/>
        <v>224.89999999999995</v>
      </c>
      <c r="DK39" s="87">
        <f t="shared" ca="1" si="43"/>
        <v>285.5</v>
      </c>
      <c r="DL39" s="87">
        <f t="shared" ca="1" si="43"/>
        <v>329.19999999999993</v>
      </c>
      <c r="DM39" s="87">
        <f t="shared" ca="1" si="43"/>
        <v>207.00000000000003</v>
      </c>
      <c r="DN39" s="87">
        <f t="shared" ca="1" si="43"/>
        <v>21.099999999999998</v>
      </c>
      <c r="DO39" s="87">
        <f t="shared" ca="1" si="43"/>
        <v>3.2000000000000011</v>
      </c>
      <c r="DP39" s="87">
        <f t="shared" ca="1" si="43"/>
        <v>0</v>
      </c>
      <c r="DR39" s="81">
        <f t="shared" si="54"/>
        <v>2009</v>
      </c>
      <c r="DS39" s="87">
        <f t="shared" ca="1" si="44"/>
        <v>0</v>
      </c>
      <c r="DT39" s="87">
        <f t="shared" ca="1" si="45"/>
        <v>0</v>
      </c>
      <c r="DU39" s="87">
        <f t="shared" ca="1" si="45"/>
        <v>2.9000000000000004</v>
      </c>
      <c r="DV39" s="87">
        <f t="shared" ca="1" si="45"/>
        <v>50.300000000000004</v>
      </c>
      <c r="DW39" s="87">
        <f t="shared" ca="1" si="45"/>
        <v>159.9</v>
      </c>
      <c r="DX39" s="87">
        <f t="shared" ca="1" si="45"/>
        <v>284.89999999999998</v>
      </c>
      <c r="DY39" s="87">
        <f t="shared" ca="1" si="45"/>
        <v>347.5</v>
      </c>
      <c r="DZ39" s="87">
        <f t="shared" ca="1" si="45"/>
        <v>391.19999999999993</v>
      </c>
      <c r="EA39" s="87">
        <f t="shared" ca="1" si="45"/>
        <v>265.70000000000005</v>
      </c>
      <c r="EB39" s="87">
        <f t="shared" ca="1" si="45"/>
        <v>56.199999999999989</v>
      </c>
      <c r="EC39" s="87">
        <f t="shared" ca="1" si="45"/>
        <v>12.4</v>
      </c>
      <c r="ED39" s="87">
        <f t="shared" ca="1" si="45"/>
        <v>0</v>
      </c>
      <c r="EG39" s="86"/>
      <c r="EH39" s="86"/>
      <c r="EI39" s="86"/>
      <c r="EK39" s="86"/>
      <c r="EL39" s="86"/>
      <c r="EM39" s="82"/>
      <c r="EO39" s="82"/>
      <c r="EP39" s="85"/>
      <c r="EQ39" s="84"/>
      <c r="ER39" s="84"/>
      <c r="FA39" s="265" t="s">
        <v>147</v>
      </c>
      <c r="FB39" s="266">
        <v>72.572356811348698</v>
      </c>
      <c r="FC39" s="266" t="s">
        <v>148</v>
      </c>
      <c r="FD39" s="270">
        <v>1.7234869961260398E-21</v>
      </c>
      <c r="FE39" s="267"/>
      <c r="FF39" s="268"/>
    </row>
    <row r="40" spans="1:162" x14ac:dyDescent="0.2">
      <c r="A40" s="81">
        <v>2005</v>
      </c>
      <c r="B40" s="88">
        <v>3</v>
      </c>
      <c r="C40" s="88">
        <v>-1.6322580645161293</v>
      </c>
      <c r="D40" s="87">
        <v>732.6</v>
      </c>
      <c r="E40" s="87">
        <v>0</v>
      </c>
      <c r="F40" s="87">
        <v>670.6</v>
      </c>
      <c r="G40" s="87">
        <v>0</v>
      </c>
      <c r="H40" s="133">
        <v>608.6</v>
      </c>
      <c r="I40" s="133">
        <v>0</v>
      </c>
      <c r="J40" s="87">
        <v>546.59999999999991</v>
      </c>
      <c r="K40" s="87">
        <v>0</v>
      </c>
      <c r="L40" s="87">
        <v>484.6</v>
      </c>
      <c r="M40" s="87">
        <v>0</v>
      </c>
      <c r="N40" s="87">
        <v>422.6</v>
      </c>
      <c r="O40" s="87">
        <v>0</v>
      </c>
      <c r="P40" s="87">
        <v>361.1</v>
      </c>
      <c r="Q40" s="87">
        <v>0.5</v>
      </c>
      <c r="R40" s="87">
        <v>301.10000000000008</v>
      </c>
      <c r="S40" s="87">
        <v>2.5</v>
      </c>
      <c r="T40" s="87"/>
      <c r="U40" s="87"/>
      <c r="V40" s="87"/>
      <c r="X40" s="81">
        <f t="shared" si="46"/>
        <v>2010</v>
      </c>
      <c r="Y40" s="87">
        <f t="shared" ca="1" si="47"/>
        <v>0</v>
      </c>
      <c r="Z40" s="87">
        <f t="shared" ca="1" si="35"/>
        <v>0</v>
      </c>
      <c r="AA40" s="87">
        <f t="shared" ca="1" si="35"/>
        <v>0</v>
      </c>
      <c r="AB40" s="87">
        <f t="shared" ref="Z40:AJ51" ca="1" si="55">OFFSET($E$2,(ROW()-32)*12+COLUMN()-25,0)</f>
        <v>0</v>
      </c>
      <c r="AC40" s="87">
        <f t="shared" ca="1" si="55"/>
        <v>6.6999999999999957</v>
      </c>
      <c r="AD40" s="87">
        <f t="shared" ca="1" si="55"/>
        <v>5.6999999999999993</v>
      </c>
      <c r="AE40" s="87">
        <f t="shared" ca="1" si="55"/>
        <v>56.400000000000006</v>
      </c>
      <c r="AF40" s="87">
        <f t="shared" ca="1" si="55"/>
        <v>44.2</v>
      </c>
      <c r="AG40" s="87">
        <f t="shared" ca="1" si="55"/>
        <v>11.700000000000003</v>
      </c>
      <c r="AH40" s="87">
        <f t="shared" ca="1" si="55"/>
        <v>0</v>
      </c>
      <c r="AI40" s="87">
        <f t="shared" ca="1" si="55"/>
        <v>0</v>
      </c>
      <c r="AJ40" s="87">
        <f t="shared" ca="1" si="55"/>
        <v>0</v>
      </c>
      <c r="AL40" s="81">
        <f t="shared" si="48"/>
        <v>2010</v>
      </c>
      <c r="AM40" s="87">
        <f t="shared" ca="1" si="36"/>
        <v>0</v>
      </c>
      <c r="AN40" s="87">
        <f t="shared" ca="1" si="36"/>
        <v>0</v>
      </c>
      <c r="AO40" s="87">
        <f t="shared" ca="1" si="36"/>
        <v>0</v>
      </c>
      <c r="AP40" s="87">
        <f t="shared" ca="1" si="36"/>
        <v>0</v>
      </c>
      <c r="AQ40" s="87">
        <f t="shared" ca="1" si="36"/>
        <v>21.299999999999997</v>
      </c>
      <c r="AR40" s="87">
        <f t="shared" ca="1" si="36"/>
        <v>23.3</v>
      </c>
      <c r="AS40" s="87">
        <f t="shared" ca="1" si="36"/>
        <v>108.39999999999999</v>
      </c>
      <c r="AT40" s="87">
        <f t="shared" ca="1" si="36"/>
        <v>86.200000000000017</v>
      </c>
      <c r="AU40" s="87">
        <f t="shared" ca="1" si="36"/>
        <v>20.100000000000001</v>
      </c>
      <c r="AV40" s="87">
        <f t="shared" ca="1" si="36"/>
        <v>0</v>
      </c>
      <c r="AW40" s="87">
        <f t="shared" ca="1" si="36"/>
        <v>0</v>
      </c>
      <c r="AX40" s="87">
        <f t="shared" ca="1" si="36"/>
        <v>0</v>
      </c>
      <c r="AY40" s="93"/>
      <c r="AZ40" s="81">
        <f t="shared" si="49"/>
        <v>2010</v>
      </c>
      <c r="BA40" s="87">
        <f t="shared" ca="1" si="37"/>
        <v>0</v>
      </c>
      <c r="BB40" s="87">
        <f t="shared" ca="1" si="37"/>
        <v>0</v>
      </c>
      <c r="BC40" s="87">
        <f t="shared" ca="1" si="37"/>
        <v>0</v>
      </c>
      <c r="BD40" s="87">
        <f t="shared" ca="1" si="37"/>
        <v>0</v>
      </c>
      <c r="BE40" s="87">
        <f t="shared" ca="1" si="37"/>
        <v>45.699999999999996</v>
      </c>
      <c r="BF40" s="87">
        <f t="shared" ca="1" si="37"/>
        <v>58.7</v>
      </c>
      <c r="BG40" s="87">
        <f t="shared" ca="1" si="37"/>
        <v>164.89999999999998</v>
      </c>
      <c r="BH40" s="87">
        <f t="shared" ca="1" si="37"/>
        <v>138.79999999999998</v>
      </c>
      <c r="BI40" s="87">
        <f t="shared" ca="1" si="37"/>
        <v>31.5</v>
      </c>
      <c r="BJ40" s="87">
        <f t="shared" ca="1" si="37"/>
        <v>0</v>
      </c>
      <c r="BK40" s="87">
        <f t="shared" ca="1" si="37"/>
        <v>0</v>
      </c>
      <c r="BL40" s="87">
        <f t="shared" ca="1" si="37"/>
        <v>0</v>
      </c>
      <c r="BM40" s="93">
        <f t="shared" ca="1" si="38"/>
        <v>439.59999999999991</v>
      </c>
      <c r="BN40" s="81">
        <f t="shared" si="50"/>
        <v>2010</v>
      </c>
      <c r="BO40" s="87">
        <f t="shared" ca="1" si="39"/>
        <v>0</v>
      </c>
      <c r="BP40" s="87">
        <f t="shared" ca="1" si="39"/>
        <v>0</v>
      </c>
      <c r="BQ40" s="87">
        <f t="shared" ca="1" si="39"/>
        <v>0</v>
      </c>
      <c r="BR40" s="87">
        <f t="shared" ca="1" si="39"/>
        <v>0.5</v>
      </c>
      <c r="BS40" s="87">
        <f t="shared" ca="1" si="39"/>
        <v>77.299999999999983</v>
      </c>
      <c r="BT40" s="87">
        <f t="shared" ca="1" si="39"/>
        <v>105.1</v>
      </c>
      <c r="BU40" s="87">
        <f t="shared" ca="1" si="39"/>
        <v>225.1</v>
      </c>
      <c r="BV40" s="87">
        <f t="shared" ca="1" si="39"/>
        <v>198.7</v>
      </c>
      <c r="BW40" s="87">
        <f t="shared" ca="1" si="39"/>
        <v>51.099999999999994</v>
      </c>
      <c r="BX40" s="87">
        <f t="shared" ca="1" si="39"/>
        <v>0.60000000000000142</v>
      </c>
      <c r="BY40" s="87">
        <f t="shared" ca="1" si="39"/>
        <v>0</v>
      </c>
      <c r="BZ40" s="87">
        <f t="shared" ca="1" si="39"/>
        <v>0</v>
      </c>
      <c r="CB40" s="81">
        <f t="shared" si="51"/>
        <v>2010</v>
      </c>
      <c r="CC40" s="87">
        <f t="shared" ca="1" si="40"/>
        <v>0</v>
      </c>
      <c r="CD40" s="87">
        <f t="shared" ca="1" si="40"/>
        <v>0</v>
      </c>
      <c r="CE40" s="87">
        <f t="shared" ca="1" si="40"/>
        <v>0</v>
      </c>
      <c r="CF40" s="87">
        <f t="shared" ca="1" si="40"/>
        <v>6.9</v>
      </c>
      <c r="CG40" s="87">
        <f t="shared" ca="1" si="40"/>
        <v>114.6</v>
      </c>
      <c r="CH40" s="87">
        <f t="shared" ca="1" si="40"/>
        <v>157.10000000000002</v>
      </c>
      <c r="CI40" s="87">
        <f t="shared" ca="1" si="40"/>
        <v>287.09999999999991</v>
      </c>
      <c r="CJ40" s="87">
        <f t="shared" ca="1" si="40"/>
        <v>260.7</v>
      </c>
      <c r="CK40" s="87">
        <f t="shared" ca="1" si="40"/>
        <v>84.9</v>
      </c>
      <c r="CL40" s="87">
        <f t="shared" ca="1" si="40"/>
        <v>5.8000000000000007</v>
      </c>
      <c r="CM40" s="87">
        <f t="shared" ca="1" si="40"/>
        <v>0</v>
      </c>
      <c r="CN40" s="87">
        <f t="shared" ca="1" si="40"/>
        <v>0</v>
      </c>
      <c r="CP40" s="81">
        <f t="shared" si="52"/>
        <v>2010</v>
      </c>
      <c r="CQ40" s="87">
        <f t="shared" ca="1" si="41"/>
        <v>0</v>
      </c>
      <c r="CR40" s="87">
        <f t="shared" ca="1" si="41"/>
        <v>0</v>
      </c>
      <c r="CS40" s="87">
        <f t="shared" ca="1" si="41"/>
        <v>0</v>
      </c>
      <c r="CT40" s="87">
        <f t="shared" ca="1" si="41"/>
        <v>18.3</v>
      </c>
      <c r="CU40" s="87">
        <f t="shared" ca="1" si="41"/>
        <v>157.30000000000004</v>
      </c>
      <c r="CV40" s="87">
        <f t="shared" ca="1" si="41"/>
        <v>217</v>
      </c>
      <c r="CW40" s="87">
        <f t="shared" ca="1" si="41"/>
        <v>349.09999999999991</v>
      </c>
      <c r="CX40" s="87">
        <f t="shared" ca="1" si="41"/>
        <v>322.7</v>
      </c>
      <c r="CY40" s="87">
        <f t="shared" ca="1" si="41"/>
        <v>134.39999999999998</v>
      </c>
      <c r="CZ40" s="87">
        <f t="shared" ca="1" si="41"/>
        <v>18.5</v>
      </c>
      <c r="DA40" s="87">
        <f t="shared" ca="1" si="41"/>
        <v>0.19999999999999929</v>
      </c>
      <c r="DB40" s="87">
        <f t="shared" ca="1" si="41"/>
        <v>0</v>
      </c>
      <c r="DD40" s="81">
        <f t="shared" si="53"/>
        <v>2010</v>
      </c>
      <c r="DE40" s="87">
        <f t="shared" ca="1" si="42"/>
        <v>0</v>
      </c>
      <c r="DF40" s="87">
        <f t="shared" ca="1" si="43"/>
        <v>0</v>
      </c>
      <c r="DG40" s="87">
        <f t="shared" ca="1" si="43"/>
        <v>2.6999999999999993</v>
      </c>
      <c r="DH40" s="87">
        <f t="shared" ca="1" si="43"/>
        <v>45.199999999999989</v>
      </c>
      <c r="DI40" s="87">
        <f t="shared" ca="1" si="43"/>
        <v>203.8</v>
      </c>
      <c r="DJ40" s="87">
        <f t="shared" ca="1" si="43"/>
        <v>277</v>
      </c>
      <c r="DK40" s="87">
        <f t="shared" ca="1" si="43"/>
        <v>411.09999999999997</v>
      </c>
      <c r="DL40" s="87">
        <f t="shared" ca="1" si="43"/>
        <v>384.7000000000001</v>
      </c>
      <c r="DM40" s="87">
        <f t="shared" ca="1" si="43"/>
        <v>193.39999999999995</v>
      </c>
      <c r="DN40" s="87">
        <f t="shared" ca="1" si="43"/>
        <v>42.099999999999994</v>
      </c>
      <c r="DO40" s="87">
        <f t="shared" ca="1" si="43"/>
        <v>2.1999999999999993</v>
      </c>
      <c r="DP40" s="87">
        <f t="shared" ca="1" si="43"/>
        <v>0</v>
      </c>
      <c r="DR40" s="81">
        <f t="shared" si="54"/>
        <v>2010</v>
      </c>
      <c r="DS40" s="87">
        <f t="shared" ca="1" si="44"/>
        <v>0</v>
      </c>
      <c r="DT40" s="87">
        <f t="shared" ca="1" si="45"/>
        <v>0</v>
      </c>
      <c r="DU40" s="87">
        <f t="shared" ca="1" si="45"/>
        <v>9.9999999999999982</v>
      </c>
      <c r="DV40" s="87">
        <f t="shared" ca="1" si="45"/>
        <v>86.699999999999989</v>
      </c>
      <c r="DW40" s="87">
        <f t="shared" ca="1" si="45"/>
        <v>253.3</v>
      </c>
      <c r="DX40" s="87">
        <f t="shared" ca="1" si="45"/>
        <v>337.00000000000006</v>
      </c>
      <c r="DY40" s="87">
        <f t="shared" ca="1" si="45"/>
        <v>473.09999999999991</v>
      </c>
      <c r="DZ40" s="87">
        <f t="shared" ca="1" si="45"/>
        <v>446.70000000000005</v>
      </c>
      <c r="EA40" s="87">
        <f t="shared" ca="1" si="45"/>
        <v>253.39999999999995</v>
      </c>
      <c r="EB40" s="87">
        <f t="shared" ca="1" si="45"/>
        <v>81.600000000000023</v>
      </c>
      <c r="EC40" s="87">
        <f t="shared" ca="1" si="45"/>
        <v>4.8999999999999986</v>
      </c>
      <c r="ED40" s="87">
        <f t="shared" ca="1" si="45"/>
        <v>0</v>
      </c>
      <c r="EG40" s="86"/>
      <c r="EH40" s="86"/>
      <c r="EI40" s="86"/>
      <c r="EK40" s="86"/>
      <c r="EL40" s="86"/>
      <c r="EM40" s="82"/>
      <c r="EO40" s="82"/>
      <c r="EP40" s="85"/>
      <c r="EQ40" s="84"/>
      <c r="ER40" s="84"/>
      <c r="FA40" s="271" t="s">
        <v>149</v>
      </c>
      <c r="FB40" s="272">
        <v>-8.1665984900181794E-3</v>
      </c>
      <c r="FC40" s="272" t="s">
        <v>150</v>
      </c>
      <c r="FD40" s="272">
        <v>1.9447641572307801</v>
      </c>
      <c r="FE40" s="273"/>
      <c r="FF40" s="274"/>
    </row>
    <row r="41" spans="1:162" x14ac:dyDescent="0.2">
      <c r="A41" s="81">
        <v>2005</v>
      </c>
      <c r="B41" s="88">
        <v>4</v>
      </c>
      <c r="C41" s="88">
        <v>7.7733333333333343</v>
      </c>
      <c r="D41" s="87">
        <v>426.80000000000007</v>
      </c>
      <c r="E41" s="87">
        <v>0</v>
      </c>
      <c r="F41" s="87">
        <v>366.8</v>
      </c>
      <c r="G41" s="87">
        <v>0</v>
      </c>
      <c r="H41" s="133">
        <v>306.8</v>
      </c>
      <c r="I41" s="133">
        <v>0</v>
      </c>
      <c r="J41" s="87">
        <v>248.19999999999996</v>
      </c>
      <c r="K41" s="87">
        <v>1.3999999999999986</v>
      </c>
      <c r="L41" s="87">
        <v>190.19999999999996</v>
      </c>
      <c r="M41" s="87">
        <v>3.3999999999999986</v>
      </c>
      <c r="N41" s="87">
        <v>135.59999999999997</v>
      </c>
      <c r="O41" s="87">
        <v>8.7999999999999989</v>
      </c>
      <c r="P41" s="87">
        <v>83.2</v>
      </c>
      <c r="Q41" s="87">
        <v>16.399999999999999</v>
      </c>
      <c r="R41" s="87">
        <v>42.800000000000004</v>
      </c>
      <c r="S41" s="87">
        <v>35.999999999999993</v>
      </c>
      <c r="T41" s="87"/>
      <c r="U41" s="87"/>
      <c r="V41" s="87"/>
      <c r="X41" s="81">
        <f t="shared" si="46"/>
        <v>2011</v>
      </c>
      <c r="Y41" s="87">
        <f t="shared" ca="1" si="47"/>
        <v>0</v>
      </c>
      <c r="Z41" s="87">
        <f t="shared" ca="1" si="55"/>
        <v>0</v>
      </c>
      <c r="AA41" s="87">
        <f t="shared" ca="1" si="55"/>
        <v>0</v>
      </c>
      <c r="AB41" s="87">
        <f t="shared" ca="1" si="55"/>
        <v>0</v>
      </c>
      <c r="AC41" s="87">
        <f t="shared" ca="1" si="55"/>
        <v>1.3000000000000007</v>
      </c>
      <c r="AD41" s="87">
        <f t="shared" ca="1" si="55"/>
        <v>5.0999999999999979</v>
      </c>
      <c r="AE41" s="87">
        <f t="shared" ca="1" si="55"/>
        <v>80.40000000000002</v>
      </c>
      <c r="AF41" s="87">
        <f t="shared" ca="1" si="55"/>
        <v>27.5</v>
      </c>
      <c r="AG41" s="87">
        <f t="shared" ca="1" si="55"/>
        <v>6.0000000000000036</v>
      </c>
      <c r="AH41" s="87">
        <f t="shared" ca="1" si="55"/>
        <v>0</v>
      </c>
      <c r="AI41" s="87">
        <f t="shared" ca="1" si="55"/>
        <v>0</v>
      </c>
      <c r="AJ41" s="87">
        <f t="shared" ca="1" si="55"/>
        <v>0</v>
      </c>
      <c r="AL41" s="81">
        <f t="shared" si="48"/>
        <v>2011</v>
      </c>
      <c r="AM41" s="87">
        <f t="shared" ca="1" si="36"/>
        <v>0</v>
      </c>
      <c r="AN41" s="87">
        <f t="shared" ca="1" si="36"/>
        <v>0</v>
      </c>
      <c r="AO41" s="87">
        <f t="shared" ca="1" si="36"/>
        <v>0</v>
      </c>
      <c r="AP41" s="87">
        <f t="shared" ca="1" si="36"/>
        <v>0</v>
      </c>
      <c r="AQ41" s="87">
        <f t="shared" ca="1" si="36"/>
        <v>4.4000000000000021</v>
      </c>
      <c r="AR41" s="87">
        <f t="shared" ca="1" si="36"/>
        <v>17.199999999999996</v>
      </c>
      <c r="AS41" s="87">
        <f t="shared" ca="1" si="36"/>
        <v>136.79999999999998</v>
      </c>
      <c r="AT41" s="87">
        <f t="shared" ca="1" si="36"/>
        <v>67.900000000000006</v>
      </c>
      <c r="AU41" s="87">
        <f t="shared" ca="1" si="36"/>
        <v>17.100000000000005</v>
      </c>
      <c r="AV41" s="87">
        <f t="shared" ca="1" si="36"/>
        <v>0</v>
      </c>
      <c r="AW41" s="87">
        <f t="shared" ca="1" si="36"/>
        <v>0</v>
      </c>
      <c r="AX41" s="87">
        <f t="shared" ca="1" si="36"/>
        <v>0</v>
      </c>
      <c r="AY41" s="93"/>
      <c r="AZ41" s="81">
        <f t="shared" si="49"/>
        <v>2011</v>
      </c>
      <c r="BA41" s="87">
        <f t="shared" ca="1" si="37"/>
        <v>0</v>
      </c>
      <c r="BB41" s="87">
        <f t="shared" ca="1" si="37"/>
        <v>0</v>
      </c>
      <c r="BC41" s="87">
        <f t="shared" ca="1" si="37"/>
        <v>0</v>
      </c>
      <c r="BD41" s="87">
        <f t="shared" ca="1" si="37"/>
        <v>0</v>
      </c>
      <c r="BE41" s="87">
        <f t="shared" ca="1" si="37"/>
        <v>13</v>
      </c>
      <c r="BF41" s="87">
        <f t="shared" ca="1" si="37"/>
        <v>52.2</v>
      </c>
      <c r="BG41" s="87">
        <f t="shared" ca="1" si="37"/>
        <v>198.30000000000004</v>
      </c>
      <c r="BH41" s="87">
        <f t="shared" ca="1" si="37"/>
        <v>122.2</v>
      </c>
      <c r="BI41" s="87">
        <f t="shared" ca="1" si="37"/>
        <v>39.300000000000004</v>
      </c>
      <c r="BJ41" s="87">
        <f t="shared" ca="1" si="37"/>
        <v>2.3999999999999986</v>
      </c>
      <c r="BK41" s="87">
        <f t="shared" ca="1" si="37"/>
        <v>0</v>
      </c>
      <c r="BL41" s="87">
        <f t="shared" ca="1" si="37"/>
        <v>0</v>
      </c>
      <c r="BM41" s="93">
        <f t="shared" ca="1" si="38"/>
        <v>427.40000000000003</v>
      </c>
      <c r="BN41" s="81">
        <f t="shared" si="50"/>
        <v>2011</v>
      </c>
      <c r="BO41" s="87">
        <f t="shared" ca="1" si="39"/>
        <v>0</v>
      </c>
      <c r="BP41" s="87">
        <f t="shared" ca="1" si="39"/>
        <v>0</v>
      </c>
      <c r="BQ41" s="87">
        <f t="shared" ca="1" si="39"/>
        <v>0</v>
      </c>
      <c r="BR41" s="87">
        <f t="shared" ca="1" si="39"/>
        <v>0</v>
      </c>
      <c r="BS41" s="87">
        <f t="shared" ca="1" si="39"/>
        <v>28.3</v>
      </c>
      <c r="BT41" s="87">
        <f t="shared" ca="1" si="39"/>
        <v>97.999999999999986</v>
      </c>
      <c r="BU41" s="87">
        <f t="shared" ca="1" si="39"/>
        <v>260.30000000000007</v>
      </c>
      <c r="BV41" s="87">
        <f t="shared" ca="1" si="39"/>
        <v>184.2</v>
      </c>
      <c r="BW41" s="87">
        <f t="shared" ca="1" si="39"/>
        <v>73.7</v>
      </c>
      <c r="BX41" s="87">
        <f t="shared" ca="1" si="39"/>
        <v>9.6999999999999957</v>
      </c>
      <c r="BY41" s="87">
        <f t="shared" ca="1" si="39"/>
        <v>0</v>
      </c>
      <c r="BZ41" s="87">
        <f t="shared" ca="1" si="39"/>
        <v>0</v>
      </c>
      <c r="CB41" s="81">
        <f t="shared" si="51"/>
        <v>2011</v>
      </c>
      <c r="CC41" s="87">
        <f t="shared" ca="1" si="40"/>
        <v>0</v>
      </c>
      <c r="CD41" s="87">
        <f t="shared" ca="1" si="40"/>
        <v>0</v>
      </c>
      <c r="CE41" s="87">
        <f t="shared" ca="1" si="40"/>
        <v>0</v>
      </c>
      <c r="CF41" s="87">
        <f t="shared" ca="1" si="40"/>
        <v>1.3000000000000007</v>
      </c>
      <c r="CG41" s="87">
        <f t="shared" ca="1" si="40"/>
        <v>53.7</v>
      </c>
      <c r="CH41" s="87">
        <f t="shared" ca="1" si="40"/>
        <v>153.20000000000002</v>
      </c>
      <c r="CI41" s="87">
        <f t="shared" ca="1" si="40"/>
        <v>322.29999999999995</v>
      </c>
      <c r="CJ41" s="87">
        <f t="shared" ca="1" si="40"/>
        <v>246.19999999999996</v>
      </c>
      <c r="CK41" s="87">
        <f t="shared" ca="1" si="40"/>
        <v>120.3</v>
      </c>
      <c r="CL41" s="87">
        <f t="shared" ca="1" si="40"/>
        <v>22.599999999999994</v>
      </c>
      <c r="CM41" s="87">
        <f t="shared" ca="1" si="40"/>
        <v>0</v>
      </c>
      <c r="CN41" s="87">
        <f t="shared" ca="1" si="40"/>
        <v>0</v>
      </c>
      <c r="CP41" s="81">
        <f t="shared" si="52"/>
        <v>2011</v>
      </c>
      <c r="CQ41" s="87">
        <f t="shared" ca="1" si="41"/>
        <v>0</v>
      </c>
      <c r="CR41" s="87">
        <f t="shared" ca="1" si="41"/>
        <v>0</v>
      </c>
      <c r="CS41" s="87">
        <f t="shared" ca="1" si="41"/>
        <v>0</v>
      </c>
      <c r="CT41" s="87">
        <f t="shared" ca="1" si="41"/>
        <v>6.4</v>
      </c>
      <c r="CU41" s="87">
        <f t="shared" ca="1" si="41"/>
        <v>86.7</v>
      </c>
      <c r="CV41" s="87">
        <f t="shared" ca="1" si="41"/>
        <v>213.20000000000002</v>
      </c>
      <c r="CW41" s="87">
        <f t="shared" ca="1" si="41"/>
        <v>384.2999999999999</v>
      </c>
      <c r="CX41" s="87">
        <f t="shared" ca="1" si="41"/>
        <v>308.2</v>
      </c>
      <c r="CY41" s="87">
        <f t="shared" ca="1" si="41"/>
        <v>172.60000000000002</v>
      </c>
      <c r="CZ41" s="87">
        <f t="shared" ca="1" si="41"/>
        <v>41.5</v>
      </c>
      <c r="DA41" s="87">
        <f t="shared" ca="1" si="41"/>
        <v>3.4000000000000004</v>
      </c>
      <c r="DB41" s="87">
        <f t="shared" ca="1" si="41"/>
        <v>0</v>
      </c>
      <c r="DD41" s="81">
        <f t="shared" si="53"/>
        <v>2011</v>
      </c>
      <c r="DE41" s="87">
        <f t="shared" ca="1" si="42"/>
        <v>0</v>
      </c>
      <c r="DF41" s="87">
        <f t="shared" ca="1" si="43"/>
        <v>0</v>
      </c>
      <c r="DG41" s="87">
        <f t="shared" ca="1" si="43"/>
        <v>0</v>
      </c>
      <c r="DH41" s="87">
        <f t="shared" ca="1" si="43"/>
        <v>14.399999999999999</v>
      </c>
      <c r="DI41" s="87">
        <f t="shared" ca="1" si="43"/>
        <v>134</v>
      </c>
      <c r="DJ41" s="87">
        <f t="shared" ca="1" si="43"/>
        <v>273.20000000000005</v>
      </c>
      <c r="DK41" s="87">
        <f t="shared" ca="1" si="43"/>
        <v>446.2999999999999</v>
      </c>
      <c r="DL41" s="87">
        <f t="shared" ca="1" si="43"/>
        <v>370.20000000000005</v>
      </c>
      <c r="DM41" s="87">
        <f t="shared" ca="1" si="43"/>
        <v>231.30000000000004</v>
      </c>
      <c r="DN41" s="87">
        <f t="shared" ca="1" si="43"/>
        <v>64.8</v>
      </c>
      <c r="DO41" s="87">
        <f t="shared" ca="1" si="43"/>
        <v>13.9</v>
      </c>
      <c r="DP41" s="87">
        <f t="shared" ca="1" si="43"/>
        <v>0</v>
      </c>
      <c r="DR41" s="81">
        <f t="shared" si="54"/>
        <v>2011</v>
      </c>
      <c r="DS41" s="87">
        <f t="shared" ca="1" si="44"/>
        <v>0</v>
      </c>
      <c r="DT41" s="87">
        <f t="shared" ca="1" si="45"/>
        <v>0</v>
      </c>
      <c r="DU41" s="87">
        <f t="shared" ca="1" si="45"/>
        <v>0.5</v>
      </c>
      <c r="DV41" s="87">
        <f t="shared" ca="1" si="45"/>
        <v>29.9</v>
      </c>
      <c r="DW41" s="87">
        <f t="shared" ca="1" si="45"/>
        <v>190.89999999999998</v>
      </c>
      <c r="DX41" s="87">
        <f t="shared" ca="1" si="45"/>
        <v>333.20000000000005</v>
      </c>
      <c r="DY41" s="87">
        <f t="shared" ca="1" si="45"/>
        <v>508.2999999999999</v>
      </c>
      <c r="DZ41" s="87">
        <f t="shared" ca="1" si="45"/>
        <v>432.20000000000005</v>
      </c>
      <c r="EA41" s="87">
        <f t="shared" ca="1" si="45"/>
        <v>291.3</v>
      </c>
      <c r="EB41" s="87">
        <f t="shared" ca="1" si="45"/>
        <v>100.5</v>
      </c>
      <c r="EC41" s="87">
        <f t="shared" ca="1" si="45"/>
        <v>32.300000000000004</v>
      </c>
      <c r="ED41" s="87">
        <f t="shared" ca="1" si="45"/>
        <v>9.9999999999999645E-2</v>
      </c>
      <c r="EG41" s="86"/>
      <c r="EH41" s="86"/>
      <c r="EI41" s="86"/>
      <c r="EK41" s="86"/>
      <c r="EL41" s="86"/>
      <c r="EM41" s="82"/>
      <c r="EO41" s="82"/>
      <c r="EP41" s="85"/>
      <c r="EQ41" s="84"/>
      <c r="ER41" s="84"/>
    </row>
    <row r="42" spans="1:162" x14ac:dyDescent="0.2">
      <c r="A42" s="81">
        <v>2005</v>
      </c>
      <c r="B42" s="88">
        <v>5</v>
      </c>
      <c r="C42" s="88">
        <v>11.916129032258063</v>
      </c>
      <c r="D42" s="87">
        <v>312.60000000000008</v>
      </c>
      <c r="E42" s="87">
        <v>0</v>
      </c>
      <c r="F42" s="87">
        <v>250.60000000000002</v>
      </c>
      <c r="G42" s="87">
        <v>0</v>
      </c>
      <c r="H42" s="133">
        <v>189.40000000000003</v>
      </c>
      <c r="I42" s="133">
        <v>0.80000000000000071</v>
      </c>
      <c r="J42" s="87">
        <v>132.20000000000002</v>
      </c>
      <c r="K42" s="87">
        <v>5.6000000000000014</v>
      </c>
      <c r="L42" s="87">
        <v>85.700000000000017</v>
      </c>
      <c r="M42" s="87">
        <v>21.100000000000005</v>
      </c>
      <c r="N42" s="87">
        <v>52</v>
      </c>
      <c r="O42" s="87">
        <v>49.400000000000006</v>
      </c>
      <c r="P42" s="87">
        <v>28.599999999999998</v>
      </c>
      <c r="Q42" s="87">
        <v>88</v>
      </c>
      <c r="R42" s="87">
        <v>11.7</v>
      </c>
      <c r="S42" s="87">
        <v>133.1</v>
      </c>
      <c r="T42" s="87"/>
      <c r="U42" s="87"/>
      <c r="V42" s="87"/>
      <c r="X42" s="81">
        <f t="shared" si="46"/>
        <v>2012</v>
      </c>
      <c r="Y42" s="87">
        <f t="shared" ca="1" si="47"/>
        <v>0</v>
      </c>
      <c r="Z42" s="87">
        <f t="shared" ca="1" si="55"/>
        <v>0</v>
      </c>
      <c r="AA42" s="87">
        <f t="shared" ca="1" si="55"/>
        <v>0</v>
      </c>
      <c r="AB42" s="87">
        <f t="shared" ca="1" si="55"/>
        <v>0</v>
      </c>
      <c r="AC42" s="87">
        <f t="shared" ca="1" si="55"/>
        <v>6.7999999999999972</v>
      </c>
      <c r="AD42" s="87">
        <f t="shared" ca="1" si="55"/>
        <v>33.099999999999994</v>
      </c>
      <c r="AE42" s="87">
        <f t="shared" ca="1" si="55"/>
        <v>73.7</v>
      </c>
      <c r="AF42" s="87">
        <f t="shared" ca="1" si="55"/>
        <v>27.2</v>
      </c>
      <c r="AG42" s="87">
        <f t="shared" ca="1" si="55"/>
        <v>2</v>
      </c>
      <c r="AH42" s="87">
        <f t="shared" ca="1" si="55"/>
        <v>0</v>
      </c>
      <c r="AI42" s="87">
        <f t="shared" ca="1" si="55"/>
        <v>0</v>
      </c>
      <c r="AJ42" s="87">
        <f t="shared" ca="1" si="55"/>
        <v>0</v>
      </c>
      <c r="AL42" s="81">
        <f t="shared" si="48"/>
        <v>2012</v>
      </c>
      <c r="AM42" s="87">
        <f t="shared" ref="AM42:AX51" ca="1" si="56">OFFSET($G$2,(ROW()-32)*12+COLUMN()-39,0)</f>
        <v>0</v>
      </c>
      <c r="AN42" s="87">
        <f t="shared" ca="1" si="56"/>
        <v>0</v>
      </c>
      <c r="AO42" s="87">
        <f t="shared" ca="1" si="56"/>
        <v>0</v>
      </c>
      <c r="AP42" s="87">
        <f t="shared" ca="1" si="56"/>
        <v>0</v>
      </c>
      <c r="AQ42" s="87">
        <f t="shared" ca="1" si="56"/>
        <v>16.999999999999996</v>
      </c>
      <c r="AR42" s="87">
        <f t="shared" ca="1" si="56"/>
        <v>60.5</v>
      </c>
      <c r="AS42" s="87">
        <f t="shared" ca="1" si="56"/>
        <v>133.4</v>
      </c>
      <c r="AT42" s="87">
        <f t="shared" ca="1" si="56"/>
        <v>60.7</v>
      </c>
      <c r="AU42" s="87">
        <f t="shared" ca="1" si="56"/>
        <v>17.2</v>
      </c>
      <c r="AV42" s="87">
        <f t="shared" ca="1" si="56"/>
        <v>0</v>
      </c>
      <c r="AW42" s="87">
        <f t="shared" ca="1" si="56"/>
        <v>0</v>
      </c>
      <c r="AX42" s="87">
        <f t="shared" ca="1" si="56"/>
        <v>0</v>
      </c>
      <c r="AY42" s="93"/>
      <c r="AZ42" s="81">
        <f t="shared" si="49"/>
        <v>2012</v>
      </c>
      <c r="BA42" s="87">
        <f t="shared" ref="BA42:BL51" ca="1" si="57">OFFSET($I$2,(ROW()-32)*12+COLUMN()-53,0)</f>
        <v>0</v>
      </c>
      <c r="BB42" s="87">
        <f t="shared" ca="1" si="57"/>
        <v>0</v>
      </c>
      <c r="BC42" s="87">
        <f t="shared" ca="1" si="57"/>
        <v>0.19999999999999929</v>
      </c>
      <c r="BD42" s="87">
        <f t="shared" ca="1" si="57"/>
        <v>0</v>
      </c>
      <c r="BE42" s="87">
        <f t="shared" ca="1" si="57"/>
        <v>36.699999999999996</v>
      </c>
      <c r="BF42" s="87">
        <f t="shared" ca="1" si="57"/>
        <v>101.60000000000001</v>
      </c>
      <c r="BG42" s="87">
        <f t="shared" ca="1" si="57"/>
        <v>195.39999999999998</v>
      </c>
      <c r="BH42" s="87">
        <f t="shared" ca="1" si="57"/>
        <v>112.10000000000001</v>
      </c>
      <c r="BI42" s="87">
        <f t="shared" ca="1" si="57"/>
        <v>35.6</v>
      </c>
      <c r="BJ42" s="87">
        <f t="shared" ca="1" si="57"/>
        <v>1.1000000000000014</v>
      </c>
      <c r="BK42" s="87">
        <f t="shared" ca="1" si="57"/>
        <v>0</v>
      </c>
      <c r="BL42" s="87">
        <f t="shared" ca="1" si="57"/>
        <v>0</v>
      </c>
      <c r="BM42" s="93">
        <f t="shared" ca="1" si="38"/>
        <v>482.70000000000005</v>
      </c>
      <c r="BN42" s="81">
        <f t="shared" si="50"/>
        <v>2012</v>
      </c>
      <c r="BO42" s="87">
        <f t="shared" ref="BO42:BZ51" ca="1" si="58">OFFSET($K$2,(ROW()-32)*12+COLUMN()-67,0)</f>
        <v>0</v>
      </c>
      <c r="BP42" s="87">
        <f t="shared" ca="1" si="58"/>
        <v>0</v>
      </c>
      <c r="BQ42" s="87">
        <f t="shared" ca="1" si="58"/>
        <v>3</v>
      </c>
      <c r="BR42" s="87">
        <f t="shared" ca="1" si="58"/>
        <v>1.3999999999999986</v>
      </c>
      <c r="BS42" s="87">
        <f t="shared" ca="1" si="58"/>
        <v>64.199999999999989</v>
      </c>
      <c r="BT42" s="87">
        <f t="shared" ca="1" si="58"/>
        <v>148</v>
      </c>
      <c r="BU42" s="87">
        <f t="shared" ca="1" si="58"/>
        <v>257.39999999999998</v>
      </c>
      <c r="BV42" s="87">
        <f t="shared" ca="1" si="58"/>
        <v>172.1</v>
      </c>
      <c r="BW42" s="87">
        <f t="shared" ca="1" si="58"/>
        <v>58.899999999999991</v>
      </c>
      <c r="BX42" s="87">
        <f t="shared" ca="1" si="58"/>
        <v>4.5</v>
      </c>
      <c r="BY42" s="87">
        <f t="shared" ca="1" si="58"/>
        <v>0</v>
      </c>
      <c r="BZ42" s="87">
        <f t="shared" ca="1" si="58"/>
        <v>0</v>
      </c>
      <c r="CB42" s="81">
        <f t="shared" si="51"/>
        <v>2012</v>
      </c>
      <c r="CC42" s="87">
        <f t="shared" ref="CC42:CN51" ca="1" si="59">OFFSET($M$2,(ROW()-32)*12+COLUMN()-81,0)</f>
        <v>0</v>
      </c>
      <c r="CD42" s="87">
        <f t="shared" ca="1" si="59"/>
        <v>0</v>
      </c>
      <c r="CE42" s="87">
        <f t="shared" ca="1" si="59"/>
        <v>11.1</v>
      </c>
      <c r="CF42" s="87">
        <f t="shared" ca="1" si="59"/>
        <v>5.1999999999999975</v>
      </c>
      <c r="CG42" s="87">
        <f t="shared" ca="1" si="59"/>
        <v>101.5</v>
      </c>
      <c r="CH42" s="87">
        <f t="shared" ca="1" si="59"/>
        <v>199.5</v>
      </c>
      <c r="CI42" s="87">
        <f t="shared" ca="1" si="59"/>
        <v>319.39999999999998</v>
      </c>
      <c r="CJ42" s="87">
        <f t="shared" ca="1" si="59"/>
        <v>234.09999999999997</v>
      </c>
      <c r="CK42" s="87">
        <f t="shared" ca="1" si="59"/>
        <v>92.09999999999998</v>
      </c>
      <c r="CL42" s="87">
        <f t="shared" ca="1" si="59"/>
        <v>13.1</v>
      </c>
      <c r="CM42" s="87">
        <f t="shared" ca="1" si="59"/>
        <v>0</v>
      </c>
      <c r="CN42" s="87">
        <f t="shared" ca="1" si="59"/>
        <v>0</v>
      </c>
      <c r="CP42" s="81">
        <f t="shared" si="52"/>
        <v>2012</v>
      </c>
      <c r="CQ42" s="87">
        <f t="shared" ref="CQ42:DB51" ca="1" si="60">OFFSET($O$2,(ROW()-32)*12+COLUMN()-95,0)</f>
        <v>0</v>
      </c>
      <c r="CR42" s="87">
        <f t="shared" ca="1" si="60"/>
        <v>0</v>
      </c>
      <c r="CS42" s="87">
        <f t="shared" ca="1" si="60"/>
        <v>23.799999999999997</v>
      </c>
      <c r="CT42" s="87">
        <f t="shared" ca="1" si="60"/>
        <v>11.199999999999998</v>
      </c>
      <c r="CU42" s="87">
        <f t="shared" ca="1" si="60"/>
        <v>149.10000000000002</v>
      </c>
      <c r="CV42" s="87">
        <f t="shared" ca="1" si="60"/>
        <v>258.40000000000003</v>
      </c>
      <c r="CW42" s="87">
        <f t="shared" ca="1" si="60"/>
        <v>381.40000000000003</v>
      </c>
      <c r="CX42" s="87">
        <f t="shared" ca="1" si="60"/>
        <v>296.10000000000002</v>
      </c>
      <c r="CY42" s="87">
        <f t="shared" ca="1" si="60"/>
        <v>136.99999999999997</v>
      </c>
      <c r="CZ42" s="87">
        <f t="shared" ca="1" si="60"/>
        <v>28.9</v>
      </c>
      <c r="DA42" s="87">
        <f t="shared" ca="1" si="60"/>
        <v>0.5</v>
      </c>
      <c r="DB42" s="87">
        <f t="shared" ca="1" si="60"/>
        <v>0</v>
      </c>
      <c r="DD42" s="81">
        <f t="shared" si="53"/>
        <v>2012</v>
      </c>
      <c r="DE42" s="87">
        <f t="shared" ca="1" si="42"/>
        <v>0</v>
      </c>
      <c r="DF42" s="87">
        <f t="shared" ca="1" si="43"/>
        <v>0</v>
      </c>
      <c r="DG42" s="87">
        <f t="shared" ca="1" si="43"/>
        <v>43.800000000000004</v>
      </c>
      <c r="DH42" s="87">
        <f t="shared" ca="1" si="43"/>
        <v>19.2</v>
      </c>
      <c r="DI42" s="87">
        <f t="shared" ca="1" si="43"/>
        <v>204</v>
      </c>
      <c r="DJ42" s="87">
        <f t="shared" ca="1" si="43"/>
        <v>318.40000000000003</v>
      </c>
      <c r="DK42" s="87">
        <f t="shared" ca="1" si="43"/>
        <v>443.40000000000009</v>
      </c>
      <c r="DL42" s="87">
        <f t="shared" ca="1" si="43"/>
        <v>358.1</v>
      </c>
      <c r="DM42" s="87">
        <f t="shared" ca="1" si="43"/>
        <v>191.1</v>
      </c>
      <c r="DN42" s="87">
        <f t="shared" ca="1" si="43"/>
        <v>55.500000000000007</v>
      </c>
      <c r="DO42" s="87">
        <f t="shared" ca="1" si="43"/>
        <v>3.6999999999999993</v>
      </c>
      <c r="DP42" s="87">
        <f t="shared" ca="1" si="43"/>
        <v>0.5</v>
      </c>
      <c r="DR42" s="81">
        <f t="shared" si="54"/>
        <v>2012</v>
      </c>
      <c r="DS42" s="87">
        <f t="shared" ca="1" si="44"/>
        <v>0</v>
      </c>
      <c r="DT42" s="87">
        <f t="shared" ca="1" si="45"/>
        <v>0</v>
      </c>
      <c r="DU42" s="87">
        <f t="shared" ca="1" si="45"/>
        <v>72.300000000000011</v>
      </c>
      <c r="DV42" s="87">
        <f t="shared" ca="1" si="45"/>
        <v>29.8</v>
      </c>
      <c r="DW42" s="87">
        <f t="shared" ca="1" si="45"/>
        <v>266</v>
      </c>
      <c r="DX42" s="87">
        <f t="shared" ca="1" si="45"/>
        <v>378.40000000000003</v>
      </c>
      <c r="DY42" s="87">
        <f t="shared" ca="1" si="45"/>
        <v>505.40000000000015</v>
      </c>
      <c r="DZ42" s="87">
        <f t="shared" ca="1" si="45"/>
        <v>420.09999999999997</v>
      </c>
      <c r="EA42" s="87">
        <f t="shared" ca="1" si="45"/>
        <v>250.6</v>
      </c>
      <c r="EB42" s="87">
        <f t="shared" ca="1" si="45"/>
        <v>90.899999999999977</v>
      </c>
      <c r="EC42" s="87">
        <f t="shared" ca="1" si="45"/>
        <v>8.6</v>
      </c>
      <c r="ED42" s="87">
        <f t="shared" ca="1" si="45"/>
        <v>2.5</v>
      </c>
      <c r="EG42" s="86"/>
      <c r="EH42" s="86"/>
      <c r="EI42" s="86"/>
      <c r="EK42" s="86"/>
      <c r="EL42" s="86"/>
      <c r="EM42" s="82"/>
      <c r="EO42" s="82"/>
      <c r="EP42" s="85"/>
      <c r="EQ42" s="84"/>
      <c r="ER42" s="84"/>
      <c r="FB42" s="137"/>
    </row>
    <row r="43" spans="1:162" x14ac:dyDescent="0.2">
      <c r="A43" s="81">
        <v>2005</v>
      </c>
      <c r="B43" s="88">
        <v>6</v>
      </c>
      <c r="C43" s="88">
        <v>22.58</v>
      </c>
      <c r="D43" s="87">
        <v>44.900000000000006</v>
      </c>
      <c r="E43" s="87">
        <v>62.300000000000004</v>
      </c>
      <c r="F43" s="87">
        <v>21.799999999999997</v>
      </c>
      <c r="G43" s="87">
        <v>99.200000000000017</v>
      </c>
      <c r="H43" s="133">
        <v>8.8999999999999968</v>
      </c>
      <c r="I43" s="133">
        <v>146.30000000000001</v>
      </c>
      <c r="J43" s="87">
        <v>1.2999999999999989</v>
      </c>
      <c r="K43" s="87">
        <v>198.70000000000002</v>
      </c>
      <c r="L43" s="87">
        <v>0</v>
      </c>
      <c r="M43" s="87">
        <v>257.39999999999998</v>
      </c>
      <c r="N43" s="87">
        <v>0</v>
      </c>
      <c r="O43" s="87">
        <v>317.39999999999998</v>
      </c>
      <c r="P43" s="87">
        <v>0</v>
      </c>
      <c r="Q43" s="87">
        <v>377.4</v>
      </c>
      <c r="R43" s="87">
        <v>0</v>
      </c>
      <c r="S43" s="87">
        <v>437.40000000000003</v>
      </c>
      <c r="T43" s="87"/>
      <c r="U43" s="87"/>
      <c r="V43" s="87"/>
      <c r="X43" s="81">
        <f t="shared" si="46"/>
        <v>2013</v>
      </c>
      <c r="Y43" s="87">
        <f t="shared" ca="1" si="47"/>
        <v>0</v>
      </c>
      <c r="Z43" s="87">
        <f t="shared" ca="1" si="55"/>
        <v>0</v>
      </c>
      <c r="AA43" s="87">
        <f t="shared" ca="1" si="55"/>
        <v>0</v>
      </c>
      <c r="AB43" s="87">
        <f t="shared" ca="1" si="55"/>
        <v>0</v>
      </c>
      <c r="AC43" s="87">
        <f t="shared" ca="1" si="55"/>
        <v>5.6999999999999993</v>
      </c>
      <c r="AD43" s="87">
        <f t="shared" ca="1" si="55"/>
        <v>15.000000000000004</v>
      </c>
      <c r="AE43" s="87">
        <f t="shared" ca="1" si="55"/>
        <v>49.9</v>
      </c>
      <c r="AF43" s="87">
        <f t="shared" ca="1" si="55"/>
        <v>19.600000000000001</v>
      </c>
      <c r="AG43" s="87">
        <f t="shared" ca="1" si="55"/>
        <v>8.6000000000000014</v>
      </c>
      <c r="AH43" s="87">
        <f t="shared" ca="1" si="55"/>
        <v>0</v>
      </c>
      <c r="AI43" s="87">
        <f t="shared" ca="1" si="55"/>
        <v>0</v>
      </c>
      <c r="AJ43" s="87">
        <f t="shared" ca="1" si="55"/>
        <v>0</v>
      </c>
      <c r="AL43" s="81">
        <f t="shared" si="48"/>
        <v>2013</v>
      </c>
      <c r="AM43" s="87">
        <f t="shared" ca="1" si="56"/>
        <v>0</v>
      </c>
      <c r="AN43" s="87">
        <f t="shared" ca="1" si="56"/>
        <v>0</v>
      </c>
      <c r="AO43" s="87">
        <f t="shared" ca="1" si="56"/>
        <v>0</v>
      </c>
      <c r="AP43" s="87">
        <f t="shared" ca="1" si="56"/>
        <v>0</v>
      </c>
      <c r="AQ43" s="87">
        <f t="shared" ca="1" si="56"/>
        <v>11.2</v>
      </c>
      <c r="AR43" s="87">
        <f t="shared" ca="1" si="56"/>
        <v>31.200000000000006</v>
      </c>
      <c r="AS43" s="87">
        <f t="shared" ca="1" si="56"/>
        <v>84.699999999999989</v>
      </c>
      <c r="AT43" s="87">
        <f t="shared" ca="1" si="56"/>
        <v>48.9</v>
      </c>
      <c r="AU43" s="87">
        <f t="shared" ca="1" si="56"/>
        <v>15.3</v>
      </c>
      <c r="AV43" s="87">
        <f t="shared" ca="1" si="56"/>
        <v>0</v>
      </c>
      <c r="AW43" s="87">
        <f t="shared" ca="1" si="56"/>
        <v>0</v>
      </c>
      <c r="AX43" s="87">
        <f t="shared" ca="1" si="56"/>
        <v>0</v>
      </c>
      <c r="AY43" s="93"/>
      <c r="AZ43" s="81">
        <f t="shared" si="49"/>
        <v>2013</v>
      </c>
      <c r="BA43" s="87">
        <f t="shared" ca="1" si="57"/>
        <v>0</v>
      </c>
      <c r="BB43" s="87">
        <f t="shared" ca="1" si="57"/>
        <v>0</v>
      </c>
      <c r="BC43" s="87">
        <f t="shared" ca="1" si="57"/>
        <v>0</v>
      </c>
      <c r="BD43" s="87">
        <f t="shared" ca="1" si="57"/>
        <v>0</v>
      </c>
      <c r="BE43" s="87">
        <f t="shared" ca="1" si="57"/>
        <v>23.099999999999998</v>
      </c>
      <c r="BF43" s="87">
        <f t="shared" ca="1" si="57"/>
        <v>59.6</v>
      </c>
      <c r="BG43" s="87">
        <f t="shared" ca="1" si="57"/>
        <v>134.6</v>
      </c>
      <c r="BH43" s="87">
        <f t="shared" ca="1" si="57"/>
        <v>93.800000000000011</v>
      </c>
      <c r="BI43" s="87">
        <f t="shared" ca="1" si="57"/>
        <v>28.1</v>
      </c>
      <c r="BJ43" s="87">
        <f t="shared" ca="1" si="57"/>
        <v>0.39999999999999858</v>
      </c>
      <c r="BK43" s="87">
        <f t="shared" ca="1" si="57"/>
        <v>0</v>
      </c>
      <c r="BL43" s="87">
        <f t="shared" ca="1" si="57"/>
        <v>0</v>
      </c>
      <c r="BM43" s="93">
        <f t="shared" ca="1" si="38"/>
        <v>339.6</v>
      </c>
      <c r="BN43" s="81">
        <f t="shared" si="50"/>
        <v>2013</v>
      </c>
      <c r="BO43" s="87">
        <f t="shared" ca="1" si="58"/>
        <v>0</v>
      </c>
      <c r="BP43" s="87">
        <f t="shared" ca="1" si="58"/>
        <v>0</v>
      </c>
      <c r="BQ43" s="87">
        <f t="shared" ca="1" si="58"/>
        <v>0</v>
      </c>
      <c r="BR43" s="87">
        <f t="shared" ca="1" si="58"/>
        <v>0</v>
      </c>
      <c r="BS43" s="87">
        <f t="shared" ca="1" si="58"/>
        <v>46.1</v>
      </c>
      <c r="BT43" s="87">
        <f t="shared" ca="1" si="58"/>
        <v>99.300000000000011</v>
      </c>
      <c r="BU43" s="87">
        <f t="shared" ca="1" si="58"/>
        <v>195.3</v>
      </c>
      <c r="BV43" s="87">
        <f t="shared" ca="1" si="58"/>
        <v>151.39999999999998</v>
      </c>
      <c r="BW43" s="87">
        <f t="shared" ca="1" si="58"/>
        <v>47.3</v>
      </c>
      <c r="BX43" s="87">
        <f t="shared" ca="1" si="58"/>
        <v>4.6999999999999993</v>
      </c>
      <c r="BY43" s="87">
        <f t="shared" ca="1" si="58"/>
        <v>0</v>
      </c>
      <c r="BZ43" s="87">
        <f t="shared" ca="1" si="58"/>
        <v>0</v>
      </c>
      <c r="CB43" s="81">
        <f t="shared" si="51"/>
        <v>2013</v>
      </c>
      <c r="CC43" s="87">
        <f t="shared" ca="1" si="59"/>
        <v>0</v>
      </c>
      <c r="CD43" s="87">
        <f t="shared" ca="1" si="59"/>
        <v>0</v>
      </c>
      <c r="CE43" s="87">
        <f t="shared" ca="1" si="59"/>
        <v>0</v>
      </c>
      <c r="CF43" s="87">
        <f t="shared" ca="1" si="59"/>
        <v>1.4000000000000004</v>
      </c>
      <c r="CG43" s="87">
        <f t="shared" ca="1" si="59"/>
        <v>83.1</v>
      </c>
      <c r="CH43" s="87">
        <f t="shared" ca="1" si="59"/>
        <v>149.19999999999999</v>
      </c>
      <c r="CI43" s="87">
        <f t="shared" ca="1" si="59"/>
        <v>257.30000000000007</v>
      </c>
      <c r="CJ43" s="87">
        <f t="shared" ca="1" si="59"/>
        <v>213.4</v>
      </c>
      <c r="CK43" s="87">
        <f t="shared" ca="1" si="59"/>
        <v>80.200000000000017</v>
      </c>
      <c r="CL43" s="87">
        <f t="shared" ca="1" si="59"/>
        <v>16.100000000000001</v>
      </c>
      <c r="CM43" s="87">
        <f t="shared" ca="1" si="59"/>
        <v>0</v>
      </c>
      <c r="CN43" s="87">
        <f t="shared" ca="1" si="59"/>
        <v>0</v>
      </c>
      <c r="CP43" s="81">
        <f t="shared" si="52"/>
        <v>2013</v>
      </c>
      <c r="CQ43" s="87">
        <f t="shared" ca="1" si="60"/>
        <v>0</v>
      </c>
      <c r="CR43" s="87">
        <f t="shared" ca="1" si="60"/>
        <v>0</v>
      </c>
      <c r="CS43" s="87">
        <f t="shared" ca="1" si="60"/>
        <v>0</v>
      </c>
      <c r="CT43" s="87">
        <f t="shared" ca="1" si="60"/>
        <v>5.6000000000000014</v>
      </c>
      <c r="CU43" s="87">
        <f t="shared" ca="1" si="60"/>
        <v>126.3</v>
      </c>
      <c r="CV43" s="87">
        <f t="shared" ca="1" si="60"/>
        <v>207.00000000000006</v>
      </c>
      <c r="CW43" s="87">
        <f t="shared" ca="1" si="60"/>
        <v>319.3</v>
      </c>
      <c r="CX43" s="87">
        <f t="shared" ca="1" si="60"/>
        <v>275.40000000000009</v>
      </c>
      <c r="CY43" s="87">
        <f t="shared" ca="1" si="60"/>
        <v>125.1</v>
      </c>
      <c r="CZ43" s="87">
        <f t="shared" ca="1" si="60"/>
        <v>37.9</v>
      </c>
      <c r="DA43" s="87">
        <f t="shared" ca="1" si="60"/>
        <v>0</v>
      </c>
      <c r="DB43" s="87">
        <f t="shared" ca="1" si="60"/>
        <v>0</v>
      </c>
      <c r="DD43" s="81">
        <f t="shared" si="53"/>
        <v>2013</v>
      </c>
      <c r="DE43" s="87">
        <f t="shared" ca="1" si="42"/>
        <v>0</v>
      </c>
      <c r="DF43" s="87">
        <f t="shared" ca="1" si="43"/>
        <v>0</v>
      </c>
      <c r="DG43" s="87">
        <f t="shared" ca="1" si="43"/>
        <v>0</v>
      </c>
      <c r="DH43" s="87">
        <f t="shared" ca="1" si="43"/>
        <v>16.600000000000001</v>
      </c>
      <c r="DI43" s="87">
        <f t="shared" ca="1" si="43"/>
        <v>176.4</v>
      </c>
      <c r="DJ43" s="87">
        <f t="shared" ca="1" si="43"/>
        <v>266.60000000000002</v>
      </c>
      <c r="DK43" s="87">
        <f t="shared" ca="1" si="43"/>
        <v>381.29999999999995</v>
      </c>
      <c r="DL43" s="87">
        <f t="shared" ca="1" si="43"/>
        <v>337.40000000000003</v>
      </c>
      <c r="DM43" s="87">
        <f t="shared" ca="1" si="43"/>
        <v>178.1</v>
      </c>
      <c r="DN43" s="87">
        <f t="shared" ca="1" si="43"/>
        <v>75.3</v>
      </c>
      <c r="DO43" s="87">
        <f t="shared" ca="1" si="43"/>
        <v>5.3000000000000007</v>
      </c>
      <c r="DP43" s="87">
        <f t="shared" ca="1" si="43"/>
        <v>0</v>
      </c>
      <c r="DR43" s="81">
        <f t="shared" si="54"/>
        <v>2013</v>
      </c>
      <c r="DS43" s="87">
        <f t="shared" ca="1" si="44"/>
        <v>5.1999999999999993</v>
      </c>
      <c r="DT43" s="87">
        <f t="shared" ca="1" si="45"/>
        <v>0</v>
      </c>
      <c r="DU43" s="87">
        <f t="shared" ca="1" si="45"/>
        <v>0</v>
      </c>
      <c r="DV43" s="87">
        <f t="shared" ca="1" si="45"/>
        <v>33.299999999999997</v>
      </c>
      <c r="DW43" s="87">
        <f t="shared" ca="1" si="45"/>
        <v>229.7</v>
      </c>
      <c r="DX43" s="87">
        <f t="shared" ca="1" si="45"/>
        <v>326.60000000000002</v>
      </c>
      <c r="DY43" s="87">
        <f t="shared" ca="1" si="45"/>
        <v>443.29999999999984</v>
      </c>
      <c r="DZ43" s="87">
        <f t="shared" ca="1" si="45"/>
        <v>399.40000000000009</v>
      </c>
      <c r="EA43" s="87">
        <f t="shared" ca="1" si="45"/>
        <v>238.10000000000002</v>
      </c>
      <c r="EB43" s="87">
        <f t="shared" ca="1" si="45"/>
        <v>115.39999999999999</v>
      </c>
      <c r="EC43" s="87">
        <f t="shared" ca="1" si="45"/>
        <v>11.8</v>
      </c>
      <c r="ED43" s="87">
        <f t="shared" ca="1" si="45"/>
        <v>0.69999999999999929</v>
      </c>
      <c r="EG43" s="86"/>
      <c r="EH43" s="86"/>
      <c r="EI43" s="86"/>
      <c r="EK43" s="86"/>
      <c r="EL43" s="86"/>
      <c r="EM43" s="82"/>
      <c r="EO43" s="82"/>
      <c r="EP43" s="85"/>
      <c r="EQ43" s="84"/>
      <c r="ER43" s="84"/>
      <c r="FA43" s="261" t="s">
        <v>155</v>
      </c>
      <c r="FB43" s="262"/>
      <c r="FC43" s="262"/>
      <c r="FD43" s="262"/>
      <c r="FE43" s="263"/>
      <c r="FF43" s="264"/>
    </row>
    <row r="44" spans="1:162" x14ac:dyDescent="0.2">
      <c r="A44" s="81">
        <v>2005</v>
      </c>
      <c r="B44" s="88">
        <v>7</v>
      </c>
      <c r="C44" s="88">
        <v>24.087096774193551</v>
      </c>
      <c r="D44" s="87">
        <v>15.600000000000001</v>
      </c>
      <c r="E44" s="87">
        <v>80.3</v>
      </c>
      <c r="F44" s="87">
        <v>4.1000000000000014</v>
      </c>
      <c r="G44" s="87">
        <v>130.80000000000001</v>
      </c>
      <c r="H44" s="133">
        <v>0</v>
      </c>
      <c r="I44" s="133">
        <v>188.7</v>
      </c>
      <c r="J44" s="87">
        <v>0</v>
      </c>
      <c r="K44" s="87">
        <v>250.7</v>
      </c>
      <c r="L44" s="87">
        <v>0</v>
      </c>
      <c r="M44" s="87">
        <v>312.7</v>
      </c>
      <c r="N44" s="87">
        <v>0</v>
      </c>
      <c r="O44" s="87">
        <v>374.69999999999993</v>
      </c>
      <c r="P44" s="87">
        <v>0</v>
      </c>
      <c r="Q44" s="87">
        <v>436.7</v>
      </c>
      <c r="R44" s="87">
        <v>0</v>
      </c>
      <c r="S44" s="87">
        <v>498.7</v>
      </c>
      <c r="T44" s="87"/>
      <c r="U44" s="87"/>
      <c r="V44" s="87"/>
      <c r="X44" s="81">
        <f t="shared" si="46"/>
        <v>2014</v>
      </c>
      <c r="Y44" s="87">
        <f t="shared" ca="1" si="47"/>
        <v>0</v>
      </c>
      <c r="Z44" s="87">
        <f t="shared" ca="1" si="55"/>
        <v>0</v>
      </c>
      <c r="AA44" s="87">
        <f t="shared" ca="1" si="55"/>
        <v>0</v>
      </c>
      <c r="AB44" s="87">
        <f t="shared" ca="1" si="55"/>
        <v>0</v>
      </c>
      <c r="AC44" s="87">
        <f t="shared" ca="1" si="55"/>
        <v>2.6999999999999993</v>
      </c>
      <c r="AD44" s="87">
        <f t="shared" ca="1" si="55"/>
        <v>12.5</v>
      </c>
      <c r="AE44" s="87">
        <f t="shared" ca="1" si="55"/>
        <v>13.600000000000001</v>
      </c>
      <c r="AF44" s="87">
        <f t="shared" ca="1" si="55"/>
        <v>11.100000000000005</v>
      </c>
      <c r="AG44" s="87">
        <f t="shared" ca="1" si="55"/>
        <v>6.4000000000000021</v>
      </c>
      <c r="AH44" s="87">
        <f t="shared" ca="1" si="55"/>
        <v>0</v>
      </c>
      <c r="AI44" s="87">
        <f t="shared" ca="1" si="55"/>
        <v>0</v>
      </c>
      <c r="AJ44" s="87">
        <f t="shared" ca="1" si="55"/>
        <v>0</v>
      </c>
      <c r="AL44" s="81">
        <f t="shared" si="48"/>
        <v>2014</v>
      </c>
      <c r="AM44" s="87">
        <f t="shared" ca="1" si="56"/>
        <v>0</v>
      </c>
      <c r="AN44" s="87">
        <f t="shared" ca="1" si="56"/>
        <v>0</v>
      </c>
      <c r="AO44" s="87">
        <f t="shared" ca="1" si="56"/>
        <v>0</v>
      </c>
      <c r="AP44" s="87">
        <f t="shared" ca="1" si="56"/>
        <v>0</v>
      </c>
      <c r="AQ44" s="87">
        <f t="shared" ca="1" si="56"/>
        <v>6.6999999999999993</v>
      </c>
      <c r="AR44" s="87">
        <f t="shared" ca="1" si="56"/>
        <v>32.399999999999991</v>
      </c>
      <c r="AS44" s="87">
        <f t="shared" ca="1" si="56"/>
        <v>33.299999999999997</v>
      </c>
      <c r="AT44" s="87">
        <f t="shared" ca="1" si="56"/>
        <v>38.500000000000007</v>
      </c>
      <c r="AU44" s="87">
        <f t="shared" ca="1" si="56"/>
        <v>14.3</v>
      </c>
      <c r="AV44" s="87">
        <f t="shared" ca="1" si="56"/>
        <v>0</v>
      </c>
      <c r="AW44" s="87">
        <f t="shared" ca="1" si="56"/>
        <v>0</v>
      </c>
      <c r="AX44" s="87">
        <f t="shared" ca="1" si="56"/>
        <v>0</v>
      </c>
      <c r="AY44" s="93"/>
      <c r="AZ44" s="81">
        <f t="shared" si="49"/>
        <v>2014</v>
      </c>
      <c r="BA44" s="87">
        <f t="shared" ca="1" si="57"/>
        <v>0</v>
      </c>
      <c r="BB44" s="87">
        <f t="shared" ca="1" si="57"/>
        <v>0</v>
      </c>
      <c r="BC44" s="87">
        <f t="shared" ca="1" si="57"/>
        <v>0</v>
      </c>
      <c r="BD44" s="87">
        <f t="shared" ca="1" si="57"/>
        <v>0</v>
      </c>
      <c r="BE44" s="87">
        <f t="shared" ca="1" si="57"/>
        <v>11.900000000000002</v>
      </c>
      <c r="BF44" s="87">
        <f t="shared" ca="1" si="57"/>
        <v>68.099999999999994</v>
      </c>
      <c r="BG44" s="87">
        <f t="shared" ca="1" si="57"/>
        <v>71</v>
      </c>
      <c r="BH44" s="87">
        <f t="shared" ca="1" si="57"/>
        <v>81.800000000000011</v>
      </c>
      <c r="BI44" s="87">
        <f t="shared" ca="1" si="57"/>
        <v>30.1</v>
      </c>
      <c r="BJ44" s="87">
        <f t="shared" ca="1" si="57"/>
        <v>1.3000000000000007</v>
      </c>
      <c r="BK44" s="87">
        <f t="shared" ca="1" si="57"/>
        <v>0</v>
      </c>
      <c r="BL44" s="87">
        <f t="shared" ca="1" si="57"/>
        <v>0</v>
      </c>
      <c r="BM44" s="93">
        <f t="shared" ca="1" si="38"/>
        <v>264.20000000000005</v>
      </c>
      <c r="BN44" s="81">
        <f t="shared" si="50"/>
        <v>2014</v>
      </c>
      <c r="BO44" s="87">
        <f t="shared" ca="1" si="58"/>
        <v>0</v>
      </c>
      <c r="BP44" s="87">
        <f t="shared" ca="1" si="58"/>
        <v>0</v>
      </c>
      <c r="BQ44" s="87">
        <f t="shared" ca="1" si="58"/>
        <v>0</v>
      </c>
      <c r="BR44" s="87">
        <f t="shared" ca="1" si="58"/>
        <v>0</v>
      </c>
      <c r="BS44" s="87">
        <f t="shared" ca="1" si="58"/>
        <v>23.500000000000004</v>
      </c>
      <c r="BT44" s="87">
        <f t="shared" ca="1" si="58"/>
        <v>116.8</v>
      </c>
      <c r="BU44" s="87">
        <f t="shared" ca="1" si="58"/>
        <v>129</v>
      </c>
      <c r="BV44" s="87">
        <f t="shared" ca="1" si="58"/>
        <v>136</v>
      </c>
      <c r="BW44" s="87">
        <f t="shared" ca="1" si="58"/>
        <v>59.70000000000001</v>
      </c>
      <c r="BX44" s="87">
        <f t="shared" ca="1" si="58"/>
        <v>6.3000000000000007</v>
      </c>
      <c r="BY44" s="87">
        <f t="shared" ca="1" si="58"/>
        <v>0</v>
      </c>
      <c r="BZ44" s="87">
        <f t="shared" ca="1" si="58"/>
        <v>0</v>
      </c>
      <c r="CB44" s="81">
        <f t="shared" si="51"/>
        <v>2014</v>
      </c>
      <c r="CC44" s="87">
        <f t="shared" ca="1" si="59"/>
        <v>0</v>
      </c>
      <c r="CD44" s="87">
        <f t="shared" ca="1" si="59"/>
        <v>0</v>
      </c>
      <c r="CE44" s="87">
        <f t="shared" ca="1" si="59"/>
        <v>0</v>
      </c>
      <c r="CF44" s="87">
        <f t="shared" ca="1" si="59"/>
        <v>0</v>
      </c>
      <c r="CG44" s="87">
        <f t="shared" ca="1" si="59"/>
        <v>50.400000000000006</v>
      </c>
      <c r="CH44" s="87">
        <f t="shared" ca="1" si="59"/>
        <v>174</v>
      </c>
      <c r="CI44" s="87">
        <f t="shared" ca="1" si="59"/>
        <v>190.99999999999997</v>
      </c>
      <c r="CJ44" s="87">
        <f t="shared" ca="1" si="59"/>
        <v>197</v>
      </c>
      <c r="CK44" s="87">
        <f t="shared" ca="1" si="59"/>
        <v>100.89999999999998</v>
      </c>
      <c r="CL44" s="87">
        <f t="shared" ca="1" si="59"/>
        <v>18.800000000000004</v>
      </c>
      <c r="CM44" s="87">
        <f t="shared" ca="1" si="59"/>
        <v>0</v>
      </c>
      <c r="CN44" s="87">
        <f t="shared" ca="1" si="59"/>
        <v>0</v>
      </c>
      <c r="CP44" s="81">
        <f t="shared" si="52"/>
        <v>2014</v>
      </c>
      <c r="CQ44" s="87">
        <f t="shared" ca="1" si="60"/>
        <v>0</v>
      </c>
      <c r="CR44" s="87">
        <f t="shared" ca="1" si="60"/>
        <v>0</v>
      </c>
      <c r="CS44" s="87">
        <f t="shared" ca="1" si="60"/>
        <v>0</v>
      </c>
      <c r="CT44" s="87">
        <f t="shared" ca="1" si="60"/>
        <v>2.5999999999999996</v>
      </c>
      <c r="CU44" s="87">
        <f t="shared" ca="1" si="60"/>
        <v>92</v>
      </c>
      <c r="CV44" s="87">
        <f t="shared" ca="1" si="60"/>
        <v>234</v>
      </c>
      <c r="CW44" s="87">
        <f t="shared" ca="1" si="60"/>
        <v>253</v>
      </c>
      <c r="CX44" s="87">
        <f t="shared" ca="1" si="60"/>
        <v>259</v>
      </c>
      <c r="CY44" s="87">
        <f t="shared" ca="1" si="60"/>
        <v>148.69999999999999</v>
      </c>
      <c r="CZ44" s="87">
        <f t="shared" ca="1" si="60"/>
        <v>38.1</v>
      </c>
      <c r="DA44" s="87">
        <f t="shared" ca="1" si="60"/>
        <v>0</v>
      </c>
      <c r="DB44" s="87">
        <f t="shared" ca="1" si="60"/>
        <v>0</v>
      </c>
      <c r="DD44" s="81">
        <f t="shared" si="53"/>
        <v>2014</v>
      </c>
      <c r="DE44" s="87">
        <f t="shared" ca="1" si="42"/>
        <v>0</v>
      </c>
      <c r="DF44" s="87">
        <f t="shared" ca="1" si="43"/>
        <v>0</v>
      </c>
      <c r="DG44" s="87">
        <f t="shared" ca="1" si="43"/>
        <v>0</v>
      </c>
      <c r="DH44" s="87">
        <f t="shared" ca="1" si="43"/>
        <v>9.6</v>
      </c>
      <c r="DI44" s="87">
        <f t="shared" ca="1" si="43"/>
        <v>135</v>
      </c>
      <c r="DJ44" s="87">
        <f t="shared" ca="1" si="43"/>
        <v>294</v>
      </c>
      <c r="DK44" s="87">
        <f t="shared" ca="1" si="43"/>
        <v>315.00000000000006</v>
      </c>
      <c r="DL44" s="87">
        <f t="shared" ca="1" si="43"/>
        <v>321</v>
      </c>
      <c r="DM44" s="87">
        <f t="shared" ca="1" si="43"/>
        <v>201.2</v>
      </c>
      <c r="DN44" s="87">
        <f t="shared" ca="1" si="43"/>
        <v>61.099999999999994</v>
      </c>
      <c r="DO44" s="87">
        <f t="shared" ca="1" si="43"/>
        <v>2.0999999999999996</v>
      </c>
      <c r="DP44" s="87">
        <f t="shared" ca="1" si="43"/>
        <v>0</v>
      </c>
      <c r="DR44" s="81">
        <f t="shared" si="54"/>
        <v>2014</v>
      </c>
      <c r="DS44" s="87">
        <f t="shared" ca="1" si="44"/>
        <v>0</v>
      </c>
      <c r="DT44" s="87">
        <f t="shared" ca="1" si="45"/>
        <v>0</v>
      </c>
      <c r="DU44" s="87">
        <f t="shared" ca="1" si="45"/>
        <v>0</v>
      </c>
      <c r="DV44" s="87">
        <f t="shared" ca="1" si="45"/>
        <v>20.5</v>
      </c>
      <c r="DW44" s="87">
        <f t="shared" ca="1" si="45"/>
        <v>189.79999999999998</v>
      </c>
      <c r="DX44" s="87">
        <f t="shared" ca="1" si="45"/>
        <v>354</v>
      </c>
      <c r="DY44" s="87">
        <f t="shared" ca="1" si="45"/>
        <v>377</v>
      </c>
      <c r="DZ44" s="87">
        <f t="shared" ca="1" si="45"/>
        <v>383</v>
      </c>
      <c r="EA44" s="87">
        <f t="shared" ca="1" si="45"/>
        <v>260.40000000000003</v>
      </c>
      <c r="EB44" s="87">
        <f t="shared" ca="1" si="45"/>
        <v>96.9</v>
      </c>
      <c r="EC44" s="87">
        <f t="shared" ca="1" si="45"/>
        <v>7.6</v>
      </c>
      <c r="ED44" s="87">
        <f t="shared" ca="1" si="45"/>
        <v>0</v>
      </c>
      <c r="EG44" s="86"/>
      <c r="EH44" s="86"/>
      <c r="EI44" s="86"/>
      <c r="EK44" s="86"/>
      <c r="EL44" s="86"/>
      <c r="EM44" s="82"/>
      <c r="EO44" s="82"/>
      <c r="EP44" s="85"/>
      <c r="EQ44" s="84"/>
      <c r="ER44" s="84"/>
      <c r="FA44" s="265" t="s">
        <v>156</v>
      </c>
      <c r="FB44" s="266"/>
      <c r="FC44" s="266"/>
      <c r="FD44" s="266"/>
      <c r="FE44" s="267"/>
      <c r="FF44" s="268"/>
    </row>
    <row r="45" spans="1:162" x14ac:dyDescent="0.2">
      <c r="A45" s="81">
        <v>2005</v>
      </c>
      <c r="B45" s="88">
        <v>8</v>
      </c>
      <c r="C45" s="88">
        <v>22.532258064516128</v>
      </c>
      <c r="D45" s="87">
        <v>24.799999999999997</v>
      </c>
      <c r="E45" s="87">
        <v>41.3</v>
      </c>
      <c r="F45" s="87">
        <v>5.4000000000000021</v>
      </c>
      <c r="G45" s="87">
        <v>83.899999999999991</v>
      </c>
      <c r="H45" s="133">
        <v>0.19999999999999929</v>
      </c>
      <c r="I45" s="133">
        <v>140.70000000000002</v>
      </c>
      <c r="J45" s="87">
        <v>0</v>
      </c>
      <c r="K45" s="87">
        <v>202.5</v>
      </c>
      <c r="L45" s="87">
        <v>0</v>
      </c>
      <c r="M45" s="87">
        <v>264.5</v>
      </c>
      <c r="N45" s="87">
        <v>0</v>
      </c>
      <c r="O45" s="87">
        <v>326.5</v>
      </c>
      <c r="P45" s="87">
        <v>0</v>
      </c>
      <c r="Q45" s="87">
        <v>388.50000000000006</v>
      </c>
      <c r="R45" s="87">
        <v>0</v>
      </c>
      <c r="S45" s="87">
        <v>450.50000000000006</v>
      </c>
      <c r="T45" s="87"/>
      <c r="U45" s="87"/>
      <c r="V45" s="87"/>
      <c r="X45" s="81">
        <f t="shared" si="46"/>
        <v>2015</v>
      </c>
      <c r="Y45" s="87">
        <f t="shared" ca="1" si="47"/>
        <v>0</v>
      </c>
      <c r="Z45" s="87">
        <f t="shared" ca="1" si="55"/>
        <v>0</v>
      </c>
      <c r="AA45" s="87">
        <f t="shared" ca="1" si="55"/>
        <v>0</v>
      </c>
      <c r="AB45" s="87">
        <f t="shared" ca="1" si="55"/>
        <v>0</v>
      </c>
      <c r="AC45" s="87">
        <f t="shared" ca="1" si="55"/>
        <v>3.3000000000000007</v>
      </c>
      <c r="AD45" s="87">
        <f t="shared" ca="1" si="55"/>
        <v>0.30000000000000071</v>
      </c>
      <c r="AE45" s="87">
        <f t="shared" ca="1" si="55"/>
        <v>31.100000000000005</v>
      </c>
      <c r="AF45" s="87">
        <f t="shared" ca="1" si="55"/>
        <v>18.8</v>
      </c>
      <c r="AG45" s="87">
        <f t="shared" ca="1" si="55"/>
        <v>27.800000000000004</v>
      </c>
      <c r="AH45" s="87">
        <f t="shared" ca="1" si="55"/>
        <v>0</v>
      </c>
      <c r="AI45" s="87">
        <f t="shared" ca="1" si="55"/>
        <v>0</v>
      </c>
      <c r="AJ45" s="87">
        <f t="shared" ca="1" si="55"/>
        <v>0</v>
      </c>
      <c r="AL45" s="81">
        <f t="shared" si="48"/>
        <v>2015</v>
      </c>
      <c r="AM45" s="87">
        <f t="shared" ca="1" si="56"/>
        <v>0</v>
      </c>
      <c r="AN45" s="87">
        <f t="shared" ca="1" si="56"/>
        <v>0</v>
      </c>
      <c r="AO45" s="87">
        <f t="shared" ca="1" si="56"/>
        <v>0</v>
      </c>
      <c r="AP45" s="87">
        <f t="shared" ca="1" si="56"/>
        <v>0</v>
      </c>
      <c r="AQ45" s="87">
        <f t="shared" ca="1" si="56"/>
        <v>13.000000000000004</v>
      </c>
      <c r="AR45" s="87">
        <f t="shared" ca="1" si="56"/>
        <v>8.1999999999999957</v>
      </c>
      <c r="AS45" s="87">
        <f t="shared" ca="1" si="56"/>
        <v>66.099999999999994</v>
      </c>
      <c r="AT45" s="87">
        <f t="shared" ca="1" si="56"/>
        <v>45.699999999999996</v>
      </c>
      <c r="AU45" s="87">
        <f t="shared" ca="1" si="56"/>
        <v>50.899999999999991</v>
      </c>
      <c r="AV45" s="87">
        <f t="shared" ca="1" si="56"/>
        <v>0</v>
      </c>
      <c r="AW45" s="87">
        <f t="shared" ca="1" si="56"/>
        <v>0</v>
      </c>
      <c r="AX45" s="87">
        <f t="shared" ca="1" si="56"/>
        <v>0</v>
      </c>
      <c r="AY45" s="93"/>
      <c r="AZ45" s="81">
        <f t="shared" si="49"/>
        <v>2015</v>
      </c>
      <c r="BA45" s="87">
        <f t="shared" ca="1" si="57"/>
        <v>0</v>
      </c>
      <c r="BB45" s="87">
        <f t="shared" ca="1" si="57"/>
        <v>0</v>
      </c>
      <c r="BC45" s="87">
        <f t="shared" ca="1" si="57"/>
        <v>0</v>
      </c>
      <c r="BD45" s="87">
        <f t="shared" ca="1" si="57"/>
        <v>0</v>
      </c>
      <c r="BE45" s="87">
        <f t="shared" ca="1" si="57"/>
        <v>34.100000000000009</v>
      </c>
      <c r="BF45" s="87">
        <f t="shared" ca="1" si="57"/>
        <v>32.299999999999997</v>
      </c>
      <c r="BG45" s="87">
        <f t="shared" ca="1" si="57"/>
        <v>114.30000000000001</v>
      </c>
      <c r="BH45" s="87">
        <f t="shared" ca="1" si="57"/>
        <v>88.6</v>
      </c>
      <c r="BI45" s="87">
        <f t="shared" ca="1" si="57"/>
        <v>81.900000000000006</v>
      </c>
      <c r="BJ45" s="87">
        <f t="shared" ca="1" si="57"/>
        <v>0</v>
      </c>
      <c r="BK45" s="87">
        <f t="shared" ca="1" si="57"/>
        <v>0</v>
      </c>
      <c r="BL45" s="87">
        <f t="shared" ca="1" si="57"/>
        <v>0</v>
      </c>
      <c r="BM45" s="93">
        <f t="shared" ca="1" si="38"/>
        <v>351.20000000000005</v>
      </c>
      <c r="BN45" s="81">
        <f t="shared" si="50"/>
        <v>2015</v>
      </c>
      <c r="BO45" s="87">
        <f t="shared" ca="1" si="58"/>
        <v>0</v>
      </c>
      <c r="BP45" s="87">
        <f t="shared" ca="1" si="58"/>
        <v>0</v>
      </c>
      <c r="BQ45" s="87">
        <f t="shared" ca="1" si="58"/>
        <v>0</v>
      </c>
      <c r="BR45" s="87">
        <f t="shared" ca="1" si="58"/>
        <v>0</v>
      </c>
      <c r="BS45" s="87">
        <f t="shared" ca="1" si="58"/>
        <v>63.7</v>
      </c>
      <c r="BT45" s="87">
        <f t="shared" ca="1" si="58"/>
        <v>72.800000000000011</v>
      </c>
      <c r="BU45" s="87">
        <f t="shared" ca="1" si="58"/>
        <v>172.30000000000004</v>
      </c>
      <c r="BV45" s="87">
        <f t="shared" ca="1" si="58"/>
        <v>146.20000000000002</v>
      </c>
      <c r="BW45" s="87">
        <f t="shared" ca="1" si="58"/>
        <v>123.69999999999999</v>
      </c>
      <c r="BX45" s="87">
        <f t="shared" ca="1" si="58"/>
        <v>2.7999999999999972</v>
      </c>
      <c r="BY45" s="87">
        <f t="shared" ca="1" si="58"/>
        <v>0</v>
      </c>
      <c r="BZ45" s="87">
        <f t="shared" ca="1" si="58"/>
        <v>0</v>
      </c>
      <c r="CB45" s="81">
        <f t="shared" si="51"/>
        <v>2015</v>
      </c>
      <c r="CC45" s="87">
        <f t="shared" ca="1" si="59"/>
        <v>0</v>
      </c>
      <c r="CD45" s="87">
        <f t="shared" ca="1" si="59"/>
        <v>0</v>
      </c>
      <c r="CE45" s="87">
        <f t="shared" ca="1" si="59"/>
        <v>0</v>
      </c>
      <c r="CF45" s="87">
        <f t="shared" ca="1" si="59"/>
        <v>2.1999999999999993</v>
      </c>
      <c r="CG45" s="87">
        <f t="shared" ca="1" si="59"/>
        <v>99.9</v>
      </c>
      <c r="CH45" s="87">
        <f t="shared" ca="1" si="59"/>
        <v>121.5</v>
      </c>
      <c r="CI45" s="87">
        <f t="shared" ca="1" si="59"/>
        <v>234.3</v>
      </c>
      <c r="CJ45" s="87">
        <f t="shared" ca="1" si="59"/>
        <v>208.20000000000002</v>
      </c>
      <c r="CK45" s="87">
        <f t="shared" ca="1" si="59"/>
        <v>174.09999999999997</v>
      </c>
      <c r="CL45" s="87">
        <f t="shared" ca="1" si="59"/>
        <v>9.4999999999999982</v>
      </c>
      <c r="CM45" s="87">
        <f t="shared" ca="1" si="59"/>
        <v>2.1999999999999993</v>
      </c>
      <c r="CN45" s="87">
        <f t="shared" ca="1" si="59"/>
        <v>0</v>
      </c>
      <c r="CP45" s="81">
        <f t="shared" si="52"/>
        <v>2015</v>
      </c>
      <c r="CQ45" s="87">
        <f t="shared" ca="1" si="60"/>
        <v>0</v>
      </c>
      <c r="CR45" s="87">
        <f t="shared" ca="1" si="60"/>
        <v>0</v>
      </c>
      <c r="CS45" s="87">
        <f t="shared" ca="1" si="60"/>
        <v>0</v>
      </c>
      <c r="CT45" s="87">
        <f t="shared" ca="1" si="60"/>
        <v>7.1999999999999993</v>
      </c>
      <c r="CU45" s="87">
        <f t="shared" ca="1" si="60"/>
        <v>142.1</v>
      </c>
      <c r="CV45" s="87">
        <f t="shared" ca="1" si="60"/>
        <v>178.69999999999996</v>
      </c>
      <c r="CW45" s="87">
        <f t="shared" ca="1" si="60"/>
        <v>296.3</v>
      </c>
      <c r="CX45" s="87">
        <f t="shared" ca="1" si="60"/>
        <v>270.19999999999993</v>
      </c>
      <c r="CY45" s="87">
        <f t="shared" ca="1" si="60"/>
        <v>230.8</v>
      </c>
      <c r="CZ45" s="87">
        <f t="shared" ca="1" si="60"/>
        <v>21.3</v>
      </c>
      <c r="DA45" s="87">
        <f t="shared" ca="1" si="60"/>
        <v>7.3999999999999986</v>
      </c>
      <c r="DB45" s="87">
        <f t="shared" ca="1" si="60"/>
        <v>0</v>
      </c>
      <c r="DD45" s="81">
        <f t="shared" si="53"/>
        <v>2015</v>
      </c>
      <c r="DE45" s="87">
        <f t="shared" ca="1" si="42"/>
        <v>0</v>
      </c>
      <c r="DF45" s="87">
        <f t="shared" ca="1" si="43"/>
        <v>0</v>
      </c>
      <c r="DG45" s="87">
        <f t="shared" ca="1" si="43"/>
        <v>0</v>
      </c>
      <c r="DH45" s="87">
        <f t="shared" ca="1" si="43"/>
        <v>20.7</v>
      </c>
      <c r="DI45" s="87">
        <f t="shared" ca="1" si="43"/>
        <v>194.29999999999995</v>
      </c>
      <c r="DJ45" s="87">
        <f t="shared" ca="1" si="43"/>
        <v>238.50000000000003</v>
      </c>
      <c r="DK45" s="87">
        <f t="shared" ca="1" si="43"/>
        <v>358.30000000000007</v>
      </c>
      <c r="DL45" s="87">
        <f t="shared" ca="1" si="43"/>
        <v>332.2</v>
      </c>
      <c r="DM45" s="87">
        <f t="shared" ca="1" si="43"/>
        <v>290.80000000000007</v>
      </c>
      <c r="DN45" s="87">
        <f t="shared" ca="1" si="43"/>
        <v>46.400000000000006</v>
      </c>
      <c r="DO45" s="87">
        <f t="shared" ca="1" si="43"/>
        <v>16.899999999999999</v>
      </c>
      <c r="DP45" s="87">
        <f t="shared" ca="1" si="43"/>
        <v>0.30000000000000071</v>
      </c>
      <c r="DR45" s="81">
        <f t="shared" si="54"/>
        <v>2015</v>
      </c>
      <c r="DS45" s="87">
        <f t="shared" ca="1" si="44"/>
        <v>0</v>
      </c>
      <c r="DT45" s="87">
        <f t="shared" ca="1" si="45"/>
        <v>0</v>
      </c>
      <c r="DU45" s="87">
        <f t="shared" ca="1" si="45"/>
        <v>0</v>
      </c>
      <c r="DV45" s="87">
        <f t="shared" ca="1" si="45"/>
        <v>45.599999999999994</v>
      </c>
      <c r="DW45" s="87">
        <f t="shared" ca="1" si="45"/>
        <v>254.79999999999995</v>
      </c>
      <c r="DX45" s="87">
        <f t="shared" ca="1" si="45"/>
        <v>298.50000000000006</v>
      </c>
      <c r="DY45" s="87">
        <f t="shared" ca="1" si="45"/>
        <v>420.30000000000007</v>
      </c>
      <c r="DZ45" s="87">
        <f t="shared" ca="1" si="45"/>
        <v>394.2</v>
      </c>
      <c r="EA45" s="87">
        <f t="shared" ca="1" si="45"/>
        <v>350.80000000000007</v>
      </c>
      <c r="EB45" s="87">
        <f t="shared" ca="1" si="45"/>
        <v>85.1</v>
      </c>
      <c r="EC45" s="87">
        <f t="shared" ca="1" si="45"/>
        <v>37.800000000000004</v>
      </c>
      <c r="ED45" s="87">
        <f t="shared" ca="1" si="45"/>
        <v>6.5</v>
      </c>
      <c r="EG45" s="86"/>
      <c r="EH45" s="86"/>
      <c r="EI45" s="86"/>
      <c r="EK45" s="86"/>
      <c r="EL45" s="86"/>
      <c r="EM45" s="82"/>
      <c r="EO45" s="82"/>
      <c r="EP45" s="85"/>
      <c r="EQ45" s="84"/>
      <c r="ER45" s="84"/>
      <c r="FA45" s="265" t="s">
        <v>157</v>
      </c>
      <c r="FB45" s="266"/>
      <c r="FC45" s="266"/>
      <c r="FD45" s="266"/>
      <c r="FE45" s="267"/>
      <c r="FF45" s="268"/>
    </row>
    <row r="46" spans="1:162" x14ac:dyDescent="0.2">
      <c r="A46" s="81">
        <v>2005</v>
      </c>
      <c r="B46" s="88">
        <v>9</v>
      </c>
      <c r="C46" s="88">
        <v>18.983333333333338</v>
      </c>
      <c r="D46" s="87">
        <v>97.600000000000009</v>
      </c>
      <c r="E46" s="87">
        <v>7.1000000000000014</v>
      </c>
      <c r="F46" s="87">
        <v>49.500000000000007</v>
      </c>
      <c r="G46" s="87">
        <v>19</v>
      </c>
      <c r="H46" s="133">
        <v>22.6</v>
      </c>
      <c r="I46" s="133">
        <v>52.1</v>
      </c>
      <c r="J46" s="87">
        <v>8.4</v>
      </c>
      <c r="K46" s="87">
        <v>97.9</v>
      </c>
      <c r="L46" s="87">
        <v>1.5999999999999996</v>
      </c>
      <c r="M46" s="87">
        <v>151.1</v>
      </c>
      <c r="N46" s="87">
        <v>0</v>
      </c>
      <c r="O46" s="87">
        <v>209.50000000000003</v>
      </c>
      <c r="P46" s="87">
        <v>0</v>
      </c>
      <c r="Q46" s="87">
        <v>269.5</v>
      </c>
      <c r="R46" s="87">
        <v>0</v>
      </c>
      <c r="S46" s="87">
        <v>329.50000000000006</v>
      </c>
      <c r="T46" s="87"/>
      <c r="U46" s="87"/>
      <c r="V46" s="87"/>
      <c r="X46" s="81">
        <f t="shared" si="46"/>
        <v>2016</v>
      </c>
      <c r="Y46" s="87">
        <f t="shared" ca="1" si="47"/>
        <v>0</v>
      </c>
      <c r="Z46" s="87">
        <f t="shared" ca="1" si="55"/>
        <v>0</v>
      </c>
      <c r="AA46" s="87">
        <f t="shared" ca="1" si="55"/>
        <v>0</v>
      </c>
      <c r="AB46" s="87">
        <f t="shared" ca="1" si="55"/>
        <v>0</v>
      </c>
      <c r="AC46" s="87">
        <f t="shared" ca="1" si="55"/>
        <v>9.2000000000000028</v>
      </c>
      <c r="AD46" s="87">
        <f t="shared" ca="1" si="55"/>
        <v>21.200000000000003</v>
      </c>
      <c r="AE46" s="87">
        <f t="shared" ca="1" si="55"/>
        <v>69.099999999999994</v>
      </c>
      <c r="AF46" s="87">
        <f t="shared" ca="1" si="55"/>
        <v>75.500000000000028</v>
      </c>
      <c r="AG46" s="87">
        <f t="shared" ca="1" si="55"/>
        <v>18.2</v>
      </c>
      <c r="AH46" s="87">
        <f t="shared" ca="1" si="55"/>
        <v>0</v>
      </c>
      <c r="AI46" s="87">
        <f t="shared" ca="1" si="55"/>
        <v>0</v>
      </c>
      <c r="AJ46" s="87">
        <f t="shared" ca="1" si="55"/>
        <v>0</v>
      </c>
      <c r="AL46" s="81">
        <f t="shared" si="48"/>
        <v>2016</v>
      </c>
      <c r="AM46" s="87">
        <f t="shared" ca="1" si="56"/>
        <v>0</v>
      </c>
      <c r="AN46" s="87">
        <f t="shared" ca="1" si="56"/>
        <v>0</v>
      </c>
      <c r="AO46" s="87">
        <f t="shared" ca="1" si="56"/>
        <v>0</v>
      </c>
      <c r="AP46" s="87">
        <f t="shared" ca="1" si="56"/>
        <v>0</v>
      </c>
      <c r="AQ46" s="87">
        <f t="shared" ca="1" si="56"/>
        <v>20.700000000000003</v>
      </c>
      <c r="AR46" s="87">
        <f t="shared" ca="1" si="56"/>
        <v>44.5</v>
      </c>
      <c r="AS46" s="87">
        <f t="shared" ca="1" si="56"/>
        <v>118.80000000000001</v>
      </c>
      <c r="AT46" s="87">
        <f t="shared" ca="1" si="56"/>
        <v>134.5</v>
      </c>
      <c r="AU46" s="87">
        <f t="shared" ca="1" si="56"/>
        <v>39.700000000000003</v>
      </c>
      <c r="AV46" s="87">
        <f t="shared" ca="1" si="56"/>
        <v>0</v>
      </c>
      <c r="AW46" s="87">
        <f t="shared" ca="1" si="56"/>
        <v>0</v>
      </c>
      <c r="AX46" s="87">
        <f t="shared" ca="1" si="56"/>
        <v>0</v>
      </c>
      <c r="AY46" s="93"/>
      <c r="AZ46" s="81">
        <f t="shared" si="49"/>
        <v>2016</v>
      </c>
      <c r="BA46" s="87">
        <f t="shared" ca="1" si="57"/>
        <v>0</v>
      </c>
      <c r="BB46" s="87">
        <f t="shared" ca="1" si="57"/>
        <v>0</v>
      </c>
      <c r="BC46" s="87">
        <f t="shared" ca="1" si="57"/>
        <v>0</v>
      </c>
      <c r="BD46" s="87">
        <f t="shared" ca="1" si="57"/>
        <v>0</v>
      </c>
      <c r="BE46" s="87">
        <f t="shared" ca="1" si="57"/>
        <v>36.9</v>
      </c>
      <c r="BF46" s="87">
        <f t="shared" ca="1" si="57"/>
        <v>83.700000000000017</v>
      </c>
      <c r="BG46" s="87">
        <f t="shared" ca="1" si="57"/>
        <v>176.90000000000003</v>
      </c>
      <c r="BH46" s="87">
        <f t="shared" ca="1" si="57"/>
        <v>195.40000000000003</v>
      </c>
      <c r="BI46" s="87">
        <f t="shared" ca="1" si="57"/>
        <v>69.40000000000002</v>
      </c>
      <c r="BJ46" s="87">
        <f t="shared" ca="1" si="57"/>
        <v>4.1000000000000014</v>
      </c>
      <c r="BK46" s="87">
        <f t="shared" ca="1" si="57"/>
        <v>0</v>
      </c>
      <c r="BL46" s="87">
        <f t="shared" ca="1" si="57"/>
        <v>0</v>
      </c>
      <c r="BM46" s="93">
        <f t="shared" ca="1" si="38"/>
        <v>566.40000000000009</v>
      </c>
      <c r="BN46" s="81">
        <f t="shared" si="50"/>
        <v>2016</v>
      </c>
      <c r="BO46" s="87">
        <f t="shared" ca="1" si="58"/>
        <v>0</v>
      </c>
      <c r="BP46" s="87">
        <f t="shared" ca="1" si="58"/>
        <v>0</v>
      </c>
      <c r="BQ46" s="87">
        <f t="shared" ca="1" si="58"/>
        <v>0</v>
      </c>
      <c r="BR46" s="87">
        <f t="shared" ca="1" si="58"/>
        <v>0.30000000000000071</v>
      </c>
      <c r="BS46" s="87">
        <f t="shared" ca="1" si="58"/>
        <v>58.6</v>
      </c>
      <c r="BT46" s="87">
        <f t="shared" ca="1" si="58"/>
        <v>128.70000000000002</v>
      </c>
      <c r="BU46" s="87">
        <f t="shared" ca="1" si="58"/>
        <v>238.9</v>
      </c>
      <c r="BV46" s="87">
        <f t="shared" ca="1" si="58"/>
        <v>257.40000000000003</v>
      </c>
      <c r="BW46" s="87">
        <f t="shared" ca="1" si="58"/>
        <v>111.89999999999999</v>
      </c>
      <c r="BX46" s="87">
        <f t="shared" ca="1" si="58"/>
        <v>16.600000000000005</v>
      </c>
      <c r="BY46" s="87">
        <f t="shared" ca="1" si="58"/>
        <v>0</v>
      </c>
      <c r="BZ46" s="87">
        <f t="shared" ca="1" si="58"/>
        <v>0</v>
      </c>
      <c r="CB46" s="81">
        <f t="shared" si="51"/>
        <v>2016</v>
      </c>
      <c r="CC46" s="87">
        <f t="shared" ca="1" si="59"/>
        <v>0</v>
      </c>
      <c r="CD46" s="87">
        <f t="shared" ca="1" si="59"/>
        <v>0</v>
      </c>
      <c r="CE46" s="87">
        <f t="shared" ca="1" si="59"/>
        <v>0</v>
      </c>
      <c r="CF46" s="87">
        <f t="shared" ca="1" si="59"/>
        <v>2.3000000000000007</v>
      </c>
      <c r="CG46" s="87">
        <f t="shared" ca="1" si="59"/>
        <v>85</v>
      </c>
      <c r="CH46" s="87">
        <f t="shared" ca="1" si="59"/>
        <v>182.6</v>
      </c>
      <c r="CI46" s="87">
        <f t="shared" ca="1" si="59"/>
        <v>300.89999999999998</v>
      </c>
      <c r="CJ46" s="87">
        <f t="shared" ca="1" si="59"/>
        <v>319.40000000000003</v>
      </c>
      <c r="CK46" s="87">
        <f t="shared" ca="1" si="59"/>
        <v>164.79999999999998</v>
      </c>
      <c r="CL46" s="87">
        <f t="shared" ca="1" si="59"/>
        <v>39.800000000000004</v>
      </c>
      <c r="CM46" s="87">
        <f t="shared" ca="1" si="59"/>
        <v>1.0999999999999996</v>
      </c>
      <c r="CN46" s="87">
        <f t="shared" ca="1" si="59"/>
        <v>0</v>
      </c>
      <c r="CP46" s="81">
        <f t="shared" si="52"/>
        <v>2016</v>
      </c>
      <c r="CQ46" s="87">
        <f t="shared" ca="1" si="60"/>
        <v>0</v>
      </c>
      <c r="CR46" s="87">
        <f t="shared" ca="1" si="60"/>
        <v>0</v>
      </c>
      <c r="CS46" s="87">
        <f t="shared" ca="1" si="60"/>
        <v>0.80000000000000071</v>
      </c>
      <c r="CT46" s="87">
        <f t="shared" ca="1" si="60"/>
        <v>4.9000000000000004</v>
      </c>
      <c r="CU46" s="87">
        <f t="shared" ca="1" si="60"/>
        <v>116.69999999999999</v>
      </c>
      <c r="CV46" s="87">
        <f t="shared" ca="1" si="60"/>
        <v>240.59999999999997</v>
      </c>
      <c r="CW46" s="87">
        <f t="shared" ca="1" si="60"/>
        <v>362.9</v>
      </c>
      <c r="CX46" s="87">
        <f t="shared" ca="1" si="60"/>
        <v>381.40000000000009</v>
      </c>
      <c r="CY46" s="87">
        <f t="shared" ca="1" si="60"/>
        <v>223.5</v>
      </c>
      <c r="CZ46" s="87">
        <f t="shared" ca="1" si="60"/>
        <v>69.3</v>
      </c>
      <c r="DA46" s="87">
        <f t="shared" ca="1" si="60"/>
        <v>3.0999999999999996</v>
      </c>
      <c r="DB46" s="87">
        <f t="shared" ca="1" si="60"/>
        <v>0</v>
      </c>
      <c r="DD46" s="81">
        <f t="shared" si="53"/>
        <v>2016</v>
      </c>
      <c r="DE46" s="87">
        <f t="shared" ca="1" si="42"/>
        <v>0</v>
      </c>
      <c r="DF46" s="87">
        <f t="shared" ca="1" si="43"/>
        <v>0</v>
      </c>
      <c r="DG46" s="87">
        <f t="shared" ca="1" si="43"/>
        <v>4.8000000000000007</v>
      </c>
      <c r="DH46" s="87">
        <f t="shared" ca="1" si="43"/>
        <v>12.9</v>
      </c>
      <c r="DI46" s="87">
        <f t="shared" ca="1" si="43"/>
        <v>155.00000000000003</v>
      </c>
      <c r="DJ46" s="87">
        <f t="shared" ca="1" si="43"/>
        <v>299.5</v>
      </c>
      <c r="DK46" s="87">
        <f t="shared" ca="1" si="43"/>
        <v>424.90000000000003</v>
      </c>
      <c r="DL46" s="87">
        <f t="shared" ca="1" si="43"/>
        <v>443.40000000000009</v>
      </c>
      <c r="DM46" s="87">
        <f t="shared" ca="1" si="43"/>
        <v>283.49999999999994</v>
      </c>
      <c r="DN46" s="87">
        <f t="shared" ca="1" si="43"/>
        <v>103.29999999999998</v>
      </c>
      <c r="DO46" s="87">
        <f t="shared" ca="1" si="43"/>
        <v>10.8</v>
      </c>
      <c r="DP46" s="87">
        <f t="shared" ca="1" si="43"/>
        <v>0</v>
      </c>
      <c r="DR46" s="81">
        <f t="shared" si="54"/>
        <v>2016</v>
      </c>
      <c r="DS46" s="87">
        <f t="shared" ca="1" si="44"/>
        <v>0</v>
      </c>
      <c r="DT46" s="87">
        <f t="shared" ca="1" si="45"/>
        <v>0.90000000000000036</v>
      </c>
      <c r="DU46" s="87">
        <f t="shared" ca="1" si="45"/>
        <v>10.3</v>
      </c>
      <c r="DV46" s="87">
        <f t="shared" ca="1" si="45"/>
        <v>25.8</v>
      </c>
      <c r="DW46" s="87">
        <f t="shared" ca="1" si="45"/>
        <v>207.5</v>
      </c>
      <c r="DX46" s="87">
        <f t="shared" ca="1" si="45"/>
        <v>359.5</v>
      </c>
      <c r="DY46" s="87">
        <f t="shared" ca="1" si="45"/>
        <v>486.90000000000003</v>
      </c>
      <c r="DZ46" s="87">
        <f t="shared" ca="1" si="45"/>
        <v>505.40000000000009</v>
      </c>
      <c r="EA46" s="87">
        <f t="shared" ca="1" si="45"/>
        <v>343.49999999999989</v>
      </c>
      <c r="EB46" s="87">
        <f t="shared" ca="1" si="45"/>
        <v>142.59999999999997</v>
      </c>
      <c r="EC46" s="87">
        <f t="shared" ca="1" si="45"/>
        <v>28.199999999999996</v>
      </c>
      <c r="ED46" s="87">
        <f t="shared" ca="1" si="45"/>
        <v>0</v>
      </c>
      <c r="EG46" s="86"/>
      <c r="EH46" s="86"/>
      <c r="EI46" s="86"/>
      <c r="EK46" s="86"/>
      <c r="EL46" s="86"/>
      <c r="EM46" s="82"/>
      <c r="EO46" s="82"/>
      <c r="EP46" s="85"/>
      <c r="EQ46" s="84"/>
      <c r="ER46" s="84"/>
      <c r="FA46" s="265"/>
      <c r="FB46" s="266"/>
      <c r="FC46" s="266"/>
      <c r="FD46" s="266"/>
      <c r="FE46" s="267"/>
      <c r="FF46" s="268"/>
    </row>
    <row r="47" spans="1:162" x14ac:dyDescent="0.2">
      <c r="A47" s="81">
        <v>2005</v>
      </c>
      <c r="B47" s="88">
        <v>10</v>
      </c>
      <c r="C47" s="88">
        <v>11.141935483870968</v>
      </c>
      <c r="D47" s="87">
        <v>336.59999999999991</v>
      </c>
      <c r="E47" s="87">
        <v>0</v>
      </c>
      <c r="F47" s="87">
        <v>275.7</v>
      </c>
      <c r="G47" s="87">
        <v>1.1000000000000014</v>
      </c>
      <c r="H47" s="133">
        <v>220.2</v>
      </c>
      <c r="I47" s="133">
        <v>7.6000000000000014</v>
      </c>
      <c r="J47" s="87">
        <v>167.49999999999997</v>
      </c>
      <c r="K47" s="87">
        <v>16.899999999999999</v>
      </c>
      <c r="L47" s="87">
        <v>119.00000000000001</v>
      </c>
      <c r="M47" s="87">
        <v>30.4</v>
      </c>
      <c r="N47" s="87">
        <v>74.800000000000011</v>
      </c>
      <c r="O47" s="87">
        <v>48.199999999999996</v>
      </c>
      <c r="P47" s="87">
        <v>41.2</v>
      </c>
      <c r="Q47" s="87">
        <v>76.600000000000009</v>
      </c>
      <c r="R47" s="87">
        <v>20.400000000000002</v>
      </c>
      <c r="S47" s="87">
        <v>117.80000000000001</v>
      </c>
      <c r="T47" s="87"/>
      <c r="U47" s="87"/>
      <c r="V47" s="87"/>
      <c r="X47" s="81">
        <f t="shared" si="46"/>
        <v>2017</v>
      </c>
      <c r="Y47" s="87">
        <f t="shared" ca="1" si="47"/>
        <v>0</v>
      </c>
      <c r="Z47" s="87">
        <f t="shared" ca="1" si="55"/>
        <v>0</v>
      </c>
      <c r="AA47" s="87">
        <f t="shared" ca="1" si="55"/>
        <v>0</v>
      </c>
      <c r="AB47" s="87">
        <f t="shared" ca="1" si="55"/>
        <v>0</v>
      </c>
      <c r="AC47" s="87">
        <f t="shared" ca="1" si="55"/>
        <v>1.3999999999999986</v>
      </c>
      <c r="AD47" s="87">
        <f t="shared" ca="1" si="55"/>
        <v>17.900000000000002</v>
      </c>
      <c r="AE47" s="87">
        <f t="shared" ca="1" si="55"/>
        <v>20.300000000000004</v>
      </c>
      <c r="AF47" s="87">
        <f t="shared" ca="1" si="55"/>
        <v>9.1999999999999993</v>
      </c>
      <c r="AG47" s="87">
        <f t="shared" ca="1" si="55"/>
        <v>16.3</v>
      </c>
      <c r="AH47" s="87">
        <f t="shared" ca="1" si="55"/>
        <v>0.19999999999999929</v>
      </c>
      <c r="AI47" s="87">
        <f t="shared" ca="1" si="55"/>
        <v>0</v>
      </c>
      <c r="AJ47" s="87">
        <f t="shared" ca="1" si="55"/>
        <v>0</v>
      </c>
      <c r="AL47" s="81">
        <f t="shared" si="48"/>
        <v>2017</v>
      </c>
      <c r="AM47" s="87">
        <f t="shared" ca="1" si="56"/>
        <v>0</v>
      </c>
      <c r="AN47" s="87">
        <f t="shared" ca="1" si="56"/>
        <v>0</v>
      </c>
      <c r="AO47" s="87">
        <f t="shared" ca="1" si="56"/>
        <v>0</v>
      </c>
      <c r="AP47" s="87">
        <f t="shared" ca="1" si="56"/>
        <v>0</v>
      </c>
      <c r="AQ47" s="87">
        <f t="shared" ca="1" si="56"/>
        <v>3.3999999999999986</v>
      </c>
      <c r="AR47" s="87">
        <f t="shared" ca="1" si="56"/>
        <v>38.799999999999997</v>
      </c>
      <c r="AS47" s="87">
        <f t="shared" ca="1" si="56"/>
        <v>59.900000000000006</v>
      </c>
      <c r="AT47" s="87">
        <f t="shared" ca="1" si="56"/>
        <v>32.900000000000006</v>
      </c>
      <c r="AU47" s="87">
        <f t="shared" ca="1" si="56"/>
        <v>41.300000000000004</v>
      </c>
      <c r="AV47" s="87">
        <f t="shared" ca="1" si="56"/>
        <v>3.0999999999999979</v>
      </c>
      <c r="AW47" s="87">
        <f t="shared" ca="1" si="56"/>
        <v>0</v>
      </c>
      <c r="AX47" s="87">
        <f t="shared" ca="1" si="56"/>
        <v>0</v>
      </c>
      <c r="AY47" s="93"/>
      <c r="AZ47" s="81">
        <f t="shared" si="49"/>
        <v>2017</v>
      </c>
      <c r="BA47" s="87">
        <f t="shared" ca="1" si="57"/>
        <v>0</v>
      </c>
      <c r="BB47" s="87">
        <f t="shared" ca="1" si="57"/>
        <v>0</v>
      </c>
      <c r="BC47" s="87">
        <f t="shared" ca="1" si="57"/>
        <v>0</v>
      </c>
      <c r="BD47" s="87">
        <f t="shared" ca="1" si="57"/>
        <v>0</v>
      </c>
      <c r="BE47" s="87">
        <f t="shared" ca="1" si="57"/>
        <v>9</v>
      </c>
      <c r="BF47" s="87">
        <f t="shared" ca="1" si="57"/>
        <v>68.2</v>
      </c>
      <c r="BG47" s="87">
        <f t="shared" ca="1" si="57"/>
        <v>116.5</v>
      </c>
      <c r="BH47" s="87">
        <f t="shared" ca="1" si="57"/>
        <v>75.2</v>
      </c>
      <c r="BI47" s="87">
        <f t="shared" ca="1" si="57"/>
        <v>71.5</v>
      </c>
      <c r="BJ47" s="87">
        <f t="shared" ca="1" si="57"/>
        <v>8.0999999999999979</v>
      </c>
      <c r="BK47" s="87">
        <f t="shared" ca="1" si="57"/>
        <v>0</v>
      </c>
      <c r="BL47" s="87">
        <f t="shared" ca="1" si="57"/>
        <v>0</v>
      </c>
      <c r="BM47" s="93">
        <f t="shared" ca="1" si="38"/>
        <v>348.5</v>
      </c>
      <c r="BN47" s="81">
        <f t="shared" si="50"/>
        <v>2017</v>
      </c>
      <c r="BO47" s="87">
        <f t="shared" ca="1" si="58"/>
        <v>0</v>
      </c>
      <c r="BP47" s="87">
        <f t="shared" ca="1" si="58"/>
        <v>0</v>
      </c>
      <c r="BQ47" s="87">
        <f t="shared" ca="1" si="58"/>
        <v>0</v>
      </c>
      <c r="BR47" s="87">
        <f t="shared" ca="1" si="58"/>
        <v>2.1999999999999993</v>
      </c>
      <c r="BS47" s="87">
        <f t="shared" ca="1" si="58"/>
        <v>19.900000000000002</v>
      </c>
      <c r="BT47" s="87">
        <f t="shared" ca="1" si="58"/>
        <v>110.30000000000001</v>
      </c>
      <c r="BU47" s="87">
        <f t="shared" ca="1" si="58"/>
        <v>178.50000000000003</v>
      </c>
      <c r="BV47" s="87">
        <f t="shared" ca="1" si="58"/>
        <v>127.49999999999999</v>
      </c>
      <c r="BW47" s="87">
        <f t="shared" ca="1" si="58"/>
        <v>107.6</v>
      </c>
      <c r="BX47" s="87">
        <f t="shared" ca="1" si="58"/>
        <v>19.399999999999999</v>
      </c>
      <c r="BY47" s="87">
        <f t="shared" ca="1" si="58"/>
        <v>0</v>
      </c>
      <c r="BZ47" s="87">
        <f t="shared" ca="1" si="58"/>
        <v>0</v>
      </c>
      <c r="CB47" s="81">
        <f t="shared" si="51"/>
        <v>2017</v>
      </c>
      <c r="CC47" s="87">
        <f t="shared" ca="1" si="59"/>
        <v>0</v>
      </c>
      <c r="CD47" s="87">
        <f t="shared" ca="1" si="59"/>
        <v>0</v>
      </c>
      <c r="CE47" s="87">
        <f t="shared" ca="1" si="59"/>
        <v>0</v>
      </c>
      <c r="CF47" s="87">
        <f t="shared" ca="1" si="59"/>
        <v>8.3999999999999986</v>
      </c>
      <c r="CG47" s="87">
        <f t="shared" ca="1" si="59"/>
        <v>38.6</v>
      </c>
      <c r="CH47" s="87">
        <f t="shared" ca="1" si="59"/>
        <v>162.19999999999999</v>
      </c>
      <c r="CI47" s="87">
        <f t="shared" ca="1" si="59"/>
        <v>240.50000000000009</v>
      </c>
      <c r="CJ47" s="87">
        <f t="shared" ca="1" si="59"/>
        <v>187.60000000000002</v>
      </c>
      <c r="CK47" s="87">
        <f t="shared" ca="1" si="59"/>
        <v>150.10000000000002</v>
      </c>
      <c r="CL47" s="87">
        <f t="shared" ca="1" si="59"/>
        <v>48.1</v>
      </c>
      <c r="CM47" s="87">
        <f t="shared" ca="1" si="59"/>
        <v>0</v>
      </c>
      <c r="CN47" s="87">
        <f t="shared" ca="1" si="59"/>
        <v>0</v>
      </c>
      <c r="CP47" s="81">
        <f t="shared" si="52"/>
        <v>2017</v>
      </c>
      <c r="CQ47" s="87">
        <f t="shared" ca="1" si="60"/>
        <v>0</v>
      </c>
      <c r="CR47" s="87">
        <f t="shared" ca="1" si="60"/>
        <v>0</v>
      </c>
      <c r="CS47" s="87">
        <f t="shared" ca="1" si="60"/>
        <v>0</v>
      </c>
      <c r="CT47" s="87">
        <f t="shared" ca="1" si="60"/>
        <v>20.5</v>
      </c>
      <c r="CU47" s="87">
        <f t="shared" ca="1" si="60"/>
        <v>63.900000000000013</v>
      </c>
      <c r="CV47" s="87">
        <f t="shared" ca="1" si="60"/>
        <v>221.49999999999997</v>
      </c>
      <c r="CW47" s="87">
        <f t="shared" ca="1" si="60"/>
        <v>302.50000000000006</v>
      </c>
      <c r="CX47" s="87">
        <f t="shared" ca="1" si="60"/>
        <v>249.60000000000005</v>
      </c>
      <c r="CY47" s="87">
        <f t="shared" ca="1" si="60"/>
        <v>203.9</v>
      </c>
      <c r="CZ47" s="87">
        <f t="shared" ca="1" si="60"/>
        <v>84.3</v>
      </c>
      <c r="DA47" s="87">
        <f t="shared" ca="1" si="60"/>
        <v>0</v>
      </c>
      <c r="DB47" s="87">
        <f t="shared" ca="1" si="60"/>
        <v>0</v>
      </c>
      <c r="DD47" s="81">
        <f t="shared" si="53"/>
        <v>2017</v>
      </c>
      <c r="DE47" s="87">
        <f t="shared" ca="1" si="42"/>
        <v>0</v>
      </c>
      <c r="DF47" s="87">
        <f t="shared" ca="1" si="43"/>
        <v>0.90000000000000036</v>
      </c>
      <c r="DG47" s="87">
        <f t="shared" ca="1" si="43"/>
        <v>1.0999999999999996</v>
      </c>
      <c r="DH47" s="87">
        <f t="shared" ca="1" si="43"/>
        <v>39.999999999999993</v>
      </c>
      <c r="DI47" s="87">
        <f t="shared" ca="1" si="43"/>
        <v>102.19999999999999</v>
      </c>
      <c r="DJ47" s="87">
        <f t="shared" ca="1" si="43"/>
        <v>281.49999999999994</v>
      </c>
      <c r="DK47" s="87">
        <f t="shared" ca="1" si="43"/>
        <v>364.50000000000006</v>
      </c>
      <c r="DL47" s="87">
        <f t="shared" ca="1" si="43"/>
        <v>311.59999999999997</v>
      </c>
      <c r="DM47" s="87">
        <f t="shared" ca="1" si="43"/>
        <v>262.40000000000009</v>
      </c>
      <c r="DN47" s="87">
        <f t="shared" ca="1" si="43"/>
        <v>126.3</v>
      </c>
      <c r="DO47" s="87">
        <f t="shared" ca="1" si="43"/>
        <v>1.8000000000000007</v>
      </c>
      <c r="DP47" s="87">
        <f t="shared" ca="1" si="43"/>
        <v>0</v>
      </c>
      <c r="DR47" s="81">
        <f t="shared" si="54"/>
        <v>2017</v>
      </c>
      <c r="DS47" s="87">
        <f t="shared" ca="1" si="44"/>
        <v>0</v>
      </c>
      <c r="DT47" s="87">
        <f t="shared" ca="1" si="45"/>
        <v>2.9000000000000004</v>
      </c>
      <c r="DU47" s="87">
        <f t="shared" ca="1" si="45"/>
        <v>4.2999999999999989</v>
      </c>
      <c r="DV47" s="87">
        <f t="shared" ca="1" si="45"/>
        <v>68.599999999999994</v>
      </c>
      <c r="DW47" s="87">
        <f t="shared" ca="1" si="45"/>
        <v>148.30000000000001</v>
      </c>
      <c r="DX47" s="87">
        <f t="shared" ca="1" si="45"/>
        <v>341.5</v>
      </c>
      <c r="DY47" s="87">
        <f t="shared" ca="1" si="45"/>
        <v>426.50000000000006</v>
      </c>
      <c r="DZ47" s="87">
        <f t="shared" ca="1" si="45"/>
        <v>373.59999999999997</v>
      </c>
      <c r="EA47" s="87">
        <f t="shared" ca="1" si="45"/>
        <v>322.40000000000009</v>
      </c>
      <c r="EB47" s="87">
        <f t="shared" ca="1" si="45"/>
        <v>173.09999999999997</v>
      </c>
      <c r="EC47" s="87">
        <f t="shared" ca="1" si="45"/>
        <v>6.7000000000000011</v>
      </c>
      <c r="ED47" s="87">
        <f t="shared" ca="1" si="45"/>
        <v>0</v>
      </c>
      <c r="EG47" s="86"/>
      <c r="EH47" s="86"/>
      <c r="EI47" s="86"/>
      <c r="EK47" s="86"/>
      <c r="EL47" s="86"/>
      <c r="EM47" s="82"/>
      <c r="EO47" s="82"/>
      <c r="EP47" s="85"/>
      <c r="EQ47" s="84"/>
      <c r="ER47" s="84"/>
      <c r="FA47" s="265"/>
      <c r="FB47" s="266" t="s">
        <v>135</v>
      </c>
      <c r="FC47" s="266" t="s">
        <v>136</v>
      </c>
      <c r="FD47" s="266" t="s">
        <v>137</v>
      </c>
      <c r="FE47" s="267" t="s">
        <v>138</v>
      </c>
      <c r="FF47" s="268"/>
    </row>
    <row r="48" spans="1:162" x14ac:dyDescent="0.2">
      <c r="A48" s="81">
        <v>2005</v>
      </c>
      <c r="B48" s="88">
        <v>11</v>
      </c>
      <c r="C48" s="88">
        <v>5.0533333333333328</v>
      </c>
      <c r="D48" s="87">
        <v>508.4</v>
      </c>
      <c r="E48" s="87">
        <v>0</v>
      </c>
      <c r="F48" s="87">
        <v>448.39999999999992</v>
      </c>
      <c r="G48" s="87">
        <v>0</v>
      </c>
      <c r="H48" s="133">
        <v>388.39999999999992</v>
      </c>
      <c r="I48" s="133">
        <v>0</v>
      </c>
      <c r="J48" s="87">
        <v>328.39999999999992</v>
      </c>
      <c r="K48" s="87">
        <v>0</v>
      </c>
      <c r="L48" s="87">
        <v>268.39999999999998</v>
      </c>
      <c r="M48" s="87">
        <v>0</v>
      </c>
      <c r="N48" s="87">
        <v>212.8</v>
      </c>
      <c r="O48" s="87">
        <v>4.4000000000000004</v>
      </c>
      <c r="P48" s="87">
        <v>161.20000000000002</v>
      </c>
      <c r="Q48" s="87">
        <v>12.8</v>
      </c>
      <c r="R48" s="87">
        <v>118.80000000000001</v>
      </c>
      <c r="S48" s="87">
        <v>30.4</v>
      </c>
      <c r="T48" s="87"/>
      <c r="U48" s="87"/>
      <c r="V48" s="87"/>
      <c r="X48" s="81">
        <f t="shared" si="46"/>
        <v>2018</v>
      </c>
      <c r="Y48" s="87">
        <f t="shared" ca="1" si="47"/>
        <v>0</v>
      </c>
      <c r="Z48" s="87">
        <f t="shared" ca="1" si="55"/>
        <v>0</v>
      </c>
      <c r="AA48" s="87">
        <f t="shared" ca="1" si="55"/>
        <v>0</v>
      </c>
      <c r="AB48" s="87">
        <f t="shared" ca="1" si="55"/>
        <v>0</v>
      </c>
      <c r="AC48" s="87">
        <f t="shared" ca="1" si="55"/>
        <v>9.3999999999999986</v>
      </c>
      <c r="AD48" s="87">
        <f t="shared" ca="1" si="55"/>
        <v>19.600000000000001</v>
      </c>
      <c r="AE48" s="87">
        <f t="shared" ca="1" si="55"/>
        <v>58.400000000000006</v>
      </c>
      <c r="AF48" s="87">
        <f t="shared" ca="1" si="55"/>
        <v>54.3</v>
      </c>
      <c r="AG48" s="87">
        <f t="shared" ca="1" si="55"/>
        <v>24.7</v>
      </c>
      <c r="AH48" s="87">
        <f t="shared" ca="1" si="55"/>
        <v>1</v>
      </c>
      <c r="AI48" s="87">
        <f t="shared" ca="1" si="55"/>
        <v>0</v>
      </c>
      <c r="AJ48" s="87">
        <f t="shared" ca="1" si="55"/>
        <v>0</v>
      </c>
      <c r="AL48" s="81">
        <f t="shared" si="48"/>
        <v>2018</v>
      </c>
      <c r="AM48" s="87">
        <f t="shared" ca="1" si="56"/>
        <v>0</v>
      </c>
      <c r="AN48" s="87">
        <f t="shared" ca="1" si="56"/>
        <v>0</v>
      </c>
      <c r="AO48" s="87">
        <f t="shared" ca="1" si="56"/>
        <v>0</v>
      </c>
      <c r="AP48" s="87">
        <f t="shared" ca="1" si="56"/>
        <v>0</v>
      </c>
      <c r="AQ48" s="87">
        <f t="shared" ca="1" si="56"/>
        <v>25.4</v>
      </c>
      <c r="AR48" s="87">
        <f t="shared" ca="1" si="56"/>
        <v>35.299999999999997</v>
      </c>
      <c r="AS48" s="87">
        <f t="shared" ca="1" si="56"/>
        <v>107.10000000000002</v>
      </c>
      <c r="AT48" s="87">
        <f t="shared" ca="1" si="56"/>
        <v>104.3</v>
      </c>
      <c r="AU48" s="87">
        <f t="shared" ca="1" si="56"/>
        <v>47.699999999999996</v>
      </c>
      <c r="AV48" s="87">
        <f t="shared" ca="1" si="56"/>
        <v>4.1999999999999993</v>
      </c>
      <c r="AW48" s="87">
        <f t="shared" ca="1" si="56"/>
        <v>0</v>
      </c>
      <c r="AX48" s="87">
        <f t="shared" ca="1" si="56"/>
        <v>0</v>
      </c>
      <c r="AY48" s="93"/>
      <c r="AZ48" s="81">
        <f t="shared" si="49"/>
        <v>2018</v>
      </c>
      <c r="BA48" s="87">
        <f t="shared" ca="1" si="57"/>
        <v>0</v>
      </c>
      <c r="BB48" s="87">
        <f t="shared" ca="1" si="57"/>
        <v>0</v>
      </c>
      <c r="BC48" s="87">
        <f t="shared" ca="1" si="57"/>
        <v>0</v>
      </c>
      <c r="BD48" s="87">
        <f t="shared" ca="1" si="57"/>
        <v>0</v>
      </c>
      <c r="BE48" s="87">
        <f t="shared" ca="1" si="57"/>
        <v>43.4</v>
      </c>
      <c r="BF48" s="87">
        <f t="shared" ca="1" si="57"/>
        <v>60.500000000000014</v>
      </c>
      <c r="BG48" s="87">
        <f t="shared" ca="1" si="57"/>
        <v>167.80000000000004</v>
      </c>
      <c r="BH48" s="87">
        <f t="shared" ca="1" si="57"/>
        <v>162.4</v>
      </c>
      <c r="BI48" s="87">
        <f t="shared" ca="1" si="57"/>
        <v>76.399999999999977</v>
      </c>
      <c r="BJ48" s="87">
        <f t="shared" ca="1" si="57"/>
        <v>8.1999999999999993</v>
      </c>
      <c r="BK48" s="87">
        <f t="shared" ca="1" si="57"/>
        <v>0</v>
      </c>
      <c r="BL48" s="87">
        <f t="shared" ca="1" si="57"/>
        <v>0</v>
      </c>
      <c r="BM48" s="93">
        <f t="shared" ca="1" si="38"/>
        <v>518.70000000000005</v>
      </c>
      <c r="BN48" s="81">
        <f t="shared" si="50"/>
        <v>2018</v>
      </c>
      <c r="BO48" s="87">
        <f t="shared" ca="1" si="58"/>
        <v>0</v>
      </c>
      <c r="BP48" s="87">
        <f t="shared" ca="1" si="58"/>
        <v>0</v>
      </c>
      <c r="BQ48" s="87">
        <f t="shared" ca="1" si="58"/>
        <v>0</v>
      </c>
      <c r="BR48" s="87">
        <f t="shared" ca="1" si="58"/>
        <v>0</v>
      </c>
      <c r="BS48" s="87">
        <f t="shared" ca="1" si="58"/>
        <v>69.399999999999991</v>
      </c>
      <c r="BT48" s="87">
        <f t="shared" ca="1" si="58"/>
        <v>111.39999999999998</v>
      </c>
      <c r="BU48" s="87">
        <f t="shared" ca="1" si="58"/>
        <v>229.79999999999998</v>
      </c>
      <c r="BV48" s="87">
        <f t="shared" ca="1" si="58"/>
        <v>223.20000000000002</v>
      </c>
      <c r="BW48" s="87">
        <f t="shared" ca="1" si="58"/>
        <v>114.89999999999998</v>
      </c>
      <c r="BX48" s="87">
        <f t="shared" ca="1" si="58"/>
        <v>12.2</v>
      </c>
      <c r="BY48" s="87">
        <f t="shared" ca="1" si="58"/>
        <v>0</v>
      </c>
      <c r="BZ48" s="87">
        <f t="shared" ca="1" si="58"/>
        <v>0</v>
      </c>
      <c r="CB48" s="81">
        <f t="shared" si="51"/>
        <v>2018</v>
      </c>
      <c r="CC48" s="87">
        <f t="shared" ca="1" si="59"/>
        <v>0</v>
      </c>
      <c r="CD48" s="87">
        <f t="shared" ca="1" si="59"/>
        <v>0</v>
      </c>
      <c r="CE48" s="87">
        <f t="shared" ca="1" si="59"/>
        <v>0</v>
      </c>
      <c r="CF48" s="87">
        <f t="shared" ca="1" si="59"/>
        <v>0</v>
      </c>
      <c r="CG48" s="87">
        <f t="shared" ca="1" si="59"/>
        <v>107.10000000000001</v>
      </c>
      <c r="CH48" s="87">
        <f t="shared" ca="1" si="59"/>
        <v>167.39999999999998</v>
      </c>
      <c r="CI48" s="87">
        <f t="shared" ca="1" si="59"/>
        <v>291.79999999999995</v>
      </c>
      <c r="CJ48" s="87">
        <f t="shared" ca="1" si="59"/>
        <v>285.2</v>
      </c>
      <c r="CK48" s="87">
        <f t="shared" ca="1" si="59"/>
        <v>158.5</v>
      </c>
      <c r="CL48" s="87">
        <f t="shared" ca="1" si="59"/>
        <v>18.100000000000001</v>
      </c>
      <c r="CM48" s="87">
        <f t="shared" ca="1" si="59"/>
        <v>0</v>
      </c>
      <c r="CN48" s="87">
        <f t="shared" ca="1" si="59"/>
        <v>0</v>
      </c>
      <c r="CP48" s="81">
        <f t="shared" si="52"/>
        <v>2018</v>
      </c>
      <c r="CQ48" s="87">
        <f t="shared" ca="1" si="60"/>
        <v>0</v>
      </c>
      <c r="CR48" s="87">
        <f t="shared" ca="1" si="60"/>
        <v>0</v>
      </c>
      <c r="CS48" s="87">
        <f t="shared" ca="1" si="60"/>
        <v>0</v>
      </c>
      <c r="CT48" s="87">
        <f t="shared" ca="1" si="60"/>
        <v>0</v>
      </c>
      <c r="CU48" s="87">
        <f t="shared" ca="1" si="60"/>
        <v>158.9</v>
      </c>
      <c r="CV48" s="87">
        <f t="shared" ca="1" si="60"/>
        <v>225.70000000000002</v>
      </c>
      <c r="CW48" s="87">
        <f t="shared" ca="1" si="60"/>
        <v>353.79999999999995</v>
      </c>
      <c r="CX48" s="87">
        <f t="shared" ca="1" si="60"/>
        <v>347.2</v>
      </c>
      <c r="CY48" s="87">
        <f t="shared" ca="1" si="60"/>
        <v>210.59999999999997</v>
      </c>
      <c r="CZ48" s="87">
        <f t="shared" ca="1" si="60"/>
        <v>30.9</v>
      </c>
      <c r="DA48" s="87">
        <f t="shared" ca="1" si="60"/>
        <v>0.40000000000000036</v>
      </c>
      <c r="DB48" s="87">
        <f t="shared" ca="1" si="60"/>
        <v>0</v>
      </c>
      <c r="DD48" s="81">
        <f t="shared" si="53"/>
        <v>2018</v>
      </c>
      <c r="DE48" s="87">
        <f t="shared" ca="1" si="42"/>
        <v>0</v>
      </c>
      <c r="DF48" s="87">
        <f t="shared" ref="DF48:DP51" ca="1" si="61">OFFSET($Q$2,(ROW()-32)*12+COLUMN()-109,0)</f>
        <v>0</v>
      </c>
      <c r="DG48" s="87">
        <f t="shared" ca="1" si="61"/>
        <v>0</v>
      </c>
      <c r="DH48" s="87">
        <f t="shared" ca="1" si="61"/>
        <v>2.8000000000000007</v>
      </c>
      <c r="DI48" s="87">
        <f t="shared" ca="1" si="61"/>
        <v>218</v>
      </c>
      <c r="DJ48" s="87">
        <f t="shared" ca="1" si="61"/>
        <v>285.7</v>
      </c>
      <c r="DK48" s="87">
        <f t="shared" ca="1" si="61"/>
        <v>415.79999999999995</v>
      </c>
      <c r="DL48" s="87">
        <f t="shared" ca="1" si="61"/>
        <v>409.19999999999993</v>
      </c>
      <c r="DM48" s="87">
        <f t="shared" ca="1" si="61"/>
        <v>269.80000000000007</v>
      </c>
      <c r="DN48" s="87">
        <f t="shared" ca="1" si="61"/>
        <v>48.699999999999996</v>
      </c>
      <c r="DO48" s="87">
        <f t="shared" ca="1" si="61"/>
        <v>2.4000000000000004</v>
      </c>
      <c r="DP48" s="87">
        <f t="shared" ca="1" si="61"/>
        <v>0</v>
      </c>
      <c r="DR48" s="81">
        <f t="shared" si="54"/>
        <v>2018</v>
      </c>
      <c r="DS48" s="87">
        <f t="shared" ca="1" si="44"/>
        <v>0.59999999999999964</v>
      </c>
      <c r="DT48" s="87">
        <f t="shared" ref="DT48:ED51" ca="1" si="62">OFFSET($S$2,(ROW()-32)*12+COLUMN()-123,0)</f>
        <v>2.6999999999999993</v>
      </c>
      <c r="DU48" s="87">
        <f t="shared" ca="1" si="62"/>
        <v>0</v>
      </c>
      <c r="DV48" s="87">
        <f t="shared" ca="1" si="62"/>
        <v>11.5</v>
      </c>
      <c r="DW48" s="87">
        <f t="shared" ca="1" si="62"/>
        <v>278.09999999999997</v>
      </c>
      <c r="DX48" s="87">
        <f t="shared" ca="1" si="62"/>
        <v>345.70000000000005</v>
      </c>
      <c r="DY48" s="87">
        <f t="shared" ca="1" si="62"/>
        <v>477.79999999999995</v>
      </c>
      <c r="DZ48" s="87">
        <f t="shared" ca="1" si="62"/>
        <v>471.2</v>
      </c>
      <c r="EA48" s="87">
        <f t="shared" ca="1" si="62"/>
        <v>329.80000000000007</v>
      </c>
      <c r="EB48" s="87">
        <f t="shared" ca="1" si="62"/>
        <v>73.900000000000006</v>
      </c>
      <c r="EC48" s="87">
        <f t="shared" ca="1" si="62"/>
        <v>5.2000000000000011</v>
      </c>
      <c r="ED48" s="87">
        <f t="shared" ca="1" si="62"/>
        <v>0</v>
      </c>
      <c r="EG48" s="86"/>
      <c r="EH48" s="86"/>
      <c r="EI48" s="86"/>
      <c r="EK48" s="86"/>
      <c r="EL48" s="86"/>
      <c r="EM48" s="82"/>
      <c r="EO48" s="82"/>
      <c r="EP48" s="85"/>
      <c r="EQ48" s="84"/>
      <c r="ER48" s="84"/>
      <c r="FA48" s="265" t="s">
        <v>139</v>
      </c>
      <c r="FB48" s="266">
        <v>17168717.6920137</v>
      </c>
      <c r="FC48" s="266">
        <v>363153.54152337002</v>
      </c>
      <c r="FD48" s="266">
        <v>47.276745863454202</v>
      </c>
      <c r="FE48" s="269">
        <v>2.6437204784707899E-80</v>
      </c>
      <c r="FF48" s="268"/>
    </row>
    <row r="49" spans="1:162" x14ac:dyDescent="0.2">
      <c r="A49" s="81">
        <v>2005</v>
      </c>
      <c r="B49" s="88">
        <v>12</v>
      </c>
      <c r="C49" s="88">
        <v>-3.4612903225806457</v>
      </c>
      <c r="D49" s="87">
        <v>789.3</v>
      </c>
      <c r="E49" s="87">
        <v>0</v>
      </c>
      <c r="F49" s="87">
        <v>727.3</v>
      </c>
      <c r="G49" s="87">
        <v>0</v>
      </c>
      <c r="H49" s="133">
        <v>665.29999999999984</v>
      </c>
      <c r="I49" s="133">
        <v>0</v>
      </c>
      <c r="J49" s="87">
        <v>603.29999999999984</v>
      </c>
      <c r="K49" s="87">
        <v>0</v>
      </c>
      <c r="L49" s="87">
        <v>541.29999999999995</v>
      </c>
      <c r="M49" s="87">
        <v>0</v>
      </c>
      <c r="N49" s="87">
        <v>479.3</v>
      </c>
      <c r="O49" s="87">
        <v>0</v>
      </c>
      <c r="P49" s="87">
        <v>417.29999999999995</v>
      </c>
      <c r="Q49" s="87">
        <v>0</v>
      </c>
      <c r="R49" s="87">
        <v>355.30000000000007</v>
      </c>
      <c r="S49" s="87">
        <v>0</v>
      </c>
      <c r="T49" s="87"/>
      <c r="U49" s="87"/>
      <c r="V49" s="87"/>
      <c r="X49" s="81">
        <f t="shared" si="46"/>
        <v>2019</v>
      </c>
      <c r="Y49" s="87">
        <f t="shared" ca="1" si="47"/>
        <v>0</v>
      </c>
      <c r="Z49" s="87">
        <f t="shared" ca="1" si="55"/>
        <v>0</v>
      </c>
      <c r="AA49" s="87">
        <f t="shared" ca="1" si="55"/>
        <v>0</v>
      </c>
      <c r="AB49" s="87">
        <f t="shared" ca="1" si="55"/>
        <v>0</v>
      </c>
      <c r="AC49" s="87">
        <f t="shared" ca="1" si="55"/>
        <v>0</v>
      </c>
      <c r="AD49" s="87">
        <f t="shared" ca="1" si="55"/>
        <v>5.4999999999999964</v>
      </c>
      <c r="AE49" s="87">
        <f t="shared" ca="1" si="55"/>
        <v>54.6</v>
      </c>
      <c r="AF49" s="87">
        <f t="shared" ca="1" si="55"/>
        <v>13.899999999999999</v>
      </c>
      <c r="AG49" s="87">
        <f t="shared" ca="1" si="55"/>
        <v>5.3000000000000007</v>
      </c>
      <c r="AH49" s="87">
        <f t="shared" ca="1" si="55"/>
        <v>1.1000000000000014</v>
      </c>
      <c r="AI49" s="87">
        <f t="shared" ca="1" si="55"/>
        <v>0</v>
      </c>
      <c r="AJ49" s="87">
        <f t="shared" ca="1" si="55"/>
        <v>0</v>
      </c>
      <c r="AL49" s="81">
        <f t="shared" si="48"/>
        <v>2019</v>
      </c>
      <c r="AM49" s="87">
        <f t="shared" ca="1" si="56"/>
        <v>0</v>
      </c>
      <c r="AN49" s="87">
        <f t="shared" ca="1" si="56"/>
        <v>0</v>
      </c>
      <c r="AO49" s="87">
        <f t="shared" ca="1" si="56"/>
        <v>0</v>
      </c>
      <c r="AP49" s="87">
        <f t="shared" ca="1" si="56"/>
        <v>0</v>
      </c>
      <c r="AQ49" s="87">
        <f t="shared" ca="1" si="56"/>
        <v>0</v>
      </c>
      <c r="AR49" s="87">
        <f t="shared" ca="1" si="56"/>
        <v>16.2</v>
      </c>
      <c r="AS49" s="87">
        <f t="shared" ca="1" si="56"/>
        <v>104.90000000000002</v>
      </c>
      <c r="AT49" s="87">
        <f t="shared" ca="1" si="56"/>
        <v>48.200000000000017</v>
      </c>
      <c r="AU49" s="87">
        <f t="shared" ca="1" si="56"/>
        <v>11.500000000000004</v>
      </c>
      <c r="AV49" s="87">
        <f t="shared" ca="1" si="56"/>
        <v>3.1000000000000014</v>
      </c>
      <c r="AW49" s="87">
        <f t="shared" ca="1" si="56"/>
        <v>0</v>
      </c>
      <c r="AX49" s="87">
        <f t="shared" ca="1" si="56"/>
        <v>0</v>
      </c>
      <c r="AY49" s="93"/>
      <c r="AZ49" s="81">
        <f t="shared" si="49"/>
        <v>2019</v>
      </c>
      <c r="BA49" s="87">
        <f t="shared" ca="1" si="57"/>
        <v>0</v>
      </c>
      <c r="BB49" s="87">
        <f t="shared" ca="1" si="57"/>
        <v>0</v>
      </c>
      <c r="BC49" s="87">
        <f t="shared" ca="1" si="57"/>
        <v>0</v>
      </c>
      <c r="BD49" s="87">
        <f t="shared" ca="1" si="57"/>
        <v>0</v>
      </c>
      <c r="BE49" s="87">
        <f t="shared" ca="1" si="57"/>
        <v>0</v>
      </c>
      <c r="BF49" s="87">
        <f t="shared" ca="1" si="57"/>
        <v>41.3</v>
      </c>
      <c r="BG49" s="87">
        <f t="shared" ca="1" si="57"/>
        <v>166.90000000000006</v>
      </c>
      <c r="BH49" s="87">
        <f t="shared" ca="1" si="57"/>
        <v>103.29999999999998</v>
      </c>
      <c r="BI49" s="87">
        <f t="shared" ca="1" si="57"/>
        <v>25.400000000000002</v>
      </c>
      <c r="BJ49" s="87">
        <f t="shared" ca="1" si="57"/>
        <v>5.1000000000000014</v>
      </c>
      <c r="BK49" s="87">
        <f t="shared" ca="1" si="57"/>
        <v>0</v>
      </c>
      <c r="BL49" s="87">
        <f t="shared" ca="1" si="57"/>
        <v>0</v>
      </c>
      <c r="BM49" s="93">
        <f t="shared" ca="1" si="38"/>
        <v>342</v>
      </c>
      <c r="BN49" s="81">
        <f t="shared" si="50"/>
        <v>2019</v>
      </c>
      <c r="BO49" s="87">
        <f t="shared" ca="1" si="58"/>
        <v>0</v>
      </c>
      <c r="BP49" s="87">
        <f t="shared" ca="1" si="58"/>
        <v>0</v>
      </c>
      <c r="BQ49" s="87">
        <f t="shared" ca="1" si="58"/>
        <v>0</v>
      </c>
      <c r="BR49" s="87">
        <f t="shared" ca="1" si="58"/>
        <v>0</v>
      </c>
      <c r="BS49" s="87">
        <f t="shared" ca="1" si="58"/>
        <v>4.6000000000000014</v>
      </c>
      <c r="BT49" s="87">
        <f t="shared" ca="1" si="58"/>
        <v>79.600000000000009</v>
      </c>
      <c r="BU49" s="87">
        <f t="shared" ca="1" si="58"/>
        <v>228.9</v>
      </c>
      <c r="BV49" s="87">
        <f t="shared" ca="1" si="58"/>
        <v>164.40000000000006</v>
      </c>
      <c r="BW49" s="87">
        <f t="shared" ca="1" si="58"/>
        <v>58.7</v>
      </c>
      <c r="BX49" s="87">
        <f t="shared" ca="1" si="58"/>
        <v>7.7000000000000028</v>
      </c>
      <c r="BY49" s="87">
        <f t="shared" ca="1" si="58"/>
        <v>0</v>
      </c>
      <c r="BZ49" s="87">
        <f t="shared" ca="1" si="58"/>
        <v>0</v>
      </c>
      <c r="CB49" s="81">
        <f t="shared" si="51"/>
        <v>2019</v>
      </c>
      <c r="CC49" s="87">
        <f t="shared" ca="1" si="59"/>
        <v>0</v>
      </c>
      <c r="CD49" s="87">
        <f t="shared" ca="1" si="59"/>
        <v>0</v>
      </c>
      <c r="CE49" s="87">
        <f t="shared" ca="1" si="59"/>
        <v>0</v>
      </c>
      <c r="CF49" s="87">
        <f t="shared" ca="1" si="59"/>
        <v>0</v>
      </c>
      <c r="CG49" s="87">
        <f t="shared" ca="1" si="59"/>
        <v>18.7</v>
      </c>
      <c r="CH49" s="87">
        <f t="shared" ca="1" si="59"/>
        <v>130</v>
      </c>
      <c r="CI49" s="87">
        <f t="shared" ca="1" si="59"/>
        <v>290.89999999999992</v>
      </c>
      <c r="CJ49" s="87">
        <f t="shared" ca="1" si="59"/>
        <v>226.40000000000006</v>
      </c>
      <c r="CK49" s="87">
        <f t="shared" ca="1" si="59"/>
        <v>109.6</v>
      </c>
      <c r="CL49" s="87">
        <f t="shared" ca="1" si="59"/>
        <v>12.000000000000004</v>
      </c>
      <c r="CM49" s="87">
        <f t="shared" ca="1" si="59"/>
        <v>0</v>
      </c>
      <c r="CN49" s="87">
        <f t="shared" ca="1" si="59"/>
        <v>0</v>
      </c>
      <c r="CP49" s="81">
        <f t="shared" si="52"/>
        <v>2019</v>
      </c>
      <c r="CQ49" s="87">
        <f t="shared" ca="1" si="60"/>
        <v>0</v>
      </c>
      <c r="CR49" s="87">
        <f t="shared" ca="1" si="60"/>
        <v>0</v>
      </c>
      <c r="CS49" s="87">
        <f t="shared" ca="1" si="60"/>
        <v>0</v>
      </c>
      <c r="CT49" s="87">
        <f t="shared" ca="1" si="60"/>
        <v>1.9000000000000004</v>
      </c>
      <c r="CU49" s="87">
        <f t="shared" ca="1" si="60"/>
        <v>39.799999999999997</v>
      </c>
      <c r="CV49" s="87">
        <f t="shared" ca="1" si="60"/>
        <v>186.2</v>
      </c>
      <c r="CW49" s="87">
        <f t="shared" ca="1" si="60"/>
        <v>352.89999999999992</v>
      </c>
      <c r="CX49" s="87">
        <f t="shared" ca="1" si="60"/>
        <v>288.39999999999998</v>
      </c>
      <c r="CY49" s="87">
        <f t="shared" ca="1" si="60"/>
        <v>167.2</v>
      </c>
      <c r="CZ49" s="87">
        <f t="shared" ca="1" si="60"/>
        <v>21.800000000000004</v>
      </c>
      <c r="DA49" s="87">
        <f t="shared" ca="1" si="60"/>
        <v>0</v>
      </c>
      <c r="DB49" s="87">
        <f t="shared" ca="1" si="60"/>
        <v>0</v>
      </c>
      <c r="DD49" s="81">
        <f t="shared" si="53"/>
        <v>2019</v>
      </c>
      <c r="DE49" s="87">
        <f t="shared" ca="1" si="42"/>
        <v>0</v>
      </c>
      <c r="DF49" s="87">
        <f t="shared" ca="1" si="61"/>
        <v>0</v>
      </c>
      <c r="DG49" s="87">
        <f t="shared" ca="1" si="61"/>
        <v>0</v>
      </c>
      <c r="DH49" s="87">
        <f t="shared" ca="1" si="61"/>
        <v>5.0999999999999996</v>
      </c>
      <c r="DI49" s="87">
        <f t="shared" ca="1" si="61"/>
        <v>75.599999999999994</v>
      </c>
      <c r="DJ49" s="87">
        <f t="shared" ca="1" si="61"/>
        <v>245.8</v>
      </c>
      <c r="DK49" s="87">
        <f t="shared" ca="1" si="61"/>
        <v>414.9</v>
      </c>
      <c r="DL49" s="87">
        <f t="shared" ca="1" si="61"/>
        <v>350.4</v>
      </c>
      <c r="DM49" s="87">
        <f t="shared" ca="1" si="61"/>
        <v>227</v>
      </c>
      <c r="DN49" s="87">
        <f t="shared" ca="1" si="61"/>
        <v>43.2</v>
      </c>
      <c r="DO49" s="87">
        <f t="shared" ca="1" si="61"/>
        <v>0</v>
      </c>
      <c r="DP49" s="87">
        <f t="shared" ca="1" si="61"/>
        <v>0</v>
      </c>
      <c r="DR49" s="81">
        <f t="shared" si="54"/>
        <v>2019</v>
      </c>
      <c r="DS49" s="87">
        <f t="shared" ca="1" si="44"/>
        <v>0</v>
      </c>
      <c r="DT49" s="87">
        <f t="shared" ca="1" si="62"/>
        <v>1.1999999999999993</v>
      </c>
      <c r="DU49" s="87">
        <f t="shared" ca="1" si="62"/>
        <v>0</v>
      </c>
      <c r="DV49" s="87">
        <f t="shared" ca="1" si="62"/>
        <v>21.199999999999996</v>
      </c>
      <c r="DW49" s="87">
        <f t="shared" ca="1" si="62"/>
        <v>123.59999999999998</v>
      </c>
      <c r="DX49" s="87">
        <f t="shared" ca="1" si="62"/>
        <v>305.8</v>
      </c>
      <c r="DY49" s="87">
        <f t="shared" ca="1" si="62"/>
        <v>476.9</v>
      </c>
      <c r="DZ49" s="87">
        <f t="shared" ca="1" si="62"/>
        <v>412.4</v>
      </c>
      <c r="EA49" s="87">
        <f t="shared" ca="1" si="62"/>
        <v>286.99999999999994</v>
      </c>
      <c r="EB49" s="87">
        <f t="shared" ca="1" si="62"/>
        <v>84.300000000000011</v>
      </c>
      <c r="EC49" s="87">
        <f t="shared" ca="1" si="62"/>
        <v>0</v>
      </c>
      <c r="ED49" s="87">
        <f t="shared" ca="1" si="62"/>
        <v>0</v>
      </c>
      <c r="EG49" s="86"/>
      <c r="EH49" s="86"/>
      <c r="EI49" s="86"/>
      <c r="EK49" s="86"/>
      <c r="EL49" s="86"/>
      <c r="EM49" s="82"/>
      <c r="EO49" s="82"/>
      <c r="EP49" s="85"/>
      <c r="EQ49" s="84"/>
      <c r="ER49" s="84"/>
      <c r="FA49" s="265" t="s">
        <v>113</v>
      </c>
      <c r="FB49" s="266">
        <v>1014.57861979368</v>
      </c>
      <c r="FC49" s="266">
        <v>705.80541956379204</v>
      </c>
      <c r="FD49" s="266">
        <v>1.4374763804175901</v>
      </c>
      <c r="FE49" s="269">
        <v>0.153142602232924</v>
      </c>
      <c r="FF49" s="268"/>
    </row>
    <row r="50" spans="1:162" x14ac:dyDescent="0.2">
      <c r="A50" s="81">
        <v>2006</v>
      </c>
      <c r="B50" s="88">
        <v>1</v>
      </c>
      <c r="C50" s="88">
        <v>0.2</v>
      </c>
      <c r="D50" s="87">
        <v>675.79999999999984</v>
      </c>
      <c r="E50" s="87">
        <v>0</v>
      </c>
      <c r="F50" s="87">
        <v>613.79999999999995</v>
      </c>
      <c r="G50" s="87">
        <v>0</v>
      </c>
      <c r="H50" s="133">
        <v>551.79999999999995</v>
      </c>
      <c r="I50" s="133">
        <v>0</v>
      </c>
      <c r="J50" s="87">
        <v>489.8</v>
      </c>
      <c r="K50" s="87">
        <v>0</v>
      </c>
      <c r="L50" s="87">
        <v>427.8</v>
      </c>
      <c r="M50" s="87">
        <v>0</v>
      </c>
      <c r="N50" s="87">
        <v>365.8</v>
      </c>
      <c r="O50" s="87">
        <v>0</v>
      </c>
      <c r="P50" s="87">
        <v>303.8</v>
      </c>
      <c r="Q50" s="87">
        <v>0</v>
      </c>
      <c r="R50" s="87">
        <v>241.80000000000004</v>
      </c>
      <c r="S50" s="87">
        <v>0</v>
      </c>
      <c r="T50" s="87"/>
      <c r="U50" s="87"/>
      <c r="V50" s="87"/>
      <c r="X50" s="81">
        <f t="shared" si="46"/>
        <v>2020</v>
      </c>
      <c r="Y50" s="87">
        <f t="shared" ca="1" si="47"/>
        <v>0</v>
      </c>
      <c r="Z50" s="87">
        <f t="shared" ca="1" si="55"/>
        <v>0</v>
      </c>
      <c r="AA50" s="87">
        <f t="shared" ca="1" si="55"/>
        <v>0</v>
      </c>
      <c r="AB50" s="87">
        <f t="shared" ca="1" si="55"/>
        <v>0</v>
      </c>
      <c r="AC50" s="87">
        <f t="shared" ca="1" si="55"/>
        <v>5.8999999999999986</v>
      </c>
      <c r="AD50" s="87">
        <f t="shared" ca="1" si="55"/>
        <v>25.400000000000002</v>
      </c>
      <c r="AE50" s="87">
        <f t="shared" ca="1" si="55"/>
        <v>93.199999999999989</v>
      </c>
      <c r="AF50" s="87">
        <f t="shared" ca="1" si="55"/>
        <v>34.4</v>
      </c>
      <c r="AG50" s="87">
        <f t="shared" ca="1" si="55"/>
        <v>3.8999999999999986</v>
      </c>
      <c r="AH50" s="87">
        <f t="shared" ca="1" si="55"/>
        <v>0</v>
      </c>
      <c r="AI50" s="87">
        <f t="shared" ca="1" si="55"/>
        <v>0</v>
      </c>
      <c r="AJ50" s="87">
        <f t="shared" ca="1" si="55"/>
        <v>0</v>
      </c>
      <c r="AL50" s="81">
        <f t="shared" si="48"/>
        <v>2020</v>
      </c>
      <c r="AM50" s="87">
        <f t="shared" ca="1" si="56"/>
        <v>0</v>
      </c>
      <c r="AN50" s="87">
        <f t="shared" ca="1" si="56"/>
        <v>0</v>
      </c>
      <c r="AO50" s="87">
        <f t="shared" ca="1" si="56"/>
        <v>0</v>
      </c>
      <c r="AP50" s="87">
        <f t="shared" ca="1" si="56"/>
        <v>0</v>
      </c>
      <c r="AQ50" s="87">
        <f t="shared" ca="1" si="56"/>
        <v>13</v>
      </c>
      <c r="AR50" s="87">
        <f t="shared" ca="1" si="56"/>
        <v>55.499999999999993</v>
      </c>
      <c r="AS50" s="87">
        <f t="shared" ca="1" si="56"/>
        <v>153.70000000000002</v>
      </c>
      <c r="AT50" s="87">
        <f t="shared" ca="1" si="56"/>
        <v>73.400000000000006</v>
      </c>
      <c r="AU50" s="87">
        <f t="shared" ca="1" si="56"/>
        <v>12.799999999999997</v>
      </c>
      <c r="AV50" s="87">
        <f t="shared" ca="1" si="56"/>
        <v>0</v>
      </c>
      <c r="AW50" s="87">
        <f t="shared" ca="1" si="56"/>
        <v>0</v>
      </c>
      <c r="AX50" s="87">
        <f t="shared" ca="1" si="56"/>
        <v>0</v>
      </c>
      <c r="AY50" s="93"/>
      <c r="AZ50" s="81">
        <f t="shared" si="49"/>
        <v>2020</v>
      </c>
      <c r="BA50" s="87">
        <f t="shared" ca="1" si="57"/>
        <v>0</v>
      </c>
      <c r="BB50" s="87">
        <f t="shared" ca="1" si="57"/>
        <v>0</v>
      </c>
      <c r="BC50" s="87">
        <f t="shared" ca="1" si="57"/>
        <v>0</v>
      </c>
      <c r="BD50" s="87">
        <f t="shared" ca="1" si="57"/>
        <v>0</v>
      </c>
      <c r="BE50" s="87">
        <f t="shared" ca="1" si="57"/>
        <v>24.2</v>
      </c>
      <c r="BF50" s="87">
        <f t="shared" ca="1" si="57"/>
        <v>97.700000000000017</v>
      </c>
      <c r="BG50" s="87">
        <f t="shared" ca="1" si="57"/>
        <v>215.70000000000002</v>
      </c>
      <c r="BH50" s="87">
        <f t="shared" ca="1" si="57"/>
        <v>126.69999999999999</v>
      </c>
      <c r="BI50" s="87">
        <f t="shared" ca="1" si="57"/>
        <v>33.299999999999997</v>
      </c>
      <c r="BJ50" s="87">
        <f t="shared" ca="1" si="57"/>
        <v>0</v>
      </c>
      <c r="BK50" s="87">
        <f t="shared" ca="1" si="57"/>
        <v>0</v>
      </c>
      <c r="BL50" s="87">
        <f t="shared" ca="1" si="57"/>
        <v>0</v>
      </c>
      <c r="BM50" s="93">
        <f t="shared" ref="BM50:BM51" ca="1" si="63">SUM(BA50:BL50)</f>
        <v>497.6</v>
      </c>
      <c r="BN50" s="81">
        <f t="shared" si="50"/>
        <v>2020</v>
      </c>
      <c r="BO50" s="87">
        <f t="shared" ca="1" si="58"/>
        <v>0</v>
      </c>
      <c r="BP50" s="87">
        <f t="shared" ca="1" si="58"/>
        <v>0</v>
      </c>
      <c r="BQ50" s="87">
        <f t="shared" ca="1" si="58"/>
        <v>0</v>
      </c>
      <c r="BR50" s="87">
        <f t="shared" ca="1" si="58"/>
        <v>0</v>
      </c>
      <c r="BS50" s="87">
        <f t="shared" ca="1" si="58"/>
        <v>39</v>
      </c>
      <c r="BT50" s="87">
        <f t="shared" ca="1" si="58"/>
        <v>143.20000000000002</v>
      </c>
      <c r="BU50" s="87">
        <f t="shared" ca="1" si="58"/>
        <v>277.7</v>
      </c>
      <c r="BV50" s="87">
        <f t="shared" ca="1" si="58"/>
        <v>187.89999999999998</v>
      </c>
      <c r="BW50" s="87">
        <f t="shared" ca="1" si="58"/>
        <v>59.8</v>
      </c>
      <c r="BX50" s="87">
        <f t="shared" ca="1" si="58"/>
        <v>0.5</v>
      </c>
      <c r="BY50" s="87">
        <f t="shared" ca="1" si="58"/>
        <v>0.10000000000000142</v>
      </c>
      <c r="BZ50" s="87">
        <f t="shared" ca="1" si="58"/>
        <v>0</v>
      </c>
      <c r="CB50" s="81">
        <f t="shared" si="51"/>
        <v>2020</v>
      </c>
      <c r="CC50" s="87">
        <f t="shared" ca="1" si="59"/>
        <v>0</v>
      </c>
      <c r="CD50" s="87">
        <f t="shared" ca="1" si="59"/>
        <v>0</v>
      </c>
      <c r="CE50" s="87">
        <f t="shared" ca="1" si="59"/>
        <v>0</v>
      </c>
      <c r="CF50" s="87">
        <f t="shared" ca="1" si="59"/>
        <v>0</v>
      </c>
      <c r="CG50" s="87">
        <f t="shared" ca="1" si="59"/>
        <v>56.300000000000004</v>
      </c>
      <c r="CH50" s="87">
        <f t="shared" ca="1" si="59"/>
        <v>196.00000000000003</v>
      </c>
      <c r="CI50" s="87">
        <f t="shared" ca="1" si="59"/>
        <v>339.70000000000005</v>
      </c>
      <c r="CJ50" s="87">
        <f t="shared" ca="1" si="59"/>
        <v>249.89999999999998</v>
      </c>
      <c r="CK50" s="87">
        <f t="shared" ca="1" si="59"/>
        <v>100.10000000000001</v>
      </c>
      <c r="CL50" s="87">
        <f t="shared" ca="1" si="59"/>
        <v>3.5999999999999996</v>
      </c>
      <c r="CM50" s="87">
        <f t="shared" ca="1" si="59"/>
        <v>5.6000000000000014</v>
      </c>
      <c r="CN50" s="87">
        <f t="shared" ca="1" si="59"/>
        <v>0</v>
      </c>
      <c r="CP50" s="81">
        <f t="shared" si="52"/>
        <v>2020</v>
      </c>
      <c r="CQ50" s="87">
        <f t="shared" ca="1" si="60"/>
        <v>0</v>
      </c>
      <c r="CR50" s="87">
        <f t="shared" ca="1" si="60"/>
        <v>0</v>
      </c>
      <c r="CS50" s="87">
        <f t="shared" ca="1" si="60"/>
        <v>0.5</v>
      </c>
      <c r="CT50" s="87">
        <f t="shared" ca="1" si="60"/>
        <v>0</v>
      </c>
      <c r="CU50" s="87">
        <f t="shared" ca="1" si="60"/>
        <v>84.300000000000011</v>
      </c>
      <c r="CV50" s="87">
        <f t="shared" ca="1" si="60"/>
        <v>253.90000000000003</v>
      </c>
      <c r="CW50" s="87">
        <f t="shared" ca="1" si="60"/>
        <v>401.70000000000005</v>
      </c>
      <c r="CX50" s="87">
        <f t="shared" ca="1" si="60"/>
        <v>311.89999999999998</v>
      </c>
      <c r="CY50" s="87">
        <f t="shared" ca="1" si="60"/>
        <v>148.99999999999997</v>
      </c>
      <c r="CZ50" s="87">
        <f t="shared" ca="1" si="60"/>
        <v>14.599999999999998</v>
      </c>
      <c r="DA50" s="87">
        <f t="shared" ca="1" si="60"/>
        <v>16</v>
      </c>
      <c r="DB50" s="87">
        <f t="shared" ca="1" si="60"/>
        <v>0</v>
      </c>
      <c r="DD50" s="81">
        <f t="shared" si="53"/>
        <v>2020</v>
      </c>
      <c r="DE50" s="87">
        <f t="shared" ca="1" si="42"/>
        <v>0</v>
      </c>
      <c r="DF50" s="87">
        <f t="shared" ca="1" si="61"/>
        <v>0</v>
      </c>
      <c r="DG50" s="87">
        <f t="shared" ca="1" si="61"/>
        <v>4</v>
      </c>
      <c r="DH50" s="87">
        <f t="shared" ca="1" si="61"/>
        <v>3.2000000000000011</v>
      </c>
      <c r="DI50" s="87">
        <f t="shared" ca="1" si="61"/>
        <v>121.6</v>
      </c>
      <c r="DJ50" s="87">
        <f t="shared" ca="1" si="61"/>
        <v>313.89999999999998</v>
      </c>
      <c r="DK50" s="87">
        <f t="shared" ca="1" si="61"/>
        <v>463.70000000000005</v>
      </c>
      <c r="DL50" s="87">
        <f t="shared" ca="1" si="61"/>
        <v>373.90000000000003</v>
      </c>
      <c r="DM50" s="87">
        <f t="shared" ca="1" si="61"/>
        <v>205.4</v>
      </c>
      <c r="DN50" s="87">
        <f t="shared" ca="1" si="61"/>
        <v>38.4</v>
      </c>
      <c r="DO50" s="87">
        <f t="shared" ca="1" si="61"/>
        <v>32.6</v>
      </c>
      <c r="DP50" s="87">
        <f t="shared" ca="1" si="61"/>
        <v>0</v>
      </c>
      <c r="DR50" s="81">
        <f t="shared" si="54"/>
        <v>2020</v>
      </c>
      <c r="DS50" s="87">
        <f t="shared" ca="1" si="44"/>
        <v>0</v>
      </c>
      <c r="DT50" s="87">
        <f t="shared" ca="1" si="62"/>
        <v>0</v>
      </c>
      <c r="DU50" s="87">
        <f t="shared" ca="1" si="62"/>
        <v>8</v>
      </c>
      <c r="DV50" s="87">
        <f t="shared" ca="1" si="62"/>
        <v>15.300000000000002</v>
      </c>
      <c r="DW50" s="87">
        <f t="shared" ca="1" si="62"/>
        <v>163.20000000000002</v>
      </c>
      <c r="DX50" s="87">
        <f t="shared" ca="1" si="62"/>
        <v>373.9</v>
      </c>
      <c r="DY50" s="87">
        <f t="shared" ca="1" si="62"/>
        <v>525.70000000000005</v>
      </c>
      <c r="DZ50" s="87">
        <f t="shared" ca="1" si="62"/>
        <v>435.90000000000003</v>
      </c>
      <c r="EA50" s="87">
        <f t="shared" ca="1" si="62"/>
        <v>264.20000000000005</v>
      </c>
      <c r="EB50" s="87">
        <f t="shared" ca="1" si="62"/>
        <v>72.7</v>
      </c>
      <c r="EC50" s="87">
        <f t="shared" ca="1" si="62"/>
        <v>52.399999999999991</v>
      </c>
      <c r="ED50" s="87">
        <f t="shared" ca="1" si="62"/>
        <v>0</v>
      </c>
      <c r="EG50" s="86"/>
      <c r="EH50" s="86"/>
      <c r="EI50" s="86"/>
      <c r="EK50" s="86"/>
      <c r="EL50" s="86"/>
      <c r="EM50" s="82"/>
      <c r="EO50" s="82"/>
      <c r="EP50" s="85"/>
      <c r="EQ50" s="84"/>
      <c r="ER50" s="84"/>
      <c r="FA50" s="265" t="s">
        <v>114</v>
      </c>
      <c r="FB50" s="266">
        <v>4055.9060189260299</v>
      </c>
      <c r="FC50" s="266">
        <v>1892.0056013493599</v>
      </c>
      <c r="FD50" s="266">
        <v>2.14370719411898</v>
      </c>
      <c r="FE50" s="269">
        <v>3.4040860527609101E-2</v>
      </c>
      <c r="FF50" s="268"/>
    </row>
    <row r="51" spans="1:162" x14ac:dyDescent="0.2">
      <c r="A51" s="81">
        <v>2006</v>
      </c>
      <c r="B51" s="88">
        <v>2</v>
      </c>
      <c r="C51" s="88">
        <v>-3.5821428571428564</v>
      </c>
      <c r="D51" s="87">
        <v>716.30000000000007</v>
      </c>
      <c r="E51" s="87">
        <v>0</v>
      </c>
      <c r="F51" s="87">
        <v>660.30000000000007</v>
      </c>
      <c r="G51" s="87">
        <v>0</v>
      </c>
      <c r="H51" s="133">
        <v>604.30000000000007</v>
      </c>
      <c r="I51" s="133">
        <v>0</v>
      </c>
      <c r="J51" s="87">
        <v>548.30000000000007</v>
      </c>
      <c r="K51" s="87">
        <v>0</v>
      </c>
      <c r="L51" s="87">
        <v>492.30000000000007</v>
      </c>
      <c r="M51" s="87">
        <v>0</v>
      </c>
      <c r="N51" s="87">
        <v>436.30000000000007</v>
      </c>
      <c r="O51" s="87">
        <v>0</v>
      </c>
      <c r="P51" s="87">
        <v>380.30000000000007</v>
      </c>
      <c r="Q51" s="87">
        <v>0</v>
      </c>
      <c r="R51" s="87">
        <v>324.30000000000007</v>
      </c>
      <c r="S51" s="87">
        <v>0</v>
      </c>
      <c r="T51" s="87"/>
      <c r="U51" s="87"/>
      <c r="V51" s="87"/>
      <c r="X51" s="81">
        <f t="shared" si="46"/>
        <v>2021</v>
      </c>
      <c r="Y51" s="87">
        <f t="shared" ca="1" si="47"/>
        <v>0</v>
      </c>
      <c r="Z51" s="87">
        <f t="shared" ca="1" si="55"/>
        <v>0</v>
      </c>
      <c r="AA51" s="87">
        <f t="shared" ca="1" si="55"/>
        <v>0</v>
      </c>
      <c r="AB51" s="87">
        <f t="shared" ca="1" si="55"/>
        <v>0</v>
      </c>
      <c r="AC51" s="87">
        <f t="shared" ca="1" si="55"/>
        <v>5.7999999999999972</v>
      </c>
      <c r="AD51" s="87">
        <f t="shared" ca="1" si="55"/>
        <v>37.1</v>
      </c>
      <c r="AE51" s="87">
        <f t="shared" ca="1" si="55"/>
        <v>27.099999999999998</v>
      </c>
      <c r="AF51" s="87">
        <f t="shared" ca="1" si="55"/>
        <v>72.599999999999994</v>
      </c>
      <c r="AG51" s="87">
        <f t="shared" ca="1" si="55"/>
        <v>0.19999999999999929</v>
      </c>
      <c r="AH51" s="87">
        <f t="shared" ca="1" si="55"/>
        <v>0</v>
      </c>
      <c r="AI51" s="87">
        <f t="shared" ca="1" si="55"/>
        <v>0</v>
      </c>
      <c r="AJ51" s="87">
        <f t="shared" ca="1" si="55"/>
        <v>0</v>
      </c>
      <c r="AL51" s="81">
        <f t="shared" si="48"/>
        <v>2021</v>
      </c>
      <c r="AM51" s="87">
        <f t="shared" ca="1" si="56"/>
        <v>0</v>
      </c>
      <c r="AN51" s="87">
        <f t="shared" ca="1" si="56"/>
        <v>0</v>
      </c>
      <c r="AO51" s="87">
        <f t="shared" ca="1" si="56"/>
        <v>0</v>
      </c>
      <c r="AP51" s="87">
        <f t="shared" ca="1" si="56"/>
        <v>0</v>
      </c>
      <c r="AQ51" s="87">
        <f t="shared" ca="1" si="56"/>
        <v>14.199999999999996</v>
      </c>
      <c r="AR51" s="87">
        <f t="shared" ca="1" si="56"/>
        <v>74.400000000000006</v>
      </c>
      <c r="AS51" s="87">
        <f t="shared" ca="1" si="56"/>
        <v>58.3</v>
      </c>
      <c r="AT51" s="87">
        <f t="shared" ca="1" si="56"/>
        <v>121.30000000000001</v>
      </c>
      <c r="AU51" s="87">
        <f t="shared" ca="1" si="56"/>
        <v>5</v>
      </c>
      <c r="AV51" s="87">
        <f t="shared" ca="1" si="56"/>
        <v>0</v>
      </c>
      <c r="AW51" s="87">
        <f t="shared" ca="1" si="56"/>
        <v>0</v>
      </c>
      <c r="AX51" s="87">
        <f t="shared" ca="1" si="56"/>
        <v>0</v>
      </c>
      <c r="AY51" s="93"/>
      <c r="AZ51" s="81">
        <f t="shared" si="49"/>
        <v>2021</v>
      </c>
      <c r="BA51" s="87">
        <f t="shared" ca="1" si="57"/>
        <v>0</v>
      </c>
      <c r="BB51" s="87">
        <f t="shared" ca="1" si="57"/>
        <v>0</v>
      </c>
      <c r="BC51" s="87">
        <f t="shared" ca="1" si="57"/>
        <v>0</v>
      </c>
      <c r="BD51" s="87">
        <f t="shared" ca="1" si="57"/>
        <v>0</v>
      </c>
      <c r="BE51" s="87">
        <f t="shared" ca="1" si="57"/>
        <v>27.899999999999995</v>
      </c>
      <c r="BF51" s="87">
        <f t="shared" ca="1" si="57"/>
        <v>122</v>
      </c>
      <c r="BG51" s="87">
        <f t="shared" ca="1" si="57"/>
        <v>108.69999999999997</v>
      </c>
      <c r="BH51" s="87">
        <f t="shared" ca="1" si="57"/>
        <v>179.4</v>
      </c>
      <c r="BI51" s="87">
        <f t="shared" ca="1" si="57"/>
        <v>24.900000000000002</v>
      </c>
      <c r="BJ51" s="87">
        <f t="shared" ca="1" si="57"/>
        <v>5.5999999999999979</v>
      </c>
      <c r="BK51" s="87">
        <f t="shared" ca="1" si="57"/>
        <v>0</v>
      </c>
      <c r="BL51" s="87">
        <f t="shared" ca="1" si="57"/>
        <v>0</v>
      </c>
      <c r="BM51" s="93">
        <f t="shared" ca="1" si="63"/>
        <v>468.5</v>
      </c>
      <c r="BN51" s="81">
        <f t="shared" si="50"/>
        <v>2021</v>
      </c>
      <c r="BO51" s="87">
        <f t="shared" ca="1" si="58"/>
        <v>0</v>
      </c>
      <c r="BP51" s="87">
        <f t="shared" ca="1" si="58"/>
        <v>0</v>
      </c>
      <c r="BQ51" s="87">
        <f t="shared" ca="1" si="58"/>
        <v>0</v>
      </c>
      <c r="BR51" s="87">
        <f t="shared" ca="1" si="58"/>
        <v>0</v>
      </c>
      <c r="BS51" s="87">
        <f t="shared" ca="1" si="58"/>
        <v>44.499999999999986</v>
      </c>
      <c r="BT51" s="87">
        <f t="shared" ca="1" si="58"/>
        <v>176.20000000000005</v>
      </c>
      <c r="BU51" s="87">
        <f t="shared" ca="1" si="58"/>
        <v>166.3</v>
      </c>
      <c r="BV51" s="87">
        <f t="shared" ca="1" si="58"/>
        <v>241.4</v>
      </c>
      <c r="BW51" s="87">
        <f t="shared" ca="1" si="58"/>
        <v>63.599999999999994</v>
      </c>
      <c r="BX51" s="87">
        <f t="shared" ca="1" si="58"/>
        <v>24.999999999999993</v>
      </c>
      <c r="BY51" s="87">
        <f t="shared" ca="1" si="58"/>
        <v>0</v>
      </c>
      <c r="BZ51" s="87">
        <f t="shared" ca="1" si="58"/>
        <v>0</v>
      </c>
      <c r="CB51" s="81">
        <f t="shared" si="51"/>
        <v>2021</v>
      </c>
      <c r="CC51" s="87">
        <f t="shared" ca="1" si="59"/>
        <v>0</v>
      </c>
      <c r="CD51" s="87">
        <f t="shared" ca="1" si="59"/>
        <v>0</v>
      </c>
      <c r="CE51" s="87">
        <f t="shared" ca="1" si="59"/>
        <v>0.5</v>
      </c>
      <c r="CF51" s="87">
        <f t="shared" ca="1" si="59"/>
        <v>3.5999999999999996</v>
      </c>
      <c r="CG51" s="87">
        <f t="shared" ca="1" si="59"/>
        <v>67.999999999999986</v>
      </c>
      <c r="CH51" s="87">
        <f t="shared" ca="1" si="59"/>
        <v>235.00000000000006</v>
      </c>
      <c r="CI51" s="87">
        <f t="shared" ca="1" si="59"/>
        <v>228.30000000000004</v>
      </c>
      <c r="CJ51" s="87">
        <f t="shared" ca="1" si="59"/>
        <v>303.39999999999998</v>
      </c>
      <c r="CK51" s="87">
        <f t="shared" ca="1" si="59"/>
        <v>112.3</v>
      </c>
      <c r="CL51" s="87">
        <f t="shared" ca="1" si="59"/>
        <v>52.999999999999986</v>
      </c>
      <c r="CM51" s="87">
        <f t="shared" ca="1" si="59"/>
        <v>0</v>
      </c>
      <c r="CN51" s="87">
        <f t="shared" ca="1" si="59"/>
        <v>0</v>
      </c>
      <c r="CP51" s="81">
        <f t="shared" si="52"/>
        <v>2021</v>
      </c>
      <c r="CQ51" s="87">
        <f t="shared" ca="1" si="60"/>
        <v>0</v>
      </c>
      <c r="CR51" s="87">
        <f t="shared" ca="1" si="60"/>
        <v>0</v>
      </c>
      <c r="CS51" s="87">
        <f t="shared" ca="1" si="60"/>
        <v>3</v>
      </c>
      <c r="CT51" s="87">
        <f t="shared" ca="1" si="60"/>
        <v>11.9</v>
      </c>
      <c r="CU51" s="87">
        <f t="shared" ca="1" si="60"/>
        <v>99.40000000000002</v>
      </c>
      <c r="CV51" s="87">
        <f t="shared" ca="1" si="60"/>
        <v>295.00000000000006</v>
      </c>
      <c r="CW51" s="87">
        <f t="shared" ca="1" si="60"/>
        <v>290.3</v>
      </c>
      <c r="CX51" s="87">
        <f t="shared" ca="1" si="60"/>
        <v>365.40000000000003</v>
      </c>
      <c r="CY51" s="87">
        <f t="shared" ca="1" si="60"/>
        <v>169.29999999999998</v>
      </c>
      <c r="CZ51" s="87">
        <f t="shared" ca="1" si="60"/>
        <v>86.499999999999986</v>
      </c>
      <c r="DA51" s="87">
        <f t="shared" ca="1" si="60"/>
        <v>0</v>
      </c>
      <c r="DB51" s="87">
        <f t="shared" ca="1" si="60"/>
        <v>0</v>
      </c>
      <c r="DD51" s="81">
        <f t="shared" si="53"/>
        <v>2021</v>
      </c>
      <c r="DE51" s="87">
        <f t="shared" ca="1" si="42"/>
        <v>0</v>
      </c>
      <c r="DF51" s="87">
        <f t="shared" ca="1" si="61"/>
        <v>0</v>
      </c>
      <c r="DG51" s="87">
        <f t="shared" ca="1" si="61"/>
        <v>9.4</v>
      </c>
      <c r="DH51" s="87">
        <f t="shared" ca="1" si="61"/>
        <v>25.2</v>
      </c>
      <c r="DI51" s="87">
        <f t="shared" ca="1" si="61"/>
        <v>137.09999999999997</v>
      </c>
      <c r="DJ51" s="87">
        <f t="shared" ca="1" si="61"/>
        <v>355.00000000000006</v>
      </c>
      <c r="DK51" s="87">
        <f t="shared" ca="1" si="61"/>
        <v>352.3</v>
      </c>
      <c r="DL51" s="87">
        <f t="shared" ca="1" si="61"/>
        <v>427.40000000000003</v>
      </c>
      <c r="DM51" s="87">
        <f t="shared" ca="1" si="61"/>
        <v>229.29999999999998</v>
      </c>
      <c r="DN51" s="87">
        <f t="shared" ca="1" si="61"/>
        <v>128.89999999999998</v>
      </c>
      <c r="DO51" s="87">
        <f t="shared" ca="1" si="61"/>
        <v>1.5999999999999996</v>
      </c>
      <c r="DP51" s="87">
        <f t="shared" ca="1" si="61"/>
        <v>0.40000000000000036</v>
      </c>
      <c r="DR51" s="81">
        <f t="shared" si="54"/>
        <v>2021</v>
      </c>
      <c r="DS51" s="87">
        <f t="shared" ca="1" si="44"/>
        <v>0</v>
      </c>
      <c r="DT51" s="87">
        <f t="shared" ca="1" si="62"/>
        <v>0</v>
      </c>
      <c r="DU51" s="87">
        <f t="shared" ca="1" si="62"/>
        <v>17.600000000000001</v>
      </c>
      <c r="DV51" s="87">
        <f t="shared" ca="1" si="62"/>
        <v>50</v>
      </c>
      <c r="DW51" s="87">
        <f t="shared" ca="1" si="62"/>
        <v>182.3</v>
      </c>
      <c r="DX51" s="87">
        <f t="shared" ca="1" si="62"/>
        <v>415.00000000000011</v>
      </c>
      <c r="DY51" s="87">
        <f t="shared" ca="1" si="62"/>
        <v>414.3</v>
      </c>
      <c r="DZ51" s="87">
        <f t="shared" ca="1" si="62"/>
        <v>489.40000000000003</v>
      </c>
      <c r="EA51" s="87">
        <f t="shared" ca="1" si="62"/>
        <v>289.3</v>
      </c>
      <c r="EB51" s="87">
        <f t="shared" ca="1" si="62"/>
        <v>176.89999999999998</v>
      </c>
      <c r="EC51" s="87">
        <f t="shared" ca="1" si="62"/>
        <v>10.9</v>
      </c>
      <c r="ED51" s="87">
        <f t="shared" ca="1" si="62"/>
        <v>4.2000000000000011</v>
      </c>
      <c r="EG51" s="86"/>
      <c r="EH51" s="86"/>
      <c r="EI51" s="86"/>
      <c r="EK51" s="86"/>
      <c r="EL51" s="86"/>
      <c r="EM51" s="82"/>
      <c r="EO51" s="82"/>
      <c r="EP51" s="85"/>
      <c r="EQ51" s="84"/>
      <c r="ER51" s="84"/>
      <c r="FA51" s="265"/>
      <c r="FB51" s="266"/>
      <c r="FC51" s="266"/>
      <c r="FD51" s="266"/>
      <c r="FE51" s="267"/>
      <c r="FF51" s="268"/>
    </row>
    <row r="52" spans="1:162" ht="15" x14ac:dyDescent="0.25">
      <c r="A52" s="81">
        <v>2006</v>
      </c>
      <c r="B52" s="88">
        <v>3</v>
      </c>
      <c r="C52" s="88">
        <v>1.3354838709677419</v>
      </c>
      <c r="D52" s="87">
        <v>640.60000000000014</v>
      </c>
      <c r="E52" s="87">
        <v>0</v>
      </c>
      <c r="F52" s="87">
        <v>578.6</v>
      </c>
      <c r="G52" s="87">
        <v>0</v>
      </c>
      <c r="H52" s="133">
        <v>516.6</v>
      </c>
      <c r="I52" s="133">
        <v>0</v>
      </c>
      <c r="J52" s="87">
        <v>454.59999999999997</v>
      </c>
      <c r="K52" s="87">
        <v>0</v>
      </c>
      <c r="L52" s="87">
        <v>392.6</v>
      </c>
      <c r="M52" s="87">
        <v>0</v>
      </c>
      <c r="N52" s="87">
        <v>330.6</v>
      </c>
      <c r="O52" s="87">
        <v>0</v>
      </c>
      <c r="P52" s="87">
        <v>268.70000000000005</v>
      </c>
      <c r="Q52" s="87">
        <v>9.9999999999999645E-2</v>
      </c>
      <c r="R52" s="87">
        <v>210.69999999999996</v>
      </c>
      <c r="S52" s="87">
        <v>4.0999999999999996</v>
      </c>
      <c r="T52" s="87"/>
      <c r="U52" s="87"/>
      <c r="V52" s="87"/>
      <c r="X52" s="94">
        <f>X51+1</f>
        <v>2022</v>
      </c>
      <c r="Y52" s="95">
        <f ca="1">MAX(TREND(Y$32:Y$51,X$32:X$51,X52),0)</f>
        <v>0</v>
      </c>
      <c r="Z52" s="95">
        <f ca="1">MAX(TREND(Z$32:Z$51,X$32:X$51,X52),0)</f>
        <v>0</v>
      </c>
      <c r="AA52" s="95">
        <f ca="1">MAX(TREND(AA$32:AA$51,X$32:X$51,X52),0)</f>
        <v>0</v>
      </c>
      <c r="AB52" s="95">
        <f ca="1">MAX(TREND(AB$32:AB$51,X$32:X$51,X52),0)</f>
        <v>0</v>
      </c>
      <c r="AC52" s="95">
        <f ca="1">MAX(TREND(AC$32:AC$51,X$32:X$51,X52),0)</f>
        <v>6.1273684210526085</v>
      </c>
      <c r="AD52" s="95">
        <f ca="1">MAX(TREND(AD$32:AD$51,X$32:X$51,X52),0)</f>
        <v>17.41105263157894</v>
      </c>
      <c r="AE52" s="95">
        <f ca="1">MAX(TREND(AE$32:AE$51,X$32:X$51,X52),0)</f>
        <v>50.595789473684249</v>
      </c>
      <c r="AF52" s="95">
        <f ca="1">MAX(TREND(AF$32:AF$51,X$32:X$51,X52),0)</f>
        <v>37.988947368421123</v>
      </c>
      <c r="AG52" s="95">
        <f ca="1">MAX(TREND(AG$32:AG$51,X$32:X$51,X52),0)</f>
        <v>11.354736842105297</v>
      </c>
      <c r="AH52" s="95">
        <f ca="1">MAX(TREND(AH$32:AH$51,X$32:X$51,X52),0)</f>
        <v>6.6842105263155815E-2</v>
      </c>
      <c r="AI52" s="95">
        <f ca="1">MAX(TREND(AI$32:AI$51,X$32:X$51,X52),0)</f>
        <v>0</v>
      </c>
      <c r="AJ52" s="95">
        <f ca="1">MAX(TREND(AJ$32:AJ$51,X$32:X$51,X52),0)</f>
        <v>0</v>
      </c>
      <c r="AL52" s="94">
        <f>AL51+1</f>
        <v>2022</v>
      </c>
      <c r="AM52" s="95">
        <f ca="1">MAX(TREND(AM$32:AM$51,AL$32:AL$51,AL52),0)</f>
        <v>0</v>
      </c>
      <c r="AN52" s="95">
        <f ca="1">MAX(TREND(AN$32:AN$51,AL$32:AL$51,AL52),0)</f>
        <v>0</v>
      </c>
      <c r="AO52" s="95">
        <f ca="1">MAX(TREND(AO$32:AO$51,AL$32:AL$51,AL52),0)</f>
        <v>0</v>
      </c>
      <c r="AP52" s="95">
        <f ca="1">MAX(TREND(AP$32:AP$51,AL$32:AL$51,AL52),0)</f>
        <v>0</v>
      </c>
      <c r="AQ52" s="95">
        <f ca="1">MAX(TREND(AQ$32:AQ$51,AL$32:AL$51,AL52),0)</f>
        <v>15.402631578947421</v>
      </c>
      <c r="AR52" s="95">
        <f ca="1">MAX(TREND(AR$32:AR$51,AL$32:AL$51,AL52),0)</f>
        <v>39.267368421052623</v>
      </c>
      <c r="AS52" s="95">
        <f ca="1">MAX(TREND(AS$32:AS$51,AL$32:AL$51,AL52),0)</f>
        <v>95.1099999999999</v>
      </c>
      <c r="AT52" s="95">
        <f ca="1">MAX(TREND(AT$32:AT$51,AL$32:AL$51,AL52),0)</f>
        <v>77.978947368420904</v>
      </c>
      <c r="AU52" s="95">
        <f ca="1">MAX(TREND(AU$32:AU$51,AL$32:AL$51,AL52),0)</f>
        <v>24.673157894736846</v>
      </c>
      <c r="AV52" s="95">
        <f ca="1">MAX(TREND(AV$32:AV$51,AL$32:AL$51,AL52),0)</f>
        <v>0.89842105263158345</v>
      </c>
      <c r="AW52" s="95">
        <f ca="1">MAX(TREND(AW$32:AW$51,AL$32:AL$51,AL52),0)</f>
        <v>0</v>
      </c>
      <c r="AX52" s="95">
        <f ca="1">MAX(TREND(AX$32:AX$51,AL$32:AL$51,AL52),0)</f>
        <v>0</v>
      </c>
      <c r="AY52" s="93"/>
      <c r="AZ52" s="94">
        <f>AZ51+1</f>
        <v>2022</v>
      </c>
      <c r="BA52" s="95">
        <f ca="1">MAX(TREND(BA$32:BA$51,AZ$32:AZ$51,AZ52),0)</f>
        <v>0</v>
      </c>
      <c r="BB52" s="95">
        <f ca="1">MAX(TREND(BB$32:BB$51,AZ$32:AZ$51,AZ52),0)</f>
        <v>0</v>
      </c>
      <c r="BC52" s="95">
        <f ca="1">MAX(TREND(BC$32:BC$51,AZ$32:AZ$51,AZ52),0)</f>
        <v>1.1578947368421022E-2</v>
      </c>
      <c r="BD52" s="95">
        <f t="array" aca="1" ref="BD52" ca="1">TREND(BD$32:BD$51,AZ$32:AZ$51,AZ52)</f>
        <v>-1.0194736842105385</v>
      </c>
      <c r="BE52" s="95">
        <f ca="1">MAX(TREND(BE$32:BE$51,AZ$32:AZ$51,AZ52),0)</f>
        <v>29.811052631579059</v>
      </c>
      <c r="BF52" s="95">
        <f ca="1">MAX(TREND(BF$32:BF$51,AZ$32:AZ$51,AZ52),0)</f>
        <v>75.42842105263162</v>
      </c>
      <c r="BG52" s="95">
        <f ca="1">MAX(TREND(BG$32:BG$51,AZ$32:AZ$51,AZ52),0)</f>
        <v>151.28842105263152</v>
      </c>
      <c r="BH52" s="95">
        <f ca="1">MAX(TREND(BH$32:BH$51,AZ$32:AZ$51,AZ52),0)</f>
        <v>131.57105263157882</v>
      </c>
      <c r="BI52" s="95">
        <f ca="1">MAX(TREND(BI$32:BI$51,AZ$32:AZ$51,AZ52),0)</f>
        <v>45.430000000000007</v>
      </c>
      <c r="BJ52" s="95">
        <f ca="1">MAX(TREND(BJ$32:BJ$51,AZ$32:AZ$51,AZ52),0)</f>
        <v>3.1857894736842098</v>
      </c>
      <c r="BK52" s="95">
        <f ca="1">MAX(TREND(BK$32:BK$51,AZ$32:AZ$51,AZ52),0)</f>
        <v>0</v>
      </c>
      <c r="BL52" s="95">
        <f ca="1">MAX(TREND(BL$32:BL$51,AZ$32:AZ$51,AZ52),0)</f>
        <v>0</v>
      </c>
      <c r="BM52" s="93">
        <f t="shared" ca="1" si="38"/>
        <v>435.70684210526315</v>
      </c>
      <c r="BN52" s="94">
        <f>BN51+1</f>
        <v>2022</v>
      </c>
      <c r="BO52" s="95">
        <f ca="1">MAX(TREND(BO$32:BO$51,BN$32:BN$51,BN52),0)</f>
        <v>0</v>
      </c>
      <c r="BP52" s="95">
        <f ca="1">MAX(TREND(BP$32:BP$51,BN$32:BN$51,BN52),0)</f>
        <v>0</v>
      </c>
      <c r="BQ52" s="95">
        <f ca="1">MAX(TREND(BQ$32:BQ$51,BN$32:BN$51,BN52),0)</f>
        <v>0.17368421052631611</v>
      </c>
      <c r="BR52" s="95">
        <f ca="1">MAX(TREND(BR$32:BR$51,BN$32:BN$51,BN52),0)</f>
        <v>0</v>
      </c>
      <c r="BS52" s="95">
        <f ca="1">MAX(TREND(BS$32:BS$51,BN$32:BN$51,BN52),0)</f>
        <v>50.712631578947821</v>
      </c>
      <c r="BT52" s="95">
        <f ca="1">MAX(TREND(BT$32:BT$51,BN$32:BN$51,BN52),0)</f>
        <v>122.87210526315789</v>
      </c>
      <c r="BU52" s="95">
        <f ca="1">MAX(TREND(BU$32:BU$51,BN$32:BN$51,BN52),0)</f>
        <v>211.7568421052631</v>
      </c>
      <c r="BV52" s="95">
        <f ca="1">MAX(TREND(BV$32:BV$51,BN$32:BN$51,BN52),0)</f>
        <v>191.39947368421053</v>
      </c>
      <c r="BW52" s="95">
        <f ca="1">MAX(TREND(BW$32:BW$51,BN$32:BN$51,BN52),0)</f>
        <v>77.107368421052627</v>
      </c>
      <c r="BX52" s="95">
        <f ca="1">MAX(TREND(BX$32:BX$51,BN$32:BN$51,BN52),0)</f>
        <v>10.628421052631595</v>
      </c>
      <c r="BY52" s="95">
        <f ca="1">MAX(TREND(BY$32:BY$51,BN$32:BN$51,BN52),0)</f>
        <v>1.8421052631579116E-2</v>
      </c>
      <c r="BZ52" s="95">
        <f ca="1">MAX(TREND(BZ$32:BZ$51,BN$32:BN$51,BN52),0)</f>
        <v>0</v>
      </c>
      <c r="CB52" s="94">
        <f>CB51+1</f>
        <v>2022</v>
      </c>
      <c r="CC52" s="95">
        <f ca="1">MAX(TREND(CC$32:CC$51,CB$32:CB$51,CB52),0)</f>
        <v>0</v>
      </c>
      <c r="CD52" s="95">
        <f ca="1">MAX(TREND(CD$32:CD$51,CB$32:CB$51,CB52),0)</f>
        <v>0</v>
      </c>
      <c r="CE52" s="95">
        <f ca="1">MAX(TREND(CE$32:CE$51,CB$32:CB$51,CB52),0)</f>
        <v>0.74263157894736409</v>
      </c>
      <c r="CF52" s="95">
        <f ca="1">MAX(TREND(CF$32:CF$51,CB$32:CB$51,CB52),0)</f>
        <v>0</v>
      </c>
      <c r="CG52" s="95">
        <f ca="1">MAX(TREND(CG$32:CG$51,CB$32:CB$51,CB52),0)</f>
        <v>80.273684210525971</v>
      </c>
      <c r="CH52" s="95">
        <f ca="1">MAX(TREND(CH$32:CH$51,CB$32:CB$51,CB52),0)</f>
        <v>177.38052631578967</v>
      </c>
      <c r="CI52" s="95">
        <f ca="1">MAX(TREND(CI$32:CI$51,CB$32:CB$51,CB52),0)</f>
        <v>273.7568421052631</v>
      </c>
      <c r="CJ52" s="95">
        <f ca="1">MAX(TREND(CJ$32:CJ$51,CB$32:CB$51,CB52),0)</f>
        <v>253.05789473684217</v>
      </c>
      <c r="CK52" s="95">
        <f ca="1">MAX(TREND(CK$32:CK$51,CB$32:CB$51,CB52),0)</f>
        <v>120.49421052631581</v>
      </c>
      <c r="CL52" s="95">
        <f ca="1">MAX(TREND(CL$32:CL$51,CB$32:CB$51,CB52),0)</f>
        <v>25.808421052631616</v>
      </c>
      <c r="CM52" s="95">
        <f ca="1">MAX(TREND(CM$32:CM$51,CB$32:CB$51,CB52),0)</f>
        <v>1.3363157894737014</v>
      </c>
      <c r="CN52" s="95">
        <f ca="1">MAX(TREND(CN$32:CN$51,CB$32:CB$51,CB52),0)</f>
        <v>0</v>
      </c>
      <c r="CP52" s="94">
        <f>CP51+1</f>
        <v>2022</v>
      </c>
      <c r="CQ52" s="95">
        <f ca="1">MAX(TREND(CQ$32:CQ$51,CP$32:CP$51,CP52),0)</f>
        <v>0</v>
      </c>
      <c r="CR52" s="95">
        <f ca="1">MAX(TREND(CR$32:CR$51,CP$32:CP$51,CP52),0)</f>
        <v>0</v>
      </c>
      <c r="CS52" s="95">
        <f ca="1">MAX(TREND(CS$32:CS$51,CP$32:CP$51,CP52),0)</f>
        <v>2.076842105263168</v>
      </c>
      <c r="CT52" s="95">
        <f ca="1">MAX(TREND(CT$32:CT$51,CP$32:CP$51,CP52),0)</f>
        <v>1.8457894736841354</v>
      </c>
      <c r="CU52" s="95">
        <f ca="1">MAX(TREND(CU$32:CU$51,CP$32:CP$51,CP52),0)</f>
        <v>117.66947368421097</v>
      </c>
      <c r="CV52" s="95">
        <f ca="1">MAX(TREND(CV$32:CV$51,CP$32:CP$51,CP52),0)</f>
        <v>236.25999999999976</v>
      </c>
      <c r="CW52" s="95">
        <f ca="1">MAX(TREND(CW$32:CW$51,CP$32:CP$51,CP52),0)</f>
        <v>335.7568421052631</v>
      </c>
      <c r="CX52" s="95">
        <f ca="1">MAX(TREND(CX$32:CX$51,CP$32:CP$51,CP52),0)</f>
        <v>315.05842105263173</v>
      </c>
      <c r="CY52" s="95">
        <f ca="1">MAX(TREND(CY$32:CY$51,CP$32:CP$51,CP52),0)</f>
        <v>172.83631578947367</v>
      </c>
      <c r="CZ52" s="95">
        <f ca="1">MAX(TREND(CZ$32:CZ$51,CP$32:CP$51,CP52),0)</f>
        <v>48.010000000000218</v>
      </c>
      <c r="DA52" s="95">
        <f ca="1">MAX(TREND(DA$32:DA$51,CP$32:CP$51,CP52),0)</f>
        <v>3.8163157894736628</v>
      </c>
      <c r="DB52" s="95">
        <f ca="1">MAX(TREND(DB$32:DB$51,CP$32:CP$51,CP52),0)</f>
        <v>0</v>
      </c>
      <c r="DD52" s="94">
        <f>DD51+1</f>
        <v>2022</v>
      </c>
      <c r="DE52" s="95">
        <f ca="1">MAX(TREND(DE$32:DE$51,DD$32:DD$51,DD52),0)</f>
        <v>0</v>
      </c>
      <c r="DF52" s="95">
        <f ca="1">MAX(TREND(DF$32:DF$51,DD$32:DD$51,DD52),0)</f>
        <v>0.12315789473684191</v>
      </c>
      <c r="DG52" s="95">
        <f ca="1">MAX(TREND(DG$32:DG$51,DD$32:DD$51,DD52),0)</f>
        <v>5.3299999999999841</v>
      </c>
      <c r="DH52" s="95">
        <f ca="1">MAX(TREND(DH$32:DH$51,DD$32:DD$51,DD52),0)</f>
        <v>9.6715789473687437</v>
      </c>
      <c r="DI52" s="95">
        <f ca="1">MAX(TREND(DI$32:DI$51,DD$32:DD$51,DD52),0)</f>
        <v>162.66052631578987</v>
      </c>
      <c r="DJ52" s="95">
        <f ca="1">MAX(TREND(DJ$32:DJ$51,DD$32:DD$51,DD52),0)</f>
        <v>296.29157894736841</v>
      </c>
      <c r="DK52" s="95">
        <f ca="1">MAX(TREND(DK$32:DK$51,DD$32:DD$51,DD52),0)</f>
        <v>397.7568421052631</v>
      </c>
      <c r="DL52" s="95">
        <f ca="1">MAX(TREND(DL$32:DL$51,DD$32:DD$51,DD52),0)</f>
        <v>377.05842105263173</v>
      </c>
      <c r="DM52" s="95">
        <f ca="1">MAX(TREND(DM$32:DM$51,DD$32:DD$51,DD52),0)</f>
        <v>230.721052631579</v>
      </c>
      <c r="DN52" s="95">
        <f ca="1">MAX(TREND(DN$32:DN$51,DD$32:DD$51,DD52),0)</f>
        <v>79.310526315789502</v>
      </c>
      <c r="DO52" s="95">
        <f ca="1">MAX(TREND(DO$32:DO$51,DD$32:DD$51,DD52),0)</f>
        <v>9.5626315789472756</v>
      </c>
      <c r="DP52" s="95">
        <f ca="1">MAX(TREND(DP$32:DP$51,DD$32:DD$51,DD52),0)</f>
        <v>0.14052631578947405</v>
      </c>
      <c r="DR52" s="94">
        <f>DR51+1</f>
        <v>2022</v>
      </c>
      <c r="DS52" s="95">
        <f ca="1">MAX(TREND(DS$32:DS$51,DR$32:DR$51,DR52),0)</f>
        <v>0.27157894736842536</v>
      </c>
      <c r="DT52" s="95">
        <f ca="1">MAX(TREND(DT$32:DT$51,DR$32:DR$51,DR52),0)</f>
        <v>1.0099999999999909</v>
      </c>
      <c r="DU52" s="95">
        <f ca="1">MAX(TREND(DU$32:DU$51,DR$32:DR$51,DR52),0)</f>
        <v>9.4294736842105351</v>
      </c>
      <c r="DV52" s="95">
        <f ca="1">MAX(TREND(DV$32:DV$51,DR$32:DR$51,DR52),0)</f>
        <v>26.718947368420686</v>
      </c>
      <c r="DW52" s="95">
        <f ca="1">MAX(TREND(DW$32:DW$51,DR$32:DR$51,DR52),0)</f>
        <v>214.86157894736789</v>
      </c>
      <c r="DX52" s="95">
        <f ca="1">MAX(TREND(DX$32:DX$51,DR$32:DR$51,DR52),0)</f>
        <v>356.29157894736841</v>
      </c>
      <c r="DY52" s="95">
        <f ca="1">MAX(TREND(DY$32:DY$51,DR$32:DR$51,DR52),0)</f>
        <v>459.7568421052631</v>
      </c>
      <c r="DZ52" s="95">
        <f ca="1">MAX(TREND(DZ$32:DZ$51,DR$32:DR$51,DR52),0)</f>
        <v>439.05842105263173</v>
      </c>
      <c r="EA52" s="95">
        <f ca="1">MAX(TREND(EA$32:EA$51,DR$32:DR$51,DR52),0)</f>
        <v>290.53999999999996</v>
      </c>
      <c r="EB52" s="95">
        <f ca="1">MAX(TREND(EB$32:EB$51,DR$32:DR$51,DR52),0)</f>
        <v>120.2715789473682</v>
      </c>
      <c r="EC52" s="95">
        <f ca="1">MAX(TREND(EC$32:EC$51,DR$32:DR$51,DR52),0)</f>
        <v>19.388421052631656</v>
      </c>
      <c r="ED52" s="95">
        <f ca="1">MAX(TREND(ED$32:ED$51,DR$32:DR$51,DR52),0)</f>
        <v>1.7026315789473472</v>
      </c>
      <c r="EG52" s="86"/>
      <c r="EH52" s="86"/>
      <c r="EI52" s="86"/>
      <c r="EK52" s="86"/>
      <c r="EL52" s="86"/>
      <c r="EM52" s="82"/>
      <c r="EO52" s="82"/>
      <c r="EP52" s="85"/>
      <c r="EQ52" s="84"/>
      <c r="ER52" s="84"/>
      <c r="FA52" s="265" t="s">
        <v>140</v>
      </c>
      <c r="FB52" s="266"/>
      <c r="FC52" s="266"/>
      <c r="FD52" s="266"/>
      <c r="FE52" s="267"/>
      <c r="FF52" s="268"/>
    </row>
    <row r="53" spans="1:162" ht="15" x14ac:dyDescent="0.25">
      <c r="A53" s="81">
        <v>2006</v>
      </c>
      <c r="B53" s="88">
        <v>4</v>
      </c>
      <c r="C53" s="88">
        <v>8.2233333333333345</v>
      </c>
      <c r="D53" s="87">
        <v>413.2999999999999</v>
      </c>
      <c r="E53" s="87">
        <v>0</v>
      </c>
      <c r="F53" s="87">
        <v>353.29999999999995</v>
      </c>
      <c r="G53" s="87">
        <v>0</v>
      </c>
      <c r="H53" s="133">
        <v>293.2999999999999</v>
      </c>
      <c r="I53" s="133">
        <v>0</v>
      </c>
      <c r="J53" s="87">
        <v>233.29999999999993</v>
      </c>
      <c r="K53" s="87">
        <v>0</v>
      </c>
      <c r="L53" s="87">
        <v>176.5</v>
      </c>
      <c r="M53" s="87">
        <v>3.1999999999999993</v>
      </c>
      <c r="N53" s="87">
        <v>123.80000000000001</v>
      </c>
      <c r="O53" s="87">
        <v>10.5</v>
      </c>
      <c r="P53" s="87">
        <v>77.5</v>
      </c>
      <c r="Q53" s="87">
        <v>24.200000000000003</v>
      </c>
      <c r="R53" s="87">
        <v>42.300000000000004</v>
      </c>
      <c r="S53" s="87">
        <v>49.000000000000007</v>
      </c>
      <c r="T53" s="87"/>
      <c r="U53" s="87"/>
      <c r="V53" s="87"/>
      <c r="X53" s="94">
        <f>X52+1</f>
        <v>2023</v>
      </c>
      <c r="Y53" s="95">
        <f ca="1">MAX(TREND(Y$32:Y$51,X$32:X$51,X53),0)</f>
        <v>0</v>
      </c>
      <c r="Z53" s="95">
        <f ca="1">MAX(TREND(Z$32:Z$51,X$32:X$51,X53),0)</f>
        <v>0</v>
      </c>
      <c r="AA53" s="95">
        <f ca="1">MAX(TREND(AA$32:AA$51,X$32:X$51,X53),0)</f>
        <v>0</v>
      </c>
      <c r="AB53" s="95">
        <f ca="1">MAX(TREND(AB$32:AB$51,X$32:X$51,X53),0)</f>
        <v>0</v>
      </c>
      <c r="AC53" s="95">
        <f ca="1">MAX(TREND(AC$32:AC$51,X$32:X$51,X53),0)</f>
        <v>6.3690225563909166</v>
      </c>
      <c r="AD53" s="95">
        <f ca="1">MAX(TREND(AD$32:AD$51,X$32:X$51,X53),0)</f>
        <v>17.297819548872155</v>
      </c>
      <c r="AE53" s="95">
        <f ca="1">MAX(TREND(AE$32:AE$51,X$32:X$51,X53),0)</f>
        <v>50.928721804511383</v>
      </c>
      <c r="AF53" s="95">
        <f ca="1">MAX(TREND(AF$32:AF$51,X$32:X$51,X53),0)</f>
        <v>38.549323308270687</v>
      </c>
      <c r="AG53" s="95">
        <f ca="1">MAX(TREND(AG$32:AG$51,X$32:X$51,X53),0)</f>
        <v>11.573759398496236</v>
      </c>
      <c r="AH53" s="95">
        <f ca="1">MAX(TREND(AH$32:AH$51,X$32:X$51,X53),0)</f>
        <v>3.9398496240600878E-2</v>
      </c>
      <c r="AI53" s="95">
        <f ca="1">MAX(TREND(AI$32:AI$51,X$32:X$51,X53),0)</f>
        <v>0</v>
      </c>
      <c r="AJ53" s="95">
        <f ca="1">MAX(TREND(AJ$32:AJ$51,X$32:X$51,X53),0)</f>
        <v>0</v>
      </c>
      <c r="AL53" s="94">
        <f>AL52+1</f>
        <v>2023</v>
      </c>
      <c r="AM53" s="95">
        <f ca="1">MAX(TREND(AM$32:AM$51,AL$32:AL$51,AL53),0)</f>
        <v>0</v>
      </c>
      <c r="AN53" s="95">
        <f ca="1">MAX(TREND(AN$32:AN$51,AL$32:AL$51,AL53),0)</f>
        <v>0</v>
      </c>
      <c r="AO53" s="95">
        <f ca="1">MAX(TREND(AO$32:AO$51,AL$32:AL$51,AL53),0)</f>
        <v>0</v>
      </c>
      <c r="AP53" s="95">
        <f ca="1">MAX(TREND(AP$32:AP$51,AL$32:AL$51,AL53),0)</f>
        <v>0</v>
      </c>
      <c r="AQ53" s="95">
        <f ca="1">MAX(TREND(AQ$32:AQ$51,AL$32:AL$51,AL53),0)</f>
        <v>15.993834586466164</v>
      </c>
      <c r="AR53" s="95">
        <f ca="1">MAX(TREND(AR$32:AR$51,AL$32:AL$51,AL53),0)</f>
        <v>39.313308270676686</v>
      </c>
      <c r="AS53" s="95">
        <f ca="1">MAX(TREND(AS$32:AS$51,AL$32:AL$51,AL53),0)</f>
        <v>95.715714285714284</v>
      </c>
      <c r="AT53" s="95">
        <f ca="1">MAX(TREND(AT$32:AT$51,AL$32:AL$51,AL53),0)</f>
        <v>78.932180451127806</v>
      </c>
      <c r="AU53" s="95">
        <f ca="1">MAX(TREND(AU$32:AU$51,AL$32:AL$51,AL53),0)</f>
        <v>24.99203007518804</v>
      </c>
      <c r="AV53" s="95">
        <f ca="1">MAX(TREND(AV$32:AV$51,AL$32:AL$51,AL53),0)</f>
        <v>0.87398496240601986</v>
      </c>
      <c r="AW53" s="95">
        <f ca="1">MAX(TREND(AW$32:AW$51,AL$32:AL$51,AL53),0)</f>
        <v>0</v>
      </c>
      <c r="AX53" s="95">
        <f ca="1">MAX(TREND(AX$32:AX$51,AL$32:AL$51,AL53),0)</f>
        <v>0</v>
      </c>
      <c r="AY53" s="93"/>
      <c r="AZ53" s="94">
        <f>AZ52+1</f>
        <v>2023</v>
      </c>
      <c r="BA53" s="95">
        <f ca="1">MAX(TREND(BA$32:BA$51,AZ$32:AZ$51,AZ53),0)</f>
        <v>0</v>
      </c>
      <c r="BB53" s="95">
        <f ca="1">MAX(TREND(BB$32:BB$51,AZ$32:AZ$51,AZ53),0)</f>
        <v>0</v>
      </c>
      <c r="BC53" s="95">
        <f ca="1">MAX(TREND(BC$32:BC$51,AZ$32:AZ$51,AZ53),0)</f>
        <v>1.1729323308270645E-2</v>
      </c>
      <c r="BD53" s="95">
        <f ca="1">MAX(TREND(BD$32:BD$51,AZ$32:AZ$51,AZ53),0)</f>
        <v>0</v>
      </c>
      <c r="BE53" s="95">
        <f ca="1">MAX(TREND(BE$32:BE$51,AZ$32:AZ$51,AZ53),0)</f>
        <v>30.836390977443898</v>
      </c>
      <c r="BF53" s="95">
        <f ca="1">MAX(TREND(BF$32:BF$51,AZ$32:AZ$51,AZ53),0)</f>
        <v>75.825413533834649</v>
      </c>
      <c r="BG53" s="95">
        <f ca="1">MAX(TREND(BG$32:BG$51,AZ$32:AZ$51,AZ53),0)</f>
        <v>152.14969924812021</v>
      </c>
      <c r="BH53" s="95">
        <f ca="1">MAX(TREND(BH$32:BH$51,AZ$32:AZ$51,AZ53),0)</f>
        <v>132.91924812030038</v>
      </c>
      <c r="BI53" s="95">
        <f ca="1">MAX(TREND(BI$32:BI$51,AZ$32:AZ$51,AZ53),0)</f>
        <v>45.659999999999968</v>
      </c>
      <c r="BJ53" s="95">
        <f ca="1">MAX(TREND(BJ$32:BJ$51,AZ$32:AZ$51,AZ53),0)</f>
        <v>3.1258646616541341</v>
      </c>
      <c r="BK53" s="95">
        <f ca="1">MAX(TREND(BK$32:BK$51,AZ$32:AZ$51,AZ53),0)</f>
        <v>0</v>
      </c>
      <c r="BL53" s="95">
        <f ca="1">MAX(TREND(BL$32:BL$51,AZ$32:AZ$51,AZ53),0)</f>
        <v>0</v>
      </c>
      <c r="BM53" s="93">
        <f t="shared" ca="1" si="38"/>
        <v>440.5283458646615</v>
      </c>
      <c r="BN53" s="94">
        <f>BN52+1</f>
        <v>2023</v>
      </c>
      <c r="BO53" s="95">
        <f ca="1">MAX(TREND(BO$32:BO$51,BN$32:BN$51,BN53),0)</f>
        <v>0</v>
      </c>
      <c r="BP53" s="95">
        <f ca="1">MAX(TREND(BP$32:BP$51,BN$32:BN$51,BN53),0)</f>
        <v>0</v>
      </c>
      <c r="BQ53" s="95">
        <f ca="1">MAX(TREND(BQ$32:BQ$51,BN$32:BN$51,BN53),0)</f>
        <v>0.17593984962406051</v>
      </c>
      <c r="BR53" s="95">
        <f ca="1">MAX(TREND(BR$32:BR$51,BN$32:BN$51,BN53),0)</f>
        <v>0</v>
      </c>
      <c r="BS53" s="95">
        <f ca="1">MAX(TREND(BS$32:BS$51,BN$32:BN$51,BN53),0)</f>
        <v>52.289548872180603</v>
      </c>
      <c r="BT53" s="95">
        <f ca="1">MAX(TREND(BT$32:BT$51,BN$32:BN$51,BN53),0)</f>
        <v>123.5956390977442</v>
      </c>
      <c r="BU53" s="95">
        <f ca="1">MAX(TREND(BU$32:BU$51,BN$32:BN$51,BN53),0)</f>
        <v>212.61368421052634</v>
      </c>
      <c r="BV53" s="95">
        <f ca="1">MAX(TREND(BV$32:BV$51,BN$32:BN$51,BN53),0)</f>
        <v>192.90609022556418</v>
      </c>
      <c r="BW53" s="95">
        <f ca="1">MAX(TREND(BW$32:BW$51,BN$32:BN$51,BN53),0)</f>
        <v>77.126165413533826</v>
      </c>
      <c r="BX53" s="95">
        <f ca="1">MAX(TREND(BX$32:BX$51,BN$32:BN$51,BN53),0)</f>
        <v>10.695413533834582</v>
      </c>
      <c r="BY53" s="95">
        <f ca="1">MAX(TREND(BY$32:BY$51,BN$32:BN$51,BN53),0)</f>
        <v>1.9699248120300883E-2</v>
      </c>
      <c r="BZ53" s="95">
        <f ca="1">MAX(TREND(BZ$32:BZ$51,BN$32:BN$51,BN53),0)</f>
        <v>0</v>
      </c>
      <c r="CB53" s="94">
        <f>CB52+1</f>
        <v>2023</v>
      </c>
      <c r="CC53" s="95">
        <f ca="1">MAX(TREND(CC$32:CC$51,CB$32:CB$51,CB53),0)</f>
        <v>0</v>
      </c>
      <c r="CD53" s="95">
        <f ca="1">MAX(TREND(CD$32:CD$51,CB$32:CB$51,CB53),0)</f>
        <v>0</v>
      </c>
      <c r="CE53" s="95">
        <f ca="1">MAX(TREND(CE$32:CE$51,CB$32:CB$51,CB53),0)</f>
        <v>0.75812030075187664</v>
      </c>
      <c r="CF53" s="95">
        <f ca="1">MAX(TREND(CF$32:CF$51,CB$32:CB$51,CB53),0)</f>
        <v>0</v>
      </c>
      <c r="CG53" s="95">
        <f ca="1">MAX(TREND(CG$32:CG$51,CB$32:CB$51,CB53),0)</f>
        <v>82.437368421053179</v>
      </c>
      <c r="CH53" s="95">
        <f ca="1">MAX(TREND(CH$32:CH$51,CB$32:CB$51,CB53),0)</f>
        <v>178.31819548872204</v>
      </c>
      <c r="CI53" s="95">
        <f ca="1">MAX(TREND(CI$32:CI$51,CB$32:CB$51,CB53),0)</f>
        <v>274.61368421052634</v>
      </c>
      <c r="CJ53" s="95">
        <f ca="1">MAX(TREND(CJ$32:CJ$51,CB$32:CB$51,CB53),0)</f>
        <v>254.56293233082715</v>
      </c>
      <c r="CK53" s="95">
        <f ca="1">MAX(TREND(CK$32:CK$51,CB$32:CB$51,CB53),0)</f>
        <v>120.42842105263159</v>
      </c>
      <c r="CL53" s="95">
        <f ca="1">MAX(TREND(CL$32:CL$51,CB$32:CB$51,CB53),0)</f>
        <v>26.279699248120323</v>
      </c>
      <c r="CM53" s="95">
        <f ca="1">MAX(TREND(CM$32:CM$51,CB$32:CB$51,CB53),0)</f>
        <v>1.41834586466166</v>
      </c>
      <c r="CN53" s="95">
        <f ca="1">MAX(TREND(CN$32:CN$51,CB$32:CB$51,CB53),0)</f>
        <v>0</v>
      </c>
      <c r="CP53" s="94">
        <f>CP52+1</f>
        <v>2023</v>
      </c>
      <c r="CQ53" s="95">
        <f ca="1">MAX(TREND(CQ$32:CQ$51,CP$32:CP$51,CP53),0)</f>
        <v>0</v>
      </c>
      <c r="CR53" s="95">
        <f ca="1">MAX(TREND(CR$32:CR$51,CP$32:CP$51,CP53),0)</f>
        <v>0</v>
      </c>
      <c r="CS53" s="95">
        <f ca="1">MAX(TREND(CS$32:CS$51,CP$32:CP$51,CP53),0)</f>
        <v>2.1322556390977496</v>
      </c>
      <c r="CT53" s="95">
        <f ca="1">MAX(TREND(CT$32:CT$51,CP$32:CP$51,CP53),0)</f>
        <v>0.86015037593983834</v>
      </c>
      <c r="CU53" s="95">
        <f ca="1">MAX(TREND(CU$32:CU$51,CP$32:CP$51,CP53),0)</f>
        <v>120.24037593985031</v>
      </c>
      <c r="CV53" s="95">
        <f ca="1">MAX(TREND(CV$32:CV$51,CP$32:CP$51,CP53),0)</f>
        <v>237.27142857142849</v>
      </c>
      <c r="CW53" s="95">
        <f ca="1">MAX(TREND(CW$32:CW$51,CP$32:CP$51,CP53),0)</f>
        <v>336.61368421052634</v>
      </c>
      <c r="CX53" s="95">
        <f ca="1">MAX(TREND(CX$32:CX$51,CP$32:CP$51,CP53),0)</f>
        <v>316.56398496240627</v>
      </c>
      <c r="CY53" s="95">
        <f ca="1">MAX(TREND(CY$32:CY$51,CP$32:CP$51,CP53),0)</f>
        <v>172.72120300751877</v>
      </c>
      <c r="CZ53" s="95">
        <f ca="1">MAX(TREND(CZ$32:CZ$51,CP$32:CP$51,CP53),0)</f>
        <v>48.954285714285788</v>
      </c>
      <c r="DA53" s="95">
        <f ca="1">MAX(TREND(DA$32:DA$51,CP$32:CP$51,CP53),0)</f>
        <v>3.9940601503759012</v>
      </c>
      <c r="DB53" s="95">
        <f ca="1">MAX(TREND(DB$32:DB$51,CP$32:CP$51,CP53),0)</f>
        <v>0</v>
      </c>
      <c r="DD53" s="94">
        <f>DD52+1</f>
        <v>2023</v>
      </c>
      <c r="DE53" s="95">
        <f ca="1">MAX(TREND(DE$32:DE$51,DD$32:DD$51,DD53),0)</f>
        <v>0</v>
      </c>
      <c r="DF53" s="95">
        <f ca="1">MAX(TREND(DF$32:DF$51,DD$32:DD$51,DD53),0)</f>
        <v>0.13060150375939727</v>
      </c>
      <c r="DG53" s="95">
        <f ca="1">MAX(TREND(DG$32:DG$51,DD$32:DD$51,DD53),0)</f>
        <v>5.4671428571428464</v>
      </c>
      <c r="DH53" s="95">
        <f ca="1">MAX(TREND(DH$32:DH$51,DD$32:DD$51,DD53),0)</f>
        <v>8.2903007518798404</v>
      </c>
      <c r="DI53" s="95">
        <f ca="1">MAX(TREND(DI$32:DI$51,DD$32:DD$51,DD53),0)</f>
        <v>165.38819548872198</v>
      </c>
      <c r="DJ53" s="95">
        <f ca="1">MAX(TREND(DJ$32:DJ$51,DD$32:DD$51,DD53),0)</f>
        <v>297.33030075187958</v>
      </c>
      <c r="DK53" s="95">
        <f ca="1">MAX(TREND(DK$32:DK$51,DD$32:DD$51,DD53),0)</f>
        <v>398.61368421052634</v>
      </c>
      <c r="DL53" s="95">
        <f ca="1">MAX(TREND(DL$32:DL$51,DD$32:DD$51,DD53),0)</f>
        <v>378.56398496240627</v>
      </c>
      <c r="DM53" s="95">
        <f ca="1">MAX(TREND(DM$32:DM$51,DD$32:DD$51,DD53),0)</f>
        <v>230.60353383458653</v>
      </c>
      <c r="DN53" s="95">
        <f ca="1">MAX(TREND(DN$32:DN$51,DD$32:DD$51,DD53),0)</f>
        <v>80.709624060150418</v>
      </c>
      <c r="DO53" s="95">
        <f ca="1">MAX(TREND(DO$32:DO$51,DD$32:DD$51,DD53),0)</f>
        <v>9.849548872180435</v>
      </c>
      <c r="DP53" s="95">
        <f ca="1">MAX(TREND(DP$32:DP$51,DD$32:DD$51,DD53),0)</f>
        <v>0.14819548872180377</v>
      </c>
      <c r="DR53" s="94">
        <f>DR52+1</f>
        <v>2023</v>
      </c>
      <c r="DS53" s="95">
        <f ca="1">MAX(TREND(DS$32:DS$51,DR$32:DR$51,DR53),0)</f>
        <v>0.21315789473685243</v>
      </c>
      <c r="DT53" s="95">
        <f ca="1">MAX(TREND(DT$32:DT$51,DR$32:DR$51,DR53),0)</f>
        <v>1.0642857142857025</v>
      </c>
      <c r="DU53" s="95">
        <f ca="1">MAX(TREND(DU$32:DU$51,DR$32:DR$51,DR53),0)</f>
        <v>9.5546616541353444</v>
      </c>
      <c r="DV53" s="95">
        <f ca="1">MAX(TREND(DV$32:DV$51,DR$32:DR$51,DR53),0)</f>
        <v>25.11360902255592</v>
      </c>
      <c r="DW53" s="95">
        <f ca="1">MAX(TREND(DW$32:DW$51,DR$32:DR$51,DR53),0)</f>
        <v>217.65172932330825</v>
      </c>
      <c r="DX53" s="95">
        <f ca="1">MAX(TREND(DX$32:DX$51,DR$32:DR$51,DR53),0)</f>
        <v>357.33030075187958</v>
      </c>
      <c r="DY53" s="95">
        <f ca="1">MAX(TREND(DY$32:DY$51,DR$32:DR$51,DR53),0)</f>
        <v>460.61368421052634</v>
      </c>
      <c r="DZ53" s="95">
        <f ca="1">MAX(TREND(DZ$32:DZ$51,DR$32:DR$51,DR53),0)</f>
        <v>440.56398496240627</v>
      </c>
      <c r="EA53" s="95">
        <f ca="1">MAX(TREND(EA$32:EA$51,DR$32:DR$51,DR53),0)</f>
        <v>290.43714285714287</v>
      </c>
      <c r="EB53" s="95">
        <f ca="1">MAX(TREND(EB$32:EB$51,DR$32:DR$51,DR53),0)</f>
        <v>122.04458646616558</v>
      </c>
      <c r="EC53" s="95">
        <f ca="1">MAX(TREND(EC$32:EC$51,DR$32:DR$51,DR53),0)</f>
        <v>19.713984962406016</v>
      </c>
      <c r="ED53" s="95">
        <f ca="1">MAX(TREND(ED$32:ED$51,DR$32:DR$51,DR53),0)</f>
        <v>1.7952631578947091</v>
      </c>
      <c r="EG53" s="86"/>
      <c r="EH53" s="86"/>
      <c r="EI53" s="86"/>
      <c r="EK53" s="86"/>
      <c r="EL53" s="86"/>
      <c r="EM53" s="82"/>
      <c r="EO53" s="82"/>
      <c r="EP53" s="85"/>
      <c r="EQ53" s="84"/>
      <c r="ER53" s="84"/>
      <c r="FA53" s="265" t="s">
        <v>141</v>
      </c>
      <c r="FB53" s="266">
        <v>17680485.402800001</v>
      </c>
      <c r="FC53" s="266" t="s">
        <v>142</v>
      </c>
      <c r="FD53" s="266">
        <v>1376635.58889436</v>
      </c>
      <c r="FE53" s="267"/>
      <c r="FF53" s="268"/>
    </row>
    <row r="54" spans="1:162" x14ac:dyDescent="0.2">
      <c r="A54" s="81">
        <v>2006</v>
      </c>
      <c r="B54" s="88">
        <v>5</v>
      </c>
      <c r="C54" s="88">
        <v>14.42258064516129</v>
      </c>
      <c r="D54" s="87">
        <v>246.49999999999997</v>
      </c>
      <c r="E54" s="87">
        <v>11.600000000000001</v>
      </c>
      <c r="F54" s="87">
        <v>190.49999999999997</v>
      </c>
      <c r="G54" s="87">
        <v>17.600000000000001</v>
      </c>
      <c r="H54" s="133">
        <v>136.89999999999998</v>
      </c>
      <c r="I54" s="133">
        <v>26</v>
      </c>
      <c r="J54" s="87">
        <v>87.000000000000014</v>
      </c>
      <c r="K54" s="87">
        <v>38.1</v>
      </c>
      <c r="L54" s="87">
        <v>47.1</v>
      </c>
      <c r="M54" s="87">
        <v>60.2</v>
      </c>
      <c r="N54" s="87">
        <v>23</v>
      </c>
      <c r="O54" s="87">
        <v>98.100000000000009</v>
      </c>
      <c r="P54" s="87">
        <v>9.6</v>
      </c>
      <c r="Q54" s="87">
        <v>146.70000000000005</v>
      </c>
      <c r="R54" s="87">
        <v>2</v>
      </c>
      <c r="S54" s="87">
        <v>201.1</v>
      </c>
      <c r="T54" s="87"/>
      <c r="U54" s="87"/>
      <c r="V54" s="87"/>
      <c r="AL54" s="82"/>
      <c r="AM54" s="82"/>
      <c r="AY54" s="93"/>
      <c r="AZ54" s="82"/>
      <c r="BA54" s="82"/>
      <c r="BM54" s="93"/>
      <c r="BN54" s="82"/>
      <c r="BO54" s="82"/>
      <c r="CB54" s="82"/>
      <c r="CC54" s="82"/>
      <c r="CP54" s="82"/>
      <c r="CQ54" s="82"/>
      <c r="DD54" s="82"/>
      <c r="DE54" s="82"/>
      <c r="DR54" s="82"/>
      <c r="DS54" s="82"/>
      <c r="EG54" s="86"/>
      <c r="EH54" s="86"/>
      <c r="EI54" s="86"/>
      <c r="EK54" s="86"/>
      <c r="EL54" s="86"/>
      <c r="EM54" s="82"/>
      <c r="EO54" s="82"/>
      <c r="EP54" s="85"/>
      <c r="EQ54" s="84"/>
      <c r="ER54" s="84"/>
      <c r="FA54" s="265" t="s">
        <v>143</v>
      </c>
      <c r="FB54" s="266">
        <v>123263691936130</v>
      </c>
      <c r="FC54" s="266" t="s">
        <v>144</v>
      </c>
      <c r="FD54" s="266">
        <v>1005165.72296513</v>
      </c>
      <c r="FE54" s="267"/>
      <c r="FF54" s="268"/>
    </row>
    <row r="55" spans="1:162" x14ac:dyDescent="0.2">
      <c r="A55" s="81">
        <v>2006</v>
      </c>
      <c r="B55" s="88">
        <v>6</v>
      </c>
      <c r="C55" s="88">
        <v>19.803333333333335</v>
      </c>
      <c r="D55" s="87">
        <v>82.6</v>
      </c>
      <c r="E55" s="87">
        <v>16.7</v>
      </c>
      <c r="F55" s="87">
        <v>41.20000000000001</v>
      </c>
      <c r="G55" s="87">
        <v>35.299999999999997</v>
      </c>
      <c r="H55" s="133">
        <v>19.5</v>
      </c>
      <c r="I55" s="133">
        <v>73.599999999999994</v>
      </c>
      <c r="J55" s="87">
        <v>8.1999999999999993</v>
      </c>
      <c r="K55" s="87">
        <v>122.29999999999998</v>
      </c>
      <c r="L55" s="87">
        <v>2.3999999999999986</v>
      </c>
      <c r="M55" s="87">
        <v>176.50000000000003</v>
      </c>
      <c r="N55" s="87">
        <v>0</v>
      </c>
      <c r="O55" s="87">
        <v>234.09999999999997</v>
      </c>
      <c r="P55" s="87">
        <v>0</v>
      </c>
      <c r="Q55" s="87">
        <v>294.09999999999997</v>
      </c>
      <c r="R55" s="87">
        <v>0</v>
      </c>
      <c r="S55" s="87">
        <v>354.09999999999997</v>
      </c>
      <c r="T55" s="87"/>
      <c r="U55" s="87"/>
      <c r="V55" s="87"/>
      <c r="X55" s="92" t="s">
        <v>153</v>
      </c>
      <c r="Y55" s="87">
        <f t="shared" ref="Y55:AJ55" ca="1" si="64">AVERAGE(Y42:Y51)</f>
        <v>0</v>
      </c>
      <c r="Z55" s="87">
        <f t="shared" ca="1" si="64"/>
        <v>0</v>
      </c>
      <c r="AA55" s="87">
        <f t="shared" ca="1" si="64"/>
        <v>0</v>
      </c>
      <c r="AB55" s="87">
        <f t="shared" ca="1" si="64"/>
        <v>0</v>
      </c>
      <c r="AC55" s="87">
        <f t="shared" ca="1" si="64"/>
        <v>5.0199999999999996</v>
      </c>
      <c r="AD55" s="87">
        <f t="shared" ca="1" si="64"/>
        <v>18.759999999999998</v>
      </c>
      <c r="AE55" s="87">
        <f t="shared" ca="1" si="64"/>
        <v>49.100000000000009</v>
      </c>
      <c r="AF55" s="87">
        <f t="shared" ca="1" si="64"/>
        <v>33.660000000000004</v>
      </c>
      <c r="AG55" s="87">
        <f t="shared" ca="1" si="64"/>
        <v>11.340000000000002</v>
      </c>
      <c r="AH55" s="87">
        <f t="shared" ca="1" si="64"/>
        <v>0.23000000000000007</v>
      </c>
      <c r="AI55" s="87">
        <f t="shared" ca="1" si="64"/>
        <v>0</v>
      </c>
      <c r="AJ55" s="87">
        <f t="shared" ca="1" si="64"/>
        <v>0</v>
      </c>
      <c r="AL55" s="92" t="s">
        <v>153</v>
      </c>
      <c r="AM55" s="87">
        <f t="shared" ref="AM55:AX55" ca="1" si="65">AVERAGE(AM42:AM51)</f>
        <v>0</v>
      </c>
      <c r="AN55" s="87">
        <f t="shared" ca="1" si="65"/>
        <v>0</v>
      </c>
      <c r="AO55" s="87">
        <f t="shared" ca="1" si="65"/>
        <v>0</v>
      </c>
      <c r="AP55" s="87">
        <f t="shared" ca="1" si="65"/>
        <v>0</v>
      </c>
      <c r="AQ55" s="87">
        <f t="shared" ca="1" si="65"/>
        <v>12.459999999999999</v>
      </c>
      <c r="AR55" s="87">
        <f t="shared" ca="1" si="65"/>
        <v>39.700000000000003</v>
      </c>
      <c r="AS55" s="87">
        <f t="shared" ca="1" si="65"/>
        <v>92.02000000000001</v>
      </c>
      <c r="AT55" s="87">
        <f t="shared" ca="1" si="65"/>
        <v>70.839999999999989</v>
      </c>
      <c r="AU55" s="87">
        <f t="shared" ca="1" si="65"/>
        <v>25.57</v>
      </c>
      <c r="AV55" s="87">
        <f t="shared" ca="1" si="65"/>
        <v>1.0399999999999998</v>
      </c>
      <c r="AW55" s="87">
        <f t="shared" ca="1" si="65"/>
        <v>0</v>
      </c>
      <c r="AX55" s="87">
        <f t="shared" ca="1" si="65"/>
        <v>0</v>
      </c>
      <c r="AY55" s="93"/>
      <c r="AZ55" s="92" t="s">
        <v>153</v>
      </c>
      <c r="BA55" s="87">
        <f t="shared" ref="BA55:BL55" ca="1" si="66">AVERAGE(BA42:BA51)</f>
        <v>0</v>
      </c>
      <c r="BB55" s="87">
        <f t="shared" ca="1" si="66"/>
        <v>0</v>
      </c>
      <c r="BC55" s="87">
        <f t="shared" ca="1" si="66"/>
        <v>1.9999999999999928E-2</v>
      </c>
      <c r="BD55" s="87">
        <f t="shared" ca="1" si="66"/>
        <v>0</v>
      </c>
      <c r="BE55" s="87">
        <f t="shared" ca="1" si="66"/>
        <v>24.720000000000002</v>
      </c>
      <c r="BF55" s="87">
        <f t="shared" ca="1" si="66"/>
        <v>73.500000000000014</v>
      </c>
      <c r="BG55" s="87">
        <f t="shared" ca="1" si="66"/>
        <v>146.78000000000003</v>
      </c>
      <c r="BH55" s="87">
        <f t="shared" ca="1" si="66"/>
        <v>121.87</v>
      </c>
      <c r="BI55" s="87">
        <f t="shared" ca="1" si="66"/>
        <v>47.66</v>
      </c>
      <c r="BJ55" s="87">
        <f t="shared" ca="1" si="66"/>
        <v>3.3899999999999997</v>
      </c>
      <c r="BK55" s="87">
        <f t="shared" ca="1" si="66"/>
        <v>0</v>
      </c>
      <c r="BL55" s="87">
        <f t="shared" ca="1" si="66"/>
        <v>0</v>
      </c>
      <c r="BM55" s="93">
        <f ca="1">SUM(BA55:BL55)</f>
        <v>417.94000000000005</v>
      </c>
      <c r="BN55" s="92" t="s">
        <v>153</v>
      </c>
      <c r="BO55" s="87">
        <f t="shared" ref="BO55:BZ55" ca="1" si="67">AVERAGE(BO42:BO51)</f>
        <v>0</v>
      </c>
      <c r="BP55" s="87">
        <f t="shared" ca="1" si="67"/>
        <v>0</v>
      </c>
      <c r="BQ55" s="87">
        <f t="shared" ca="1" si="67"/>
        <v>0.3</v>
      </c>
      <c r="BR55" s="87">
        <f t="shared" ca="1" si="67"/>
        <v>0.38999999999999985</v>
      </c>
      <c r="BS55" s="87">
        <f t="shared" ca="1" si="67"/>
        <v>43.35</v>
      </c>
      <c r="BT55" s="87">
        <f t="shared" ca="1" si="67"/>
        <v>118.63000000000002</v>
      </c>
      <c r="BU55" s="87">
        <f t="shared" ca="1" si="67"/>
        <v>207.41000000000003</v>
      </c>
      <c r="BV55" s="87">
        <f t="shared" ca="1" si="67"/>
        <v>180.75000000000006</v>
      </c>
      <c r="BW55" s="87">
        <f t="shared" ca="1" si="67"/>
        <v>80.61</v>
      </c>
      <c r="BX55" s="87">
        <f t="shared" ca="1" si="67"/>
        <v>9.9699999999999989</v>
      </c>
      <c r="BY55" s="87">
        <f t="shared" ca="1" si="67"/>
        <v>1.0000000000000142E-2</v>
      </c>
      <c r="BZ55" s="87">
        <f t="shared" ca="1" si="67"/>
        <v>0</v>
      </c>
      <c r="CB55" s="92" t="s">
        <v>153</v>
      </c>
      <c r="CC55" s="87">
        <f t="shared" ref="CC55:CN55" ca="1" si="68">AVERAGE(CC42:CC51)</f>
        <v>0</v>
      </c>
      <c r="CD55" s="87">
        <f t="shared" ca="1" si="68"/>
        <v>0</v>
      </c>
      <c r="CE55" s="87">
        <f t="shared" ca="1" si="68"/>
        <v>1.1599999999999999</v>
      </c>
      <c r="CF55" s="87">
        <f t="shared" ca="1" si="68"/>
        <v>2.3099999999999996</v>
      </c>
      <c r="CG55" s="87">
        <f t="shared" ca="1" si="68"/>
        <v>70.86</v>
      </c>
      <c r="CH55" s="87">
        <f t="shared" ca="1" si="68"/>
        <v>171.74</v>
      </c>
      <c r="CI55" s="87">
        <f t="shared" ca="1" si="68"/>
        <v>269.41000000000003</v>
      </c>
      <c r="CJ55" s="87">
        <f t="shared" ca="1" si="68"/>
        <v>242.46000000000004</v>
      </c>
      <c r="CK55" s="87">
        <f t="shared" ca="1" si="68"/>
        <v>124.26999999999998</v>
      </c>
      <c r="CL55" s="87">
        <f t="shared" ca="1" si="68"/>
        <v>23.209999999999997</v>
      </c>
      <c r="CM55" s="87">
        <f t="shared" ca="1" si="68"/>
        <v>0.89</v>
      </c>
      <c r="CN55" s="87">
        <f t="shared" ca="1" si="68"/>
        <v>0</v>
      </c>
      <c r="CP55" s="92" t="s">
        <v>153</v>
      </c>
      <c r="CQ55" s="87">
        <f t="shared" ref="CQ55:DB55" ca="1" si="69">AVERAGE(CQ42:CQ51)</f>
        <v>0</v>
      </c>
      <c r="CR55" s="87">
        <f t="shared" ca="1" si="69"/>
        <v>0</v>
      </c>
      <c r="CS55" s="87">
        <f t="shared" ca="1" si="69"/>
        <v>2.8099999999999996</v>
      </c>
      <c r="CT55" s="87">
        <f t="shared" ca="1" si="69"/>
        <v>6.58</v>
      </c>
      <c r="CU55" s="87">
        <f t="shared" ca="1" si="69"/>
        <v>107.25</v>
      </c>
      <c r="CV55" s="87">
        <f t="shared" ca="1" si="69"/>
        <v>230.10000000000005</v>
      </c>
      <c r="CW55" s="87">
        <f t="shared" ca="1" si="69"/>
        <v>331.41</v>
      </c>
      <c r="CX55" s="87">
        <f t="shared" ca="1" si="69"/>
        <v>304.46000000000004</v>
      </c>
      <c r="CY55" s="87">
        <f t="shared" ca="1" si="69"/>
        <v>176.51</v>
      </c>
      <c r="CZ55" s="87">
        <f t="shared" ca="1" si="69"/>
        <v>43.36</v>
      </c>
      <c r="DA55" s="87">
        <f t="shared" ca="1" si="69"/>
        <v>2.7399999999999998</v>
      </c>
      <c r="DB55" s="87">
        <f t="shared" ca="1" si="69"/>
        <v>0</v>
      </c>
      <c r="DD55" s="92" t="s">
        <v>153</v>
      </c>
      <c r="DE55" s="87">
        <f t="shared" ref="DE55:DP55" ca="1" si="70">AVERAGE(DE42:DE51)</f>
        <v>0</v>
      </c>
      <c r="DF55" s="87">
        <f t="shared" ca="1" si="70"/>
        <v>9.0000000000000038E-2</v>
      </c>
      <c r="DG55" s="87">
        <f t="shared" ca="1" si="70"/>
        <v>6.3100000000000005</v>
      </c>
      <c r="DH55" s="87">
        <f t="shared" ca="1" si="70"/>
        <v>15.529999999999998</v>
      </c>
      <c r="DI55" s="87">
        <f t="shared" ca="1" si="70"/>
        <v>151.91999999999996</v>
      </c>
      <c r="DJ55" s="87">
        <f t="shared" ca="1" si="70"/>
        <v>289.89</v>
      </c>
      <c r="DK55" s="87">
        <f t="shared" ca="1" si="70"/>
        <v>393.41</v>
      </c>
      <c r="DL55" s="87">
        <f t="shared" ca="1" si="70"/>
        <v>366.46000000000004</v>
      </c>
      <c r="DM55" s="87">
        <f t="shared" ca="1" si="70"/>
        <v>233.86000000000004</v>
      </c>
      <c r="DN55" s="87">
        <f t="shared" ca="1" si="70"/>
        <v>72.710000000000008</v>
      </c>
      <c r="DO55" s="87">
        <f t="shared" ca="1" si="70"/>
        <v>7.7199999999999989</v>
      </c>
      <c r="DP55" s="87">
        <f t="shared" ca="1" si="70"/>
        <v>0.12000000000000011</v>
      </c>
      <c r="DR55" s="92" t="s">
        <v>153</v>
      </c>
      <c r="DS55" s="87">
        <f t="shared" ref="DS55:ED55" ca="1" si="71">AVERAGE(DS42:DS51)</f>
        <v>0.57999999999999985</v>
      </c>
      <c r="DT55" s="87">
        <f t="shared" ca="1" si="71"/>
        <v>0.76999999999999991</v>
      </c>
      <c r="DU55" s="87">
        <f t="shared" ca="1" si="71"/>
        <v>11.25</v>
      </c>
      <c r="DV55" s="87">
        <f t="shared" ca="1" si="71"/>
        <v>32.160000000000004</v>
      </c>
      <c r="DW55" s="87">
        <f t="shared" ca="1" si="71"/>
        <v>204.32999999999998</v>
      </c>
      <c r="DX55" s="87">
        <f t="shared" ca="1" si="71"/>
        <v>349.89</v>
      </c>
      <c r="DY55" s="87">
        <f t="shared" ca="1" si="71"/>
        <v>455.41</v>
      </c>
      <c r="DZ55" s="87">
        <f t="shared" ca="1" si="71"/>
        <v>428.46000000000004</v>
      </c>
      <c r="EA55" s="87">
        <f t="shared" ca="1" si="71"/>
        <v>293.61</v>
      </c>
      <c r="EB55" s="87">
        <f t="shared" ca="1" si="71"/>
        <v>111.17999999999998</v>
      </c>
      <c r="EC55" s="87">
        <f t="shared" ca="1" si="71"/>
        <v>16.920000000000002</v>
      </c>
      <c r="ED55" s="87">
        <f t="shared" ca="1" si="71"/>
        <v>1.3900000000000001</v>
      </c>
      <c r="EG55" s="86"/>
      <c r="EH55" s="86"/>
      <c r="EI55" s="86"/>
      <c r="EK55" s="86"/>
      <c r="EL55" s="86"/>
      <c r="EM55" s="82"/>
      <c r="EO55" s="82"/>
      <c r="EP55" s="85"/>
      <c r="EQ55" s="84"/>
      <c r="ER55" s="84"/>
      <c r="FA55" s="265" t="s">
        <v>145</v>
      </c>
      <c r="FB55" s="266">
        <v>0.47726503832796402</v>
      </c>
      <c r="FC55" s="266" t="s">
        <v>146</v>
      </c>
      <c r="FD55" s="266">
        <v>0.46869561272678301</v>
      </c>
      <c r="FE55" s="267"/>
      <c r="FF55" s="268"/>
    </row>
    <row r="56" spans="1:162" x14ac:dyDescent="0.2">
      <c r="A56" s="81">
        <v>2006</v>
      </c>
      <c r="B56" s="88">
        <v>7</v>
      </c>
      <c r="C56" s="88">
        <v>23.396774193548385</v>
      </c>
      <c r="D56" s="87">
        <v>19.100000000000001</v>
      </c>
      <c r="E56" s="87">
        <v>62.400000000000006</v>
      </c>
      <c r="F56" s="87">
        <v>5.5000000000000036</v>
      </c>
      <c r="G56" s="87">
        <v>110.80000000000001</v>
      </c>
      <c r="H56" s="133">
        <v>0</v>
      </c>
      <c r="I56" s="133">
        <v>167.30000000000004</v>
      </c>
      <c r="J56" s="87">
        <v>0</v>
      </c>
      <c r="K56" s="87">
        <v>229.29999999999995</v>
      </c>
      <c r="L56" s="87">
        <v>0</v>
      </c>
      <c r="M56" s="87">
        <v>291.29999999999995</v>
      </c>
      <c r="N56" s="87">
        <v>0</v>
      </c>
      <c r="O56" s="87">
        <v>353.29999999999995</v>
      </c>
      <c r="P56" s="87">
        <v>0</v>
      </c>
      <c r="Q56" s="87">
        <v>415.3</v>
      </c>
      <c r="R56" s="87">
        <v>0</v>
      </c>
      <c r="S56" s="87">
        <v>477.29999999999995</v>
      </c>
      <c r="T56" s="87"/>
      <c r="U56" s="87"/>
      <c r="V56" s="87"/>
      <c r="EG56" s="86"/>
      <c r="EH56" s="86"/>
      <c r="EI56" s="86"/>
      <c r="EK56" s="86"/>
      <c r="EL56" s="86"/>
      <c r="EM56" s="82"/>
      <c r="EO56" s="82"/>
      <c r="EP56" s="85"/>
      <c r="EQ56" s="84"/>
      <c r="ER56" s="84"/>
      <c r="FA56" s="265" t="s">
        <v>147</v>
      </c>
      <c r="FB56" s="266">
        <v>22.8289145288465</v>
      </c>
      <c r="FC56" s="266" t="s">
        <v>148</v>
      </c>
      <c r="FD56" s="270">
        <v>3.7852584086574602E-9</v>
      </c>
      <c r="FE56" s="267"/>
      <c r="FF56" s="268"/>
    </row>
    <row r="57" spans="1:162" x14ac:dyDescent="0.2">
      <c r="A57" s="81">
        <v>2006</v>
      </c>
      <c r="B57" s="88">
        <v>8</v>
      </c>
      <c r="C57" s="88">
        <v>21.141935483870963</v>
      </c>
      <c r="D57" s="87">
        <v>53.3</v>
      </c>
      <c r="E57" s="87">
        <v>26.7</v>
      </c>
      <c r="F57" s="87">
        <v>19.2</v>
      </c>
      <c r="G57" s="87">
        <v>54.599999999999994</v>
      </c>
      <c r="H57" s="133">
        <v>4.1999999999999993</v>
      </c>
      <c r="I57" s="133">
        <v>101.6</v>
      </c>
      <c r="J57" s="87">
        <v>0</v>
      </c>
      <c r="K57" s="87">
        <v>159.40000000000003</v>
      </c>
      <c r="L57" s="87">
        <v>0</v>
      </c>
      <c r="M57" s="87">
        <v>221.40000000000003</v>
      </c>
      <c r="N57" s="87">
        <v>0</v>
      </c>
      <c r="O57" s="87">
        <v>283.40000000000003</v>
      </c>
      <c r="P57" s="87">
        <v>0</v>
      </c>
      <c r="Q57" s="87">
        <v>345.4</v>
      </c>
      <c r="R57" s="87">
        <v>0</v>
      </c>
      <c r="S57" s="87">
        <v>407.40000000000003</v>
      </c>
      <c r="T57" s="87"/>
      <c r="U57" s="87"/>
      <c r="V57" s="87"/>
      <c r="X57" s="81"/>
      <c r="Y57" s="81"/>
      <c r="EG57" s="86"/>
      <c r="EH57" s="86"/>
      <c r="EI57" s="86"/>
      <c r="EK57" s="86"/>
      <c r="EL57" s="86"/>
      <c r="EM57" s="82"/>
      <c r="EO57" s="82"/>
      <c r="EP57" s="85"/>
      <c r="EQ57" s="84"/>
      <c r="ER57" s="84"/>
      <c r="FA57" s="271" t="s">
        <v>149</v>
      </c>
      <c r="FB57" s="272">
        <v>-0.12441238278444</v>
      </c>
      <c r="FC57" s="272" t="s">
        <v>150</v>
      </c>
      <c r="FD57" s="272">
        <v>2.2198971570588499</v>
      </c>
      <c r="FE57" s="273"/>
      <c r="FF57" s="274"/>
    </row>
    <row r="58" spans="1:162" x14ac:dyDescent="0.2">
      <c r="A58" s="81">
        <v>2006</v>
      </c>
      <c r="B58" s="88">
        <v>9</v>
      </c>
      <c r="C58" s="88">
        <v>15.733333333333331</v>
      </c>
      <c r="D58" s="87">
        <v>187.99999999999997</v>
      </c>
      <c r="E58" s="87">
        <v>0</v>
      </c>
      <c r="F58" s="87">
        <v>129.89999999999998</v>
      </c>
      <c r="G58" s="87">
        <v>1.9000000000000021</v>
      </c>
      <c r="H58" s="133">
        <v>80.900000000000006</v>
      </c>
      <c r="I58" s="133">
        <v>12.900000000000002</v>
      </c>
      <c r="J58" s="87">
        <v>44.800000000000004</v>
      </c>
      <c r="K58" s="87">
        <v>36.800000000000011</v>
      </c>
      <c r="L58" s="87">
        <v>21.6</v>
      </c>
      <c r="M58" s="87">
        <v>73.599999999999994</v>
      </c>
      <c r="N58" s="87">
        <v>6</v>
      </c>
      <c r="O58" s="87">
        <v>118.00000000000001</v>
      </c>
      <c r="P58" s="87">
        <v>1.5</v>
      </c>
      <c r="Q58" s="87">
        <v>173.50000000000003</v>
      </c>
      <c r="R58" s="87">
        <v>0</v>
      </c>
      <c r="S58" s="87">
        <v>232</v>
      </c>
      <c r="T58" s="87"/>
      <c r="U58" s="87"/>
      <c r="V58" s="87"/>
      <c r="X58" s="81"/>
      <c r="Y58" s="81"/>
      <c r="EG58" s="86"/>
      <c r="EH58" s="86"/>
      <c r="EI58" s="86"/>
      <c r="EK58" s="86"/>
      <c r="EL58" s="86"/>
      <c r="EM58" s="82"/>
      <c r="EO58" s="82"/>
      <c r="EP58" s="85"/>
      <c r="EQ58" s="84"/>
      <c r="ER58" s="84"/>
    </row>
    <row r="59" spans="1:162" ht="15" x14ac:dyDescent="0.25">
      <c r="A59" s="81">
        <v>2006</v>
      </c>
      <c r="B59" s="88">
        <v>10</v>
      </c>
      <c r="C59" s="88">
        <v>8.7354838709677427</v>
      </c>
      <c r="D59" s="87">
        <v>411.2</v>
      </c>
      <c r="E59" s="87">
        <v>0</v>
      </c>
      <c r="F59" s="87">
        <v>349.19999999999993</v>
      </c>
      <c r="G59" s="87">
        <v>0</v>
      </c>
      <c r="H59" s="133">
        <v>288.3</v>
      </c>
      <c r="I59" s="133">
        <v>1.1000000000000014</v>
      </c>
      <c r="J59" s="87">
        <v>228.3</v>
      </c>
      <c r="K59" s="87">
        <v>3.1000000000000014</v>
      </c>
      <c r="L59" s="87">
        <v>169.19999999999996</v>
      </c>
      <c r="M59" s="87">
        <v>6.0000000000000018</v>
      </c>
      <c r="N59" s="87">
        <v>117.20000000000002</v>
      </c>
      <c r="O59" s="87">
        <v>16</v>
      </c>
      <c r="P59" s="87">
        <v>74.900000000000006</v>
      </c>
      <c r="Q59" s="87">
        <v>35.700000000000003</v>
      </c>
      <c r="R59" s="87">
        <v>39.1</v>
      </c>
      <c r="S59" s="87">
        <v>61.899999999999991</v>
      </c>
      <c r="T59" s="87"/>
      <c r="U59" s="87"/>
      <c r="V59" s="87"/>
      <c r="X59" s="91" t="s">
        <v>158</v>
      </c>
      <c r="Y59" s="81"/>
      <c r="AC59" s="91" t="s">
        <v>159</v>
      </c>
      <c r="AL59" s="91" t="s">
        <v>158</v>
      </c>
      <c r="AQ59" s="91" t="s">
        <v>159</v>
      </c>
      <c r="AZ59" s="91" t="s">
        <v>158</v>
      </c>
      <c r="BE59" s="91" t="s">
        <v>159</v>
      </c>
      <c r="BN59" s="91" t="s">
        <v>158</v>
      </c>
      <c r="BS59" s="91" t="s">
        <v>159</v>
      </c>
      <c r="CB59" s="91" t="s">
        <v>158</v>
      </c>
      <c r="CG59" s="91" t="s">
        <v>159</v>
      </c>
      <c r="CP59" s="91" t="s">
        <v>158</v>
      </c>
      <c r="CU59" s="91" t="s">
        <v>159</v>
      </c>
      <c r="DD59" s="91" t="s">
        <v>158</v>
      </c>
      <c r="DI59" s="91" t="s">
        <v>159</v>
      </c>
      <c r="DR59" s="91" t="s">
        <v>158</v>
      </c>
      <c r="DW59" s="91" t="s">
        <v>159</v>
      </c>
      <c r="EG59" s="86"/>
      <c r="EH59" s="86"/>
      <c r="EI59" s="86"/>
      <c r="EK59" s="86"/>
      <c r="EL59" s="86"/>
      <c r="EM59" s="82"/>
      <c r="EO59" s="82"/>
      <c r="EP59" s="85"/>
      <c r="EQ59" s="84"/>
      <c r="ER59" s="84"/>
    </row>
    <row r="60" spans="1:162" x14ac:dyDescent="0.2">
      <c r="A60" s="81">
        <v>2006</v>
      </c>
      <c r="B60" s="88">
        <v>11</v>
      </c>
      <c r="C60" s="88">
        <v>5.2600000000000007</v>
      </c>
      <c r="D60" s="87">
        <v>502.20000000000005</v>
      </c>
      <c r="E60" s="87">
        <v>0</v>
      </c>
      <c r="F60" s="87">
        <v>442.20000000000005</v>
      </c>
      <c r="G60" s="87">
        <v>0</v>
      </c>
      <c r="H60" s="133">
        <v>382.2000000000001</v>
      </c>
      <c r="I60" s="133">
        <v>0</v>
      </c>
      <c r="J60" s="87">
        <v>322.2000000000001</v>
      </c>
      <c r="K60" s="87">
        <v>0</v>
      </c>
      <c r="L60" s="87">
        <v>262.20000000000005</v>
      </c>
      <c r="M60" s="87">
        <v>0</v>
      </c>
      <c r="N60" s="87">
        <v>202.19999999999996</v>
      </c>
      <c r="O60" s="87">
        <v>0</v>
      </c>
      <c r="P60" s="87">
        <v>143.29999999999998</v>
      </c>
      <c r="Q60" s="87">
        <v>1.0999999999999996</v>
      </c>
      <c r="R60" s="87">
        <v>95.5</v>
      </c>
      <c r="S60" s="87">
        <v>13.3</v>
      </c>
      <c r="T60" s="87"/>
      <c r="U60" s="87"/>
      <c r="V60" s="87"/>
      <c r="X60" s="81"/>
      <c r="Y60" s="81"/>
      <c r="Z60" s="90" t="str">
        <f>X4</f>
        <v>HDD22</v>
      </c>
      <c r="AA60" s="90" t="str">
        <f>X31</f>
        <v>CDD22</v>
      </c>
      <c r="AE60" s="81" t="str">
        <f>Z60</f>
        <v>HDD22</v>
      </c>
      <c r="AF60" s="81" t="str">
        <f>AA60</f>
        <v>CDD22</v>
      </c>
      <c r="AN60" s="90" t="str">
        <f>AL4</f>
        <v>HDD20</v>
      </c>
      <c r="AO60" s="90" t="str">
        <f>AL31</f>
        <v>CDD20</v>
      </c>
      <c r="AS60" s="81" t="str">
        <f>AN60</f>
        <v>HDD20</v>
      </c>
      <c r="AT60" s="81" t="str">
        <f>AO60</f>
        <v>CDD20</v>
      </c>
      <c r="BB60" s="90" t="str">
        <f>AZ4</f>
        <v>HDD18</v>
      </c>
      <c r="BC60" s="90" t="str">
        <f>AZ31</f>
        <v>CDD18</v>
      </c>
      <c r="BG60" s="81" t="str">
        <f>BB60</f>
        <v>HDD18</v>
      </c>
      <c r="BH60" s="81" t="str">
        <f>BC60</f>
        <v>CDD18</v>
      </c>
      <c r="BP60" s="90" t="str">
        <f>BN4</f>
        <v>HDD16</v>
      </c>
      <c r="BQ60" s="90" t="str">
        <f>BN31</f>
        <v>CDD16</v>
      </c>
      <c r="BU60" s="81" t="str">
        <f>BP60</f>
        <v>HDD16</v>
      </c>
      <c r="BV60" s="81" t="str">
        <f>BQ60</f>
        <v>CDD16</v>
      </c>
      <c r="CD60" s="90" t="str">
        <f>CB4</f>
        <v>HDD14</v>
      </c>
      <c r="CE60" s="90" t="str">
        <f>CB31</f>
        <v>CDD14</v>
      </c>
      <c r="CI60" s="81" t="str">
        <f>CD60</f>
        <v>HDD14</v>
      </c>
      <c r="CJ60" s="81" t="str">
        <f>CE60</f>
        <v>CDD14</v>
      </c>
      <c r="CR60" s="90" t="str">
        <f>CP4</f>
        <v>HDD12</v>
      </c>
      <c r="CS60" s="90" t="str">
        <f>CP31</f>
        <v>CDD12</v>
      </c>
      <c r="CW60" s="81" t="str">
        <f>CR60</f>
        <v>HDD12</v>
      </c>
      <c r="CX60" s="81" t="str">
        <f>CS60</f>
        <v>CDD12</v>
      </c>
      <c r="DF60" s="90" t="str">
        <f>DD4</f>
        <v>HDD10</v>
      </c>
      <c r="DG60" s="90" t="str">
        <f>DD31</f>
        <v>CDD10</v>
      </c>
      <c r="DK60" s="81" t="str">
        <f>DF60</f>
        <v>HDD10</v>
      </c>
      <c r="DL60" s="81" t="str">
        <f>DG60</f>
        <v>CDD10</v>
      </c>
      <c r="DT60" s="90" t="str">
        <f>DR4</f>
        <v>HDD8</v>
      </c>
      <c r="DU60" s="90" t="str">
        <f>DR31</f>
        <v>CDD8</v>
      </c>
      <c r="DY60" s="81" t="str">
        <f>DT60</f>
        <v>HDD8</v>
      </c>
      <c r="DZ60" s="81" t="str">
        <f>DU60</f>
        <v>CDD8</v>
      </c>
      <c r="EG60" s="86"/>
      <c r="EH60" s="86"/>
      <c r="EI60" s="86"/>
      <c r="EK60" s="86"/>
      <c r="EL60" s="86"/>
      <c r="EM60" s="82"/>
      <c r="EO60" s="82"/>
      <c r="EP60" s="85"/>
      <c r="EQ60" s="84"/>
      <c r="ER60" s="84"/>
    </row>
    <row r="61" spans="1:162" x14ac:dyDescent="0.2">
      <c r="A61" s="81">
        <v>2006</v>
      </c>
      <c r="B61" s="88">
        <v>12</v>
      </c>
      <c r="C61" s="88">
        <v>1.854838709677419</v>
      </c>
      <c r="D61" s="87">
        <v>624.49999999999989</v>
      </c>
      <c r="E61" s="87">
        <v>0</v>
      </c>
      <c r="F61" s="87">
        <v>562.49999999999989</v>
      </c>
      <c r="G61" s="87">
        <v>0</v>
      </c>
      <c r="H61" s="133">
        <v>500.49999999999989</v>
      </c>
      <c r="I61" s="133">
        <v>0</v>
      </c>
      <c r="J61" s="87">
        <v>438.49999999999989</v>
      </c>
      <c r="K61" s="87">
        <v>0</v>
      </c>
      <c r="L61" s="87">
        <v>376.49999999999989</v>
      </c>
      <c r="M61" s="87">
        <v>0</v>
      </c>
      <c r="N61" s="87">
        <v>314.49999999999994</v>
      </c>
      <c r="O61" s="87">
        <v>0</v>
      </c>
      <c r="P61" s="87">
        <v>252.49999999999997</v>
      </c>
      <c r="Q61" s="87">
        <v>0</v>
      </c>
      <c r="R61" s="87">
        <v>191.1</v>
      </c>
      <c r="S61" s="87">
        <v>0.59999999999999964</v>
      </c>
      <c r="T61" s="87"/>
      <c r="U61" s="87"/>
      <c r="V61" s="87"/>
      <c r="X61" s="81" t="s">
        <v>160</v>
      </c>
      <c r="Y61" s="81" t="s">
        <v>161</v>
      </c>
      <c r="Z61" s="83">
        <f t="shared" ref="Z61:Z72" ca="1" si="72">OFFSET($Y$28,0,(ROW()-ROW(Z$61)))</f>
        <v>811.49999999999989</v>
      </c>
      <c r="AA61" s="83">
        <f t="shared" ref="AA61:AA72" ca="1" si="73">OFFSET($Y$55,0,(ROW()-ROW(AA$61)))</f>
        <v>0</v>
      </c>
      <c r="AC61" s="81" t="s">
        <v>160</v>
      </c>
      <c r="AD61" s="81" t="s">
        <v>161</v>
      </c>
      <c r="AE61" s="83">
        <f ca="1">OFFSET($Y$26,0,(ROW()-ROW(AE$61)))</f>
        <v>803.95248120300721</v>
      </c>
      <c r="AF61" s="83">
        <f ca="1">OFFSET($Y$53,0,(ROW()-ROW(AF$61)))</f>
        <v>0</v>
      </c>
      <c r="AL61" s="81" t="s">
        <v>160</v>
      </c>
      <c r="AM61" s="81" t="s">
        <v>161</v>
      </c>
      <c r="AN61" s="83">
        <f t="shared" ref="AN61:AN72" ca="1" si="74">OFFSET(AM$28,0,(ROW()-ROW(AN$61)))</f>
        <v>749.5</v>
      </c>
      <c r="AO61" s="83">
        <f t="shared" ref="AO61:AO72" ca="1" si="75">OFFSET(AM$55,0,(ROW()-ROW(AO$61)))</f>
        <v>0</v>
      </c>
      <c r="AQ61" s="81" t="s">
        <v>160</v>
      </c>
      <c r="AR61" s="81" t="s">
        <v>161</v>
      </c>
      <c r="AS61" s="83">
        <f t="shared" ref="AS61:AS72" ca="1" si="76">OFFSET(AM$26,0,(ROW()-ROW(AS$61)))</f>
        <v>741.95248120300676</v>
      </c>
      <c r="AT61" s="83">
        <f t="shared" ref="AT61:AT72" ca="1" si="77">OFFSET(AM$53,0,(ROW()-ROW(AT$61)))</f>
        <v>0</v>
      </c>
      <c r="AZ61" s="81" t="s">
        <v>160</v>
      </c>
      <c r="BA61" s="81" t="s">
        <v>161</v>
      </c>
      <c r="BB61" s="83">
        <f t="shared" ref="BB61:BB72" ca="1" si="78">OFFSET(BA$28,0,(ROW()-ROW(BB$61)))</f>
        <v>687.5</v>
      </c>
      <c r="BC61" s="83">
        <f t="shared" ref="BC61:BC72" ca="1" si="79">OFFSET(BA$55,0,(ROW()-ROW(BC$61)))</f>
        <v>0</v>
      </c>
      <c r="BE61" s="81" t="s">
        <v>160</v>
      </c>
      <c r="BF61" s="81" t="s">
        <v>161</v>
      </c>
      <c r="BG61" s="83">
        <f t="shared" ref="BG61:BG72" ca="1" si="80">OFFSET(BA$26,0,(ROW()-ROW(BG$61)))</f>
        <v>679.95248120300721</v>
      </c>
      <c r="BH61" s="83">
        <f t="shared" ref="BH61:BH72" ca="1" si="81">OFFSET(BA$53,0,(ROW()-ROW(BH$61)))</f>
        <v>0</v>
      </c>
      <c r="BN61" s="81" t="s">
        <v>160</v>
      </c>
      <c r="BO61" s="81" t="s">
        <v>161</v>
      </c>
      <c r="BP61" s="83">
        <f t="shared" ref="BP61:BP72" ca="1" si="82">OFFSET(BO$28,0,(ROW()-ROW(BP$61)))</f>
        <v>625.5</v>
      </c>
      <c r="BQ61" s="83">
        <f t="shared" ref="BQ61:BQ72" ca="1" si="83">OFFSET(BO$55,0,(ROW()-ROW(BQ$61)))</f>
        <v>0</v>
      </c>
      <c r="BS61" s="81" t="s">
        <v>160</v>
      </c>
      <c r="BT61" s="81" t="s">
        <v>161</v>
      </c>
      <c r="BU61" s="83">
        <f t="shared" ref="BU61:BU72" ca="1" si="84">OFFSET(BO$26,0,(ROW()-ROW(BU$61)))</f>
        <v>617.95248120300766</v>
      </c>
      <c r="BV61" s="83">
        <f t="shared" ref="BV61:BV72" ca="1" si="85">OFFSET(BO$53,0,(ROW()-ROW(BV$61)))</f>
        <v>0</v>
      </c>
      <c r="CB61" s="81" t="s">
        <v>160</v>
      </c>
      <c r="CC61" s="81" t="s">
        <v>161</v>
      </c>
      <c r="CD61" s="83">
        <f t="shared" ref="CD61:CD72" ca="1" si="86">OFFSET(CC$28,0,(ROW()-ROW(CD$61)))</f>
        <v>563.5</v>
      </c>
      <c r="CE61" s="83">
        <f t="shared" ref="CE61:CE72" ca="1" si="87">OFFSET(CC$55,0,(ROW()-ROW(CE$61)))</f>
        <v>0</v>
      </c>
      <c r="CG61" s="81" t="s">
        <v>160</v>
      </c>
      <c r="CH61" s="81" t="s">
        <v>161</v>
      </c>
      <c r="CI61" s="83">
        <f t="shared" ref="CI61:CI72" ca="1" si="88">OFFSET(CC$26,0,(ROW()-ROW(CI$61)))</f>
        <v>555.95248120300721</v>
      </c>
      <c r="CJ61" s="83">
        <f t="shared" ref="CJ61:CJ72" ca="1" si="89">OFFSET(CC$53,0,(ROW()-ROW(CJ$61)))</f>
        <v>0</v>
      </c>
      <c r="CP61" s="81" t="s">
        <v>160</v>
      </c>
      <c r="CQ61" s="81" t="s">
        <v>161</v>
      </c>
      <c r="CR61" s="83">
        <f t="shared" ref="CR61:CR72" ca="1" si="90">OFFSET(CQ$28,0,(ROW()-ROW(CR$61)))</f>
        <v>501.5</v>
      </c>
      <c r="CS61" s="83">
        <f t="shared" ref="CS61:CS72" ca="1" si="91">OFFSET(CQ$55,0,(ROW()-ROW(CS$61)))</f>
        <v>0</v>
      </c>
      <c r="CU61" s="81" t="s">
        <v>160</v>
      </c>
      <c r="CV61" s="81" t="s">
        <v>161</v>
      </c>
      <c r="CW61" s="83">
        <f t="shared" ref="CW61:CW72" ca="1" si="92">OFFSET(CQ$26,0,(ROW()-ROW(CW$61)))</f>
        <v>493.93774436090189</v>
      </c>
      <c r="CX61" s="83">
        <f t="shared" ref="CX61:CX72" ca="1" si="93">OFFSET(CQ$53,0,(ROW()-ROW(CX$61)))</f>
        <v>0</v>
      </c>
      <c r="DD61" s="81" t="s">
        <v>160</v>
      </c>
      <c r="DE61" s="81" t="s">
        <v>161</v>
      </c>
      <c r="DF61" s="83">
        <f t="shared" ref="DF61:DF72" ca="1" si="94">OFFSET(DE$28,0,(ROW()-ROW(DF$61)))</f>
        <v>439.5</v>
      </c>
      <c r="DG61" s="83">
        <f t="shared" ref="DG61:DG72" ca="1" si="95">OFFSET(DE$55,0,(ROW()-ROW(DG$61)))</f>
        <v>0</v>
      </c>
      <c r="DI61" s="81" t="s">
        <v>160</v>
      </c>
      <c r="DJ61" s="81" t="s">
        <v>161</v>
      </c>
      <c r="DK61" s="83">
        <f t="shared" ref="DK61:DK72" ca="1" si="96">OFFSET(DE$26,0,(ROW()-ROW(DK$61)))</f>
        <v>431.90721804511259</v>
      </c>
      <c r="DL61" s="83">
        <f t="shared" ref="DL61:DL72" ca="1" si="97">OFFSET(DE$53,0,(ROW()-ROW(DL$61)))</f>
        <v>0</v>
      </c>
      <c r="DR61" s="81" t="s">
        <v>160</v>
      </c>
      <c r="DS61" s="81" t="s">
        <v>161</v>
      </c>
      <c r="DT61" s="83">
        <f t="shared" ref="DT61:DT72" ca="1" si="98">OFFSET(DS$28,0,(ROW()-ROW(DT$61)))</f>
        <v>378.08000000000004</v>
      </c>
      <c r="DU61" s="83">
        <f t="shared" ref="DU61:DU72" ca="1" si="99">OFFSET(DS$55,0,(ROW()-ROW(DU$61)))</f>
        <v>0.57999999999999985</v>
      </c>
      <c r="DW61" s="81" t="s">
        <v>160</v>
      </c>
      <c r="DX61" s="81" t="s">
        <v>161</v>
      </c>
      <c r="DY61" s="83">
        <f t="shared" ref="DY61:DY72" ca="1" si="100">OFFSET(DS$26,0,(ROW()-ROW(DY$61)))</f>
        <v>370.16563909774413</v>
      </c>
      <c r="DZ61" s="83">
        <f t="shared" ref="DZ61:DZ72" ca="1" si="101">OFFSET(DS$53,0,(ROW()-ROW(DZ$61)))</f>
        <v>0.21315789473685243</v>
      </c>
      <c r="EG61" s="86"/>
      <c r="EH61" s="86"/>
      <c r="EI61" s="86"/>
      <c r="EK61" s="86"/>
      <c r="EL61" s="86"/>
      <c r="EM61" s="82"/>
      <c r="EO61" s="82"/>
      <c r="EP61" s="85"/>
      <c r="EQ61" s="84"/>
      <c r="ER61" s="84"/>
    </row>
    <row r="62" spans="1:162" x14ac:dyDescent="0.2">
      <c r="A62" s="81">
        <v>2007</v>
      </c>
      <c r="B62" s="88">
        <v>1</v>
      </c>
      <c r="C62" s="88">
        <v>-2.8741935483870971</v>
      </c>
      <c r="D62" s="87">
        <v>771.10000000000014</v>
      </c>
      <c r="E62" s="87">
        <v>0</v>
      </c>
      <c r="F62" s="87">
        <v>709.1</v>
      </c>
      <c r="G62" s="87">
        <v>0</v>
      </c>
      <c r="H62" s="133">
        <v>647.1</v>
      </c>
      <c r="I62" s="133">
        <v>0</v>
      </c>
      <c r="J62" s="87">
        <v>585.1</v>
      </c>
      <c r="K62" s="87">
        <v>0</v>
      </c>
      <c r="L62" s="87">
        <v>523.1</v>
      </c>
      <c r="M62" s="87">
        <v>0</v>
      </c>
      <c r="N62" s="87">
        <v>461.09999999999997</v>
      </c>
      <c r="O62" s="87">
        <v>0</v>
      </c>
      <c r="P62" s="87">
        <v>399.09999999999997</v>
      </c>
      <c r="Q62" s="87">
        <v>0</v>
      </c>
      <c r="R62" s="87">
        <v>338.59999999999997</v>
      </c>
      <c r="S62" s="87">
        <v>1.5</v>
      </c>
      <c r="T62" s="87"/>
      <c r="U62" s="87"/>
      <c r="V62" s="87"/>
      <c r="X62" s="81" t="s">
        <v>160</v>
      </c>
      <c r="Y62" s="81" t="s">
        <v>162</v>
      </c>
      <c r="Z62" s="83">
        <f t="shared" ca="1" si="72"/>
        <v>743.01</v>
      </c>
      <c r="AA62" s="83">
        <f t="shared" ca="1" si="73"/>
        <v>0</v>
      </c>
      <c r="AC62" s="81" t="s">
        <v>160</v>
      </c>
      <c r="AD62" s="81" t="s">
        <v>162</v>
      </c>
      <c r="AE62" s="83">
        <f t="shared" ref="AE62:AE72" ca="1" si="102">OFFSET($Y$26,0,(ROW()-ROW(AE$61)))</f>
        <v>739.71097744360918</v>
      </c>
      <c r="AF62" s="83">
        <f t="shared" ref="AF62:AF72" ca="1" si="103">OFFSET($Y$53,0,(ROW()-ROW(AF$61)))</f>
        <v>0</v>
      </c>
      <c r="AL62" s="81" t="s">
        <v>160</v>
      </c>
      <c r="AM62" s="81" t="s">
        <v>162</v>
      </c>
      <c r="AN62" s="83">
        <f t="shared" ca="1" si="74"/>
        <v>686.41</v>
      </c>
      <c r="AO62" s="83">
        <f t="shared" ca="1" si="75"/>
        <v>0</v>
      </c>
      <c r="AQ62" s="81" t="s">
        <v>160</v>
      </c>
      <c r="AR62" s="81" t="s">
        <v>162</v>
      </c>
      <c r="AS62" s="83">
        <f t="shared" ca="1" si="76"/>
        <v>683.12451127819554</v>
      </c>
      <c r="AT62" s="83">
        <f t="shared" ca="1" si="77"/>
        <v>0</v>
      </c>
      <c r="AZ62" s="81" t="s">
        <v>160</v>
      </c>
      <c r="BA62" s="81" t="s">
        <v>162</v>
      </c>
      <c r="BB62" s="83">
        <f t="shared" ca="1" si="78"/>
        <v>629.80999999999995</v>
      </c>
      <c r="BC62" s="83">
        <f t="shared" ca="1" si="79"/>
        <v>0</v>
      </c>
      <c r="BE62" s="81" t="s">
        <v>160</v>
      </c>
      <c r="BF62" s="81" t="s">
        <v>162</v>
      </c>
      <c r="BG62" s="83">
        <f t="shared" ca="1" si="80"/>
        <v>626.53804511278213</v>
      </c>
      <c r="BH62" s="83">
        <f t="shared" ca="1" si="81"/>
        <v>0</v>
      </c>
      <c r="BN62" s="81" t="s">
        <v>160</v>
      </c>
      <c r="BO62" s="81" t="s">
        <v>162</v>
      </c>
      <c r="BP62" s="83">
        <f t="shared" ca="1" si="82"/>
        <v>573.20999999999992</v>
      </c>
      <c r="BQ62" s="83">
        <f t="shared" ca="1" si="83"/>
        <v>0</v>
      </c>
      <c r="BS62" s="81" t="s">
        <v>160</v>
      </c>
      <c r="BT62" s="81" t="s">
        <v>162</v>
      </c>
      <c r="BU62" s="83">
        <f t="shared" ca="1" si="84"/>
        <v>569.95157894736826</v>
      </c>
      <c r="BV62" s="83">
        <f t="shared" ca="1" si="85"/>
        <v>0</v>
      </c>
      <c r="CB62" s="81" t="s">
        <v>160</v>
      </c>
      <c r="CC62" s="81" t="s">
        <v>162</v>
      </c>
      <c r="CD62" s="83">
        <f t="shared" ca="1" si="86"/>
        <v>516.6099999999999</v>
      </c>
      <c r="CE62" s="83">
        <f t="shared" ca="1" si="87"/>
        <v>0</v>
      </c>
      <c r="CG62" s="81" t="s">
        <v>160</v>
      </c>
      <c r="CH62" s="81" t="s">
        <v>162</v>
      </c>
      <c r="CI62" s="83">
        <f t="shared" ca="1" si="88"/>
        <v>513.36511278195462</v>
      </c>
      <c r="CJ62" s="83">
        <f t="shared" ca="1" si="89"/>
        <v>0</v>
      </c>
      <c r="CP62" s="81" t="s">
        <v>160</v>
      </c>
      <c r="CQ62" s="81" t="s">
        <v>162</v>
      </c>
      <c r="CR62" s="83">
        <f t="shared" ca="1" si="90"/>
        <v>460.00999999999993</v>
      </c>
      <c r="CS62" s="83">
        <f t="shared" ca="1" si="91"/>
        <v>0</v>
      </c>
      <c r="CU62" s="81" t="s">
        <v>160</v>
      </c>
      <c r="CV62" s="81" t="s">
        <v>162</v>
      </c>
      <c r="CW62" s="83">
        <f t="shared" ca="1" si="92"/>
        <v>456.77864661654121</v>
      </c>
      <c r="CX62" s="83">
        <f t="shared" ca="1" si="93"/>
        <v>0</v>
      </c>
      <c r="DD62" s="81" t="s">
        <v>160</v>
      </c>
      <c r="DE62" s="81" t="s">
        <v>162</v>
      </c>
      <c r="DF62" s="83">
        <f t="shared" ca="1" si="94"/>
        <v>403.5</v>
      </c>
      <c r="DG62" s="83">
        <f t="shared" ca="1" si="95"/>
        <v>9.0000000000000038E-2</v>
      </c>
      <c r="DI62" s="81" t="s">
        <v>160</v>
      </c>
      <c r="DJ62" s="81" t="s">
        <v>162</v>
      </c>
      <c r="DK62" s="83">
        <f t="shared" ca="1" si="96"/>
        <v>400.32278195488743</v>
      </c>
      <c r="DL62" s="83">
        <f t="shared" ca="1" si="97"/>
        <v>0.13060150375939727</v>
      </c>
      <c r="DR62" s="81" t="s">
        <v>160</v>
      </c>
      <c r="DS62" s="81" t="s">
        <v>162</v>
      </c>
      <c r="DT62" s="83">
        <f t="shared" ca="1" si="98"/>
        <v>347.5800000000001</v>
      </c>
      <c r="DU62" s="83">
        <f t="shared" ca="1" si="99"/>
        <v>0.76999999999999991</v>
      </c>
      <c r="DW62" s="81" t="s">
        <v>160</v>
      </c>
      <c r="DX62" s="81" t="s">
        <v>162</v>
      </c>
      <c r="DY62" s="83">
        <f t="shared" ca="1" si="100"/>
        <v>344.6700000000003</v>
      </c>
      <c r="DZ62" s="83">
        <f t="shared" ca="1" si="101"/>
        <v>1.0642857142857025</v>
      </c>
      <c r="EG62" s="86"/>
      <c r="EH62" s="86"/>
      <c r="EI62" s="86"/>
      <c r="EK62" s="86"/>
      <c r="EL62" s="86"/>
      <c r="EM62" s="82"/>
      <c r="EO62" s="82"/>
      <c r="EP62" s="85"/>
      <c r="EQ62" s="84"/>
      <c r="ER62" s="84"/>
    </row>
    <row r="63" spans="1:162" x14ac:dyDescent="0.2">
      <c r="A63" s="81">
        <v>2007</v>
      </c>
      <c r="B63" s="88">
        <v>2</v>
      </c>
      <c r="C63" s="88">
        <v>-8.4321428571428587</v>
      </c>
      <c r="D63" s="87">
        <v>852.1</v>
      </c>
      <c r="E63" s="87">
        <v>0</v>
      </c>
      <c r="F63" s="87">
        <v>796.1</v>
      </c>
      <c r="G63" s="87">
        <v>0</v>
      </c>
      <c r="H63" s="133">
        <v>740.1</v>
      </c>
      <c r="I63" s="133">
        <v>0</v>
      </c>
      <c r="J63" s="87">
        <v>684.1</v>
      </c>
      <c r="K63" s="87">
        <v>0</v>
      </c>
      <c r="L63" s="87">
        <v>628.09999999999991</v>
      </c>
      <c r="M63" s="87">
        <v>0</v>
      </c>
      <c r="N63" s="87">
        <v>572.1</v>
      </c>
      <c r="O63" s="87">
        <v>0</v>
      </c>
      <c r="P63" s="87">
        <v>516.1</v>
      </c>
      <c r="Q63" s="87">
        <v>0</v>
      </c>
      <c r="R63" s="87">
        <v>460.1</v>
      </c>
      <c r="S63" s="87">
        <v>0</v>
      </c>
      <c r="T63" s="87"/>
      <c r="U63" s="87"/>
      <c r="V63" s="87"/>
      <c r="X63" s="81" t="s">
        <v>160</v>
      </c>
      <c r="Y63" s="81" t="s">
        <v>163</v>
      </c>
      <c r="Z63" s="83">
        <f t="shared" ca="1" si="72"/>
        <v>656.74999999999989</v>
      </c>
      <c r="AA63" s="83">
        <f t="shared" ca="1" si="73"/>
        <v>0</v>
      </c>
      <c r="AC63" s="81" t="s">
        <v>160</v>
      </c>
      <c r="AD63" s="81" t="s">
        <v>163</v>
      </c>
      <c r="AE63" s="83">
        <f t="shared" ca="1" si="102"/>
        <v>645.95466165413518</v>
      </c>
      <c r="AF63" s="83">
        <f t="shared" ca="1" si="103"/>
        <v>0</v>
      </c>
      <c r="AL63" s="81" t="s">
        <v>160</v>
      </c>
      <c r="AM63" s="81" t="s">
        <v>163</v>
      </c>
      <c r="AN63" s="83">
        <f t="shared" ca="1" si="74"/>
        <v>594.75</v>
      </c>
      <c r="AO63" s="83">
        <f t="shared" ca="1" si="75"/>
        <v>0</v>
      </c>
      <c r="AQ63" s="81" t="s">
        <v>160</v>
      </c>
      <c r="AR63" s="81" t="s">
        <v>163</v>
      </c>
      <c r="AS63" s="83">
        <f t="shared" ca="1" si="76"/>
        <v>583.95466165413563</v>
      </c>
      <c r="AT63" s="83">
        <f t="shared" ca="1" si="77"/>
        <v>0</v>
      </c>
      <c r="AZ63" s="81" t="s">
        <v>160</v>
      </c>
      <c r="BA63" s="81" t="s">
        <v>163</v>
      </c>
      <c r="BB63" s="83">
        <f t="shared" ca="1" si="78"/>
        <v>532.77</v>
      </c>
      <c r="BC63" s="83">
        <f t="shared" ca="1" si="79"/>
        <v>1.9999999999999928E-2</v>
      </c>
      <c r="BE63" s="81" t="s">
        <v>160</v>
      </c>
      <c r="BF63" s="81" t="s">
        <v>163</v>
      </c>
      <c r="BG63" s="83">
        <f t="shared" ca="1" si="80"/>
        <v>521.96639097744355</v>
      </c>
      <c r="BH63" s="83">
        <f t="shared" ca="1" si="81"/>
        <v>1.1729323308270645E-2</v>
      </c>
      <c r="BN63" s="81" t="s">
        <v>160</v>
      </c>
      <c r="BO63" s="81" t="s">
        <v>163</v>
      </c>
      <c r="BP63" s="83">
        <f t="shared" ca="1" si="82"/>
        <v>471.05</v>
      </c>
      <c r="BQ63" s="83">
        <f t="shared" ca="1" si="83"/>
        <v>0.3</v>
      </c>
      <c r="BS63" s="81" t="s">
        <v>160</v>
      </c>
      <c r="BT63" s="81" t="s">
        <v>163</v>
      </c>
      <c r="BU63" s="83">
        <f t="shared" ca="1" si="84"/>
        <v>460.13060150375986</v>
      </c>
      <c r="BV63" s="83">
        <f t="shared" ca="1" si="85"/>
        <v>0.17593984962406051</v>
      </c>
      <c r="CB63" s="81" t="s">
        <v>160</v>
      </c>
      <c r="CC63" s="81" t="s">
        <v>163</v>
      </c>
      <c r="CD63" s="83">
        <f t="shared" ca="1" si="86"/>
        <v>409.90999999999997</v>
      </c>
      <c r="CE63" s="83">
        <f t="shared" ca="1" si="87"/>
        <v>1.1599999999999999</v>
      </c>
      <c r="CG63" s="81" t="s">
        <v>160</v>
      </c>
      <c r="CH63" s="81" t="s">
        <v>163</v>
      </c>
      <c r="CI63" s="83">
        <f t="shared" ca="1" si="88"/>
        <v>398.7127819548873</v>
      </c>
      <c r="CJ63" s="83">
        <f t="shared" ca="1" si="89"/>
        <v>0.75812030075187664</v>
      </c>
      <c r="CP63" s="81" t="s">
        <v>160</v>
      </c>
      <c r="CQ63" s="81" t="s">
        <v>163</v>
      </c>
      <c r="CR63" s="83">
        <f t="shared" ca="1" si="90"/>
        <v>349.56000000000006</v>
      </c>
      <c r="CS63" s="83">
        <f t="shared" ca="1" si="91"/>
        <v>2.8099999999999996</v>
      </c>
      <c r="CU63" s="81" t="s">
        <v>160</v>
      </c>
      <c r="CV63" s="81" t="s">
        <v>163</v>
      </c>
      <c r="CW63" s="83">
        <f t="shared" ca="1" si="92"/>
        <v>338.086917293233</v>
      </c>
      <c r="CX63" s="83">
        <f t="shared" ca="1" si="93"/>
        <v>2.1322556390977496</v>
      </c>
      <c r="DD63" s="81" t="s">
        <v>160</v>
      </c>
      <c r="DE63" s="81" t="s">
        <v>163</v>
      </c>
      <c r="DF63" s="83">
        <f t="shared" ca="1" si="94"/>
        <v>291.06</v>
      </c>
      <c r="DG63" s="83">
        <f t="shared" ca="1" si="95"/>
        <v>6.3100000000000005</v>
      </c>
      <c r="DI63" s="81" t="s">
        <v>160</v>
      </c>
      <c r="DJ63" s="81" t="s">
        <v>163</v>
      </c>
      <c r="DK63" s="83">
        <f t="shared" ca="1" si="96"/>
        <v>279.42180451127797</v>
      </c>
      <c r="DL63" s="83">
        <f t="shared" ca="1" si="97"/>
        <v>5.4671428571428464</v>
      </c>
      <c r="DR63" s="81" t="s">
        <v>160</v>
      </c>
      <c r="DS63" s="81" t="s">
        <v>163</v>
      </c>
      <c r="DT63" s="83">
        <f t="shared" ca="1" si="98"/>
        <v>234</v>
      </c>
      <c r="DU63" s="83">
        <f t="shared" ca="1" si="99"/>
        <v>11.25</v>
      </c>
      <c r="DW63" s="81" t="s">
        <v>160</v>
      </c>
      <c r="DX63" s="81" t="s">
        <v>163</v>
      </c>
      <c r="DY63" s="83">
        <f t="shared" ca="1" si="100"/>
        <v>221.50932330827072</v>
      </c>
      <c r="DZ63" s="83">
        <f t="shared" ca="1" si="101"/>
        <v>9.5546616541353444</v>
      </c>
      <c r="EG63" s="86"/>
      <c r="EH63" s="86"/>
      <c r="EI63" s="86"/>
      <c r="EK63" s="86"/>
      <c r="EL63" s="86"/>
      <c r="EM63" s="82"/>
      <c r="EO63" s="82"/>
      <c r="EP63" s="85"/>
      <c r="EQ63" s="84"/>
      <c r="ER63" s="84"/>
    </row>
    <row r="64" spans="1:162" x14ac:dyDescent="0.2">
      <c r="A64" s="81">
        <v>2007</v>
      </c>
      <c r="B64" s="88">
        <v>3</v>
      </c>
      <c r="C64" s="88">
        <v>0.36451612903225866</v>
      </c>
      <c r="D64" s="87">
        <v>670.69999999999982</v>
      </c>
      <c r="E64" s="87">
        <v>0</v>
      </c>
      <c r="F64" s="87">
        <v>608.69999999999993</v>
      </c>
      <c r="G64" s="87">
        <v>0</v>
      </c>
      <c r="H64" s="133">
        <v>546.69999999999993</v>
      </c>
      <c r="I64" s="133">
        <v>0</v>
      </c>
      <c r="J64" s="87">
        <v>484.69999999999987</v>
      </c>
      <c r="K64" s="87">
        <v>0</v>
      </c>
      <c r="L64" s="87">
        <v>422.69999999999987</v>
      </c>
      <c r="M64" s="87">
        <v>0</v>
      </c>
      <c r="N64" s="87">
        <v>361.39999999999992</v>
      </c>
      <c r="O64" s="87">
        <v>0.69999999999999929</v>
      </c>
      <c r="P64" s="87">
        <v>302.89999999999992</v>
      </c>
      <c r="Q64" s="87">
        <v>4.1999999999999993</v>
      </c>
      <c r="R64" s="87">
        <v>247.90000000000009</v>
      </c>
      <c r="S64" s="87">
        <v>11.2</v>
      </c>
      <c r="T64" s="87"/>
      <c r="U64" s="87"/>
      <c r="V64" s="87"/>
      <c r="X64" s="81" t="s">
        <v>160</v>
      </c>
      <c r="Y64" s="81" t="s">
        <v>164</v>
      </c>
      <c r="Z64" s="83">
        <f t="shared" ca="1" si="72"/>
        <v>465.19000000000005</v>
      </c>
      <c r="AA64" s="83">
        <f t="shared" ca="1" si="73"/>
        <v>0</v>
      </c>
      <c r="AC64" s="81" t="s">
        <v>160</v>
      </c>
      <c r="AD64" s="81" t="s">
        <v>164</v>
      </c>
      <c r="AE64" s="83">
        <f t="shared" ca="1" si="102"/>
        <v>468.55142857142891</v>
      </c>
      <c r="AF64" s="83">
        <f t="shared" ca="1" si="103"/>
        <v>0</v>
      </c>
      <c r="AL64" s="81" t="s">
        <v>160</v>
      </c>
      <c r="AM64" s="81" t="s">
        <v>164</v>
      </c>
      <c r="AN64" s="83">
        <f t="shared" ca="1" si="74"/>
        <v>405.19000000000005</v>
      </c>
      <c r="AO64" s="83">
        <f t="shared" ca="1" si="75"/>
        <v>0</v>
      </c>
      <c r="AQ64" s="81" t="s">
        <v>160</v>
      </c>
      <c r="AR64" s="81" t="s">
        <v>164</v>
      </c>
      <c r="AS64" s="83">
        <f t="shared" ca="1" si="76"/>
        <v>408.27263157894731</v>
      </c>
      <c r="AT64" s="83">
        <f t="shared" ca="1" si="77"/>
        <v>0</v>
      </c>
      <c r="AZ64" s="81" t="s">
        <v>160</v>
      </c>
      <c r="BA64" s="81" t="s">
        <v>164</v>
      </c>
      <c r="BB64" s="83">
        <f t="shared" ca="1" si="78"/>
        <v>345.19</v>
      </c>
      <c r="BC64" s="83">
        <f t="shared" ca="1" si="79"/>
        <v>0</v>
      </c>
      <c r="BE64" s="81" t="s">
        <v>160</v>
      </c>
      <c r="BF64" s="81" t="s">
        <v>164</v>
      </c>
      <c r="BG64" s="83">
        <f t="shared" ca="1" si="80"/>
        <v>347.42390977443574</v>
      </c>
      <c r="BH64" s="83">
        <f t="shared" ca="1" si="81"/>
        <v>0</v>
      </c>
      <c r="BN64" s="81" t="s">
        <v>160</v>
      </c>
      <c r="BO64" s="81" t="s">
        <v>164</v>
      </c>
      <c r="BP64" s="83">
        <f t="shared" ca="1" si="82"/>
        <v>285.58000000000004</v>
      </c>
      <c r="BQ64" s="83">
        <f t="shared" ca="1" si="83"/>
        <v>0.38999999999999985</v>
      </c>
      <c r="BS64" s="81" t="s">
        <v>160</v>
      </c>
      <c r="BT64" s="81" t="s">
        <v>164</v>
      </c>
      <c r="BU64" s="83">
        <f t="shared" ca="1" si="84"/>
        <v>286.53165413533861</v>
      </c>
      <c r="BV64" s="83">
        <f t="shared" ca="1" si="85"/>
        <v>0</v>
      </c>
      <c r="CB64" s="81" t="s">
        <v>160</v>
      </c>
      <c r="CC64" s="81" t="s">
        <v>164</v>
      </c>
      <c r="CD64" s="83">
        <f t="shared" ca="1" si="86"/>
        <v>227.5</v>
      </c>
      <c r="CE64" s="83">
        <f t="shared" ca="1" si="87"/>
        <v>2.3099999999999996</v>
      </c>
      <c r="CG64" s="81" t="s">
        <v>160</v>
      </c>
      <c r="CH64" s="81" t="s">
        <v>164</v>
      </c>
      <c r="CI64" s="83">
        <f t="shared" ca="1" si="88"/>
        <v>226.94819548872192</v>
      </c>
      <c r="CJ64" s="83">
        <f t="shared" ca="1" si="89"/>
        <v>0</v>
      </c>
      <c r="CP64" s="81" t="s">
        <v>160</v>
      </c>
      <c r="CQ64" s="81" t="s">
        <v>164</v>
      </c>
      <c r="CR64" s="83">
        <f t="shared" ca="1" si="90"/>
        <v>171.77</v>
      </c>
      <c r="CS64" s="83">
        <f t="shared" ca="1" si="91"/>
        <v>6.58</v>
      </c>
      <c r="CU64" s="81" t="s">
        <v>160</v>
      </c>
      <c r="CV64" s="81" t="s">
        <v>164</v>
      </c>
      <c r="CW64" s="83">
        <f t="shared" ca="1" si="92"/>
        <v>169.45729323308274</v>
      </c>
      <c r="CX64" s="83">
        <f t="shared" ca="1" si="93"/>
        <v>0.86015037593983834</v>
      </c>
      <c r="DD64" s="81" t="s">
        <v>160</v>
      </c>
      <c r="DE64" s="81" t="s">
        <v>164</v>
      </c>
      <c r="DF64" s="83">
        <f t="shared" ca="1" si="94"/>
        <v>120.71999999999998</v>
      </c>
      <c r="DG64" s="83">
        <f t="shared" ca="1" si="95"/>
        <v>15.529999999999998</v>
      </c>
      <c r="DI64" s="81" t="s">
        <v>160</v>
      </c>
      <c r="DJ64" s="81" t="s">
        <v>164</v>
      </c>
      <c r="DK64" s="83">
        <f t="shared" ca="1" si="96"/>
        <v>116.88744360902251</v>
      </c>
      <c r="DL64" s="83">
        <f t="shared" ca="1" si="97"/>
        <v>8.2903007518798404</v>
      </c>
      <c r="DR64" s="81" t="s">
        <v>160</v>
      </c>
      <c r="DS64" s="81" t="s">
        <v>164</v>
      </c>
      <c r="DT64" s="83">
        <f t="shared" ca="1" si="98"/>
        <v>77.349999999999994</v>
      </c>
      <c r="DU64" s="83">
        <f t="shared" ca="1" si="99"/>
        <v>32.160000000000004</v>
      </c>
      <c r="DW64" s="81" t="s">
        <v>160</v>
      </c>
      <c r="DX64" s="81" t="s">
        <v>164</v>
      </c>
      <c r="DY64" s="83">
        <f t="shared" ca="1" si="100"/>
        <v>73.710751879699217</v>
      </c>
      <c r="DZ64" s="83">
        <f t="shared" ca="1" si="101"/>
        <v>25.11360902255592</v>
      </c>
      <c r="EG64" s="86"/>
      <c r="EH64" s="86"/>
      <c r="EI64" s="86"/>
      <c r="EK64" s="86"/>
      <c r="EL64" s="86"/>
      <c r="EM64" s="82"/>
      <c r="EO64" s="82"/>
      <c r="EP64" s="85"/>
      <c r="EQ64" s="84"/>
      <c r="ER64" s="84"/>
    </row>
    <row r="65" spans="1:148" x14ac:dyDescent="0.2">
      <c r="A65" s="81">
        <v>2007</v>
      </c>
      <c r="B65" s="88">
        <v>4</v>
      </c>
      <c r="C65" s="88">
        <v>6.1199999999999992</v>
      </c>
      <c r="D65" s="87">
        <v>476.39999999999992</v>
      </c>
      <c r="E65" s="87">
        <v>0</v>
      </c>
      <c r="F65" s="87">
        <v>416.39999999999992</v>
      </c>
      <c r="G65" s="87">
        <v>0</v>
      </c>
      <c r="H65" s="133">
        <v>356.39999999999992</v>
      </c>
      <c r="I65" s="133">
        <v>0</v>
      </c>
      <c r="J65" s="87">
        <v>297.89999999999998</v>
      </c>
      <c r="K65" s="87">
        <v>1.5</v>
      </c>
      <c r="L65" s="87">
        <v>241.90000000000003</v>
      </c>
      <c r="M65" s="87">
        <v>5.5</v>
      </c>
      <c r="N65" s="87">
        <v>191.50000000000006</v>
      </c>
      <c r="O65" s="87">
        <v>15.100000000000001</v>
      </c>
      <c r="P65" s="87">
        <v>145.80000000000004</v>
      </c>
      <c r="Q65" s="87">
        <v>29.4</v>
      </c>
      <c r="R65" s="87">
        <v>105.10000000000002</v>
      </c>
      <c r="S65" s="87">
        <v>48.699999999999996</v>
      </c>
      <c r="T65" s="87"/>
      <c r="U65" s="87"/>
      <c r="V65" s="87"/>
      <c r="X65" s="81" t="s">
        <v>160</v>
      </c>
      <c r="Y65" s="81" t="s">
        <v>41</v>
      </c>
      <c r="Z65" s="83">
        <f t="shared" ca="1" si="72"/>
        <v>241.42999999999998</v>
      </c>
      <c r="AA65" s="83">
        <f t="shared" ca="1" si="73"/>
        <v>5.0199999999999996</v>
      </c>
      <c r="AC65" s="81" t="s">
        <v>160</v>
      </c>
      <c r="AD65" s="81" t="s">
        <v>41</v>
      </c>
      <c r="AE65" s="83">
        <f t="shared" ca="1" si="102"/>
        <v>231.19669172932299</v>
      </c>
      <c r="AF65" s="83">
        <f t="shared" ca="1" si="103"/>
        <v>6.3690225563909166</v>
      </c>
      <c r="AL65" s="81" t="s">
        <v>160</v>
      </c>
      <c r="AM65" s="81" t="s">
        <v>41</v>
      </c>
      <c r="AN65" s="83">
        <f t="shared" ca="1" si="74"/>
        <v>186.87000000000003</v>
      </c>
      <c r="AO65" s="83">
        <f t="shared" ca="1" si="75"/>
        <v>12.459999999999999</v>
      </c>
      <c r="AQ65" s="81" t="s">
        <v>160</v>
      </c>
      <c r="AR65" s="81" t="s">
        <v>41</v>
      </c>
      <c r="AS65" s="83">
        <f t="shared" ca="1" si="76"/>
        <v>178.82150375939818</v>
      </c>
      <c r="AT65" s="83">
        <f t="shared" ca="1" si="77"/>
        <v>15.993834586466164</v>
      </c>
      <c r="AZ65" s="81" t="s">
        <v>160</v>
      </c>
      <c r="BA65" s="81" t="s">
        <v>41</v>
      </c>
      <c r="BB65" s="83">
        <f t="shared" ca="1" si="78"/>
        <v>137.13</v>
      </c>
      <c r="BC65" s="83">
        <f t="shared" ca="1" si="79"/>
        <v>24.720000000000002</v>
      </c>
      <c r="BE65" s="81" t="s">
        <v>160</v>
      </c>
      <c r="BF65" s="81" t="s">
        <v>41</v>
      </c>
      <c r="BG65" s="83">
        <f t="shared" ca="1" si="80"/>
        <v>131.66406015037592</v>
      </c>
      <c r="BH65" s="83">
        <f t="shared" ca="1" si="81"/>
        <v>30.836390977443898</v>
      </c>
      <c r="BN65" s="81" t="s">
        <v>160</v>
      </c>
      <c r="BO65" s="81" t="s">
        <v>41</v>
      </c>
      <c r="BP65" s="83">
        <f t="shared" ca="1" si="82"/>
        <v>93.759999999999991</v>
      </c>
      <c r="BQ65" s="83">
        <f t="shared" ca="1" si="83"/>
        <v>43.35</v>
      </c>
      <c r="BS65" s="81" t="s">
        <v>160</v>
      </c>
      <c r="BT65" s="81" t="s">
        <v>41</v>
      </c>
      <c r="BU65" s="83">
        <f t="shared" ca="1" si="84"/>
        <v>91.11721804511285</v>
      </c>
      <c r="BV65" s="83">
        <f t="shared" ca="1" si="85"/>
        <v>52.289548872180603</v>
      </c>
      <c r="CB65" s="81" t="s">
        <v>160</v>
      </c>
      <c r="CC65" s="81" t="s">
        <v>41</v>
      </c>
      <c r="CD65" s="83">
        <f t="shared" ca="1" si="86"/>
        <v>59.269999999999982</v>
      </c>
      <c r="CE65" s="83">
        <f t="shared" ca="1" si="87"/>
        <v>70.86</v>
      </c>
      <c r="CG65" s="81" t="s">
        <v>160</v>
      </c>
      <c r="CH65" s="81" t="s">
        <v>41</v>
      </c>
      <c r="CI65" s="83">
        <f t="shared" ca="1" si="88"/>
        <v>59.265037593984971</v>
      </c>
      <c r="CJ65" s="83">
        <f t="shared" ca="1" si="89"/>
        <v>82.437368421053179</v>
      </c>
      <c r="CP65" s="81" t="s">
        <v>160</v>
      </c>
      <c r="CQ65" s="81" t="s">
        <v>41</v>
      </c>
      <c r="CR65" s="83">
        <f t="shared" ca="1" si="90"/>
        <v>33.660000000000004</v>
      </c>
      <c r="CS65" s="83">
        <f t="shared" ca="1" si="91"/>
        <v>107.25</v>
      </c>
      <c r="CU65" s="81" t="s">
        <v>160</v>
      </c>
      <c r="CV65" s="81" t="s">
        <v>41</v>
      </c>
      <c r="CW65" s="83">
        <f t="shared" ca="1" si="92"/>
        <v>35.068045112781967</v>
      </c>
      <c r="CX65" s="83">
        <f t="shared" ca="1" si="93"/>
        <v>120.24037593985031</v>
      </c>
      <c r="DD65" s="81" t="s">
        <v>160</v>
      </c>
      <c r="DE65" s="81" t="s">
        <v>41</v>
      </c>
      <c r="DF65" s="83">
        <f t="shared" ca="1" si="94"/>
        <v>16.330000000000002</v>
      </c>
      <c r="DG65" s="83">
        <f t="shared" ca="1" si="95"/>
        <v>151.91999999999996</v>
      </c>
      <c r="DI65" s="81" t="s">
        <v>160</v>
      </c>
      <c r="DJ65" s="81" t="s">
        <v>41</v>
      </c>
      <c r="DK65" s="83">
        <f t="shared" ca="1" si="96"/>
        <v>18.215864661654166</v>
      </c>
      <c r="DL65" s="83">
        <f t="shared" ca="1" si="97"/>
        <v>165.38819548872198</v>
      </c>
      <c r="DR65" s="81" t="s">
        <v>160</v>
      </c>
      <c r="DS65" s="81" t="s">
        <v>41</v>
      </c>
      <c r="DT65" s="83">
        <f t="shared" ca="1" si="98"/>
        <v>6.74</v>
      </c>
      <c r="DU65" s="83">
        <f t="shared" ca="1" si="99"/>
        <v>204.32999999999998</v>
      </c>
      <c r="DW65" s="81" t="s">
        <v>160</v>
      </c>
      <c r="DX65" s="81" t="s">
        <v>41</v>
      </c>
      <c r="DY65" s="83">
        <f t="shared" ca="1" si="100"/>
        <v>8.4793984962406057</v>
      </c>
      <c r="DZ65" s="83">
        <f t="shared" ca="1" si="101"/>
        <v>217.65172932330825</v>
      </c>
      <c r="EG65" s="86"/>
      <c r="EH65" s="86"/>
      <c r="EI65" s="86"/>
      <c r="EK65" s="86"/>
      <c r="EL65" s="86"/>
      <c r="EM65" s="82"/>
      <c r="EO65" s="82"/>
      <c r="EP65" s="85"/>
      <c r="EQ65" s="84"/>
      <c r="ER65" s="84"/>
    </row>
    <row r="66" spans="1:148" x14ac:dyDescent="0.2">
      <c r="A66" s="81">
        <v>2007</v>
      </c>
      <c r="B66" s="88">
        <v>5</v>
      </c>
      <c r="C66" s="88">
        <v>14.322580645161292</v>
      </c>
      <c r="D66" s="87">
        <v>239.69999999999993</v>
      </c>
      <c r="E66" s="87">
        <v>1.6999999999999993</v>
      </c>
      <c r="F66" s="87">
        <v>185.09999999999994</v>
      </c>
      <c r="G66" s="87">
        <v>9.0999999999999979</v>
      </c>
      <c r="H66" s="133">
        <v>136.39999999999998</v>
      </c>
      <c r="I66" s="133">
        <v>22.4</v>
      </c>
      <c r="J66" s="87">
        <v>91.500000000000014</v>
      </c>
      <c r="K66" s="87">
        <v>39.5</v>
      </c>
      <c r="L66" s="87">
        <v>57.099999999999994</v>
      </c>
      <c r="M66" s="87">
        <v>67.099999999999994</v>
      </c>
      <c r="N66" s="87">
        <v>28.2</v>
      </c>
      <c r="O66" s="87">
        <v>100.19999999999997</v>
      </c>
      <c r="P66" s="87">
        <v>5.9</v>
      </c>
      <c r="Q66" s="87">
        <v>139.89999999999998</v>
      </c>
      <c r="R66" s="87">
        <v>0</v>
      </c>
      <c r="S66" s="87">
        <v>196.00000000000003</v>
      </c>
      <c r="T66" s="87"/>
      <c r="U66" s="87"/>
      <c r="V66" s="87"/>
      <c r="X66" s="81" t="s">
        <v>160</v>
      </c>
      <c r="Y66" s="81" t="s">
        <v>128</v>
      </c>
      <c r="Z66" s="83">
        <f t="shared" ca="1" si="72"/>
        <v>88.86999999999999</v>
      </c>
      <c r="AA66" s="83">
        <f t="shared" ca="1" si="73"/>
        <v>18.759999999999998</v>
      </c>
      <c r="AC66" s="81" t="s">
        <v>160</v>
      </c>
      <c r="AD66" s="81" t="s">
        <v>128</v>
      </c>
      <c r="AE66" s="83">
        <f t="shared" ca="1" si="102"/>
        <v>79.967518796992863</v>
      </c>
      <c r="AF66" s="83">
        <f t="shared" ca="1" si="103"/>
        <v>17.297819548872155</v>
      </c>
      <c r="AL66" s="81" t="s">
        <v>160</v>
      </c>
      <c r="AM66" s="81" t="s">
        <v>128</v>
      </c>
      <c r="AN66" s="83">
        <f t="shared" ca="1" si="74"/>
        <v>49.81</v>
      </c>
      <c r="AO66" s="83">
        <f t="shared" ca="1" si="75"/>
        <v>39.700000000000003</v>
      </c>
      <c r="AQ66" s="81" t="s">
        <v>160</v>
      </c>
      <c r="AR66" s="81" t="s">
        <v>128</v>
      </c>
      <c r="AS66" s="83">
        <f t="shared" ca="1" si="76"/>
        <v>41.98300751879674</v>
      </c>
      <c r="AT66" s="83">
        <f t="shared" ca="1" si="77"/>
        <v>39.313308270676686</v>
      </c>
      <c r="AZ66" s="81" t="s">
        <v>160</v>
      </c>
      <c r="BA66" s="81" t="s">
        <v>128</v>
      </c>
      <c r="BB66" s="83">
        <f t="shared" ca="1" si="78"/>
        <v>23.610000000000003</v>
      </c>
      <c r="BC66" s="83">
        <f t="shared" ca="1" si="79"/>
        <v>73.500000000000014</v>
      </c>
      <c r="BE66" s="81" t="s">
        <v>160</v>
      </c>
      <c r="BF66" s="81" t="s">
        <v>128</v>
      </c>
      <c r="BG66" s="83">
        <f t="shared" ca="1" si="80"/>
        <v>18.495112781954958</v>
      </c>
      <c r="BH66" s="83">
        <f t="shared" ca="1" si="81"/>
        <v>75.825413533834649</v>
      </c>
      <c r="BN66" s="81" t="s">
        <v>160</v>
      </c>
      <c r="BO66" s="81" t="s">
        <v>128</v>
      </c>
      <c r="BP66" s="83">
        <f t="shared" ca="1" si="82"/>
        <v>8.7399999999999984</v>
      </c>
      <c r="BQ66" s="83">
        <f t="shared" ca="1" si="83"/>
        <v>118.63000000000002</v>
      </c>
      <c r="BS66" s="81" t="s">
        <v>160</v>
      </c>
      <c r="BT66" s="81" t="s">
        <v>128</v>
      </c>
      <c r="BU66" s="83">
        <f t="shared" ca="1" si="84"/>
        <v>6.265338345864734</v>
      </c>
      <c r="BV66" s="83">
        <f t="shared" ca="1" si="85"/>
        <v>123.5956390977442</v>
      </c>
      <c r="CB66" s="81" t="s">
        <v>160</v>
      </c>
      <c r="CC66" s="81" t="s">
        <v>128</v>
      </c>
      <c r="CD66" s="83">
        <f t="shared" ca="1" si="86"/>
        <v>1.85</v>
      </c>
      <c r="CE66" s="83">
        <f t="shared" ca="1" si="87"/>
        <v>171.74</v>
      </c>
      <c r="CG66" s="81" t="s">
        <v>160</v>
      </c>
      <c r="CH66" s="81" t="s">
        <v>128</v>
      </c>
      <c r="CI66" s="83">
        <f t="shared" ca="1" si="88"/>
        <v>0.98789473684209383</v>
      </c>
      <c r="CJ66" s="83">
        <f t="shared" ca="1" si="89"/>
        <v>178.31819548872204</v>
      </c>
      <c r="CP66" s="81" t="s">
        <v>160</v>
      </c>
      <c r="CQ66" s="81" t="s">
        <v>128</v>
      </c>
      <c r="CR66" s="83">
        <f t="shared" ca="1" si="90"/>
        <v>0.20999999999999996</v>
      </c>
      <c r="CS66" s="83">
        <f t="shared" ca="1" si="91"/>
        <v>230.10000000000005</v>
      </c>
      <c r="CU66" s="81" t="s">
        <v>160</v>
      </c>
      <c r="CV66" s="81" t="s">
        <v>128</v>
      </c>
      <c r="CW66" s="83">
        <f t="shared" ca="1" si="92"/>
        <v>0</v>
      </c>
      <c r="CX66" s="83">
        <f t="shared" ca="1" si="93"/>
        <v>237.27142857142849</v>
      </c>
      <c r="DD66" s="81" t="s">
        <v>160</v>
      </c>
      <c r="DE66" s="81" t="s">
        <v>128</v>
      </c>
      <c r="DF66" s="83">
        <f t="shared" ca="1" si="94"/>
        <v>0</v>
      </c>
      <c r="DG66" s="83">
        <f t="shared" ca="1" si="95"/>
        <v>289.89</v>
      </c>
      <c r="DI66" s="81" t="s">
        <v>160</v>
      </c>
      <c r="DJ66" s="81" t="s">
        <v>128</v>
      </c>
      <c r="DK66" s="83">
        <f t="shared" ca="1" si="96"/>
        <v>0</v>
      </c>
      <c r="DL66" s="83">
        <f t="shared" ca="1" si="97"/>
        <v>297.33030075187958</v>
      </c>
      <c r="DR66" s="81" t="s">
        <v>160</v>
      </c>
      <c r="DS66" s="81" t="s">
        <v>128</v>
      </c>
      <c r="DT66" s="83">
        <f t="shared" ca="1" si="98"/>
        <v>0</v>
      </c>
      <c r="DU66" s="83">
        <f t="shared" ca="1" si="99"/>
        <v>349.89</v>
      </c>
      <c r="DW66" s="81" t="s">
        <v>160</v>
      </c>
      <c r="DX66" s="81" t="s">
        <v>128</v>
      </c>
      <c r="DY66" s="83">
        <f t="shared" ca="1" si="100"/>
        <v>0</v>
      </c>
      <c r="DZ66" s="83">
        <f t="shared" ca="1" si="101"/>
        <v>357.33030075187958</v>
      </c>
      <c r="EG66" s="86"/>
      <c r="EH66" s="86"/>
      <c r="EI66" s="86"/>
      <c r="EK66" s="86"/>
      <c r="EL66" s="86"/>
      <c r="EM66" s="82"/>
      <c r="EO66" s="82"/>
      <c r="EP66" s="85"/>
      <c r="EQ66" s="84"/>
      <c r="ER66" s="84"/>
    </row>
    <row r="67" spans="1:148" x14ac:dyDescent="0.2">
      <c r="A67" s="81">
        <v>2007</v>
      </c>
      <c r="B67" s="88">
        <v>6</v>
      </c>
      <c r="C67" s="88">
        <v>20.756666666666671</v>
      </c>
      <c r="D67" s="87">
        <v>63.699999999999996</v>
      </c>
      <c r="E67" s="87">
        <v>26.400000000000002</v>
      </c>
      <c r="F67" s="87">
        <v>35.29999999999999</v>
      </c>
      <c r="G67" s="87">
        <v>58.000000000000007</v>
      </c>
      <c r="H67" s="133">
        <v>16.5</v>
      </c>
      <c r="I67" s="133">
        <v>99.200000000000017</v>
      </c>
      <c r="J67" s="87">
        <v>6.5</v>
      </c>
      <c r="K67" s="87">
        <v>149.19999999999996</v>
      </c>
      <c r="L67" s="87">
        <v>2.5</v>
      </c>
      <c r="M67" s="87">
        <v>205.19999999999996</v>
      </c>
      <c r="N67" s="87">
        <v>0</v>
      </c>
      <c r="O67" s="87">
        <v>262.7</v>
      </c>
      <c r="P67" s="87">
        <v>0</v>
      </c>
      <c r="Q67" s="87">
        <v>322.7</v>
      </c>
      <c r="R67" s="87">
        <v>0</v>
      </c>
      <c r="S67" s="87">
        <v>382.7</v>
      </c>
      <c r="T67" s="87"/>
      <c r="U67" s="87"/>
      <c r="V67" s="87"/>
      <c r="X67" s="81" t="s">
        <v>160</v>
      </c>
      <c r="Y67" s="81" t="s">
        <v>129</v>
      </c>
      <c r="Z67" s="83">
        <f t="shared" ca="1" si="72"/>
        <v>27.689999999999998</v>
      </c>
      <c r="AA67" s="83">
        <f t="shared" ca="1" si="73"/>
        <v>49.100000000000009</v>
      </c>
      <c r="AC67" s="81" t="s">
        <v>160</v>
      </c>
      <c r="AD67" s="81" t="s">
        <v>129</v>
      </c>
      <c r="AE67" s="83">
        <f t="shared" ca="1" si="102"/>
        <v>24.315037593984925</v>
      </c>
      <c r="AF67" s="83">
        <f t="shared" ca="1" si="103"/>
        <v>50.928721804511383</v>
      </c>
      <c r="AL67" s="81" t="s">
        <v>160</v>
      </c>
      <c r="AM67" s="81" t="s">
        <v>129</v>
      </c>
      <c r="AN67" s="83">
        <f t="shared" ca="1" si="74"/>
        <v>8.61</v>
      </c>
      <c r="AO67" s="83">
        <f t="shared" ca="1" si="75"/>
        <v>92.02000000000001</v>
      </c>
      <c r="AQ67" s="81" t="s">
        <v>160</v>
      </c>
      <c r="AR67" s="81" t="s">
        <v>129</v>
      </c>
      <c r="AS67" s="83">
        <f t="shared" ca="1" si="76"/>
        <v>7.1020300751878835</v>
      </c>
      <c r="AT67" s="83">
        <f t="shared" ca="1" si="77"/>
        <v>95.715714285714284</v>
      </c>
      <c r="AZ67" s="81" t="s">
        <v>160</v>
      </c>
      <c r="BA67" s="81" t="s">
        <v>129</v>
      </c>
      <c r="BB67" s="83">
        <f t="shared" ca="1" si="78"/>
        <v>1.3699999999999999</v>
      </c>
      <c r="BC67" s="83">
        <f t="shared" ca="1" si="79"/>
        <v>146.78000000000003</v>
      </c>
      <c r="BE67" s="81" t="s">
        <v>160</v>
      </c>
      <c r="BF67" s="81" t="s">
        <v>129</v>
      </c>
      <c r="BG67" s="83">
        <f t="shared" ca="1" si="80"/>
        <v>1.5360150375939838</v>
      </c>
      <c r="BH67" s="83">
        <f t="shared" ca="1" si="81"/>
        <v>152.14969924812021</v>
      </c>
      <c r="BN67" s="81" t="s">
        <v>160</v>
      </c>
      <c r="BO67" s="81" t="s">
        <v>129</v>
      </c>
      <c r="BP67" s="83">
        <f t="shared" ca="1" si="82"/>
        <v>0</v>
      </c>
      <c r="BQ67" s="83">
        <f t="shared" ca="1" si="83"/>
        <v>207.41000000000003</v>
      </c>
      <c r="BS67" s="81" t="s">
        <v>160</v>
      </c>
      <c r="BT67" s="81" t="s">
        <v>129</v>
      </c>
      <c r="BU67" s="83">
        <f t="shared" ca="1" si="84"/>
        <v>0</v>
      </c>
      <c r="BV67" s="83">
        <f t="shared" ca="1" si="85"/>
        <v>212.61368421052634</v>
      </c>
      <c r="CB67" s="81" t="s">
        <v>160</v>
      </c>
      <c r="CC67" s="81" t="s">
        <v>129</v>
      </c>
      <c r="CD67" s="83">
        <f t="shared" ca="1" si="86"/>
        <v>0</v>
      </c>
      <c r="CE67" s="83">
        <f t="shared" ca="1" si="87"/>
        <v>269.41000000000003</v>
      </c>
      <c r="CG67" s="81" t="s">
        <v>160</v>
      </c>
      <c r="CH67" s="81" t="s">
        <v>129</v>
      </c>
      <c r="CI67" s="83">
        <f t="shared" ca="1" si="88"/>
        <v>0</v>
      </c>
      <c r="CJ67" s="83">
        <f t="shared" ca="1" si="89"/>
        <v>274.61368421052634</v>
      </c>
      <c r="CP67" s="81" t="s">
        <v>160</v>
      </c>
      <c r="CQ67" s="81" t="s">
        <v>129</v>
      </c>
      <c r="CR67" s="83">
        <f t="shared" ca="1" si="90"/>
        <v>0</v>
      </c>
      <c r="CS67" s="83">
        <f t="shared" ca="1" si="91"/>
        <v>331.41</v>
      </c>
      <c r="CU67" s="81" t="s">
        <v>160</v>
      </c>
      <c r="CV67" s="81" t="s">
        <v>129</v>
      </c>
      <c r="CW67" s="83">
        <f t="shared" ca="1" si="92"/>
        <v>0</v>
      </c>
      <c r="CX67" s="83">
        <f t="shared" ca="1" si="93"/>
        <v>336.61368421052634</v>
      </c>
      <c r="DD67" s="81" t="s">
        <v>160</v>
      </c>
      <c r="DE67" s="81" t="s">
        <v>129</v>
      </c>
      <c r="DF67" s="83">
        <f t="shared" ca="1" si="94"/>
        <v>0</v>
      </c>
      <c r="DG67" s="83">
        <f t="shared" ca="1" si="95"/>
        <v>393.41</v>
      </c>
      <c r="DI67" s="81" t="s">
        <v>160</v>
      </c>
      <c r="DJ67" s="81" t="s">
        <v>129</v>
      </c>
      <c r="DK67" s="83">
        <f t="shared" ca="1" si="96"/>
        <v>0</v>
      </c>
      <c r="DL67" s="83">
        <f t="shared" ca="1" si="97"/>
        <v>398.61368421052634</v>
      </c>
      <c r="DR67" s="81" t="s">
        <v>160</v>
      </c>
      <c r="DS67" s="81" t="s">
        <v>129</v>
      </c>
      <c r="DT67" s="83">
        <f t="shared" ca="1" si="98"/>
        <v>0</v>
      </c>
      <c r="DU67" s="83">
        <f t="shared" ca="1" si="99"/>
        <v>455.41</v>
      </c>
      <c r="DW67" s="81" t="s">
        <v>160</v>
      </c>
      <c r="DX67" s="81" t="s">
        <v>129</v>
      </c>
      <c r="DY67" s="83">
        <f t="shared" ca="1" si="100"/>
        <v>0</v>
      </c>
      <c r="DZ67" s="83">
        <f t="shared" ca="1" si="101"/>
        <v>460.61368421052634</v>
      </c>
      <c r="EG67" s="86"/>
      <c r="EH67" s="86"/>
      <c r="EI67" s="86"/>
      <c r="EK67" s="86"/>
      <c r="EL67" s="86"/>
      <c r="EM67" s="82"/>
      <c r="EO67" s="82"/>
      <c r="EP67" s="85"/>
      <c r="EQ67" s="84"/>
      <c r="ER67" s="84"/>
    </row>
    <row r="68" spans="1:148" x14ac:dyDescent="0.2">
      <c r="A68" s="81">
        <v>2007</v>
      </c>
      <c r="B68" s="88">
        <v>7</v>
      </c>
      <c r="C68" s="88">
        <v>21.319354838709678</v>
      </c>
      <c r="D68" s="87">
        <v>46.399999999999991</v>
      </c>
      <c r="E68" s="87">
        <v>25.299999999999994</v>
      </c>
      <c r="F68" s="87">
        <v>16.799999999999994</v>
      </c>
      <c r="G68" s="87">
        <v>57.699999999999989</v>
      </c>
      <c r="H68" s="133">
        <v>3.1999999999999957</v>
      </c>
      <c r="I68" s="133">
        <v>106.1</v>
      </c>
      <c r="J68" s="87">
        <v>0</v>
      </c>
      <c r="K68" s="87">
        <v>164.9</v>
      </c>
      <c r="L68" s="87">
        <v>0</v>
      </c>
      <c r="M68" s="87">
        <v>226.90000000000003</v>
      </c>
      <c r="N68" s="87">
        <v>0</v>
      </c>
      <c r="O68" s="87">
        <v>288.90000000000003</v>
      </c>
      <c r="P68" s="87">
        <v>0</v>
      </c>
      <c r="Q68" s="87">
        <v>350.9</v>
      </c>
      <c r="R68" s="87">
        <v>0</v>
      </c>
      <c r="S68" s="87">
        <v>412.9</v>
      </c>
      <c r="T68" s="87"/>
      <c r="U68" s="87"/>
      <c r="V68" s="87"/>
      <c r="X68" s="81" t="s">
        <v>160</v>
      </c>
      <c r="Y68" s="81" t="s">
        <v>130</v>
      </c>
      <c r="Z68" s="83">
        <f t="shared" ca="1" si="72"/>
        <v>39.200000000000003</v>
      </c>
      <c r="AA68" s="83">
        <f t="shared" ca="1" si="73"/>
        <v>33.660000000000004</v>
      </c>
      <c r="AC68" s="81" t="s">
        <v>160</v>
      </c>
      <c r="AD68" s="81" t="s">
        <v>130</v>
      </c>
      <c r="AE68" s="83">
        <f t="shared" ca="1" si="102"/>
        <v>31.985338345864648</v>
      </c>
      <c r="AF68" s="83">
        <f t="shared" ca="1" si="103"/>
        <v>38.549323308270687</v>
      </c>
      <c r="AL68" s="81" t="s">
        <v>160</v>
      </c>
      <c r="AM68" s="81" t="s">
        <v>130</v>
      </c>
      <c r="AN68" s="83">
        <f t="shared" ca="1" si="74"/>
        <v>14.38</v>
      </c>
      <c r="AO68" s="83">
        <f t="shared" ca="1" si="75"/>
        <v>70.839999999999989</v>
      </c>
      <c r="AQ68" s="81" t="s">
        <v>160</v>
      </c>
      <c r="AR68" s="81" t="s">
        <v>130</v>
      </c>
      <c r="AS68" s="83">
        <f t="shared" ca="1" si="76"/>
        <v>10.368195488721994</v>
      </c>
      <c r="AT68" s="83">
        <f t="shared" ca="1" si="77"/>
        <v>78.932180451127806</v>
      </c>
      <c r="AZ68" s="81" t="s">
        <v>160</v>
      </c>
      <c r="BA68" s="81" t="s">
        <v>130</v>
      </c>
      <c r="BB68" s="83">
        <f t="shared" ca="1" si="78"/>
        <v>3.410000000000001</v>
      </c>
      <c r="BC68" s="83">
        <f t="shared" ca="1" si="79"/>
        <v>121.87</v>
      </c>
      <c r="BE68" s="81" t="s">
        <v>160</v>
      </c>
      <c r="BF68" s="81" t="s">
        <v>130</v>
      </c>
      <c r="BG68" s="83">
        <f t="shared" ca="1" si="80"/>
        <v>2.3552631578947398</v>
      </c>
      <c r="BH68" s="83">
        <f t="shared" ca="1" si="81"/>
        <v>132.91924812030038</v>
      </c>
      <c r="BN68" s="81" t="s">
        <v>160</v>
      </c>
      <c r="BO68" s="81" t="s">
        <v>130</v>
      </c>
      <c r="BP68" s="83">
        <f t="shared" ca="1" si="82"/>
        <v>0.29000000000000004</v>
      </c>
      <c r="BQ68" s="83">
        <f t="shared" ca="1" si="83"/>
        <v>180.75000000000006</v>
      </c>
      <c r="BS68" s="81" t="s">
        <v>160</v>
      </c>
      <c r="BT68" s="81" t="s">
        <v>130</v>
      </c>
      <c r="BU68" s="83">
        <f t="shared" ca="1" si="84"/>
        <v>0.34210526315789513</v>
      </c>
      <c r="BV68" s="83">
        <f t="shared" ca="1" si="85"/>
        <v>192.90609022556418</v>
      </c>
      <c r="CB68" s="81" t="s">
        <v>160</v>
      </c>
      <c r="CC68" s="81" t="s">
        <v>130</v>
      </c>
      <c r="CD68" s="83">
        <f t="shared" ca="1" si="86"/>
        <v>0</v>
      </c>
      <c r="CE68" s="83">
        <f t="shared" ca="1" si="87"/>
        <v>242.46000000000004</v>
      </c>
      <c r="CG68" s="81" t="s">
        <v>160</v>
      </c>
      <c r="CH68" s="81" t="s">
        <v>130</v>
      </c>
      <c r="CI68" s="83">
        <f t="shared" ca="1" si="88"/>
        <v>0</v>
      </c>
      <c r="CJ68" s="83">
        <f t="shared" ca="1" si="89"/>
        <v>254.56293233082715</v>
      </c>
      <c r="CP68" s="81" t="s">
        <v>160</v>
      </c>
      <c r="CQ68" s="81" t="s">
        <v>130</v>
      </c>
      <c r="CR68" s="83">
        <f t="shared" ca="1" si="90"/>
        <v>0</v>
      </c>
      <c r="CS68" s="83">
        <f t="shared" ca="1" si="91"/>
        <v>304.46000000000004</v>
      </c>
      <c r="CU68" s="81" t="s">
        <v>160</v>
      </c>
      <c r="CV68" s="81" t="s">
        <v>130</v>
      </c>
      <c r="CW68" s="83">
        <f t="shared" ca="1" si="92"/>
        <v>0</v>
      </c>
      <c r="CX68" s="83">
        <f t="shared" ca="1" si="93"/>
        <v>316.56398496240627</v>
      </c>
      <c r="DD68" s="81" t="s">
        <v>160</v>
      </c>
      <c r="DE68" s="81" t="s">
        <v>130</v>
      </c>
      <c r="DF68" s="83">
        <f t="shared" ca="1" si="94"/>
        <v>0</v>
      </c>
      <c r="DG68" s="83">
        <f t="shared" ca="1" si="95"/>
        <v>366.46000000000004</v>
      </c>
      <c r="DI68" s="81" t="s">
        <v>160</v>
      </c>
      <c r="DJ68" s="81" t="s">
        <v>130</v>
      </c>
      <c r="DK68" s="83">
        <f t="shared" ca="1" si="96"/>
        <v>0</v>
      </c>
      <c r="DL68" s="83">
        <f t="shared" ca="1" si="97"/>
        <v>378.56398496240627</v>
      </c>
      <c r="DR68" s="81" t="s">
        <v>160</v>
      </c>
      <c r="DS68" s="81" t="s">
        <v>130</v>
      </c>
      <c r="DT68" s="83">
        <f t="shared" ca="1" si="98"/>
        <v>0</v>
      </c>
      <c r="DU68" s="83">
        <f t="shared" ca="1" si="99"/>
        <v>428.46000000000004</v>
      </c>
      <c r="DW68" s="81" t="s">
        <v>160</v>
      </c>
      <c r="DX68" s="81" t="s">
        <v>130</v>
      </c>
      <c r="DY68" s="83">
        <f t="shared" ca="1" si="100"/>
        <v>0</v>
      </c>
      <c r="DZ68" s="83">
        <f t="shared" ca="1" si="101"/>
        <v>440.56398496240627</v>
      </c>
      <c r="EG68" s="86"/>
      <c r="EH68" s="86"/>
      <c r="EI68" s="86"/>
      <c r="EK68" s="86"/>
      <c r="EL68" s="86"/>
      <c r="EM68" s="82"/>
      <c r="EO68" s="82"/>
      <c r="EP68" s="85"/>
      <c r="EQ68" s="84"/>
      <c r="ER68" s="84"/>
    </row>
    <row r="69" spans="1:148" x14ac:dyDescent="0.2">
      <c r="A69" s="81">
        <v>2007</v>
      </c>
      <c r="B69" s="88">
        <v>8</v>
      </c>
      <c r="C69" s="88">
        <v>22.380645161290325</v>
      </c>
      <c r="D69" s="87">
        <v>35.899999999999991</v>
      </c>
      <c r="E69" s="87">
        <v>47.7</v>
      </c>
      <c r="F69" s="87">
        <v>14.299999999999997</v>
      </c>
      <c r="G69" s="87">
        <v>88.09999999999998</v>
      </c>
      <c r="H69" s="133">
        <v>5.1999999999999993</v>
      </c>
      <c r="I69" s="133">
        <v>141</v>
      </c>
      <c r="J69" s="87">
        <v>0.19999999999999929</v>
      </c>
      <c r="K69" s="87">
        <v>198</v>
      </c>
      <c r="L69" s="87">
        <v>0</v>
      </c>
      <c r="M69" s="87">
        <v>259.80000000000007</v>
      </c>
      <c r="N69" s="87">
        <v>0</v>
      </c>
      <c r="O69" s="87">
        <v>321.80000000000007</v>
      </c>
      <c r="P69" s="87">
        <v>0</v>
      </c>
      <c r="Q69" s="87">
        <v>383.80000000000013</v>
      </c>
      <c r="R69" s="87">
        <v>0</v>
      </c>
      <c r="S69" s="87">
        <v>445.80000000000013</v>
      </c>
      <c r="T69" s="87"/>
      <c r="U69" s="87"/>
      <c r="V69" s="87"/>
      <c r="X69" s="81" t="s">
        <v>160</v>
      </c>
      <c r="Y69" s="81" t="s">
        <v>165</v>
      </c>
      <c r="Z69" s="83">
        <f t="shared" ca="1" si="72"/>
        <v>137.72999999999999</v>
      </c>
      <c r="AA69" s="83">
        <f t="shared" ca="1" si="73"/>
        <v>11.340000000000002</v>
      </c>
      <c r="AC69" s="81" t="s">
        <v>160</v>
      </c>
      <c r="AD69" s="81" t="s">
        <v>165</v>
      </c>
      <c r="AE69" s="83">
        <f t="shared" ca="1" si="102"/>
        <v>141.13661654135336</v>
      </c>
      <c r="AF69" s="83">
        <f t="shared" ca="1" si="103"/>
        <v>11.573759398496236</v>
      </c>
      <c r="AL69" s="81" t="s">
        <v>160</v>
      </c>
      <c r="AM69" s="81" t="s">
        <v>165</v>
      </c>
      <c r="AN69" s="83">
        <f t="shared" ca="1" si="74"/>
        <v>91.960000000000008</v>
      </c>
      <c r="AO69" s="83">
        <f t="shared" ca="1" si="75"/>
        <v>25.57</v>
      </c>
      <c r="AQ69" s="81" t="s">
        <v>160</v>
      </c>
      <c r="AR69" s="81" t="s">
        <v>165</v>
      </c>
      <c r="AS69" s="83">
        <f t="shared" ca="1" si="76"/>
        <v>94.55488721804511</v>
      </c>
      <c r="AT69" s="83">
        <f t="shared" ca="1" si="77"/>
        <v>24.99203007518804</v>
      </c>
      <c r="AZ69" s="81" t="s">
        <v>160</v>
      </c>
      <c r="BA69" s="81" t="s">
        <v>165</v>
      </c>
      <c r="BB69" s="83">
        <f t="shared" ca="1" si="78"/>
        <v>54.05</v>
      </c>
      <c r="BC69" s="83">
        <f t="shared" ca="1" si="79"/>
        <v>47.66</v>
      </c>
      <c r="BE69" s="81" t="s">
        <v>160</v>
      </c>
      <c r="BF69" s="81" t="s">
        <v>165</v>
      </c>
      <c r="BG69" s="83">
        <f t="shared" ca="1" si="80"/>
        <v>55.222857142857151</v>
      </c>
      <c r="BH69" s="83">
        <f t="shared" ca="1" si="81"/>
        <v>45.659999999999968</v>
      </c>
      <c r="BN69" s="81" t="s">
        <v>160</v>
      </c>
      <c r="BO69" s="81" t="s">
        <v>165</v>
      </c>
      <c r="BP69" s="83">
        <f t="shared" ca="1" si="82"/>
        <v>27</v>
      </c>
      <c r="BQ69" s="83">
        <f t="shared" ca="1" si="83"/>
        <v>80.61</v>
      </c>
      <c r="BS69" s="81" t="s">
        <v>160</v>
      </c>
      <c r="BT69" s="81" t="s">
        <v>165</v>
      </c>
      <c r="BU69" s="83">
        <f t="shared" ca="1" si="84"/>
        <v>26.689022556390967</v>
      </c>
      <c r="BV69" s="83">
        <f t="shared" ca="1" si="85"/>
        <v>77.126165413533826</v>
      </c>
      <c r="CB69" s="81" t="s">
        <v>160</v>
      </c>
      <c r="CC69" s="81" t="s">
        <v>165</v>
      </c>
      <c r="CD69" s="83">
        <f t="shared" ca="1" si="86"/>
        <v>10.66</v>
      </c>
      <c r="CE69" s="83">
        <f t="shared" ca="1" si="87"/>
        <v>124.26999999999998</v>
      </c>
      <c r="CG69" s="81" t="s">
        <v>160</v>
      </c>
      <c r="CH69" s="81" t="s">
        <v>165</v>
      </c>
      <c r="CI69" s="83">
        <f t="shared" ca="1" si="88"/>
        <v>9.991278195488718</v>
      </c>
      <c r="CJ69" s="83">
        <f t="shared" ca="1" si="89"/>
        <v>120.42842105263159</v>
      </c>
      <c r="CP69" s="81" t="s">
        <v>160</v>
      </c>
      <c r="CQ69" s="81" t="s">
        <v>165</v>
      </c>
      <c r="CR69" s="83">
        <f t="shared" ca="1" si="90"/>
        <v>2.9</v>
      </c>
      <c r="CS69" s="83">
        <f t="shared" ca="1" si="91"/>
        <v>176.51</v>
      </c>
      <c r="CU69" s="81" t="s">
        <v>160</v>
      </c>
      <c r="CV69" s="81" t="s">
        <v>165</v>
      </c>
      <c r="CW69" s="83">
        <f t="shared" ca="1" si="92"/>
        <v>2.2840601503759395</v>
      </c>
      <c r="CX69" s="83">
        <f t="shared" ca="1" si="93"/>
        <v>172.72120300751877</v>
      </c>
      <c r="DD69" s="81" t="s">
        <v>160</v>
      </c>
      <c r="DE69" s="81" t="s">
        <v>165</v>
      </c>
      <c r="DF69" s="83">
        <f t="shared" ca="1" si="94"/>
        <v>0.24999999999999983</v>
      </c>
      <c r="DG69" s="83">
        <f t="shared" ca="1" si="95"/>
        <v>233.86000000000004</v>
      </c>
      <c r="DI69" s="81" t="s">
        <v>160</v>
      </c>
      <c r="DJ69" s="81" t="s">
        <v>165</v>
      </c>
      <c r="DK69" s="83">
        <f t="shared" ca="1" si="96"/>
        <v>0.16639097744361209</v>
      </c>
      <c r="DL69" s="83">
        <f t="shared" ca="1" si="97"/>
        <v>230.60353383458653</v>
      </c>
      <c r="DR69" s="81" t="s">
        <v>160</v>
      </c>
      <c r="DS69" s="81" t="s">
        <v>165</v>
      </c>
      <c r="DT69" s="83">
        <f t="shared" ca="1" si="98"/>
        <v>0</v>
      </c>
      <c r="DU69" s="83">
        <f t="shared" ca="1" si="99"/>
        <v>293.61</v>
      </c>
      <c r="DW69" s="81" t="s">
        <v>160</v>
      </c>
      <c r="DX69" s="81" t="s">
        <v>165</v>
      </c>
      <c r="DY69" s="83">
        <f t="shared" ca="1" si="100"/>
        <v>0</v>
      </c>
      <c r="DZ69" s="83">
        <f t="shared" ca="1" si="101"/>
        <v>290.43714285714287</v>
      </c>
      <c r="EG69" s="86"/>
      <c r="EH69" s="86"/>
      <c r="EI69" s="86"/>
      <c r="EK69" s="86"/>
      <c r="EL69" s="86"/>
      <c r="EM69" s="82"/>
      <c r="EO69" s="82"/>
      <c r="EP69" s="85"/>
      <c r="EQ69" s="84"/>
      <c r="ER69" s="84"/>
    </row>
    <row r="70" spans="1:148" x14ac:dyDescent="0.2">
      <c r="A70" s="81">
        <v>2007</v>
      </c>
      <c r="B70" s="88">
        <v>9</v>
      </c>
      <c r="C70" s="88">
        <v>18.353333333333332</v>
      </c>
      <c r="D70" s="87">
        <v>123.70000000000003</v>
      </c>
      <c r="E70" s="87">
        <v>14.3</v>
      </c>
      <c r="F70" s="87">
        <v>73.800000000000011</v>
      </c>
      <c r="G70" s="87">
        <v>24.400000000000002</v>
      </c>
      <c r="H70" s="133">
        <v>36.899999999999991</v>
      </c>
      <c r="I70" s="133">
        <v>47.499999999999993</v>
      </c>
      <c r="J70" s="87">
        <v>16</v>
      </c>
      <c r="K70" s="87">
        <v>86.600000000000009</v>
      </c>
      <c r="L70" s="87">
        <v>6.6</v>
      </c>
      <c r="M70" s="87">
        <v>137.19999999999999</v>
      </c>
      <c r="N70" s="87">
        <v>2.3000000000000007</v>
      </c>
      <c r="O70" s="87">
        <v>192.89999999999998</v>
      </c>
      <c r="P70" s="87">
        <v>0.30000000000000071</v>
      </c>
      <c r="Q70" s="87">
        <v>250.9</v>
      </c>
      <c r="R70" s="87">
        <v>0</v>
      </c>
      <c r="S70" s="87">
        <v>310.60000000000008</v>
      </c>
      <c r="T70" s="87"/>
      <c r="U70" s="87"/>
      <c r="V70" s="87"/>
      <c r="X70" s="81" t="s">
        <v>160</v>
      </c>
      <c r="Y70" s="81" t="s">
        <v>166</v>
      </c>
      <c r="Z70" s="83">
        <f t="shared" ca="1" si="72"/>
        <v>343.83</v>
      </c>
      <c r="AA70" s="83">
        <f t="shared" ca="1" si="73"/>
        <v>0.23000000000000007</v>
      </c>
      <c r="AC70" s="81" t="s">
        <v>160</v>
      </c>
      <c r="AD70" s="81" t="s">
        <v>166</v>
      </c>
      <c r="AE70" s="83">
        <f t="shared" ca="1" si="102"/>
        <v>327.45887218045118</v>
      </c>
      <c r="AF70" s="83">
        <f t="shared" ca="1" si="103"/>
        <v>3.9398496240600878E-2</v>
      </c>
      <c r="AL70" s="81" t="s">
        <v>160</v>
      </c>
      <c r="AM70" s="81" t="s">
        <v>166</v>
      </c>
      <c r="AN70" s="83">
        <f t="shared" ca="1" si="74"/>
        <v>282.64</v>
      </c>
      <c r="AO70" s="83">
        <f t="shared" ca="1" si="75"/>
        <v>1.0399999999999998</v>
      </c>
      <c r="AQ70" s="81" t="s">
        <v>160</v>
      </c>
      <c r="AR70" s="81" t="s">
        <v>166</v>
      </c>
      <c r="AS70" s="83">
        <f t="shared" ca="1" si="76"/>
        <v>266.29345864661627</v>
      </c>
      <c r="AT70" s="83">
        <f t="shared" ca="1" si="77"/>
        <v>0.87398496240601986</v>
      </c>
      <c r="AZ70" s="81" t="s">
        <v>160</v>
      </c>
      <c r="BA70" s="81" t="s">
        <v>166</v>
      </c>
      <c r="BB70" s="83">
        <f t="shared" ca="1" si="78"/>
        <v>222.99</v>
      </c>
      <c r="BC70" s="83">
        <f t="shared" ca="1" si="79"/>
        <v>3.3899999999999997</v>
      </c>
      <c r="BE70" s="81" t="s">
        <v>160</v>
      </c>
      <c r="BF70" s="81" t="s">
        <v>166</v>
      </c>
      <c r="BG70" s="83">
        <f t="shared" ca="1" si="80"/>
        <v>206.54533834586437</v>
      </c>
      <c r="BH70" s="83">
        <f t="shared" ca="1" si="81"/>
        <v>3.1258646616541341</v>
      </c>
      <c r="BN70" s="81" t="s">
        <v>160</v>
      </c>
      <c r="BO70" s="81" t="s">
        <v>166</v>
      </c>
      <c r="BP70" s="83">
        <f t="shared" ca="1" si="82"/>
        <v>167.57</v>
      </c>
      <c r="BQ70" s="83">
        <f t="shared" ca="1" si="83"/>
        <v>9.9699999999999989</v>
      </c>
      <c r="BS70" s="81" t="s">
        <v>160</v>
      </c>
      <c r="BT70" s="81" t="s">
        <v>166</v>
      </c>
      <c r="BU70" s="83">
        <f t="shared" ca="1" si="84"/>
        <v>152.11488721804562</v>
      </c>
      <c r="BV70" s="83">
        <f t="shared" ca="1" si="85"/>
        <v>10.695413533834582</v>
      </c>
      <c r="CB70" s="81" t="s">
        <v>160</v>
      </c>
      <c r="CC70" s="81" t="s">
        <v>166</v>
      </c>
      <c r="CD70" s="83">
        <f t="shared" ca="1" si="86"/>
        <v>118.80999999999999</v>
      </c>
      <c r="CE70" s="83">
        <f t="shared" ca="1" si="87"/>
        <v>23.209999999999997</v>
      </c>
      <c r="CG70" s="81" t="s">
        <v>160</v>
      </c>
      <c r="CH70" s="81" t="s">
        <v>166</v>
      </c>
      <c r="CI70" s="83">
        <f t="shared" ca="1" si="88"/>
        <v>105.69917293233129</v>
      </c>
      <c r="CJ70" s="83">
        <f t="shared" ca="1" si="89"/>
        <v>26.279699248120323</v>
      </c>
      <c r="CP70" s="81" t="s">
        <v>160</v>
      </c>
      <c r="CQ70" s="81" t="s">
        <v>166</v>
      </c>
      <c r="CR70" s="83">
        <f t="shared" ca="1" si="90"/>
        <v>76.960000000000008</v>
      </c>
      <c r="CS70" s="83">
        <f t="shared" ca="1" si="91"/>
        <v>43.36</v>
      </c>
      <c r="CU70" s="81" t="s">
        <v>160</v>
      </c>
      <c r="CV70" s="81" t="s">
        <v>166</v>
      </c>
      <c r="CW70" s="83">
        <f t="shared" ca="1" si="92"/>
        <v>66.373759398496532</v>
      </c>
      <c r="CX70" s="83">
        <f t="shared" ca="1" si="93"/>
        <v>48.954285714285788</v>
      </c>
      <c r="DD70" s="81" t="s">
        <v>160</v>
      </c>
      <c r="DE70" s="81" t="s">
        <v>166</v>
      </c>
      <c r="DF70" s="83">
        <f t="shared" ca="1" si="94"/>
        <v>44.309999999999995</v>
      </c>
      <c r="DG70" s="83">
        <f t="shared" ca="1" si="95"/>
        <v>72.710000000000008</v>
      </c>
      <c r="DI70" s="81" t="s">
        <v>160</v>
      </c>
      <c r="DJ70" s="81" t="s">
        <v>166</v>
      </c>
      <c r="DK70" s="83">
        <f t="shared" ca="1" si="96"/>
        <v>36.129097744360934</v>
      </c>
      <c r="DL70" s="83">
        <f t="shared" ca="1" si="97"/>
        <v>80.709624060150418</v>
      </c>
      <c r="DR70" s="81" t="s">
        <v>160</v>
      </c>
      <c r="DS70" s="81" t="s">
        <v>166</v>
      </c>
      <c r="DT70" s="83">
        <f t="shared" ca="1" si="98"/>
        <v>20.779999999999998</v>
      </c>
      <c r="DU70" s="83">
        <f t="shared" ca="1" si="99"/>
        <v>111.17999999999998</v>
      </c>
      <c r="DW70" s="81" t="s">
        <v>160</v>
      </c>
      <c r="DX70" s="81" t="s">
        <v>166</v>
      </c>
      <c r="DY70" s="83">
        <f t="shared" ca="1" si="100"/>
        <v>15.464060150376099</v>
      </c>
      <c r="DZ70" s="83">
        <f t="shared" ca="1" si="101"/>
        <v>122.04458646616558</v>
      </c>
      <c r="EG70" s="86"/>
      <c r="EH70" s="86"/>
      <c r="EI70" s="86"/>
      <c r="EK70" s="86"/>
      <c r="EL70" s="86"/>
      <c r="EM70" s="82"/>
      <c r="EO70" s="82"/>
      <c r="EP70" s="85"/>
      <c r="EQ70" s="84"/>
      <c r="ER70" s="84"/>
    </row>
    <row r="71" spans="1:148" x14ac:dyDescent="0.2">
      <c r="A71" s="81">
        <v>2007</v>
      </c>
      <c r="B71" s="88">
        <v>10</v>
      </c>
      <c r="C71" s="88">
        <v>14.196774193548386</v>
      </c>
      <c r="D71" s="87">
        <v>244.2</v>
      </c>
      <c r="E71" s="87">
        <v>2.3000000000000007</v>
      </c>
      <c r="F71" s="87">
        <v>186.6</v>
      </c>
      <c r="G71" s="87">
        <v>6.6999999999999993</v>
      </c>
      <c r="H71" s="133">
        <v>137.69999999999999</v>
      </c>
      <c r="I71" s="133">
        <v>19.800000000000004</v>
      </c>
      <c r="J71" s="87">
        <v>98.5</v>
      </c>
      <c r="K71" s="87">
        <v>42.600000000000009</v>
      </c>
      <c r="L71" s="87">
        <v>64.5</v>
      </c>
      <c r="M71" s="87">
        <v>70.599999999999994</v>
      </c>
      <c r="N71" s="87">
        <v>35.1</v>
      </c>
      <c r="O71" s="87">
        <v>103.2</v>
      </c>
      <c r="P71" s="87">
        <v>15.1</v>
      </c>
      <c r="Q71" s="87">
        <v>145.20000000000005</v>
      </c>
      <c r="R71" s="87">
        <v>4.9999999999999991</v>
      </c>
      <c r="S71" s="87">
        <v>197.10000000000002</v>
      </c>
      <c r="T71" s="87"/>
      <c r="U71" s="87"/>
      <c r="V71" s="87"/>
      <c r="X71" s="81" t="s">
        <v>160</v>
      </c>
      <c r="Y71" s="81" t="s">
        <v>167</v>
      </c>
      <c r="Z71" s="83">
        <f t="shared" ca="1" si="72"/>
        <v>546.24</v>
      </c>
      <c r="AA71" s="83">
        <f t="shared" ca="1" si="73"/>
        <v>0</v>
      </c>
      <c r="AC71" s="81" t="s">
        <v>160</v>
      </c>
      <c r="AD71" s="81" t="s">
        <v>167</v>
      </c>
      <c r="AE71" s="83">
        <f t="shared" ca="1" si="102"/>
        <v>544.93375939849648</v>
      </c>
      <c r="AF71" s="83">
        <f t="shared" ca="1" si="103"/>
        <v>0</v>
      </c>
      <c r="AL71" s="81" t="s">
        <v>160</v>
      </c>
      <c r="AM71" s="81" t="s">
        <v>167</v>
      </c>
      <c r="AN71" s="83">
        <f t="shared" ca="1" si="74"/>
        <v>486.24000000000007</v>
      </c>
      <c r="AO71" s="83">
        <f t="shared" ca="1" si="75"/>
        <v>0</v>
      </c>
      <c r="AQ71" s="81" t="s">
        <v>160</v>
      </c>
      <c r="AR71" s="81" t="s">
        <v>167</v>
      </c>
      <c r="AS71" s="83">
        <f t="shared" ca="1" si="76"/>
        <v>484.93375939849625</v>
      </c>
      <c r="AT71" s="83">
        <f t="shared" ca="1" si="77"/>
        <v>0</v>
      </c>
      <c r="AZ71" s="81" t="s">
        <v>160</v>
      </c>
      <c r="BA71" s="81" t="s">
        <v>167</v>
      </c>
      <c r="BB71" s="83">
        <f t="shared" ca="1" si="78"/>
        <v>426.24000000000007</v>
      </c>
      <c r="BC71" s="83">
        <f t="shared" ca="1" si="79"/>
        <v>0</v>
      </c>
      <c r="BE71" s="81" t="s">
        <v>160</v>
      </c>
      <c r="BF71" s="81" t="s">
        <v>167</v>
      </c>
      <c r="BG71" s="83">
        <f t="shared" ca="1" si="80"/>
        <v>424.93375939849625</v>
      </c>
      <c r="BH71" s="83">
        <f t="shared" ca="1" si="81"/>
        <v>0</v>
      </c>
      <c r="BN71" s="81" t="s">
        <v>160</v>
      </c>
      <c r="BO71" s="81" t="s">
        <v>167</v>
      </c>
      <c r="BP71" s="83">
        <f t="shared" ca="1" si="82"/>
        <v>366.25</v>
      </c>
      <c r="BQ71" s="83">
        <f t="shared" ca="1" si="83"/>
        <v>1.0000000000000142E-2</v>
      </c>
      <c r="BS71" s="81" t="s">
        <v>160</v>
      </c>
      <c r="BT71" s="81" t="s">
        <v>167</v>
      </c>
      <c r="BU71" s="83">
        <f t="shared" ca="1" si="84"/>
        <v>364.95345864661681</v>
      </c>
      <c r="BV71" s="83">
        <f t="shared" ca="1" si="85"/>
        <v>1.9699248120300883E-2</v>
      </c>
      <c r="CB71" s="81" t="s">
        <v>160</v>
      </c>
      <c r="CC71" s="81" t="s">
        <v>167</v>
      </c>
      <c r="CD71" s="83">
        <f t="shared" ca="1" si="86"/>
        <v>307.13</v>
      </c>
      <c r="CE71" s="83">
        <f t="shared" ca="1" si="87"/>
        <v>0.89</v>
      </c>
      <c r="CG71" s="81" t="s">
        <v>160</v>
      </c>
      <c r="CH71" s="81" t="s">
        <v>167</v>
      </c>
      <c r="CI71" s="83">
        <f t="shared" ca="1" si="88"/>
        <v>306.35210526315814</v>
      </c>
      <c r="CJ71" s="83">
        <f t="shared" ca="1" si="89"/>
        <v>1.41834586466166</v>
      </c>
      <c r="CP71" s="81" t="s">
        <v>160</v>
      </c>
      <c r="CQ71" s="81" t="s">
        <v>167</v>
      </c>
      <c r="CR71" s="83">
        <f t="shared" ca="1" si="90"/>
        <v>248.98000000000002</v>
      </c>
      <c r="CS71" s="83">
        <f t="shared" ca="1" si="91"/>
        <v>2.7399999999999998</v>
      </c>
      <c r="CU71" s="81" t="s">
        <v>160</v>
      </c>
      <c r="CV71" s="81" t="s">
        <v>167</v>
      </c>
      <c r="CW71" s="83">
        <f t="shared" ca="1" si="92"/>
        <v>248.92781954887187</v>
      </c>
      <c r="CX71" s="83">
        <f t="shared" ca="1" si="93"/>
        <v>3.9940601503759012</v>
      </c>
      <c r="DD71" s="81" t="s">
        <v>160</v>
      </c>
      <c r="DE71" s="81" t="s">
        <v>167</v>
      </c>
      <c r="DF71" s="83">
        <f t="shared" ca="1" si="94"/>
        <v>193.95999999999998</v>
      </c>
      <c r="DG71" s="83">
        <f t="shared" ca="1" si="95"/>
        <v>7.7199999999999989</v>
      </c>
      <c r="DI71" s="81" t="s">
        <v>160</v>
      </c>
      <c r="DJ71" s="81" t="s">
        <v>167</v>
      </c>
      <c r="DK71" s="83">
        <f t="shared" ca="1" si="96"/>
        <v>194.78330827067657</v>
      </c>
      <c r="DL71" s="83">
        <f t="shared" ca="1" si="97"/>
        <v>9.849548872180435</v>
      </c>
      <c r="DR71" s="81" t="s">
        <v>160</v>
      </c>
      <c r="DS71" s="81" t="s">
        <v>167</v>
      </c>
      <c r="DT71" s="83">
        <f t="shared" ca="1" si="98"/>
        <v>143.16</v>
      </c>
      <c r="DU71" s="83">
        <f t="shared" ca="1" si="99"/>
        <v>16.920000000000002</v>
      </c>
      <c r="DW71" s="81" t="s">
        <v>160</v>
      </c>
      <c r="DX71" s="81" t="s">
        <v>167</v>
      </c>
      <c r="DY71" s="83">
        <f t="shared" ca="1" si="100"/>
        <v>144.64774436090192</v>
      </c>
      <c r="DZ71" s="83">
        <f t="shared" ca="1" si="101"/>
        <v>19.713984962406016</v>
      </c>
      <c r="EG71" s="86"/>
      <c r="EH71" s="86"/>
      <c r="EI71" s="86"/>
      <c r="EK71" s="86"/>
      <c r="EL71" s="86"/>
      <c r="EM71" s="82"/>
      <c r="EO71" s="82"/>
      <c r="EP71" s="85"/>
      <c r="EQ71" s="84"/>
      <c r="ER71" s="84"/>
    </row>
    <row r="72" spans="1:148" x14ac:dyDescent="0.2">
      <c r="A72" s="81">
        <v>2007</v>
      </c>
      <c r="B72" s="88">
        <v>11</v>
      </c>
      <c r="C72" s="88">
        <v>2.583333333333333</v>
      </c>
      <c r="D72" s="87">
        <v>582.5</v>
      </c>
      <c r="E72" s="87">
        <v>0</v>
      </c>
      <c r="F72" s="87">
        <v>522.5</v>
      </c>
      <c r="G72" s="87">
        <v>0</v>
      </c>
      <c r="H72" s="133">
        <v>462.49999999999989</v>
      </c>
      <c r="I72" s="133">
        <v>0</v>
      </c>
      <c r="J72" s="87">
        <v>402.49999999999983</v>
      </c>
      <c r="K72" s="87">
        <v>0</v>
      </c>
      <c r="L72" s="87">
        <v>342.49999999999989</v>
      </c>
      <c r="M72" s="87">
        <v>0</v>
      </c>
      <c r="N72" s="87">
        <v>282.49999999999989</v>
      </c>
      <c r="O72" s="87">
        <v>0</v>
      </c>
      <c r="P72" s="87">
        <v>222.99999999999997</v>
      </c>
      <c r="Q72" s="87">
        <v>0.5</v>
      </c>
      <c r="R72" s="87">
        <v>166.3</v>
      </c>
      <c r="S72" s="87">
        <v>3.8000000000000007</v>
      </c>
      <c r="T72" s="87"/>
      <c r="U72" s="87"/>
      <c r="V72" s="87"/>
      <c r="X72" s="81" t="s">
        <v>160</v>
      </c>
      <c r="Y72" s="81" t="s">
        <v>168</v>
      </c>
      <c r="Z72" s="83">
        <f t="shared" ca="1" si="72"/>
        <v>699.36</v>
      </c>
      <c r="AA72" s="83">
        <f t="shared" ca="1" si="73"/>
        <v>0</v>
      </c>
      <c r="AC72" s="81" t="s">
        <v>160</v>
      </c>
      <c r="AD72" s="81" t="s">
        <v>168</v>
      </c>
      <c r="AE72" s="83">
        <f t="shared" ca="1" si="102"/>
        <v>682.76127819548856</v>
      </c>
      <c r="AF72" s="83">
        <f t="shared" ca="1" si="103"/>
        <v>0</v>
      </c>
      <c r="AL72" s="81" t="s">
        <v>160</v>
      </c>
      <c r="AM72" s="81" t="s">
        <v>168</v>
      </c>
      <c r="AN72" s="83">
        <f t="shared" ca="1" si="74"/>
        <v>637.36</v>
      </c>
      <c r="AO72" s="83">
        <f t="shared" ca="1" si="75"/>
        <v>0</v>
      </c>
      <c r="AQ72" s="81" t="s">
        <v>160</v>
      </c>
      <c r="AR72" s="81" t="s">
        <v>168</v>
      </c>
      <c r="AS72" s="83">
        <f t="shared" ca="1" si="76"/>
        <v>620.76127819548856</v>
      </c>
      <c r="AT72" s="83">
        <f t="shared" ca="1" si="77"/>
        <v>0</v>
      </c>
      <c r="AZ72" s="81" t="s">
        <v>160</v>
      </c>
      <c r="BA72" s="81" t="s">
        <v>168</v>
      </c>
      <c r="BB72" s="83">
        <f t="shared" ca="1" si="78"/>
        <v>575.3599999999999</v>
      </c>
      <c r="BC72" s="83">
        <f t="shared" ca="1" si="79"/>
        <v>0</v>
      </c>
      <c r="BE72" s="81" t="s">
        <v>160</v>
      </c>
      <c r="BF72" s="81" t="s">
        <v>168</v>
      </c>
      <c r="BG72" s="83">
        <f t="shared" ca="1" si="80"/>
        <v>558.76127819548765</v>
      </c>
      <c r="BH72" s="83">
        <f t="shared" ca="1" si="81"/>
        <v>0</v>
      </c>
      <c r="BN72" s="81" t="s">
        <v>160</v>
      </c>
      <c r="BO72" s="81" t="s">
        <v>168</v>
      </c>
      <c r="BP72" s="83">
        <f t="shared" ca="1" si="82"/>
        <v>513.3599999999999</v>
      </c>
      <c r="BQ72" s="83">
        <f t="shared" ca="1" si="83"/>
        <v>0</v>
      </c>
      <c r="BS72" s="81" t="s">
        <v>160</v>
      </c>
      <c r="BT72" s="81" t="s">
        <v>168</v>
      </c>
      <c r="BU72" s="83">
        <f t="shared" ca="1" si="84"/>
        <v>496.76127819548856</v>
      </c>
      <c r="BV72" s="83">
        <f t="shared" ca="1" si="85"/>
        <v>0</v>
      </c>
      <c r="CB72" s="81" t="s">
        <v>160</v>
      </c>
      <c r="CC72" s="81" t="s">
        <v>168</v>
      </c>
      <c r="CD72" s="83">
        <f t="shared" ca="1" si="86"/>
        <v>451.35999999999996</v>
      </c>
      <c r="CE72" s="83">
        <f t="shared" ca="1" si="87"/>
        <v>0</v>
      </c>
      <c r="CG72" s="81" t="s">
        <v>160</v>
      </c>
      <c r="CH72" s="81" t="s">
        <v>168</v>
      </c>
      <c r="CI72" s="83">
        <f t="shared" ca="1" si="88"/>
        <v>434.76127819548765</v>
      </c>
      <c r="CJ72" s="83">
        <f t="shared" ca="1" si="89"/>
        <v>0</v>
      </c>
      <c r="CP72" s="81" t="s">
        <v>160</v>
      </c>
      <c r="CQ72" s="81" t="s">
        <v>168</v>
      </c>
      <c r="CR72" s="83">
        <f t="shared" ca="1" si="90"/>
        <v>389.36</v>
      </c>
      <c r="CS72" s="83">
        <f t="shared" ca="1" si="91"/>
        <v>0</v>
      </c>
      <c r="CU72" s="81" t="s">
        <v>160</v>
      </c>
      <c r="CV72" s="81" t="s">
        <v>168</v>
      </c>
      <c r="CW72" s="83">
        <f t="shared" ca="1" si="92"/>
        <v>372.76127819548856</v>
      </c>
      <c r="CX72" s="83">
        <f t="shared" ca="1" si="93"/>
        <v>0</v>
      </c>
      <c r="DD72" s="81" t="s">
        <v>160</v>
      </c>
      <c r="DE72" s="81" t="s">
        <v>168</v>
      </c>
      <c r="DF72" s="83">
        <f t="shared" ca="1" si="94"/>
        <v>327.48000000000008</v>
      </c>
      <c r="DG72" s="83">
        <f t="shared" ca="1" si="95"/>
        <v>0.12000000000000011</v>
      </c>
      <c r="DI72" s="81" t="s">
        <v>160</v>
      </c>
      <c r="DJ72" s="81" t="s">
        <v>168</v>
      </c>
      <c r="DK72" s="83">
        <f t="shared" ca="1" si="96"/>
        <v>310.90947368421075</v>
      </c>
      <c r="DL72" s="83">
        <f t="shared" ca="1" si="97"/>
        <v>0.14819548872180377</v>
      </c>
      <c r="DR72" s="81" t="s">
        <v>160</v>
      </c>
      <c r="DS72" s="81" t="s">
        <v>168</v>
      </c>
      <c r="DT72" s="83">
        <f t="shared" ca="1" si="98"/>
        <v>266.75</v>
      </c>
      <c r="DU72" s="83">
        <f t="shared" ca="1" si="99"/>
        <v>1.3900000000000001</v>
      </c>
      <c r="DW72" s="81" t="s">
        <v>160</v>
      </c>
      <c r="DX72" s="81" t="s">
        <v>168</v>
      </c>
      <c r="DY72" s="83">
        <f t="shared" ca="1" si="100"/>
        <v>250.55654135338318</v>
      </c>
      <c r="DZ72" s="83">
        <f t="shared" ca="1" si="101"/>
        <v>1.7952631578947091</v>
      </c>
      <c r="EG72" s="86"/>
      <c r="EH72" s="86"/>
      <c r="EI72" s="86"/>
      <c r="EK72" s="86"/>
      <c r="EL72" s="86"/>
      <c r="EM72" s="82"/>
      <c r="EO72" s="82"/>
      <c r="EP72" s="85"/>
      <c r="EQ72" s="84"/>
      <c r="ER72" s="84"/>
    </row>
    <row r="73" spans="1:148" x14ac:dyDescent="0.2">
      <c r="A73" s="81">
        <v>2007</v>
      </c>
      <c r="B73" s="88">
        <v>12</v>
      </c>
      <c r="C73" s="88">
        <v>-2.3451612903225807</v>
      </c>
      <c r="D73" s="87">
        <v>754.69999999999993</v>
      </c>
      <c r="E73" s="87">
        <v>0</v>
      </c>
      <c r="F73" s="87">
        <v>692.7</v>
      </c>
      <c r="G73" s="87">
        <v>0</v>
      </c>
      <c r="H73" s="133">
        <v>630.70000000000005</v>
      </c>
      <c r="I73" s="133">
        <v>0</v>
      </c>
      <c r="J73" s="87">
        <v>568.69999999999993</v>
      </c>
      <c r="K73" s="87">
        <v>0</v>
      </c>
      <c r="L73" s="87">
        <v>506.7</v>
      </c>
      <c r="M73" s="87">
        <v>0</v>
      </c>
      <c r="N73" s="87">
        <v>444.7</v>
      </c>
      <c r="O73" s="87">
        <v>0</v>
      </c>
      <c r="P73" s="87">
        <v>382.7</v>
      </c>
      <c r="Q73" s="87">
        <v>0</v>
      </c>
      <c r="R73" s="87">
        <v>320.70000000000005</v>
      </c>
      <c r="S73" s="87">
        <v>0</v>
      </c>
      <c r="T73" s="87"/>
      <c r="U73" s="87"/>
      <c r="V73" s="87"/>
      <c r="EG73" s="86"/>
      <c r="EH73" s="86"/>
      <c r="EI73" s="86"/>
      <c r="EK73" s="86"/>
      <c r="EL73" s="86"/>
      <c r="EM73" s="82"/>
      <c r="EO73" s="82"/>
      <c r="EP73" s="85"/>
      <c r="EQ73" s="84"/>
      <c r="ER73" s="84"/>
    </row>
    <row r="74" spans="1:148" ht="15" x14ac:dyDescent="0.25">
      <c r="A74" s="81">
        <v>2008</v>
      </c>
      <c r="B74" s="88">
        <v>1</v>
      </c>
      <c r="C74" s="88">
        <v>-2.1129032258064515</v>
      </c>
      <c r="D74" s="87">
        <v>747.49999999999989</v>
      </c>
      <c r="E74" s="87">
        <v>0</v>
      </c>
      <c r="F74" s="87">
        <v>685.5</v>
      </c>
      <c r="G74" s="87">
        <v>0</v>
      </c>
      <c r="H74" s="133">
        <v>623.49999999999989</v>
      </c>
      <c r="I74" s="133">
        <v>0</v>
      </c>
      <c r="J74" s="87">
        <v>561.5</v>
      </c>
      <c r="K74" s="87">
        <v>0</v>
      </c>
      <c r="L74" s="87">
        <v>499.5</v>
      </c>
      <c r="M74" s="87">
        <v>0</v>
      </c>
      <c r="N74" s="87">
        <v>438.9</v>
      </c>
      <c r="O74" s="87">
        <v>1.4000000000000004</v>
      </c>
      <c r="P74" s="87">
        <v>379.79999999999995</v>
      </c>
      <c r="Q74" s="87">
        <v>4.3000000000000007</v>
      </c>
      <c r="R74" s="87">
        <v>321.79999999999995</v>
      </c>
      <c r="S74" s="87">
        <v>8.3000000000000007</v>
      </c>
      <c r="AC74" s="91" t="s">
        <v>169</v>
      </c>
      <c r="AQ74" s="91" t="s">
        <v>169</v>
      </c>
      <c r="BE74" s="91" t="s">
        <v>169</v>
      </c>
      <c r="BS74" s="91" t="s">
        <v>169</v>
      </c>
      <c r="CG74" s="91" t="s">
        <v>169</v>
      </c>
      <c r="CU74" s="91" t="s">
        <v>169</v>
      </c>
      <c r="DI74" s="91" t="s">
        <v>169</v>
      </c>
      <c r="DW74" s="91" t="s">
        <v>169</v>
      </c>
      <c r="EG74" s="86"/>
      <c r="EH74" s="86"/>
      <c r="EI74" s="86"/>
      <c r="EK74" s="86"/>
      <c r="EL74" s="86"/>
      <c r="EM74" s="82"/>
    </row>
    <row r="75" spans="1:148" x14ac:dyDescent="0.2">
      <c r="A75" s="81">
        <v>2008</v>
      </c>
      <c r="B75" s="88">
        <v>2</v>
      </c>
      <c r="C75" s="88">
        <v>-5.2655172413793103</v>
      </c>
      <c r="D75" s="87">
        <v>790.7</v>
      </c>
      <c r="E75" s="87">
        <v>0</v>
      </c>
      <c r="F75" s="87">
        <v>732.7</v>
      </c>
      <c r="G75" s="87">
        <v>0</v>
      </c>
      <c r="H75" s="133">
        <v>674.7</v>
      </c>
      <c r="I75" s="133">
        <v>0</v>
      </c>
      <c r="J75" s="87">
        <v>616.70000000000005</v>
      </c>
      <c r="K75" s="87">
        <v>0</v>
      </c>
      <c r="L75" s="87">
        <v>558.70000000000005</v>
      </c>
      <c r="M75" s="87">
        <v>0</v>
      </c>
      <c r="N75" s="87">
        <v>500.7</v>
      </c>
      <c r="O75" s="87">
        <v>0</v>
      </c>
      <c r="P75" s="87">
        <v>442.7</v>
      </c>
      <c r="Q75" s="87">
        <v>0</v>
      </c>
      <c r="R75" s="87">
        <v>384.7</v>
      </c>
      <c r="S75" s="87">
        <v>0</v>
      </c>
      <c r="AC75" s="81" t="str">
        <f>AC61</f>
        <v>Toronto Pearson</v>
      </c>
      <c r="AD75" s="81" t="str">
        <f>AD61</f>
        <v>January</v>
      </c>
      <c r="AE75" s="83">
        <f ca="1">OFFSET(Y$25,0,(ROW()-ROW(AE$75)))</f>
        <v>805.82052631578927</v>
      </c>
      <c r="AF75" s="83">
        <f ca="1">OFFSET(Y$52,0,(ROW()-ROW(AF$75)))</f>
        <v>0</v>
      </c>
      <c r="AQ75" s="81" t="str">
        <f>AQ61</f>
        <v>Toronto Pearson</v>
      </c>
      <c r="AR75" s="81" t="str">
        <f>AR61</f>
        <v>January</v>
      </c>
      <c r="AS75" s="83">
        <f ca="1">OFFSET(AM$25,0,(ROW()-ROW(AS$75)))</f>
        <v>743.82052631578881</v>
      </c>
      <c r="AT75" s="83">
        <f ca="1">OFFSET(AM$52,0,(ROW()-ROW(AT$75)))</f>
        <v>0</v>
      </c>
      <c r="BE75" s="81" t="str">
        <f>BE61</f>
        <v>Toronto Pearson</v>
      </c>
      <c r="BF75" s="81" t="str">
        <f>BF61</f>
        <v>January</v>
      </c>
      <c r="BG75" s="83">
        <f ca="1">OFFSET(BA$25,0,(ROW()-ROW(BG$75)))</f>
        <v>681.82052631578927</v>
      </c>
      <c r="BH75" s="83">
        <f ca="1">OFFSET(BA$52,0,(ROW()-ROW(BH$75)))</f>
        <v>0</v>
      </c>
      <c r="BS75" s="81" t="str">
        <f>BS61</f>
        <v>Toronto Pearson</v>
      </c>
      <c r="BT75" s="81" t="str">
        <f>BT61</f>
        <v>January</v>
      </c>
      <c r="BU75" s="83">
        <f ca="1">OFFSET(BO$25,0,(ROW()-ROW(BU$75)))</f>
        <v>619.82052631578927</v>
      </c>
      <c r="BV75" s="83">
        <f ca="1">OFFSET(BO$52,0,(ROW()-ROW(BV$75)))</f>
        <v>0</v>
      </c>
      <c r="CG75" s="81" t="str">
        <f>CG61</f>
        <v>Toronto Pearson</v>
      </c>
      <c r="CH75" s="81" t="str">
        <f>CH61</f>
        <v>January</v>
      </c>
      <c r="CI75" s="83">
        <f ca="1">OFFSET(CC$25,0,(ROW()-ROW(CI$75)))</f>
        <v>557.82052631578927</v>
      </c>
      <c r="CJ75" s="83">
        <f ca="1">OFFSET(CC$52,0,(ROW()-ROW(CJ$75)))</f>
        <v>0</v>
      </c>
      <c r="CU75" s="81" t="str">
        <f>CU61</f>
        <v>Toronto Pearson</v>
      </c>
      <c r="CV75" s="81" t="str">
        <f>CV61</f>
        <v>January</v>
      </c>
      <c r="CW75" s="83">
        <f ca="1">OFFSET(CQ$25,0,(ROW()-ROW(CW$75)))</f>
        <v>495.81315789473638</v>
      </c>
      <c r="CX75" s="83">
        <f ca="1">OFFSET(CQ$52,0,(ROW()-ROW(CX$75)))</f>
        <v>0</v>
      </c>
      <c r="DI75" s="81" t="str">
        <f>DI61</f>
        <v>Toronto Pearson</v>
      </c>
      <c r="DJ75" s="81" t="str">
        <f>DJ61</f>
        <v>January</v>
      </c>
      <c r="DK75" s="83">
        <f ca="1">OFFSET(DE$25,0,(ROW()-ROW(DK$75)))</f>
        <v>433.7978947368415</v>
      </c>
      <c r="DL75" s="83">
        <f ca="1">OFFSET(DE$52,0,(ROW()-ROW(DL$75)))</f>
        <v>0</v>
      </c>
      <c r="DW75" s="81" t="str">
        <f>DW61</f>
        <v>Toronto Pearson</v>
      </c>
      <c r="DX75" s="81" t="str">
        <f>DX61</f>
        <v>January</v>
      </c>
      <c r="DY75" s="83">
        <f ca="1">OFFSET(DS$25,0,(ROW()-ROW(DY$75)))</f>
        <v>372.09210526315792</v>
      </c>
      <c r="DZ75" s="83">
        <f ca="1">OFFSET(DS$52,0,(ROW()-ROW(DZ$75)))</f>
        <v>0.27157894736842536</v>
      </c>
      <c r="EG75" s="86"/>
      <c r="EH75" s="86"/>
      <c r="EI75" s="86"/>
      <c r="EK75" s="86"/>
      <c r="EL75" s="86"/>
      <c r="EM75" s="82"/>
    </row>
    <row r="76" spans="1:148" x14ac:dyDescent="0.2">
      <c r="A76" s="81">
        <v>2008</v>
      </c>
      <c r="B76" s="88">
        <v>3</v>
      </c>
      <c r="C76" s="88">
        <v>-1.6838709677419355</v>
      </c>
      <c r="D76" s="87">
        <v>734.2</v>
      </c>
      <c r="E76" s="87">
        <v>0</v>
      </c>
      <c r="F76" s="87">
        <v>672.2</v>
      </c>
      <c r="G76" s="87">
        <v>0</v>
      </c>
      <c r="H76" s="133">
        <v>610.19999999999993</v>
      </c>
      <c r="I76" s="133">
        <v>0</v>
      </c>
      <c r="J76" s="87">
        <v>548.20000000000005</v>
      </c>
      <c r="K76" s="87">
        <v>0</v>
      </c>
      <c r="L76" s="87">
        <v>486.19999999999993</v>
      </c>
      <c r="M76" s="87">
        <v>0</v>
      </c>
      <c r="N76" s="87">
        <v>424.19999999999993</v>
      </c>
      <c r="O76" s="87">
        <v>0</v>
      </c>
      <c r="P76" s="87">
        <v>362.19999999999987</v>
      </c>
      <c r="Q76" s="87">
        <v>0</v>
      </c>
      <c r="R76" s="87">
        <v>300.19999999999993</v>
      </c>
      <c r="S76" s="87">
        <v>0</v>
      </c>
      <c r="AC76" s="81" t="str">
        <f t="shared" ref="AC76:AD76" si="104">AC62</f>
        <v>Toronto Pearson</v>
      </c>
      <c r="AD76" s="81" t="str">
        <f t="shared" si="104"/>
        <v>February</v>
      </c>
      <c r="AE76" s="83">
        <f t="shared" ref="AE76:AE86" ca="1" si="105">OFFSET(Y$25,0,(ROW()-ROW(AE$75)))</f>
        <v>740.27263157894754</v>
      </c>
      <c r="AF76" s="83">
        <f t="shared" ref="AF76:AF86" ca="1" si="106">OFFSET(Y$52,0,(ROW()-ROW(AF$75)))</f>
        <v>0</v>
      </c>
      <c r="AQ76" s="81" t="str">
        <f t="shared" ref="AQ76:AR76" si="107">AQ62</f>
        <v>Toronto Pearson</v>
      </c>
      <c r="AR76" s="81" t="str">
        <f t="shared" si="107"/>
        <v>February</v>
      </c>
      <c r="AS76" s="83">
        <f t="shared" ref="AS76:AS86" ca="1" si="108">OFFSET(AM$25,0,(ROW()-ROW(AS$75)))</f>
        <v>683.69368421052627</v>
      </c>
      <c r="AT76" s="83">
        <f t="shared" ref="AT76:AT86" ca="1" si="109">OFFSET(AM$52,0,(ROW()-ROW(AT$75)))</f>
        <v>0</v>
      </c>
      <c r="BE76" s="81" t="str">
        <f t="shared" ref="BE76:BF76" si="110">BE62</f>
        <v>Toronto Pearson</v>
      </c>
      <c r="BF76" s="81" t="str">
        <f t="shared" si="110"/>
        <v>February</v>
      </c>
      <c r="BG76" s="83">
        <f t="shared" ref="BG76:BG86" ca="1" si="111">OFFSET(BA$25,0,(ROW()-ROW(BG$75)))</f>
        <v>627.11473684210546</v>
      </c>
      <c r="BH76" s="83">
        <f t="shared" ref="BH76:BH86" ca="1" si="112">OFFSET(BA$52,0,(ROW()-ROW(BH$75)))</f>
        <v>0</v>
      </c>
      <c r="BS76" s="81" t="str">
        <f t="shared" ref="BS76:BT76" si="113">BS62</f>
        <v>Toronto Pearson</v>
      </c>
      <c r="BT76" s="81" t="str">
        <f t="shared" si="113"/>
        <v>February</v>
      </c>
      <c r="BU76" s="83">
        <f t="shared" ref="BU76:BU86" ca="1" si="114">OFFSET(BO$25,0,(ROW()-ROW(BU$75)))</f>
        <v>570.53578947368419</v>
      </c>
      <c r="BV76" s="83">
        <f t="shared" ref="BV76:BV86" ca="1" si="115">OFFSET(BO$52,0,(ROW()-ROW(BV$75)))</f>
        <v>0</v>
      </c>
      <c r="CG76" s="81" t="str">
        <f t="shared" ref="CG76:CH76" si="116">CG62</f>
        <v>Toronto Pearson</v>
      </c>
      <c r="CH76" s="81" t="str">
        <f t="shared" si="116"/>
        <v>February</v>
      </c>
      <c r="CI76" s="83">
        <f t="shared" ref="CI76:CI86" ca="1" si="117">OFFSET(CC$25,0,(ROW()-ROW(CI$75)))</f>
        <v>513.95684210526292</v>
      </c>
      <c r="CJ76" s="83">
        <f t="shared" ref="CJ76:CJ86" ca="1" si="118">OFFSET(CC$52,0,(ROW()-ROW(CJ$75)))</f>
        <v>0</v>
      </c>
      <c r="CR76" s="83"/>
      <c r="CS76" s="83"/>
      <c r="CU76" s="81" t="str">
        <f t="shared" ref="CU76:CV76" si="119">CU62</f>
        <v>Toronto Pearson</v>
      </c>
      <c r="CV76" s="81" t="str">
        <f t="shared" si="119"/>
        <v>February</v>
      </c>
      <c r="CW76" s="83">
        <f t="shared" ref="CW76:CW86" ca="1" si="120">OFFSET(CQ$25,0,(ROW()-ROW(CW$75)))</f>
        <v>457.37789473684211</v>
      </c>
      <c r="CX76" s="83">
        <f t="shared" ref="CX76:CX86" ca="1" si="121">OFFSET(CQ$52,0,(ROW()-ROW(CX$75)))</f>
        <v>0</v>
      </c>
      <c r="DB76" s="83"/>
      <c r="DF76" s="83"/>
      <c r="DG76" s="83"/>
      <c r="DI76" s="81" t="str">
        <f t="shared" ref="DI76:DJ76" si="122">DI62</f>
        <v>Toronto Pearson</v>
      </c>
      <c r="DJ76" s="81" t="str">
        <f t="shared" si="122"/>
        <v>February</v>
      </c>
      <c r="DK76" s="83">
        <f t="shared" ref="DK76:DK86" ca="1" si="123">OFFSET(DE$25,0,(ROW()-ROW(DK$75)))</f>
        <v>400.92210526315807</v>
      </c>
      <c r="DL76" s="83">
        <f t="shared" ref="DL76:DL86" ca="1" si="124">OFFSET(DE$52,0,(ROW()-ROW(DL$75)))</f>
        <v>0.12315789473684191</v>
      </c>
      <c r="DP76" s="83"/>
      <c r="DT76" s="83"/>
      <c r="DU76" s="83"/>
      <c r="DW76" s="81" t="str">
        <f t="shared" ref="DW76:DX76" si="125">DW62</f>
        <v>Toronto Pearson</v>
      </c>
      <c r="DX76" s="81" t="str">
        <f t="shared" si="125"/>
        <v>February</v>
      </c>
      <c r="DY76" s="83">
        <f t="shared" ref="DY76:DY86" ca="1" si="126">OFFSET(DS$25,0,(ROW()-ROW(DY$75)))</f>
        <v>345.23000000000025</v>
      </c>
      <c r="DZ76" s="83">
        <f t="shared" ref="DZ76:DZ86" ca="1" si="127">OFFSET(DS$52,0,(ROW()-ROW(DZ$75)))</f>
        <v>1.0099999999999909</v>
      </c>
      <c r="EG76" s="86"/>
      <c r="EH76" s="86"/>
      <c r="EI76" s="86"/>
      <c r="EK76" s="86"/>
      <c r="EL76" s="86"/>
      <c r="EM76" s="82"/>
    </row>
    <row r="77" spans="1:148" x14ac:dyDescent="0.2">
      <c r="A77" s="81">
        <v>2008</v>
      </c>
      <c r="B77" s="88">
        <v>4</v>
      </c>
      <c r="C77" s="88">
        <v>9.5366666666666635</v>
      </c>
      <c r="D77" s="87">
        <v>373.89999999999992</v>
      </c>
      <c r="E77" s="87">
        <v>0</v>
      </c>
      <c r="F77" s="87">
        <v>313.90000000000003</v>
      </c>
      <c r="G77" s="87">
        <v>0</v>
      </c>
      <c r="H77" s="133">
        <v>253.90000000000003</v>
      </c>
      <c r="I77" s="133">
        <v>0</v>
      </c>
      <c r="J77" s="87">
        <v>196.60000000000005</v>
      </c>
      <c r="K77" s="87">
        <v>2.7000000000000064</v>
      </c>
      <c r="L77" s="87">
        <v>150.9</v>
      </c>
      <c r="M77" s="87">
        <v>17.000000000000007</v>
      </c>
      <c r="N77" s="87">
        <v>110.69999999999999</v>
      </c>
      <c r="O77" s="87">
        <v>36.800000000000004</v>
      </c>
      <c r="P77" s="87">
        <v>77.899999999999991</v>
      </c>
      <c r="Q77" s="87">
        <v>64</v>
      </c>
      <c r="R77" s="87">
        <v>46.5</v>
      </c>
      <c r="S77" s="87">
        <v>92.600000000000023</v>
      </c>
      <c r="AC77" s="81" t="str">
        <f t="shared" ref="AC77:AD77" si="128">AC63</f>
        <v>Toronto Pearson</v>
      </c>
      <c r="AD77" s="81" t="str">
        <f t="shared" si="128"/>
        <v>March</v>
      </c>
      <c r="AE77" s="83">
        <f t="shared" ca="1" si="105"/>
        <v>647.31947368421061</v>
      </c>
      <c r="AF77" s="83">
        <f t="shared" ca="1" si="106"/>
        <v>0</v>
      </c>
      <c r="AQ77" s="81" t="str">
        <f t="shared" ref="AQ77:AR77" si="129">AQ63</f>
        <v>Toronto Pearson</v>
      </c>
      <c r="AR77" s="81" t="str">
        <f t="shared" si="129"/>
        <v>March</v>
      </c>
      <c r="AS77" s="83">
        <f t="shared" ca="1" si="108"/>
        <v>585.31947368421061</v>
      </c>
      <c r="AT77" s="83">
        <f t="shared" ca="1" si="109"/>
        <v>0</v>
      </c>
      <c r="BE77" s="81" t="str">
        <f t="shared" ref="BE77:BF77" si="130">BE63</f>
        <v>Toronto Pearson</v>
      </c>
      <c r="BF77" s="81" t="str">
        <f t="shared" si="130"/>
        <v>March</v>
      </c>
      <c r="BG77" s="83">
        <f t="shared" ca="1" si="111"/>
        <v>523.33105263157859</v>
      </c>
      <c r="BH77" s="83">
        <f t="shared" ca="1" si="112"/>
        <v>1.1578947368421022E-2</v>
      </c>
      <c r="BS77" s="81" t="str">
        <f t="shared" ref="BS77:BT77" si="131">BS63</f>
        <v>Toronto Pearson</v>
      </c>
      <c r="BT77" s="81" t="str">
        <f t="shared" si="131"/>
        <v>March</v>
      </c>
      <c r="BU77" s="83">
        <f t="shared" ca="1" si="114"/>
        <v>461.49315789473712</v>
      </c>
      <c r="BV77" s="83">
        <f t="shared" ca="1" si="115"/>
        <v>0.17368421052631611</v>
      </c>
      <c r="CG77" s="81" t="str">
        <f t="shared" ref="CG77:CH77" si="132">CG63</f>
        <v>Toronto Pearson</v>
      </c>
      <c r="CH77" s="81" t="str">
        <f t="shared" si="132"/>
        <v>March</v>
      </c>
      <c r="CI77" s="83">
        <f t="shared" ca="1" si="117"/>
        <v>400.06210526315817</v>
      </c>
      <c r="CJ77" s="83">
        <f t="shared" ca="1" si="118"/>
        <v>0.74263157894736409</v>
      </c>
      <c r="CQ77" s="83"/>
      <c r="CR77" s="88"/>
      <c r="CS77" s="88"/>
      <c r="CT77" s="88"/>
      <c r="CU77" s="81" t="str">
        <f t="shared" ref="CU77:CV77" si="133">CU63</f>
        <v>Toronto Pearson</v>
      </c>
      <c r="CV77" s="81" t="str">
        <f t="shared" si="133"/>
        <v>March</v>
      </c>
      <c r="CW77" s="83">
        <f t="shared" ca="1" si="120"/>
        <v>339.39631578947365</v>
      </c>
      <c r="CX77" s="83">
        <f t="shared" ca="1" si="121"/>
        <v>2.076842105263168</v>
      </c>
      <c r="CY77" s="88"/>
      <c r="CZ77" s="88"/>
      <c r="DA77" s="88"/>
      <c r="DB77" s="88"/>
      <c r="DE77" s="83"/>
      <c r="DF77" s="88"/>
      <c r="DG77" s="88"/>
      <c r="DH77" s="88"/>
      <c r="DI77" s="81" t="str">
        <f t="shared" ref="DI77:DJ77" si="134">DI63</f>
        <v>Toronto Pearson</v>
      </c>
      <c r="DJ77" s="81" t="str">
        <f t="shared" si="134"/>
        <v>March</v>
      </c>
      <c r="DK77" s="83">
        <f t="shared" ca="1" si="123"/>
        <v>280.64947368421008</v>
      </c>
      <c r="DL77" s="83">
        <f t="shared" ca="1" si="124"/>
        <v>5.3299999999999841</v>
      </c>
      <c r="DM77" s="88"/>
      <c r="DN77" s="88"/>
      <c r="DO77" s="88"/>
      <c r="DP77" s="88"/>
      <c r="DS77" s="83"/>
      <c r="DT77" s="88"/>
      <c r="DU77" s="88"/>
      <c r="DV77" s="88"/>
      <c r="DW77" s="81" t="str">
        <f t="shared" ref="DW77:DX77" si="135">DW63</f>
        <v>Toronto Pearson</v>
      </c>
      <c r="DX77" s="81" t="str">
        <f t="shared" si="135"/>
        <v>March</v>
      </c>
      <c r="DY77" s="83">
        <f t="shared" ca="1" si="126"/>
        <v>222.74894736842089</v>
      </c>
      <c r="DZ77" s="83">
        <f t="shared" ca="1" si="127"/>
        <v>9.4294736842105351</v>
      </c>
      <c r="EA77" s="88"/>
      <c r="EG77" s="86"/>
      <c r="EH77" s="86"/>
      <c r="EI77" s="86"/>
      <c r="EK77" s="86"/>
      <c r="EL77" s="86"/>
      <c r="EM77" s="82"/>
    </row>
    <row r="78" spans="1:148" x14ac:dyDescent="0.2">
      <c r="A78" s="81">
        <v>2008</v>
      </c>
      <c r="B78" s="88">
        <v>5</v>
      </c>
      <c r="C78" s="88">
        <v>11.838709677419354</v>
      </c>
      <c r="D78" s="87">
        <v>315</v>
      </c>
      <c r="E78" s="87">
        <v>0</v>
      </c>
      <c r="F78" s="87">
        <v>253.2</v>
      </c>
      <c r="G78" s="87">
        <v>0.19999999999999929</v>
      </c>
      <c r="H78" s="133">
        <v>193.5</v>
      </c>
      <c r="I78" s="133">
        <v>2.5</v>
      </c>
      <c r="J78" s="87">
        <v>135.49999999999997</v>
      </c>
      <c r="K78" s="87">
        <v>6.5</v>
      </c>
      <c r="L78" s="87">
        <v>81.5</v>
      </c>
      <c r="M78" s="87">
        <v>14.5</v>
      </c>
      <c r="N78" s="87">
        <v>37.700000000000003</v>
      </c>
      <c r="O78" s="87">
        <v>32.700000000000003</v>
      </c>
      <c r="P78" s="87">
        <v>13.899999999999997</v>
      </c>
      <c r="Q78" s="87">
        <v>70.900000000000006</v>
      </c>
      <c r="R78" s="87">
        <v>3.5</v>
      </c>
      <c r="S78" s="87">
        <v>122.50000000000001</v>
      </c>
      <c r="AC78" s="81" t="str">
        <f t="shared" ref="AC78:AD78" si="136">AC64</f>
        <v>Toronto Pearson</v>
      </c>
      <c r="AD78" s="81" t="str">
        <f t="shared" si="136"/>
        <v>April</v>
      </c>
      <c r="AE78" s="83">
        <f t="shared" ca="1" si="105"/>
        <v>466.71000000000004</v>
      </c>
      <c r="AF78" s="83">
        <f t="shared" ca="1" si="106"/>
        <v>0</v>
      </c>
      <c r="AQ78" s="81" t="str">
        <f t="shared" ref="AQ78:AR78" si="137">AQ64</f>
        <v>Toronto Pearson</v>
      </c>
      <c r="AR78" s="81" t="str">
        <f t="shared" si="137"/>
        <v>April</v>
      </c>
      <c r="AS78" s="83">
        <f t="shared" ca="1" si="108"/>
        <v>406.46631578947336</v>
      </c>
      <c r="AT78" s="83">
        <f t="shared" ca="1" si="109"/>
        <v>0</v>
      </c>
      <c r="BE78" s="81" t="str">
        <f t="shared" ref="BE78:BF78" si="138">BE64</f>
        <v>Toronto Pearson</v>
      </c>
      <c r="BF78" s="81" t="str">
        <f t="shared" si="138"/>
        <v>April</v>
      </c>
      <c r="BG78" s="83">
        <f t="shared" ca="1" si="111"/>
        <v>345.73052631578912</v>
      </c>
      <c r="BH78" s="83">
        <f t="shared" ca="1" si="112"/>
        <v>-1.0194736842105385</v>
      </c>
      <c r="BS78" s="81" t="str">
        <f t="shared" ref="BS78:BT78" si="139">BS64</f>
        <v>Toronto Pearson</v>
      </c>
      <c r="BT78" s="81" t="str">
        <f t="shared" si="139"/>
        <v>April</v>
      </c>
      <c r="BU78" s="83">
        <f t="shared" ca="1" si="114"/>
        <v>285.02368421052643</v>
      </c>
      <c r="BV78" s="83">
        <f t="shared" ca="1" si="115"/>
        <v>0</v>
      </c>
      <c r="CG78" s="81" t="str">
        <f t="shared" ref="CG78:CH78" si="140">CG64</f>
        <v>Toronto Pearson</v>
      </c>
      <c r="CH78" s="81" t="str">
        <f t="shared" si="140"/>
        <v>April</v>
      </c>
      <c r="CI78" s="83">
        <f t="shared" ca="1" si="117"/>
        <v>225.72052631578936</v>
      </c>
      <c r="CJ78" s="83">
        <f t="shared" ca="1" si="118"/>
        <v>0</v>
      </c>
      <c r="CQ78" s="83"/>
      <c r="CR78" s="88"/>
      <c r="CS78" s="88"/>
      <c r="CT78" s="88"/>
      <c r="CU78" s="81" t="str">
        <f t="shared" ref="CU78:CV78" si="141">CU64</f>
        <v>Toronto Pearson</v>
      </c>
      <c r="CV78" s="81" t="str">
        <f t="shared" si="141"/>
        <v>April</v>
      </c>
      <c r="CW78" s="83">
        <f t="shared" ca="1" si="120"/>
        <v>168.59578947368414</v>
      </c>
      <c r="CX78" s="83">
        <f t="shared" ca="1" si="121"/>
        <v>1.8457894736841354</v>
      </c>
      <c r="CY78" s="88"/>
      <c r="CZ78" s="88"/>
      <c r="DA78" s="88"/>
      <c r="DB78" s="88"/>
      <c r="DE78" s="83"/>
      <c r="DF78" s="88"/>
      <c r="DG78" s="88"/>
      <c r="DH78" s="88"/>
      <c r="DI78" s="81" t="str">
        <f t="shared" ref="DI78:DJ78" si="142">DI64</f>
        <v>Toronto Pearson</v>
      </c>
      <c r="DJ78" s="81" t="str">
        <f t="shared" si="142"/>
        <v>April</v>
      </c>
      <c r="DK78" s="83">
        <f t="shared" ca="1" si="123"/>
        <v>116.4215789473684</v>
      </c>
      <c r="DL78" s="83">
        <f t="shared" ca="1" si="124"/>
        <v>9.6715789473687437</v>
      </c>
      <c r="DM78" s="88"/>
      <c r="DN78" s="88"/>
      <c r="DO78" s="88"/>
      <c r="DP78" s="88"/>
      <c r="DS78" s="83"/>
      <c r="DT78" s="88"/>
      <c r="DU78" s="88"/>
      <c r="DV78" s="88"/>
      <c r="DW78" s="81" t="str">
        <f t="shared" ref="DW78:DX78" si="143">DW64</f>
        <v>Toronto Pearson</v>
      </c>
      <c r="DX78" s="81" t="str">
        <f t="shared" si="143"/>
        <v>April</v>
      </c>
      <c r="DY78" s="83">
        <f t="shared" ca="1" si="126"/>
        <v>73.468947368421027</v>
      </c>
      <c r="DZ78" s="83">
        <f t="shared" ca="1" si="127"/>
        <v>26.718947368420686</v>
      </c>
      <c r="EA78" s="88"/>
      <c r="EG78" s="86"/>
      <c r="EH78" s="86"/>
      <c r="EI78" s="86"/>
      <c r="EK78" s="86"/>
      <c r="EL78" s="86"/>
      <c r="EM78" s="82"/>
    </row>
    <row r="79" spans="1:148" x14ac:dyDescent="0.2">
      <c r="A79" s="81">
        <v>2008</v>
      </c>
      <c r="B79" s="88">
        <v>6</v>
      </c>
      <c r="C79" s="88">
        <v>19.626666666666665</v>
      </c>
      <c r="D79" s="87">
        <v>91.8</v>
      </c>
      <c r="E79" s="87">
        <v>20.600000000000005</v>
      </c>
      <c r="F79" s="87">
        <v>50.8</v>
      </c>
      <c r="G79" s="87">
        <v>39.600000000000009</v>
      </c>
      <c r="H79" s="133">
        <v>22.7</v>
      </c>
      <c r="I79" s="133">
        <v>71.5</v>
      </c>
      <c r="J79" s="87">
        <v>8.5</v>
      </c>
      <c r="K79" s="87">
        <v>117.30000000000001</v>
      </c>
      <c r="L79" s="87">
        <v>1.4000000000000004</v>
      </c>
      <c r="M79" s="87">
        <v>170.20000000000002</v>
      </c>
      <c r="N79" s="87">
        <v>0</v>
      </c>
      <c r="O79" s="87">
        <v>228.79999999999998</v>
      </c>
      <c r="P79" s="87">
        <v>0</v>
      </c>
      <c r="Q79" s="87">
        <v>288.8</v>
      </c>
      <c r="R79" s="87">
        <v>0</v>
      </c>
      <c r="S79" s="87">
        <v>348.80000000000007</v>
      </c>
      <c r="AC79" s="81" t="str">
        <f t="shared" ref="AC79:AD79" si="144">AC65</f>
        <v>Toronto Pearson</v>
      </c>
      <c r="AD79" s="81" t="str">
        <f t="shared" si="144"/>
        <v>May</v>
      </c>
      <c r="AE79" s="83">
        <f t="shared" ca="1" si="105"/>
        <v>233.54263157894729</v>
      </c>
      <c r="AF79" s="83">
        <f t="shared" ca="1" si="106"/>
        <v>6.1273684210526085</v>
      </c>
      <c r="AQ79" s="81" t="str">
        <f t="shared" ref="AQ79:AR79" si="145">AQ65</f>
        <v>Toronto Pearson</v>
      </c>
      <c r="AR79" s="81" t="str">
        <f t="shared" si="145"/>
        <v>May</v>
      </c>
      <c r="AS79" s="83">
        <f t="shared" ca="1" si="108"/>
        <v>180.81789473684194</v>
      </c>
      <c r="AT79" s="83">
        <f t="shared" ca="1" si="109"/>
        <v>15.402631578947421</v>
      </c>
      <c r="BE79" s="81" t="str">
        <f t="shared" ref="BE79:BF79" si="146">BE65</f>
        <v>Toronto Pearson</v>
      </c>
      <c r="BF79" s="81" t="str">
        <f t="shared" si="146"/>
        <v>May</v>
      </c>
      <c r="BG79" s="83">
        <f t="shared" ca="1" si="111"/>
        <v>133.22631578947357</v>
      </c>
      <c r="BH79" s="83">
        <f t="shared" ca="1" si="112"/>
        <v>29.811052631579059</v>
      </c>
      <c r="BS79" s="81" t="str">
        <f t="shared" ref="BS79:BT79" si="147">BS65</f>
        <v>Toronto Pearson</v>
      </c>
      <c r="BT79" s="81" t="str">
        <f t="shared" si="147"/>
        <v>May</v>
      </c>
      <c r="BU79" s="83">
        <f t="shared" ca="1" si="114"/>
        <v>92.127894736842109</v>
      </c>
      <c r="BV79" s="83">
        <f t="shared" ca="1" si="115"/>
        <v>50.712631578947821</v>
      </c>
      <c r="CG79" s="81" t="str">
        <f t="shared" ref="CG79:CH79" si="148">CG65</f>
        <v>Toronto Pearson</v>
      </c>
      <c r="CH79" s="81" t="str">
        <f t="shared" si="148"/>
        <v>May</v>
      </c>
      <c r="CI79" s="83">
        <f t="shared" ca="1" si="117"/>
        <v>59.688947368421054</v>
      </c>
      <c r="CJ79" s="83">
        <f t="shared" ca="1" si="118"/>
        <v>80.273684210525971</v>
      </c>
      <c r="CQ79" s="83"/>
      <c r="CR79" s="88"/>
      <c r="CS79" s="88"/>
      <c r="CT79" s="88"/>
      <c r="CU79" s="81" t="str">
        <f t="shared" ref="CU79:CV79" si="149">CU65</f>
        <v>Toronto Pearson</v>
      </c>
      <c r="CV79" s="81" t="str">
        <f t="shared" si="149"/>
        <v>May</v>
      </c>
      <c r="CW79" s="83">
        <f t="shared" ca="1" si="120"/>
        <v>35.084736842105279</v>
      </c>
      <c r="CX79" s="83">
        <f t="shared" ca="1" si="121"/>
        <v>117.66947368421097</v>
      </c>
      <c r="CY79" s="88"/>
      <c r="CZ79" s="88"/>
      <c r="DA79" s="88"/>
      <c r="DB79" s="88"/>
      <c r="DE79" s="83"/>
      <c r="DF79" s="88"/>
      <c r="DG79" s="88"/>
      <c r="DH79" s="88"/>
      <c r="DI79" s="81" t="str">
        <f t="shared" ref="DI79:DJ79" si="150">DI65</f>
        <v>Toronto Pearson</v>
      </c>
      <c r="DJ79" s="81" t="str">
        <f t="shared" si="150"/>
        <v>May</v>
      </c>
      <c r="DK79" s="83">
        <f t="shared" ca="1" si="123"/>
        <v>18.07578947368421</v>
      </c>
      <c r="DL79" s="83">
        <f t="shared" ca="1" si="124"/>
        <v>162.66052631578987</v>
      </c>
      <c r="DM79" s="88"/>
      <c r="DN79" s="88"/>
      <c r="DO79" s="88"/>
      <c r="DP79" s="88"/>
      <c r="DS79" s="83"/>
      <c r="DT79" s="88"/>
      <c r="DU79" s="88"/>
      <c r="DV79" s="88"/>
      <c r="DW79" s="81" t="str">
        <f t="shared" ref="DW79:DX79" si="151">DW65</f>
        <v>Toronto Pearson</v>
      </c>
      <c r="DX79" s="81" t="str">
        <f t="shared" si="151"/>
        <v>May</v>
      </c>
      <c r="DY79" s="83">
        <f t="shared" ca="1" si="126"/>
        <v>8.2768421052631425</v>
      </c>
      <c r="DZ79" s="83">
        <f t="shared" ca="1" si="127"/>
        <v>214.86157894736789</v>
      </c>
      <c r="EA79" s="88"/>
      <c r="EG79" s="86"/>
      <c r="EH79" s="86"/>
      <c r="EI79" s="86"/>
      <c r="EK79" s="86"/>
      <c r="EL79" s="86"/>
      <c r="EM79" s="82"/>
    </row>
    <row r="80" spans="1:148" x14ac:dyDescent="0.2">
      <c r="A80" s="81">
        <v>2008</v>
      </c>
      <c r="B80" s="88">
        <v>7</v>
      </c>
      <c r="C80" s="88">
        <v>21.548387096774185</v>
      </c>
      <c r="D80" s="87">
        <v>36.700000000000003</v>
      </c>
      <c r="E80" s="87">
        <v>22.7</v>
      </c>
      <c r="F80" s="87">
        <v>9.6000000000000014</v>
      </c>
      <c r="G80" s="87">
        <v>57.6</v>
      </c>
      <c r="H80" s="133">
        <v>1</v>
      </c>
      <c r="I80" s="133">
        <v>111</v>
      </c>
      <c r="J80" s="87">
        <v>0</v>
      </c>
      <c r="K80" s="87">
        <v>172.00000000000003</v>
      </c>
      <c r="L80" s="87">
        <v>0</v>
      </c>
      <c r="M80" s="87">
        <v>234.00000000000006</v>
      </c>
      <c r="N80" s="87">
        <v>0</v>
      </c>
      <c r="O80" s="87">
        <v>296</v>
      </c>
      <c r="P80" s="87">
        <v>0</v>
      </c>
      <c r="Q80" s="87">
        <v>358</v>
      </c>
      <c r="R80" s="87">
        <v>0</v>
      </c>
      <c r="S80" s="87">
        <v>419.99999999999994</v>
      </c>
      <c r="AC80" s="81" t="str">
        <f t="shared" ref="AC80:AD80" si="152">AC66</f>
        <v>Toronto Pearson</v>
      </c>
      <c r="AD80" s="81" t="str">
        <f t="shared" si="152"/>
        <v>June</v>
      </c>
      <c r="AE80" s="83">
        <f t="shared" ca="1" si="105"/>
        <v>81.119473684210789</v>
      </c>
      <c r="AF80" s="83">
        <f t="shared" ca="1" si="106"/>
        <v>17.41105263157894</v>
      </c>
      <c r="AQ80" s="81" t="str">
        <f t="shared" ref="AQ80:AR80" si="153">AQ66</f>
        <v>Toronto Pearson</v>
      </c>
      <c r="AR80" s="81" t="str">
        <f t="shared" si="153"/>
        <v>June</v>
      </c>
      <c r="AS80" s="83">
        <f t="shared" ca="1" si="108"/>
        <v>42.975789473684017</v>
      </c>
      <c r="AT80" s="83">
        <f t="shared" ca="1" si="109"/>
        <v>39.267368421052623</v>
      </c>
      <c r="BE80" s="81" t="str">
        <f t="shared" ref="BE80:BF80" si="154">BE66</f>
        <v>Toronto Pearson</v>
      </c>
      <c r="BF80" s="81" t="str">
        <f t="shared" si="154"/>
        <v>June</v>
      </c>
      <c r="BG80" s="83">
        <f t="shared" ca="1" si="111"/>
        <v>19.136842105263213</v>
      </c>
      <c r="BH80" s="83">
        <f t="shared" ca="1" si="112"/>
        <v>75.42842105263162</v>
      </c>
      <c r="BN80" s="135"/>
      <c r="BO80" s="259"/>
      <c r="BS80" s="81" t="str">
        <f t="shared" ref="BS80:BT80" si="155">BS66</f>
        <v>Toronto Pearson</v>
      </c>
      <c r="BT80" s="81" t="str">
        <f t="shared" si="155"/>
        <v>June</v>
      </c>
      <c r="BU80" s="83">
        <f t="shared" ca="1" si="114"/>
        <v>6.5805263157894842</v>
      </c>
      <c r="BV80" s="83">
        <f t="shared" ca="1" si="115"/>
        <v>122.87210526315789</v>
      </c>
      <c r="CG80" s="81" t="str">
        <f t="shared" ref="CG80:CH80" si="156">CG66</f>
        <v>Toronto Pearson</v>
      </c>
      <c r="CH80" s="81" t="str">
        <f t="shared" si="156"/>
        <v>June</v>
      </c>
      <c r="CI80" s="83">
        <f t="shared" ca="1" si="117"/>
        <v>1.08894736842106</v>
      </c>
      <c r="CJ80" s="83">
        <f t="shared" ca="1" si="118"/>
        <v>177.38052631578967</v>
      </c>
      <c r="CQ80" s="83"/>
      <c r="CR80" s="88"/>
      <c r="CS80" s="88"/>
      <c r="CT80" s="88"/>
      <c r="CU80" s="81" t="str">
        <f t="shared" ref="CU80:CV80" si="157">CU66</f>
        <v>Toronto Pearson</v>
      </c>
      <c r="CV80" s="81" t="str">
        <f t="shared" si="157"/>
        <v>June</v>
      </c>
      <c r="CW80" s="83">
        <f t="shared" ca="1" si="120"/>
        <v>0</v>
      </c>
      <c r="CX80" s="83">
        <f t="shared" ca="1" si="121"/>
        <v>236.25999999999976</v>
      </c>
      <c r="CY80" s="88"/>
      <c r="CZ80" s="88"/>
      <c r="DA80" s="88"/>
      <c r="DB80" s="88"/>
      <c r="DE80" s="83"/>
      <c r="DF80" s="88"/>
      <c r="DG80" s="88"/>
      <c r="DH80" s="88"/>
      <c r="DI80" s="81" t="str">
        <f t="shared" ref="DI80:DJ80" si="158">DI66</f>
        <v>Toronto Pearson</v>
      </c>
      <c r="DJ80" s="81" t="str">
        <f t="shared" si="158"/>
        <v>June</v>
      </c>
      <c r="DK80" s="83">
        <f t="shared" ca="1" si="123"/>
        <v>0</v>
      </c>
      <c r="DL80" s="83">
        <f t="shared" ca="1" si="124"/>
        <v>296.29157894736841</v>
      </c>
      <c r="DM80" s="88"/>
      <c r="DN80" s="88"/>
      <c r="DO80" s="88"/>
      <c r="DP80" s="88"/>
      <c r="DS80" s="83"/>
      <c r="DT80" s="88"/>
      <c r="DU80" s="88"/>
      <c r="DV80" s="88"/>
      <c r="DW80" s="81" t="str">
        <f t="shared" ref="DW80:DX80" si="159">DW66</f>
        <v>Toronto Pearson</v>
      </c>
      <c r="DX80" s="81" t="str">
        <f t="shared" si="159"/>
        <v>June</v>
      </c>
      <c r="DY80" s="83">
        <f t="shared" ca="1" si="126"/>
        <v>0</v>
      </c>
      <c r="DZ80" s="83">
        <f t="shared" ca="1" si="127"/>
        <v>356.29157894736841</v>
      </c>
      <c r="EA80" s="88"/>
      <c r="EG80" s="86"/>
      <c r="EH80" s="86"/>
      <c r="EI80" s="86"/>
      <c r="EK80" s="86"/>
      <c r="EL80" s="86"/>
      <c r="EM80" s="82"/>
    </row>
    <row r="81" spans="1:168" x14ac:dyDescent="0.2">
      <c r="A81" s="81">
        <v>2008</v>
      </c>
      <c r="B81" s="88">
        <v>8</v>
      </c>
      <c r="C81" s="88">
        <v>19.654838709677417</v>
      </c>
      <c r="D81" s="87">
        <v>77</v>
      </c>
      <c r="E81" s="87">
        <v>4.3000000000000007</v>
      </c>
      <c r="F81" s="87">
        <v>37.700000000000003</v>
      </c>
      <c r="G81" s="87">
        <v>27.000000000000004</v>
      </c>
      <c r="H81" s="133">
        <v>12.700000000000001</v>
      </c>
      <c r="I81" s="133">
        <v>64</v>
      </c>
      <c r="J81" s="87">
        <v>2.0999999999999996</v>
      </c>
      <c r="K81" s="87">
        <v>115.4</v>
      </c>
      <c r="L81" s="87">
        <v>9.9999999999999645E-2</v>
      </c>
      <c r="M81" s="87">
        <v>175.39999999999998</v>
      </c>
      <c r="N81" s="87">
        <v>0</v>
      </c>
      <c r="O81" s="87">
        <v>237.29999999999995</v>
      </c>
      <c r="P81" s="87">
        <v>0</v>
      </c>
      <c r="Q81" s="87">
        <v>299.30000000000007</v>
      </c>
      <c r="R81" s="87">
        <v>0</v>
      </c>
      <c r="S81" s="87">
        <v>361.30000000000007</v>
      </c>
      <c r="AC81" s="81" t="str">
        <f t="shared" ref="AC81:AD81" si="160">AC67</f>
        <v>Toronto Pearson</v>
      </c>
      <c r="AD81" s="81" t="str">
        <f t="shared" si="160"/>
        <v>July</v>
      </c>
      <c r="AE81" s="83">
        <f t="shared" ca="1" si="105"/>
        <v>24.838947368421032</v>
      </c>
      <c r="AF81" s="83">
        <f t="shared" ca="1" si="106"/>
        <v>50.595789473684249</v>
      </c>
      <c r="AQ81" s="81" t="str">
        <f t="shared" ref="AQ81:AR81" si="161">AQ67</f>
        <v>Toronto Pearson</v>
      </c>
      <c r="AR81" s="81" t="str">
        <f t="shared" si="161"/>
        <v>July</v>
      </c>
      <c r="AS81" s="83">
        <f t="shared" ca="1" si="108"/>
        <v>7.3531578947367962</v>
      </c>
      <c r="AT81" s="83">
        <f t="shared" ca="1" si="109"/>
        <v>95.1099999999999</v>
      </c>
      <c r="BE81" s="81" t="str">
        <f t="shared" ref="BE81:BF81" si="162">BE67</f>
        <v>Toronto Pearson</v>
      </c>
      <c r="BF81" s="81" t="str">
        <f t="shared" si="162"/>
        <v>July</v>
      </c>
      <c r="BG81" s="83">
        <f t="shared" ca="1" si="111"/>
        <v>1.5315789473684198</v>
      </c>
      <c r="BH81" s="83">
        <f t="shared" ca="1" si="112"/>
        <v>151.28842105263152</v>
      </c>
      <c r="BN81" s="135"/>
      <c r="BO81" s="259"/>
      <c r="BS81" s="81" t="str">
        <f t="shared" ref="BS81:BT81" si="163">BS67</f>
        <v>Toronto Pearson</v>
      </c>
      <c r="BT81" s="81" t="str">
        <f t="shared" si="163"/>
        <v>July</v>
      </c>
      <c r="BU81" s="83">
        <f t="shared" ca="1" si="114"/>
        <v>0</v>
      </c>
      <c r="BV81" s="83">
        <f t="shared" ca="1" si="115"/>
        <v>211.7568421052631</v>
      </c>
      <c r="CG81" s="81" t="str">
        <f t="shared" ref="CG81:CH81" si="164">CG67</f>
        <v>Toronto Pearson</v>
      </c>
      <c r="CH81" s="81" t="str">
        <f t="shared" si="164"/>
        <v>July</v>
      </c>
      <c r="CI81" s="83">
        <f t="shared" ca="1" si="117"/>
        <v>0</v>
      </c>
      <c r="CJ81" s="83">
        <f t="shared" ca="1" si="118"/>
        <v>273.7568421052631</v>
      </c>
      <c r="CQ81" s="83"/>
      <c r="CR81" s="88"/>
      <c r="CS81" s="88"/>
      <c r="CT81" s="88"/>
      <c r="CU81" s="81" t="str">
        <f t="shared" ref="CU81:CV81" si="165">CU67</f>
        <v>Toronto Pearson</v>
      </c>
      <c r="CV81" s="81" t="str">
        <f t="shared" si="165"/>
        <v>July</v>
      </c>
      <c r="CW81" s="83">
        <f t="shared" ca="1" si="120"/>
        <v>0</v>
      </c>
      <c r="CX81" s="83">
        <f t="shared" ca="1" si="121"/>
        <v>335.7568421052631</v>
      </c>
      <c r="CY81" s="88"/>
      <c r="CZ81" s="88"/>
      <c r="DA81" s="88"/>
      <c r="DB81" s="88"/>
      <c r="DE81" s="83"/>
      <c r="DF81" s="88"/>
      <c r="DG81" s="88"/>
      <c r="DH81" s="88"/>
      <c r="DI81" s="81" t="str">
        <f t="shared" ref="DI81:DJ81" si="166">DI67</f>
        <v>Toronto Pearson</v>
      </c>
      <c r="DJ81" s="81" t="str">
        <f t="shared" si="166"/>
        <v>July</v>
      </c>
      <c r="DK81" s="83">
        <f t="shared" ca="1" si="123"/>
        <v>0</v>
      </c>
      <c r="DL81" s="83">
        <f t="shared" ca="1" si="124"/>
        <v>397.7568421052631</v>
      </c>
      <c r="DM81" s="88"/>
      <c r="DN81" s="88"/>
      <c r="DO81" s="88"/>
      <c r="DP81" s="88"/>
      <c r="DS81" s="83"/>
      <c r="DT81" s="88"/>
      <c r="DU81" s="88"/>
      <c r="DV81" s="88"/>
      <c r="DW81" s="81" t="str">
        <f t="shared" ref="DW81:DX81" si="167">DW67</f>
        <v>Toronto Pearson</v>
      </c>
      <c r="DX81" s="81" t="str">
        <f t="shared" si="167"/>
        <v>July</v>
      </c>
      <c r="DY81" s="83">
        <f t="shared" ca="1" si="126"/>
        <v>0</v>
      </c>
      <c r="DZ81" s="83">
        <f t="shared" ca="1" si="127"/>
        <v>459.7568421052631</v>
      </c>
      <c r="EA81" s="88"/>
      <c r="EG81" s="86"/>
      <c r="EH81" s="86"/>
      <c r="EI81" s="86"/>
      <c r="EK81" s="86"/>
      <c r="EL81" s="86"/>
      <c r="EM81" s="82"/>
    </row>
    <row r="82" spans="1:168" x14ac:dyDescent="0.2">
      <c r="A82" s="81">
        <v>2008</v>
      </c>
      <c r="B82" s="88">
        <v>9</v>
      </c>
      <c r="C82" s="88">
        <v>16.923333333333332</v>
      </c>
      <c r="D82" s="87">
        <v>153.80000000000001</v>
      </c>
      <c r="E82" s="87">
        <v>1.5</v>
      </c>
      <c r="F82" s="87">
        <v>102.29999999999998</v>
      </c>
      <c r="G82" s="87">
        <v>10</v>
      </c>
      <c r="H82" s="133">
        <v>59</v>
      </c>
      <c r="I82" s="133">
        <v>26.7</v>
      </c>
      <c r="J82" s="87">
        <v>26.7</v>
      </c>
      <c r="K82" s="87">
        <v>54.400000000000006</v>
      </c>
      <c r="L82" s="87">
        <v>5.2000000000000011</v>
      </c>
      <c r="M82" s="87">
        <v>92.90000000000002</v>
      </c>
      <c r="N82" s="87">
        <v>0</v>
      </c>
      <c r="O82" s="87">
        <v>147.70000000000002</v>
      </c>
      <c r="P82" s="87">
        <v>0</v>
      </c>
      <c r="Q82" s="87">
        <v>207.70000000000005</v>
      </c>
      <c r="R82" s="87">
        <v>0</v>
      </c>
      <c r="S82" s="87">
        <v>267.70000000000005</v>
      </c>
      <c r="AC82" s="81" t="str">
        <f t="shared" ref="AC82:AD82" si="168">AC68</f>
        <v>Toronto Pearson</v>
      </c>
      <c r="AD82" s="81" t="str">
        <f t="shared" si="168"/>
        <v>August</v>
      </c>
      <c r="AE82" s="83">
        <f t="shared" ca="1" si="105"/>
        <v>32.930526315789621</v>
      </c>
      <c r="AF82" s="83">
        <f t="shared" ca="1" si="106"/>
        <v>37.988947368421123</v>
      </c>
      <c r="AQ82" s="81" t="str">
        <f t="shared" ref="AQ82:AR82" si="169">AQ68</f>
        <v>Toronto Pearson</v>
      </c>
      <c r="AR82" s="81" t="str">
        <f t="shared" si="169"/>
        <v>August</v>
      </c>
      <c r="AS82" s="83">
        <f t="shared" ca="1" si="108"/>
        <v>10.92052631578963</v>
      </c>
      <c r="AT82" s="83">
        <f t="shared" ca="1" si="109"/>
        <v>77.978947368420904</v>
      </c>
      <c r="BE82" s="81" t="str">
        <f t="shared" ref="BE82:BF82" si="170">BE68</f>
        <v>Toronto Pearson</v>
      </c>
      <c r="BF82" s="81" t="str">
        <f t="shared" si="170"/>
        <v>August</v>
      </c>
      <c r="BG82" s="83">
        <f t="shared" ca="1" si="111"/>
        <v>2.5126315789473779</v>
      </c>
      <c r="BH82" s="83">
        <f t="shared" ca="1" si="112"/>
        <v>131.57105263157882</v>
      </c>
      <c r="BN82" s="135"/>
      <c r="BO82" s="259"/>
      <c r="BS82" s="81" t="str">
        <f t="shared" ref="BS82:BT82" si="171">BS68</f>
        <v>Toronto Pearson</v>
      </c>
      <c r="BT82" s="81" t="str">
        <f t="shared" si="171"/>
        <v>August</v>
      </c>
      <c r="BU82" s="83">
        <f t="shared" ca="1" si="114"/>
        <v>0.34105263157894772</v>
      </c>
      <c r="BV82" s="83">
        <f t="shared" ca="1" si="115"/>
        <v>191.39947368421053</v>
      </c>
      <c r="CG82" s="81" t="str">
        <f t="shared" ref="CG82:CH82" si="172">CG68</f>
        <v>Toronto Pearson</v>
      </c>
      <c r="CH82" s="81" t="str">
        <f t="shared" si="172"/>
        <v>August</v>
      </c>
      <c r="CI82" s="83">
        <f t="shared" ca="1" si="117"/>
        <v>0</v>
      </c>
      <c r="CJ82" s="83">
        <f t="shared" ca="1" si="118"/>
        <v>253.05789473684217</v>
      </c>
      <c r="CQ82" s="83"/>
      <c r="CR82" s="88"/>
      <c r="CS82" s="88"/>
      <c r="CT82" s="88"/>
      <c r="CU82" s="81" t="str">
        <f t="shared" ref="CU82:CV82" si="173">CU68</f>
        <v>Toronto Pearson</v>
      </c>
      <c r="CV82" s="81" t="str">
        <f t="shared" si="173"/>
        <v>August</v>
      </c>
      <c r="CW82" s="83">
        <f t="shared" ca="1" si="120"/>
        <v>0</v>
      </c>
      <c r="CX82" s="83">
        <f t="shared" ca="1" si="121"/>
        <v>315.05842105263173</v>
      </c>
      <c r="CY82" s="88"/>
      <c r="CZ82" s="88"/>
      <c r="DA82" s="88"/>
      <c r="DB82" s="88"/>
      <c r="DE82" s="83"/>
      <c r="DF82" s="88"/>
      <c r="DG82" s="88"/>
      <c r="DH82" s="88"/>
      <c r="DI82" s="81" t="str">
        <f t="shared" ref="DI82:DJ82" si="174">DI68</f>
        <v>Toronto Pearson</v>
      </c>
      <c r="DJ82" s="81" t="str">
        <f t="shared" si="174"/>
        <v>August</v>
      </c>
      <c r="DK82" s="83">
        <f t="shared" ca="1" si="123"/>
        <v>0</v>
      </c>
      <c r="DL82" s="83">
        <f t="shared" ca="1" si="124"/>
        <v>377.05842105263173</v>
      </c>
      <c r="DM82" s="88"/>
      <c r="DN82" s="88"/>
      <c r="DO82" s="88"/>
      <c r="DP82" s="88"/>
      <c r="DS82" s="83"/>
      <c r="DT82" s="88"/>
      <c r="DU82" s="88"/>
      <c r="DV82" s="88"/>
      <c r="DW82" s="81" t="str">
        <f t="shared" ref="DW82:DX82" si="175">DW68</f>
        <v>Toronto Pearson</v>
      </c>
      <c r="DX82" s="81" t="str">
        <f t="shared" si="175"/>
        <v>August</v>
      </c>
      <c r="DY82" s="83">
        <f t="shared" ca="1" si="126"/>
        <v>0</v>
      </c>
      <c r="DZ82" s="83">
        <f t="shared" ca="1" si="127"/>
        <v>439.05842105263173</v>
      </c>
      <c r="EA82" s="88"/>
      <c r="EG82" s="86"/>
      <c r="EH82" s="86"/>
      <c r="EI82" s="86"/>
      <c r="EK82" s="86"/>
      <c r="EL82" s="86"/>
      <c r="EM82" s="82"/>
      <c r="EN82" s="89"/>
      <c r="EO82" s="89"/>
      <c r="EP82" s="89"/>
      <c r="EQ82" s="89"/>
      <c r="ER82" s="89"/>
      <c r="ES82" s="89"/>
      <c r="ET82" s="89"/>
      <c r="EU82" s="89"/>
      <c r="EV82" s="89"/>
      <c r="EW82" s="89"/>
      <c r="EX82" s="89"/>
      <c r="EY82" s="89"/>
      <c r="EZ82" s="89"/>
      <c r="FA82" s="89"/>
      <c r="FL82" s="89"/>
    </row>
    <row r="83" spans="1:168" x14ac:dyDescent="0.2">
      <c r="A83" s="81">
        <v>2008</v>
      </c>
      <c r="B83" s="88">
        <v>10</v>
      </c>
      <c r="C83" s="88">
        <v>9.0129032258064505</v>
      </c>
      <c r="D83" s="87">
        <v>402.6</v>
      </c>
      <c r="E83" s="87">
        <v>0</v>
      </c>
      <c r="F83" s="87">
        <v>340.59999999999997</v>
      </c>
      <c r="G83" s="87">
        <v>0</v>
      </c>
      <c r="H83" s="133">
        <v>278.60000000000002</v>
      </c>
      <c r="I83" s="133">
        <v>0</v>
      </c>
      <c r="J83" s="87">
        <v>217.50000000000003</v>
      </c>
      <c r="K83" s="87">
        <v>0.89999999999999858</v>
      </c>
      <c r="L83" s="87">
        <v>158.1</v>
      </c>
      <c r="M83" s="87">
        <v>3.4999999999999982</v>
      </c>
      <c r="N83" s="87">
        <v>105.70000000000002</v>
      </c>
      <c r="O83" s="87">
        <v>13.1</v>
      </c>
      <c r="P83" s="87">
        <v>61.9</v>
      </c>
      <c r="Q83" s="87">
        <v>31.3</v>
      </c>
      <c r="R83" s="87">
        <v>31.700000000000003</v>
      </c>
      <c r="S83" s="87">
        <v>63.100000000000009</v>
      </c>
      <c r="AC83" s="81" t="str">
        <f t="shared" ref="AC83:AD83" si="176">AC69</f>
        <v>Toronto Pearson</v>
      </c>
      <c r="AD83" s="81" t="str">
        <f t="shared" si="176"/>
        <v>September</v>
      </c>
      <c r="AE83" s="83">
        <f t="shared" ca="1" si="105"/>
        <v>140.81473684210522</v>
      </c>
      <c r="AF83" s="83">
        <f t="shared" ca="1" si="106"/>
        <v>11.354736842105297</v>
      </c>
      <c r="AQ83" s="81" t="str">
        <f t="shared" ref="AQ83:AR83" si="177">AQ69</f>
        <v>Toronto Pearson</v>
      </c>
      <c r="AR83" s="81" t="str">
        <f t="shared" si="177"/>
        <v>September</v>
      </c>
      <c r="AS83" s="83">
        <f t="shared" ca="1" si="108"/>
        <v>94.133157894736883</v>
      </c>
      <c r="AT83" s="83">
        <f t="shared" ca="1" si="109"/>
        <v>24.673157894736846</v>
      </c>
      <c r="BE83" s="81" t="str">
        <f t="shared" ref="BE83:BF83" si="178">BE69</f>
        <v>Toronto Pearson</v>
      </c>
      <c r="BF83" s="81" t="str">
        <f t="shared" si="178"/>
        <v>September</v>
      </c>
      <c r="BG83" s="83">
        <f t="shared" ca="1" si="111"/>
        <v>54.889999999999986</v>
      </c>
      <c r="BH83" s="83">
        <f t="shared" ca="1" si="112"/>
        <v>45.430000000000007</v>
      </c>
      <c r="BN83" s="135"/>
      <c r="BO83" s="259"/>
      <c r="BS83" s="81" t="str">
        <f t="shared" ref="BS83:BT83" si="179">BS69</f>
        <v>Toronto Pearson</v>
      </c>
      <c r="BT83" s="81" t="str">
        <f t="shared" si="179"/>
        <v>September</v>
      </c>
      <c r="BU83" s="83">
        <f t="shared" ca="1" si="114"/>
        <v>26.567368421052606</v>
      </c>
      <c r="BV83" s="83">
        <f t="shared" ca="1" si="115"/>
        <v>77.107368421052627</v>
      </c>
      <c r="CG83" s="81" t="str">
        <f t="shared" ref="CG83:CH83" si="180">CG69</f>
        <v>Toronto Pearson</v>
      </c>
      <c r="CH83" s="81" t="str">
        <f t="shared" si="180"/>
        <v>September</v>
      </c>
      <c r="CI83" s="83">
        <f t="shared" ca="1" si="117"/>
        <v>9.9542105263157907</v>
      </c>
      <c r="CJ83" s="83">
        <f t="shared" ca="1" si="118"/>
        <v>120.49421052631581</v>
      </c>
      <c r="CQ83" s="83"/>
      <c r="CR83" s="88"/>
      <c r="CS83" s="88"/>
      <c r="CT83" s="88"/>
      <c r="CU83" s="81" t="str">
        <f t="shared" ref="CU83:CV83" si="181">CU69</f>
        <v>Toronto Pearson</v>
      </c>
      <c r="CV83" s="81" t="str">
        <f t="shared" si="181"/>
        <v>September</v>
      </c>
      <c r="CW83" s="83">
        <f t="shared" ca="1" si="120"/>
        <v>2.2963157894736845</v>
      </c>
      <c r="CX83" s="83">
        <f t="shared" ca="1" si="121"/>
        <v>172.83631578947367</v>
      </c>
      <c r="CY83" s="88"/>
      <c r="CZ83" s="88"/>
      <c r="DA83" s="88"/>
      <c r="DB83" s="88"/>
      <c r="DE83" s="83"/>
      <c r="DF83" s="88"/>
      <c r="DG83" s="88"/>
      <c r="DH83" s="88"/>
      <c r="DI83" s="81" t="str">
        <f t="shared" ref="DI83:DJ83" si="182">DI69</f>
        <v>Toronto Pearson</v>
      </c>
      <c r="DJ83" s="81" t="str">
        <f t="shared" si="182"/>
        <v>September</v>
      </c>
      <c r="DK83" s="83">
        <f t="shared" ca="1" si="123"/>
        <v>0.18105263157895024</v>
      </c>
      <c r="DL83" s="83">
        <f t="shared" ca="1" si="124"/>
        <v>230.721052631579</v>
      </c>
      <c r="DM83" s="88"/>
      <c r="DN83" s="88"/>
      <c r="DO83" s="88"/>
      <c r="DP83" s="88"/>
      <c r="DS83" s="83"/>
      <c r="DT83" s="88"/>
      <c r="DU83" s="88"/>
      <c r="DV83" s="88"/>
      <c r="DW83" s="81" t="str">
        <f t="shared" ref="DW83:DX83" si="183">DW69</f>
        <v>Toronto Pearson</v>
      </c>
      <c r="DX83" s="81" t="str">
        <f t="shared" si="183"/>
        <v>September</v>
      </c>
      <c r="DY83" s="83">
        <f t="shared" ca="1" si="126"/>
        <v>0</v>
      </c>
      <c r="DZ83" s="83">
        <f t="shared" ca="1" si="127"/>
        <v>290.53999999999996</v>
      </c>
      <c r="EA83" s="88"/>
      <c r="EG83" s="86"/>
      <c r="EH83" s="86"/>
      <c r="EI83" s="86"/>
      <c r="EK83" s="86"/>
      <c r="EL83" s="86"/>
      <c r="EM83" s="82"/>
      <c r="EN83" s="89"/>
      <c r="EO83" s="89"/>
      <c r="EP83" s="89"/>
      <c r="EQ83" s="89"/>
      <c r="ER83" s="89"/>
      <c r="ES83" s="89"/>
      <c r="ET83" s="89"/>
      <c r="EU83" s="89"/>
      <c r="EV83" s="89"/>
      <c r="EW83" s="89"/>
      <c r="EX83" s="89"/>
      <c r="EY83" s="89"/>
      <c r="EZ83" s="89"/>
      <c r="FA83" s="89"/>
      <c r="FL83" s="89"/>
    </row>
    <row r="84" spans="1:168" x14ac:dyDescent="0.2">
      <c r="A84" s="81">
        <v>2008</v>
      </c>
      <c r="B84" s="88">
        <v>11</v>
      </c>
      <c r="C84" s="88">
        <v>2.9466666666666677</v>
      </c>
      <c r="D84" s="87">
        <v>571.60000000000014</v>
      </c>
      <c r="E84" s="87">
        <v>0</v>
      </c>
      <c r="F84" s="87">
        <v>511.60000000000014</v>
      </c>
      <c r="G84" s="87">
        <v>0</v>
      </c>
      <c r="H84" s="133">
        <v>451.60000000000014</v>
      </c>
      <c r="I84" s="133">
        <v>0</v>
      </c>
      <c r="J84" s="87">
        <v>391.60000000000008</v>
      </c>
      <c r="K84" s="87">
        <v>0</v>
      </c>
      <c r="L84" s="87">
        <v>331.6</v>
      </c>
      <c r="M84" s="87">
        <v>0</v>
      </c>
      <c r="N84" s="87">
        <v>272.3</v>
      </c>
      <c r="O84" s="87">
        <v>0.69999999999999929</v>
      </c>
      <c r="P84" s="87">
        <v>219.39999999999998</v>
      </c>
      <c r="Q84" s="87">
        <v>7.7999999999999989</v>
      </c>
      <c r="R84" s="87">
        <v>171.6</v>
      </c>
      <c r="S84" s="87">
        <v>20</v>
      </c>
      <c r="AC84" s="81" t="str">
        <f t="shared" ref="AC84:AD84" si="184">AC70</f>
        <v>Toronto Pearson</v>
      </c>
      <c r="AD84" s="81" t="str">
        <f t="shared" si="184"/>
        <v>October</v>
      </c>
      <c r="AE84" s="83">
        <f t="shared" ca="1" si="105"/>
        <v>329.96157894736825</v>
      </c>
      <c r="AF84" s="83">
        <f t="shared" ca="1" si="106"/>
        <v>6.6842105263155815E-2</v>
      </c>
      <c r="AQ84" s="81" t="str">
        <f t="shared" ref="AQ84:AR84" si="185">AQ70</f>
        <v>Toronto Pearson</v>
      </c>
      <c r="AR84" s="81" t="str">
        <f t="shared" si="185"/>
        <v>October</v>
      </c>
      <c r="AS84" s="83">
        <f t="shared" ca="1" si="108"/>
        <v>268.7931578947364</v>
      </c>
      <c r="AT84" s="83">
        <f t="shared" ca="1" si="109"/>
        <v>0.89842105263158345</v>
      </c>
      <c r="BE84" s="81" t="str">
        <f t="shared" ref="BE84:BF84" si="186">BE70</f>
        <v>Toronto Pearson</v>
      </c>
      <c r="BF84" s="81" t="str">
        <f t="shared" si="186"/>
        <v>October</v>
      </c>
      <c r="BG84" s="83">
        <f t="shared" ca="1" si="111"/>
        <v>209.08052631578903</v>
      </c>
      <c r="BH84" s="83">
        <f t="shared" ca="1" si="112"/>
        <v>3.1857894736842098</v>
      </c>
      <c r="BN84" s="135"/>
      <c r="BO84" s="259"/>
      <c r="BS84" s="81" t="str">
        <f t="shared" ref="BS84:BT84" si="187">BS70</f>
        <v>Toronto Pearson</v>
      </c>
      <c r="BT84" s="81" t="str">
        <f t="shared" si="187"/>
        <v>October</v>
      </c>
      <c r="BU84" s="83">
        <f t="shared" ca="1" si="114"/>
        <v>154.52315789473778</v>
      </c>
      <c r="BV84" s="83">
        <f t="shared" ca="1" si="115"/>
        <v>10.628421052631595</v>
      </c>
      <c r="CG84" s="81" t="str">
        <f t="shared" ref="CG84:CH84" si="188">CG70</f>
        <v>Toronto Pearson</v>
      </c>
      <c r="CH84" s="81" t="str">
        <f t="shared" si="188"/>
        <v>October</v>
      </c>
      <c r="CI84" s="83">
        <f t="shared" ca="1" si="117"/>
        <v>107.70315789473716</v>
      </c>
      <c r="CJ84" s="83">
        <f t="shared" ca="1" si="118"/>
        <v>25.808421052631616</v>
      </c>
      <c r="CQ84" s="83"/>
      <c r="CR84" s="88"/>
      <c r="CS84" s="88"/>
      <c r="CT84" s="88"/>
      <c r="CU84" s="81" t="str">
        <f t="shared" ref="CU84:CV84" si="189">CU70</f>
        <v>Toronto Pearson</v>
      </c>
      <c r="CV84" s="81" t="str">
        <f t="shared" si="189"/>
        <v>October</v>
      </c>
      <c r="CW84" s="83">
        <f t="shared" ca="1" si="120"/>
        <v>67.904736842105649</v>
      </c>
      <c r="CX84" s="83">
        <f t="shared" ca="1" si="121"/>
        <v>48.010000000000218</v>
      </c>
      <c r="CY84" s="88"/>
      <c r="CZ84" s="88"/>
      <c r="DA84" s="88"/>
      <c r="DB84" s="88"/>
      <c r="DE84" s="83"/>
      <c r="DF84" s="88"/>
      <c r="DG84" s="88"/>
      <c r="DH84" s="88"/>
      <c r="DI84" s="81" t="str">
        <f t="shared" ref="DI84:DJ84" si="190">DI70</f>
        <v>Toronto Pearson</v>
      </c>
      <c r="DJ84" s="81" t="str">
        <f t="shared" si="190"/>
        <v>October</v>
      </c>
      <c r="DK84" s="83">
        <f t="shared" ca="1" si="123"/>
        <v>37.205263157894933</v>
      </c>
      <c r="DL84" s="83">
        <f t="shared" ca="1" si="124"/>
        <v>79.310526315789502</v>
      </c>
      <c r="DM84" s="88"/>
      <c r="DN84" s="88"/>
      <c r="DO84" s="88"/>
      <c r="DP84" s="88"/>
      <c r="DS84" s="83"/>
      <c r="DT84" s="88"/>
      <c r="DU84" s="88"/>
      <c r="DV84" s="88"/>
      <c r="DW84" s="81" t="str">
        <f t="shared" ref="DW84:DX84" si="191">DW70</f>
        <v>Toronto Pearson</v>
      </c>
      <c r="DX84" s="81" t="str">
        <f t="shared" si="191"/>
        <v>October</v>
      </c>
      <c r="DY84" s="83">
        <f t="shared" ca="1" si="126"/>
        <v>16.166315789473856</v>
      </c>
      <c r="DZ84" s="83">
        <f t="shared" ca="1" si="127"/>
        <v>120.2715789473682</v>
      </c>
      <c r="EA84" s="88"/>
      <c r="EG84" s="86"/>
      <c r="EH84" s="86"/>
      <c r="EI84" s="86"/>
      <c r="EK84" s="86"/>
      <c r="EL84" s="86"/>
      <c r="EM84" s="82"/>
    </row>
    <row r="85" spans="1:168" x14ac:dyDescent="0.2">
      <c r="A85" s="81">
        <v>2008</v>
      </c>
      <c r="B85" s="88">
        <v>12</v>
      </c>
      <c r="C85" s="88">
        <v>-3.1161290322580641</v>
      </c>
      <c r="D85" s="87">
        <v>778.60000000000025</v>
      </c>
      <c r="E85" s="87">
        <v>0</v>
      </c>
      <c r="F85" s="87">
        <v>716.60000000000025</v>
      </c>
      <c r="G85" s="87">
        <v>0</v>
      </c>
      <c r="H85" s="133">
        <v>654.60000000000025</v>
      </c>
      <c r="I85" s="133">
        <v>0</v>
      </c>
      <c r="J85" s="87">
        <v>592.60000000000014</v>
      </c>
      <c r="K85" s="87">
        <v>0</v>
      </c>
      <c r="L85" s="87">
        <v>530.6</v>
      </c>
      <c r="M85" s="87">
        <v>0</v>
      </c>
      <c r="N85" s="87">
        <v>468.6</v>
      </c>
      <c r="O85" s="87">
        <v>0</v>
      </c>
      <c r="P85" s="87">
        <v>406.6</v>
      </c>
      <c r="Q85" s="87">
        <v>0</v>
      </c>
      <c r="R85" s="87">
        <v>344.6</v>
      </c>
      <c r="S85" s="87">
        <v>0</v>
      </c>
      <c r="AC85" s="81" t="str">
        <f t="shared" ref="AC85:AD85" si="192">AC71</f>
        <v>Toronto Pearson</v>
      </c>
      <c r="AD85" s="81" t="str">
        <f t="shared" si="192"/>
        <v>November</v>
      </c>
      <c r="AE85" s="83">
        <f t="shared" ca="1" si="105"/>
        <v>543.97473684210559</v>
      </c>
      <c r="AF85" s="83">
        <f t="shared" ca="1" si="106"/>
        <v>0</v>
      </c>
      <c r="AQ85" s="81" t="str">
        <f t="shared" ref="AQ85:AR85" si="193">AQ71</f>
        <v>Toronto Pearson</v>
      </c>
      <c r="AR85" s="81" t="str">
        <f t="shared" si="193"/>
        <v>November</v>
      </c>
      <c r="AS85" s="83">
        <f t="shared" ca="1" si="108"/>
        <v>483.97473684210536</v>
      </c>
      <c r="AT85" s="83">
        <f t="shared" ca="1" si="109"/>
        <v>0</v>
      </c>
      <c r="BE85" s="81" t="str">
        <f t="shared" ref="BE85:BF85" si="194">BE71</f>
        <v>Toronto Pearson</v>
      </c>
      <c r="BF85" s="81" t="str">
        <f t="shared" si="194"/>
        <v>November</v>
      </c>
      <c r="BG85" s="83">
        <f t="shared" ca="1" si="111"/>
        <v>423.97473684210513</v>
      </c>
      <c r="BH85" s="83">
        <f t="shared" ca="1" si="112"/>
        <v>0</v>
      </c>
      <c r="BN85" s="135"/>
      <c r="BO85" s="259"/>
      <c r="BS85" s="81" t="str">
        <f t="shared" ref="BS85:BT85" si="195">BS71</f>
        <v>Toronto Pearson</v>
      </c>
      <c r="BT85" s="81" t="str">
        <f t="shared" si="195"/>
        <v>November</v>
      </c>
      <c r="BU85" s="83">
        <f t="shared" ca="1" si="114"/>
        <v>363.9931578947369</v>
      </c>
      <c r="BV85" s="83">
        <f t="shared" ca="1" si="115"/>
        <v>1.8421052631579116E-2</v>
      </c>
      <c r="CG85" s="81" t="str">
        <f t="shared" ref="CG85:CH85" si="196">CG71</f>
        <v>Toronto Pearson</v>
      </c>
      <c r="CH85" s="81" t="str">
        <f t="shared" si="196"/>
        <v>November</v>
      </c>
      <c r="CI85" s="83">
        <f t="shared" ca="1" si="117"/>
        <v>305.31105263157906</v>
      </c>
      <c r="CJ85" s="83">
        <f t="shared" ca="1" si="118"/>
        <v>1.3363157894737014</v>
      </c>
      <c r="CQ85" s="83"/>
      <c r="CR85" s="88"/>
      <c r="CS85" s="88"/>
      <c r="CT85" s="88"/>
      <c r="CU85" s="81" t="str">
        <f t="shared" ref="CU85:CV85" si="197">CU71</f>
        <v>Toronto Pearson</v>
      </c>
      <c r="CV85" s="81" t="str">
        <f t="shared" si="197"/>
        <v>November</v>
      </c>
      <c r="CW85" s="83">
        <f t="shared" ca="1" si="120"/>
        <v>247.79105263157908</v>
      </c>
      <c r="CX85" s="83">
        <f t="shared" ca="1" si="121"/>
        <v>3.8163157894736628</v>
      </c>
      <c r="CY85" s="88"/>
      <c r="CZ85" s="88"/>
      <c r="DA85" s="88"/>
      <c r="DB85" s="88"/>
      <c r="DE85" s="83"/>
      <c r="DF85" s="88"/>
      <c r="DG85" s="88"/>
      <c r="DH85" s="88"/>
      <c r="DI85" s="81" t="str">
        <f t="shared" ref="DI85:DJ85" si="198">DI71</f>
        <v>Toronto Pearson</v>
      </c>
      <c r="DJ85" s="81" t="str">
        <f t="shared" si="198"/>
        <v>November</v>
      </c>
      <c r="DK85" s="83">
        <f t="shared" ca="1" si="123"/>
        <v>193.53736842105263</v>
      </c>
      <c r="DL85" s="83">
        <f t="shared" ca="1" si="124"/>
        <v>9.5626315789472756</v>
      </c>
      <c r="DM85" s="88"/>
      <c r="DN85" s="88"/>
      <c r="DO85" s="88"/>
      <c r="DP85" s="88"/>
      <c r="DS85" s="83"/>
      <c r="DT85" s="88"/>
      <c r="DU85" s="88"/>
      <c r="DV85" s="88"/>
      <c r="DW85" s="81" t="str">
        <f t="shared" ref="DW85:DX85" si="199">DW71</f>
        <v>Toronto Pearson</v>
      </c>
      <c r="DX85" s="81" t="str">
        <f t="shared" si="199"/>
        <v>November</v>
      </c>
      <c r="DY85" s="83">
        <f t="shared" ca="1" si="126"/>
        <v>143.36315789473656</v>
      </c>
      <c r="DZ85" s="83">
        <f t="shared" ca="1" si="127"/>
        <v>19.388421052631656</v>
      </c>
      <c r="EA85" s="88"/>
      <c r="EG85" s="86"/>
      <c r="EH85" s="86"/>
      <c r="EI85" s="86"/>
      <c r="EK85" s="86"/>
      <c r="EL85" s="86"/>
      <c r="EM85" s="82"/>
    </row>
    <row r="86" spans="1:168" x14ac:dyDescent="0.2">
      <c r="A86" s="81">
        <v>2009</v>
      </c>
      <c r="B86" s="88">
        <v>1</v>
      </c>
      <c r="C86" s="88">
        <v>-8.7806451612903214</v>
      </c>
      <c r="D86" s="87">
        <v>954.19999999999993</v>
      </c>
      <c r="E86" s="87">
        <v>0</v>
      </c>
      <c r="F86" s="87">
        <v>892.19999999999993</v>
      </c>
      <c r="G86" s="87">
        <v>0</v>
      </c>
      <c r="H86" s="133">
        <v>830.2</v>
      </c>
      <c r="I86" s="133">
        <v>0</v>
      </c>
      <c r="J86" s="87">
        <v>768.19999999999993</v>
      </c>
      <c r="K86" s="87">
        <v>0</v>
      </c>
      <c r="L86" s="87">
        <v>706.19999999999993</v>
      </c>
      <c r="M86" s="87">
        <v>0</v>
      </c>
      <c r="N86" s="87">
        <v>644.20000000000005</v>
      </c>
      <c r="O86" s="87">
        <v>0</v>
      </c>
      <c r="P86" s="87">
        <v>582.20000000000005</v>
      </c>
      <c r="Q86" s="87">
        <v>0</v>
      </c>
      <c r="R86" s="87">
        <v>520.20000000000005</v>
      </c>
      <c r="S86" s="87">
        <v>0</v>
      </c>
      <c r="AC86" s="81" t="str">
        <f t="shared" ref="AC86:AD86" si="200">AC72</f>
        <v>Toronto Pearson</v>
      </c>
      <c r="AD86" s="81" t="str">
        <f t="shared" si="200"/>
        <v>December</v>
      </c>
      <c r="AE86" s="83">
        <f t="shared" ca="1" si="105"/>
        <v>685.7842105263162</v>
      </c>
      <c r="AF86" s="83">
        <f t="shared" ca="1" si="106"/>
        <v>0</v>
      </c>
      <c r="AQ86" s="81" t="str">
        <f t="shared" ref="AQ86:AR86" si="201">AQ72</f>
        <v>Toronto Pearson</v>
      </c>
      <c r="AR86" s="81" t="str">
        <f t="shared" si="201"/>
        <v>December</v>
      </c>
      <c r="AS86" s="83">
        <f t="shared" ca="1" si="108"/>
        <v>623.7842105263162</v>
      </c>
      <c r="AT86" s="83">
        <f t="shared" ca="1" si="109"/>
        <v>0</v>
      </c>
      <c r="BE86" s="81" t="str">
        <f t="shared" ref="BE86:BF86" si="202">BE72</f>
        <v>Toronto Pearson</v>
      </c>
      <c r="BF86" s="81" t="str">
        <f t="shared" si="202"/>
        <v>December</v>
      </c>
      <c r="BG86" s="83">
        <f t="shared" ca="1" si="111"/>
        <v>561.78421052631529</v>
      </c>
      <c r="BH86" s="83">
        <f t="shared" ca="1" si="112"/>
        <v>0</v>
      </c>
      <c r="BN86" s="135"/>
      <c r="BO86" s="259"/>
      <c r="BS86" s="81" t="str">
        <f t="shared" ref="BS86:BT86" si="203">BS72</f>
        <v>Toronto Pearson</v>
      </c>
      <c r="BT86" s="81" t="str">
        <f t="shared" si="203"/>
        <v>December</v>
      </c>
      <c r="BU86" s="83">
        <f t="shared" ca="1" si="114"/>
        <v>499.7842105263162</v>
      </c>
      <c r="BV86" s="83">
        <f t="shared" ca="1" si="115"/>
        <v>0</v>
      </c>
      <c r="CG86" s="81" t="str">
        <f t="shared" ref="CG86:CH86" si="204">CG72</f>
        <v>Toronto Pearson</v>
      </c>
      <c r="CH86" s="81" t="str">
        <f t="shared" si="204"/>
        <v>December</v>
      </c>
      <c r="CI86" s="83">
        <f t="shared" ca="1" si="117"/>
        <v>437.78421052631529</v>
      </c>
      <c r="CJ86" s="83">
        <f t="shared" ca="1" si="118"/>
        <v>0</v>
      </c>
      <c r="CQ86" s="83"/>
      <c r="CR86" s="88"/>
      <c r="CS86" s="88"/>
      <c r="CT86" s="88"/>
      <c r="CU86" s="81" t="str">
        <f t="shared" ref="CU86:CV86" si="205">CU72</f>
        <v>Toronto Pearson</v>
      </c>
      <c r="CV86" s="81" t="str">
        <f t="shared" si="205"/>
        <v>December</v>
      </c>
      <c r="CW86" s="83">
        <f t="shared" ca="1" si="120"/>
        <v>375.7842105263162</v>
      </c>
      <c r="CX86" s="83">
        <f t="shared" ca="1" si="121"/>
        <v>0</v>
      </c>
      <c r="CY86" s="88"/>
      <c r="CZ86" s="88"/>
      <c r="DA86" s="88"/>
      <c r="DB86" s="88"/>
      <c r="DE86" s="83"/>
      <c r="DF86" s="88"/>
      <c r="DG86" s="88"/>
      <c r="DH86" s="88"/>
      <c r="DI86" s="81" t="str">
        <f t="shared" ref="DI86:DJ86" si="206">DI72</f>
        <v>Toronto Pearson</v>
      </c>
      <c r="DJ86" s="81" t="str">
        <f t="shared" si="206"/>
        <v>December</v>
      </c>
      <c r="DK86" s="83">
        <f t="shared" ca="1" si="123"/>
        <v>313.92473684210563</v>
      </c>
      <c r="DL86" s="83">
        <f t="shared" ca="1" si="124"/>
        <v>0.14052631578947405</v>
      </c>
      <c r="DM86" s="88"/>
      <c r="DN86" s="88"/>
      <c r="DO86" s="88"/>
      <c r="DP86" s="88"/>
      <c r="DS86" s="83"/>
      <c r="DT86" s="88"/>
      <c r="DU86" s="88"/>
      <c r="DV86" s="88"/>
      <c r="DW86" s="81" t="str">
        <f t="shared" ref="DW86:DX86" si="207">DW72</f>
        <v>Toronto Pearson</v>
      </c>
      <c r="DX86" s="81" t="str">
        <f t="shared" si="207"/>
        <v>December</v>
      </c>
      <c r="DY86" s="83">
        <f t="shared" ca="1" si="126"/>
        <v>253.48684210526335</v>
      </c>
      <c r="DZ86" s="83">
        <f t="shared" ca="1" si="127"/>
        <v>1.7026315789473472</v>
      </c>
      <c r="EA86" s="88"/>
      <c r="EG86" s="86"/>
      <c r="EH86" s="86"/>
      <c r="EI86" s="86"/>
      <c r="EK86" s="86"/>
      <c r="EL86" s="86"/>
      <c r="EM86" s="82"/>
    </row>
    <row r="87" spans="1:168" x14ac:dyDescent="0.2">
      <c r="A87" s="81">
        <v>2009</v>
      </c>
      <c r="B87" s="88">
        <v>2</v>
      </c>
      <c r="C87" s="88">
        <v>-3.657142857142857</v>
      </c>
      <c r="D87" s="87">
        <v>718.40000000000009</v>
      </c>
      <c r="E87" s="87">
        <v>0</v>
      </c>
      <c r="F87" s="87">
        <v>662.40000000000009</v>
      </c>
      <c r="G87" s="87">
        <v>0</v>
      </c>
      <c r="H87" s="133">
        <v>606.4</v>
      </c>
      <c r="I87" s="133">
        <v>0</v>
      </c>
      <c r="J87" s="87">
        <v>550.4</v>
      </c>
      <c r="K87" s="87">
        <v>0</v>
      </c>
      <c r="L87" s="87">
        <v>494.39999999999992</v>
      </c>
      <c r="M87" s="87">
        <v>0</v>
      </c>
      <c r="N87" s="87">
        <v>438.4</v>
      </c>
      <c r="O87" s="87">
        <v>0</v>
      </c>
      <c r="P87" s="87">
        <v>382.40000000000003</v>
      </c>
      <c r="Q87" s="87">
        <v>0</v>
      </c>
      <c r="R87" s="87">
        <v>326.40000000000003</v>
      </c>
      <c r="S87" s="87">
        <v>0</v>
      </c>
      <c r="BN87" s="135"/>
      <c r="BO87" s="259"/>
      <c r="CQ87" s="83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E87" s="83"/>
      <c r="DF87" s="88"/>
      <c r="DG87" s="88"/>
      <c r="DH87" s="88"/>
      <c r="DI87" s="88"/>
      <c r="DJ87" s="88"/>
      <c r="DK87" s="88"/>
      <c r="DL87" s="88"/>
      <c r="DM87" s="88"/>
      <c r="DN87" s="88"/>
      <c r="DO87" s="88"/>
      <c r="DP87" s="88"/>
      <c r="DS87" s="83"/>
      <c r="DT87" s="88"/>
      <c r="DU87" s="88"/>
      <c r="DV87" s="88"/>
      <c r="DW87" s="88"/>
      <c r="DX87" s="88"/>
      <c r="DY87" s="88"/>
      <c r="DZ87" s="88"/>
      <c r="EA87" s="88"/>
      <c r="EG87" s="86"/>
      <c r="EH87" s="86"/>
      <c r="EI87" s="86"/>
      <c r="EK87" s="86"/>
      <c r="EL87" s="86"/>
      <c r="EM87" s="82"/>
    </row>
    <row r="88" spans="1:168" x14ac:dyDescent="0.2">
      <c r="A88" s="81">
        <v>2009</v>
      </c>
      <c r="B88" s="88">
        <v>3</v>
      </c>
      <c r="C88" s="88">
        <v>0.78064516129032258</v>
      </c>
      <c r="D88" s="87">
        <v>657.8</v>
      </c>
      <c r="E88" s="87">
        <v>0</v>
      </c>
      <c r="F88" s="87">
        <v>595.79999999999995</v>
      </c>
      <c r="G88" s="87">
        <v>0</v>
      </c>
      <c r="H88" s="133">
        <v>533.79999999999995</v>
      </c>
      <c r="I88" s="133">
        <v>0</v>
      </c>
      <c r="J88" s="87">
        <v>471.79999999999995</v>
      </c>
      <c r="K88" s="87">
        <v>0</v>
      </c>
      <c r="L88" s="87">
        <v>409.79999999999995</v>
      </c>
      <c r="M88" s="87">
        <v>0</v>
      </c>
      <c r="N88" s="87">
        <v>347.79999999999995</v>
      </c>
      <c r="O88" s="87">
        <v>0</v>
      </c>
      <c r="P88" s="87">
        <v>285.89999999999998</v>
      </c>
      <c r="Q88" s="87">
        <v>9.9999999999999645E-2</v>
      </c>
      <c r="R88" s="87">
        <v>226.7</v>
      </c>
      <c r="S88" s="87">
        <v>2.9000000000000004</v>
      </c>
      <c r="BN88" s="135"/>
      <c r="BO88" s="259"/>
      <c r="CQ88" s="83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E88" s="83"/>
      <c r="DF88" s="88"/>
      <c r="DG88" s="88"/>
      <c r="DH88" s="88"/>
      <c r="DI88" s="88"/>
      <c r="DJ88" s="88"/>
      <c r="DK88" s="88"/>
      <c r="DL88" s="88"/>
      <c r="DM88" s="88"/>
      <c r="DN88" s="88"/>
      <c r="DO88" s="88"/>
      <c r="DP88" s="88"/>
      <c r="DS88" s="83"/>
      <c r="DT88" s="88"/>
      <c r="DU88" s="88"/>
      <c r="DV88" s="88"/>
      <c r="DW88" s="88"/>
      <c r="DX88" s="88"/>
      <c r="DY88" s="88"/>
      <c r="DZ88" s="88"/>
      <c r="EA88" s="88"/>
      <c r="EG88" s="86"/>
      <c r="EH88" s="86"/>
      <c r="EI88" s="86"/>
      <c r="EK88" s="86"/>
      <c r="EL88" s="86"/>
      <c r="EM88" s="82"/>
    </row>
    <row r="89" spans="1:168" x14ac:dyDescent="0.2">
      <c r="A89" s="81">
        <v>2009</v>
      </c>
      <c r="B89" s="88">
        <v>4</v>
      </c>
      <c r="C89" s="88">
        <v>7.8466666666666667</v>
      </c>
      <c r="D89" s="87">
        <v>424.59999999999997</v>
      </c>
      <c r="E89" s="87">
        <v>0</v>
      </c>
      <c r="F89" s="87">
        <v>364.6</v>
      </c>
      <c r="G89" s="87">
        <v>0</v>
      </c>
      <c r="H89" s="133">
        <v>305.8</v>
      </c>
      <c r="I89" s="133">
        <v>1.1999999999999993</v>
      </c>
      <c r="J89" s="87">
        <v>249.09999999999997</v>
      </c>
      <c r="K89" s="87">
        <v>4.5</v>
      </c>
      <c r="L89" s="87">
        <v>193.69999999999996</v>
      </c>
      <c r="M89" s="87">
        <v>9.1</v>
      </c>
      <c r="N89" s="87">
        <v>141</v>
      </c>
      <c r="O89" s="87">
        <v>16.399999999999999</v>
      </c>
      <c r="P89" s="87">
        <v>95.90000000000002</v>
      </c>
      <c r="Q89" s="87">
        <v>31.299999999999997</v>
      </c>
      <c r="R89" s="87">
        <v>54.900000000000006</v>
      </c>
      <c r="S89" s="87">
        <v>50.300000000000004</v>
      </c>
      <c r="BN89" s="135"/>
      <c r="BO89" s="259"/>
      <c r="CR89" s="83"/>
      <c r="CS89" s="83"/>
      <c r="DF89" s="83"/>
      <c r="DG89" s="83"/>
      <c r="DT89" s="83"/>
      <c r="DU89" s="83"/>
      <c r="EG89" s="86"/>
      <c r="EH89" s="86"/>
      <c r="EI89" s="86"/>
      <c r="EK89" s="86"/>
      <c r="EL89" s="86"/>
      <c r="EM89" s="82"/>
    </row>
    <row r="90" spans="1:168" x14ac:dyDescent="0.2">
      <c r="A90" s="81">
        <v>2009</v>
      </c>
      <c r="B90" s="88">
        <v>5</v>
      </c>
      <c r="C90" s="88">
        <v>13.099999999999998</v>
      </c>
      <c r="D90" s="87">
        <v>275.89999999999998</v>
      </c>
      <c r="E90" s="87">
        <v>0</v>
      </c>
      <c r="F90" s="87">
        <v>216.2</v>
      </c>
      <c r="G90" s="87">
        <v>2.3000000000000007</v>
      </c>
      <c r="H90" s="133">
        <v>158.79999999999998</v>
      </c>
      <c r="I90" s="133">
        <v>6.9000000000000021</v>
      </c>
      <c r="J90" s="87">
        <v>104.49999999999999</v>
      </c>
      <c r="K90" s="87">
        <v>14.599999999999998</v>
      </c>
      <c r="L90" s="87">
        <v>59.100000000000009</v>
      </c>
      <c r="M90" s="87">
        <v>31.199999999999996</v>
      </c>
      <c r="N90" s="87">
        <v>28.1</v>
      </c>
      <c r="O90" s="87">
        <v>62.199999999999996</v>
      </c>
      <c r="P90" s="87">
        <v>12.600000000000001</v>
      </c>
      <c r="Q90" s="87">
        <v>108.70000000000002</v>
      </c>
      <c r="R90" s="87">
        <v>1.7999999999999998</v>
      </c>
      <c r="S90" s="87">
        <v>159.9</v>
      </c>
      <c r="BN90" s="135"/>
      <c r="BO90" s="259"/>
      <c r="EG90" s="86"/>
      <c r="EH90" s="86"/>
      <c r="EI90" s="86"/>
      <c r="EK90" s="86"/>
      <c r="EL90" s="86"/>
      <c r="EM90" s="82"/>
    </row>
    <row r="91" spans="1:168" x14ac:dyDescent="0.2">
      <c r="A91" s="81">
        <v>2009</v>
      </c>
      <c r="B91" s="88">
        <v>6</v>
      </c>
      <c r="C91" s="88">
        <v>17.49666666666667</v>
      </c>
      <c r="D91" s="87">
        <v>141.6</v>
      </c>
      <c r="E91" s="87">
        <v>6.5</v>
      </c>
      <c r="F91" s="87">
        <v>93.5</v>
      </c>
      <c r="G91" s="87">
        <v>18.399999999999999</v>
      </c>
      <c r="H91" s="133">
        <v>49.300000000000004</v>
      </c>
      <c r="I91" s="133">
        <v>34.199999999999996</v>
      </c>
      <c r="J91" s="87">
        <v>22.9</v>
      </c>
      <c r="K91" s="87">
        <v>67.800000000000011</v>
      </c>
      <c r="L91" s="87">
        <v>4.5999999999999996</v>
      </c>
      <c r="M91" s="87">
        <v>109.5</v>
      </c>
      <c r="N91" s="87">
        <v>0</v>
      </c>
      <c r="O91" s="87">
        <v>164.89999999999998</v>
      </c>
      <c r="P91" s="87">
        <v>0</v>
      </c>
      <c r="Q91" s="87">
        <v>224.89999999999995</v>
      </c>
      <c r="R91" s="87">
        <v>0</v>
      </c>
      <c r="S91" s="87">
        <v>284.89999999999998</v>
      </c>
      <c r="BN91" s="135"/>
      <c r="BO91" s="259"/>
      <c r="CV91" s="83"/>
      <c r="CW91" s="83"/>
      <c r="CX91" s="83"/>
      <c r="DJ91" s="83"/>
      <c r="DK91" s="83"/>
      <c r="DL91" s="83"/>
      <c r="DX91" s="83"/>
      <c r="DY91" s="83"/>
      <c r="DZ91" s="83"/>
      <c r="EG91" s="86"/>
      <c r="EH91" s="86"/>
      <c r="EI91" s="86"/>
      <c r="EK91" s="86"/>
      <c r="EL91" s="86"/>
      <c r="EM91" s="82"/>
    </row>
    <row r="92" spans="1:168" x14ac:dyDescent="0.2">
      <c r="A92" s="81">
        <v>2009</v>
      </c>
      <c r="B92" s="88">
        <v>7</v>
      </c>
      <c r="C92" s="88">
        <v>19.209677419354836</v>
      </c>
      <c r="D92" s="87">
        <v>88.499999999999972</v>
      </c>
      <c r="E92" s="87">
        <v>2</v>
      </c>
      <c r="F92" s="87">
        <v>37.4</v>
      </c>
      <c r="G92" s="87">
        <v>12.899999999999999</v>
      </c>
      <c r="H92" s="133">
        <v>6.1999999999999993</v>
      </c>
      <c r="I92" s="133">
        <v>43.699999999999996</v>
      </c>
      <c r="J92" s="87">
        <v>0</v>
      </c>
      <c r="K92" s="87">
        <v>99.5</v>
      </c>
      <c r="L92" s="87">
        <v>0</v>
      </c>
      <c r="M92" s="87">
        <v>161.50000000000003</v>
      </c>
      <c r="N92" s="87">
        <v>0</v>
      </c>
      <c r="O92" s="87">
        <v>223.50000000000003</v>
      </c>
      <c r="P92" s="87">
        <v>0</v>
      </c>
      <c r="Q92" s="87">
        <v>285.5</v>
      </c>
      <c r="R92" s="87">
        <v>0</v>
      </c>
      <c r="S92" s="87">
        <v>347.5</v>
      </c>
      <c r="BN92" s="135"/>
      <c r="BO92" s="259"/>
      <c r="CV92" s="83"/>
      <c r="CW92" s="88"/>
      <c r="CX92" s="88"/>
      <c r="CY92" s="88"/>
      <c r="CZ92" s="88"/>
      <c r="DA92" s="88"/>
      <c r="DB92" s="88"/>
      <c r="DJ92" s="83"/>
      <c r="DK92" s="88"/>
      <c r="DL92" s="88"/>
      <c r="DM92" s="88"/>
      <c r="DN92" s="88"/>
      <c r="DO92" s="88"/>
      <c r="DP92" s="88"/>
      <c r="DX92" s="83"/>
      <c r="DY92" s="88"/>
      <c r="DZ92" s="88"/>
      <c r="EA92" s="88"/>
      <c r="EG92" s="86"/>
      <c r="EH92" s="86"/>
      <c r="EI92" s="86"/>
      <c r="EK92" s="86"/>
      <c r="EL92" s="86"/>
      <c r="EM92" s="82"/>
    </row>
    <row r="93" spans="1:168" x14ac:dyDescent="0.2">
      <c r="A93" s="81">
        <v>2009</v>
      </c>
      <c r="B93" s="88">
        <v>8</v>
      </c>
      <c r="C93" s="88">
        <v>20.619354838709679</v>
      </c>
      <c r="D93" s="87">
        <v>65.5</v>
      </c>
      <c r="E93" s="87">
        <v>22.699999999999996</v>
      </c>
      <c r="F93" s="87">
        <v>30.500000000000007</v>
      </c>
      <c r="G93" s="87">
        <v>49.70000000000001</v>
      </c>
      <c r="H93" s="133">
        <v>9.8000000000000007</v>
      </c>
      <c r="I93" s="133">
        <v>91.000000000000028</v>
      </c>
      <c r="J93" s="87">
        <v>1.3000000000000007</v>
      </c>
      <c r="K93" s="87">
        <v>144.5</v>
      </c>
      <c r="L93" s="87">
        <v>0</v>
      </c>
      <c r="M93" s="87">
        <v>205.19999999999993</v>
      </c>
      <c r="N93" s="87">
        <v>0</v>
      </c>
      <c r="O93" s="87">
        <v>267.19999999999993</v>
      </c>
      <c r="P93" s="87">
        <v>0</v>
      </c>
      <c r="Q93" s="87">
        <v>329.19999999999993</v>
      </c>
      <c r="R93" s="87">
        <v>0</v>
      </c>
      <c r="S93" s="87">
        <v>391.19999999999993</v>
      </c>
      <c r="BN93" s="135"/>
      <c r="BO93" s="259"/>
      <c r="CV93" s="83"/>
      <c r="CW93" s="88"/>
      <c r="CX93" s="88"/>
      <c r="CY93" s="88"/>
      <c r="CZ93" s="88"/>
      <c r="DA93" s="88"/>
      <c r="DB93" s="88"/>
      <c r="DJ93" s="83"/>
      <c r="DK93" s="88"/>
      <c r="DL93" s="88"/>
      <c r="DM93" s="88"/>
      <c r="DN93" s="88"/>
      <c r="DO93" s="88"/>
      <c r="DP93" s="88"/>
      <c r="DX93" s="83"/>
      <c r="DY93" s="88"/>
      <c r="DZ93" s="88"/>
      <c r="EA93" s="88"/>
      <c r="EG93" s="86"/>
      <c r="EH93" s="86"/>
      <c r="EI93" s="86"/>
      <c r="EK93" s="86"/>
      <c r="EL93" s="86"/>
      <c r="EM93" s="82"/>
    </row>
    <row r="94" spans="1:168" x14ac:dyDescent="0.2">
      <c r="A94" s="81">
        <v>2009</v>
      </c>
      <c r="B94" s="88">
        <v>9</v>
      </c>
      <c r="C94" s="88">
        <v>16.856666666666666</v>
      </c>
      <c r="D94" s="87">
        <v>154.30000000000001</v>
      </c>
      <c r="E94" s="87">
        <v>0</v>
      </c>
      <c r="F94" s="87">
        <v>98.799999999999983</v>
      </c>
      <c r="G94" s="87">
        <v>4.5</v>
      </c>
      <c r="H94" s="133">
        <v>55.199999999999989</v>
      </c>
      <c r="I94" s="133">
        <v>20.9</v>
      </c>
      <c r="J94" s="87">
        <v>29.799999999999997</v>
      </c>
      <c r="K94" s="87">
        <v>55.5</v>
      </c>
      <c r="L94" s="87">
        <v>12.299999999999999</v>
      </c>
      <c r="M94" s="87">
        <v>98</v>
      </c>
      <c r="N94" s="87">
        <v>3.8000000000000007</v>
      </c>
      <c r="O94" s="87">
        <v>149.5</v>
      </c>
      <c r="P94" s="87">
        <v>1.3000000000000007</v>
      </c>
      <c r="Q94" s="87">
        <v>207.00000000000003</v>
      </c>
      <c r="R94" s="87">
        <v>0</v>
      </c>
      <c r="S94" s="87">
        <v>265.70000000000005</v>
      </c>
      <c r="BN94" s="135"/>
      <c r="BO94" s="259"/>
      <c r="CV94" s="83"/>
      <c r="CW94" s="88"/>
      <c r="CX94" s="88"/>
      <c r="CY94" s="88"/>
      <c r="CZ94" s="88"/>
      <c r="DA94" s="88"/>
      <c r="DB94" s="88"/>
      <c r="DJ94" s="83"/>
      <c r="DK94" s="88"/>
      <c r="DL94" s="88"/>
      <c r="DM94" s="88"/>
      <c r="DN94" s="88"/>
      <c r="DO94" s="88"/>
      <c r="DP94" s="88"/>
      <c r="DX94" s="83"/>
      <c r="DY94" s="88"/>
      <c r="DZ94" s="88"/>
      <c r="EA94" s="88"/>
      <c r="EG94" s="86"/>
      <c r="EH94" s="86"/>
      <c r="EI94" s="86"/>
      <c r="EK94" s="86"/>
      <c r="EL94" s="86"/>
      <c r="EM94" s="82"/>
    </row>
    <row r="95" spans="1:168" x14ac:dyDescent="0.2">
      <c r="A95" s="81">
        <v>2009</v>
      </c>
      <c r="B95" s="88">
        <v>10</v>
      </c>
      <c r="C95" s="88">
        <v>8.7161290322580633</v>
      </c>
      <c r="D95" s="87">
        <v>411.79999999999995</v>
      </c>
      <c r="E95" s="87">
        <v>0</v>
      </c>
      <c r="F95" s="87">
        <v>349.79999999999995</v>
      </c>
      <c r="G95" s="87">
        <v>0</v>
      </c>
      <c r="H95" s="133">
        <v>287.8</v>
      </c>
      <c r="I95" s="133">
        <v>0</v>
      </c>
      <c r="J95" s="87">
        <v>225.79999999999998</v>
      </c>
      <c r="K95" s="87">
        <v>0</v>
      </c>
      <c r="L95" s="87">
        <v>163.79999999999995</v>
      </c>
      <c r="M95" s="87">
        <v>0</v>
      </c>
      <c r="N95" s="87">
        <v>104.90000000000002</v>
      </c>
      <c r="O95" s="87">
        <v>3.0999999999999996</v>
      </c>
      <c r="P95" s="87">
        <v>60.899999999999991</v>
      </c>
      <c r="Q95" s="87">
        <v>21.099999999999998</v>
      </c>
      <c r="R95" s="87">
        <v>34.000000000000007</v>
      </c>
      <c r="S95" s="87">
        <v>56.199999999999989</v>
      </c>
      <c r="BN95" s="135"/>
      <c r="BO95" s="259"/>
      <c r="CV95" s="83"/>
      <c r="CW95" s="88"/>
      <c r="CX95" s="88"/>
      <c r="CY95" s="88"/>
      <c r="CZ95" s="88"/>
      <c r="DA95" s="88"/>
      <c r="DB95" s="88"/>
      <c r="DJ95" s="83"/>
      <c r="DK95" s="88"/>
      <c r="DL95" s="88"/>
      <c r="DM95" s="88"/>
      <c r="DN95" s="88"/>
      <c r="DO95" s="88"/>
      <c r="DP95" s="88"/>
      <c r="DX95" s="83"/>
      <c r="DY95" s="88"/>
      <c r="DZ95" s="88"/>
      <c r="EA95" s="88"/>
      <c r="EG95" s="86"/>
      <c r="EH95" s="86"/>
      <c r="EI95" s="86"/>
      <c r="EK95" s="86"/>
      <c r="EL95" s="86"/>
      <c r="EM95" s="82"/>
    </row>
    <row r="96" spans="1:168" x14ac:dyDescent="0.2">
      <c r="A96" s="81">
        <v>2009</v>
      </c>
      <c r="B96" s="88">
        <v>11</v>
      </c>
      <c r="C96" s="88">
        <v>5.96</v>
      </c>
      <c r="D96" s="87">
        <v>481.19999999999993</v>
      </c>
      <c r="E96" s="87">
        <v>0</v>
      </c>
      <c r="F96" s="87">
        <v>421.2</v>
      </c>
      <c r="G96" s="87">
        <v>0</v>
      </c>
      <c r="H96" s="133">
        <v>361.2</v>
      </c>
      <c r="I96" s="133">
        <v>0</v>
      </c>
      <c r="J96" s="87">
        <v>301.20000000000005</v>
      </c>
      <c r="K96" s="87">
        <v>0</v>
      </c>
      <c r="L96" s="87">
        <v>241.2</v>
      </c>
      <c r="M96" s="87">
        <v>0</v>
      </c>
      <c r="N96" s="87">
        <v>181.2</v>
      </c>
      <c r="O96" s="87">
        <v>0</v>
      </c>
      <c r="P96" s="87">
        <v>124.40000000000002</v>
      </c>
      <c r="Q96" s="87">
        <v>3.2000000000000011</v>
      </c>
      <c r="R96" s="87">
        <v>73.599999999999994</v>
      </c>
      <c r="S96" s="87">
        <v>12.4</v>
      </c>
      <c r="BN96" s="135"/>
      <c r="BO96" s="259"/>
      <c r="CV96" s="83"/>
      <c r="CW96" s="88"/>
      <c r="CX96" s="88"/>
      <c r="CY96" s="88"/>
      <c r="CZ96" s="88"/>
      <c r="DA96" s="88"/>
      <c r="DB96" s="88"/>
      <c r="DJ96" s="83"/>
      <c r="DK96" s="88"/>
      <c r="DL96" s="88"/>
      <c r="DM96" s="88"/>
      <c r="DN96" s="88"/>
      <c r="DO96" s="88"/>
      <c r="DP96" s="88"/>
      <c r="DX96" s="83"/>
      <c r="DY96" s="88"/>
      <c r="DZ96" s="88"/>
      <c r="EA96" s="88"/>
      <c r="EG96" s="86"/>
      <c r="EH96" s="86"/>
      <c r="EI96" s="86"/>
      <c r="EK96" s="86"/>
      <c r="EL96" s="86"/>
      <c r="EM96" s="82"/>
    </row>
    <row r="97" spans="1:145" x14ac:dyDescent="0.2">
      <c r="A97" s="81">
        <v>2009</v>
      </c>
      <c r="B97" s="88">
        <v>12</v>
      </c>
      <c r="C97" s="88">
        <v>-2.3645161290322583</v>
      </c>
      <c r="D97" s="87">
        <v>755.30000000000007</v>
      </c>
      <c r="E97" s="87">
        <v>0</v>
      </c>
      <c r="F97" s="87">
        <v>693.30000000000007</v>
      </c>
      <c r="G97" s="87">
        <v>0</v>
      </c>
      <c r="H97" s="133">
        <v>631.29999999999995</v>
      </c>
      <c r="I97" s="133">
        <v>0</v>
      </c>
      <c r="J97" s="87">
        <v>569.30000000000007</v>
      </c>
      <c r="K97" s="87">
        <v>0</v>
      </c>
      <c r="L97" s="87">
        <v>507.3</v>
      </c>
      <c r="M97" s="87">
        <v>0</v>
      </c>
      <c r="N97" s="87">
        <v>445.3</v>
      </c>
      <c r="O97" s="87">
        <v>0</v>
      </c>
      <c r="P97" s="87">
        <v>383.30000000000007</v>
      </c>
      <c r="Q97" s="87">
        <v>0</v>
      </c>
      <c r="R97" s="87">
        <v>321.3</v>
      </c>
      <c r="S97" s="87">
        <v>0</v>
      </c>
      <c r="BN97" s="135"/>
      <c r="BO97" s="259"/>
      <c r="CV97" s="83"/>
      <c r="CW97" s="88"/>
      <c r="CX97" s="88"/>
      <c r="CY97" s="88"/>
      <c r="CZ97" s="88"/>
      <c r="DA97" s="88"/>
      <c r="DB97" s="88"/>
      <c r="DJ97" s="83"/>
      <c r="DK97" s="88"/>
      <c r="DL97" s="88"/>
      <c r="DM97" s="88"/>
      <c r="DN97" s="88"/>
      <c r="DO97" s="88"/>
      <c r="DP97" s="88"/>
      <c r="DX97" s="83"/>
      <c r="DY97" s="88"/>
      <c r="DZ97" s="88"/>
      <c r="EA97" s="88"/>
      <c r="EG97" s="86"/>
      <c r="EH97" s="86"/>
      <c r="EI97" s="86"/>
      <c r="EK97" s="86"/>
      <c r="EL97" s="86"/>
      <c r="EM97" s="82"/>
    </row>
    <row r="98" spans="1:145" x14ac:dyDescent="0.2">
      <c r="A98" s="81">
        <v>2010</v>
      </c>
      <c r="B98" s="88">
        <v>1</v>
      </c>
      <c r="C98" s="88">
        <v>-5.2258064516129039</v>
      </c>
      <c r="D98" s="87">
        <v>843.99999999999989</v>
      </c>
      <c r="E98" s="87">
        <v>0</v>
      </c>
      <c r="F98" s="87">
        <v>782</v>
      </c>
      <c r="G98" s="87">
        <v>0</v>
      </c>
      <c r="H98" s="133">
        <v>719.99999999999989</v>
      </c>
      <c r="I98" s="133">
        <v>0</v>
      </c>
      <c r="J98" s="87">
        <v>657.99999999999989</v>
      </c>
      <c r="K98" s="87">
        <v>0</v>
      </c>
      <c r="L98" s="87">
        <v>596</v>
      </c>
      <c r="M98" s="87">
        <v>0</v>
      </c>
      <c r="N98" s="87">
        <v>534</v>
      </c>
      <c r="O98" s="87">
        <v>0</v>
      </c>
      <c r="P98" s="87">
        <v>472.00000000000006</v>
      </c>
      <c r="Q98" s="87">
        <v>0</v>
      </c>
      <c r="R98" s="87">
        <v>410.00000000000006</v>
      </c>
      <c r="S98" s="87">
        <v>0</v>
      </c>
      <c r="BN98" s="135"/>
      <c r="BO98" s="259"/>
      <c r="CV98" s="83"/>
      <c r="CW98" s="88"/>
      <c r="CX98" s="88"/>
      <c r="CY98" s="88"/>
      <c r="CZ98" s="88"/>
      <c r="DA98" s="88"/>
      <c r="DB98" s="88"/>
      <c r="DJ98" s="83"/>
      <c r="DK98" s="88"/>
      <c r="DL98" s="88"/>
      <c r="DM98" s="88"/>
      <c r="DN98" s="88"/>
      <c r="DO98" s="88"/>
      <c r="DP98" s="88"/>
      <c r="DX98" s="83"/>
      <c r="DY98" s="88"/>
      <c r="DZ98" s="88"/>
      <c r="EA98" s="88"/>
      <c r="EG98" s="86"/>
      <c r="EH98" s="86"/>
      <c r="EI98" s="86"/>
      <c r="EK98" s="86"/>
      <c r="EL98" s="86"/>
      <c r="EM98" s="82"/>
    </row>
    <row r="99" spans="1:145" x14ac:dyDescent="0.2">
      <c r="A99" s="81">
        <v>2010</v>
      </c>
      <c r="B99" s="88">
        <v>2</v>
      </c>
      <c r="C99" s="88">
        <v>-3.3678571428571429</v>
      </c>
      <c r="D99" s="87">
        <v>710.3</v>
      </c>
      <c r="E99" s="87">
        <v>0</v>
      </c>
      <c r="F99" s="87">
        <v>654.29999999999995</v>
      </c>
      <c r="G99" s="87">
        <v>0</v>
      </c>
      <c r="H99" s="133">
        <v>598.30000000000007</v>
      </c>
      <c r="I99" s="133">
        <v>0</v>
      </c>
      <c r="J99" s="87">
        <v>542.30000000000007</v>
      </c>
      <c r="K99" s="87">
        <v>0</v>
      </c>
      <c r="L99" s="87">
        <v>486.3</v>
      </c>
      <c r="M99" s="87">
        <v>0</v>
      </c>
      <c r="N99" s="87">
        <v>430.3</v>
      </c>
      <c r="O99" s="87">
        <v>0</v>
      </c>
      <c r="P99" s="87">
        <v>374.3</v>
      </c>
      <c r="Q99" s="87">
        <v>0</v>
      </c>
      <c r="R99" s="87">
        <v>318.3</v>
      </c>
      <c r="S99" s="87">
        <v>0</v>
      </c>
      <c r="BN99" s="135"/>
      <c r="BO99" s="259"/>
      <c r="CV99" s="83"/>
      <c r="CW99" s="88"/>
      <c r="CX99" s="88"/>
      <c r="CY99" s="88"/>
      <c r="CZ99" s="88"/>
      <c r="DA99" s="88"/>
      <c r="DB99" s="88"/>
      <c r="DJ99" s="83"/>
      <c r="DK99" s="88"/>
      <c r="DL99" s="88"/>
      <c r="DM99" s="88"/>
      <c r="DN99" s="88"/>
      <c r="DO99" s="88"/>
      <c r="DP99" s="88"/>
      <c r="DX99" s="83"/>
      <c r="DY99" s="88"/>
      <c r="DZ99" s="88"/>
      <c r="EA99" s="88"/>
      <c r="EG99" s="86"/>
      <c r="EH99" s="86"/>
      <c r="EI99" s="86"/>
      <c r="EK99" s="86"/>
      <c r="EL99" s="86"/>
      <c r="EM99" s="82"/>
    </row>
    <row r="100" spans="1:145" x14ac:dyDescent="0.2">
      <c r="A100" s="81">
        <v>2010</v>
      </c>
      <c r="B100" s="88">
        <v>3</v>
      </c>
      <c r="C100" s="88">
        <v>4.3612903225806452</v>
      </c>
      <c r="D100" s="87">
        <v>546.79999999999995</v>
      </c>
      <c r="E100" s="87">
        <v>0</v>
      </c>
      <c r="F100" s="87">
        <v>484.79999999999995</v>
      </c>
      <c r="G100" s="87">
        <v>0</v>
      </c>
      <c r="H100" s="133">
        <v>422.8</v>
      </c>
      <c r="I100" s="133">
        <v>0</v>
      </c>
      <c r="J100" s="87">
        <v>360.8</v>
      </c>
      <c r="K100" s="87">
        <v>0</v>
      </c>
      <c r="L100" s="87">
        <v>298.80000000000007</v>
      </c>
      <c r="M100" s="87">
        <v>0</v>
      </c>
      <c r="N100" s="87">
        <v>236.80000000000007</v>
      </c>
      <c r="O100" s="87">
        <v>0</v>
      </c>
      <c r="P100" s="87">
        <v>177.5</v>
      </c>
      <c r="Q100" s="87">
        <v>2.6999999999999993</v>
      </c>
      <c r="R100" s="87">
        <v>122.8</v>
      </c>
      <c r="S100" s="87">
        <v>9.9999999999999982</v>
      </c>
      <c r="CV100" s="83"/>
      <c r="CW100" s="88"/>
      <c r="CX100" s="88"/>
      <c r="CY100" s="88"/>
      <c r="CZ100" s="88"/>
      <c r="DA100" s="88"/>
      <c r="DB100" s="88"/>
      <c r="DJ100" s="83"/>
      <c r="DK100" s="88"/>
      <c r="DL100" s="88"/>
      <c r="DM100" s="88"/>
      <c r="DN100" s="88"/>
      <c r="DO100" s="88"/>
      <c r="DP100" s="88"/>
      <c r="DX100" s="83"/>
      <c r="DY100" s="88"/>
      <c r="DZ100" s="88"/>
      <c r="EA100" s="88"/>
      <c r="EG100" s="86"/>
      <c r="EH100" s="86"/>
      <c r="EI100" s="86"/>
      <c r="EK100" s="86"/>
      <c r="EL100" s="86"/>
      <c r="EM100" s="82"/>
    </row>
    <row r="101" spans="1:145" x14ac:dyDescent="0.2">
      <c r="A101" s="81">
        <v>2010</v>
      </c>
      <c r="B101" s="88">
        <v>4</v>
      </c>
      <c r="C101" s="88">
        <v>10.496666666666666</v>
      </c>
      <c r="D101" s="87">
        <v>345.09999999999997</v>
      </c>
      <c r="E101" s="87">
        <v>0</v>
      </c>
      <c r="F101" s="87">
        <v>285.09999999999997</v>
      </c>
      <c r="G101" s="87">
        <v>0</v>
      </c>
      <c r="H101" s="133">
        <v>225.1</v>
      </c>
      <c r="I101" s="133">
        <v>0</v>
      </c>
      <c r="J101" s="87">
        <v>165.60000000000002</v>
      </c>
      <c r="K101" s="87">
        <v>0.5</v>
      </c>
      <c r="L101" s="87">
        <v>112</v>
      </c>
      <c r="M101" s="87">
        <v>6.9</v>
      </c>
      <c r="N101" s="87">
        <v>63.399999999999991</v>
      </c>
      <c r="O101" s="87">
        <v>18.3</v>
      </c>
      <c r="P101" s="87">
        <v>30.3</v>
      </c>
      <c r="Q101" s="87">
        <v>45.199999999999989</v>
      </c>
      <c r="R101" s="87">
        <v>11.8</v>
      </c>
      <c r="S101" s="87">
        <v>86.699999999999989</v>
      </c>
      <c r="CV101" s="83"/>
      <c r="CW101" s="88"/>
      <c r="CX101" s="88"/>
      <c r="CY101" s="88"/>
      <c r="CZ101" s="88"/>
      <c r="DA101" s="88"/>
      <c r="DB101" s="88"/>
      <c r="DJ101" s="83"/>
      <c r="DK101" s="88"/>
      <c r="DL101" s="88"/>
      <c r="DM101" s="88"/>
      <c r="DN101" s="88"/>
      <c r="DO101" s="88"/>
      <c r="DP101" s="88"/>
      <c r="DX101" s="83"/>
      <c r="DY101" s="88"/>
      <c r="DZ101" s="88"/>
      <c r="EA101" s="88"/>
      <c r="EG101" s="86"/>
      <c r="EH101" s="86"/>
      <c r="EI101" s="86"/>
      <c r="EK101" s="86"/>
      <c r="EL101" s="86"/>
      <c r="EM101" s="82"/>
    </row>
    <row r="102" spans="1:145" x14ac:dyDescent="0.2">
      <c r="A102" s="81">
        <v>2010</v>
      </c>
      <c r="B102" s="88">
        <v>5</v>
      </c>
      <c r="C102" s="88">
        <v>15.993548387096771</v>
      </c>
      <c r="D102" s="87">
        <v>192.90000000000003</v>
      </c>
      <c r="E102" s="87">
        <v>6.6999999999999957</v>
      </c>
      <c r="F102" s="87">
        <v>145.50000000000003</v>
      </c>
      <c r="G102" s="87">
        <v>21.299999999999997</v>
      </c>
      <c r="H102" s="133">
        <v>107.9</v>
      </c>
      <c r="I102" s="133">
        <v>45.699999999999996</v>
      </c>
      <c r="J102" s="87">
        <v>77.5</v>
      </c>
      <c r="K102" s="87">
        <v>77.299999999999983</v>
      </c>
      <c r="L102" s="87">
        <v>52.8</v>
      </c>
      <c r="M102" s="87">
        <v>114.6</v>
      </c>
      <c r="N102" s="87">
        <v>33.499999999999993</v>
      </c>
      <c r="O102" s="87">
        <v>157.30000000000004</v>
      </c>
      <c r="P102" s="87">
        <v>18</v>
      </c>
      <c r="Q102" s="87">
        <v>203.8</v>
      </c>
      <c r="R102" s="87">
        <v>5.5</v>
      </c>
      <c r="S102" s="87">
        <v>253.3</v>
      </c>
      <c r="CV102" s="83"/>
      <c r="CW102" s="88"/>
      <c r="CX102" s="88"/>
      <c r="CY102" s="88"/>
      <c r="CZ102" s="88"/>
      <c r="DA102" s="88"/>
      <c r="DB102" s="88"/>
      <c r="DJ102" s="83"/>
      <c r="DK102" s="88"/>
      <c r="DL102" s="88"/>
      <c r="DM102" s="88"/>
      <c r="DN102" s="88"/>
      <c r="DO102" s="88"/>
      <c r="DP102" s="88"/>
      <c r="DX102" s="83"/>
      <c r="DY102" s="88"/>
      <c r="DZ102" s="88"/>
      <c r="EA102" s="88"/>
      <c r="EG102" s="86"/>
      <c r="EH102" s="86"/>
      <c r="EI102" s="86"/>
      <c r="EK102" s="86"/>
      <c r="EL102" s="86"/>
      <c r="EM102" s="82"/>
    </row>
    <row r="103" spans="1:145" x14ac:dyDescent="0.2">
      <c r="A103" s="81">
        <v>2010</v>
      </c>
      <c r="B103" s="88">
        <v>6</v>
      </c>
      <c r="C103" s="88">
        <v>19.233333333333334</v>
      </c>
      <c r="D103" s="87">
        <v>88.700000000000017</v>
      </c>
      <c r="E103" s="87">
        <v>5.6999999999999993</v>
      </c>
      <c r="F103" s="87">
        <v>46.3</v>
      </c>
      <c r="G103" s="87">
        <v>23.3</v>
      </c>
      <c r="H103" s="133">
        <v>21.7</v>
      </c>
      <c r="I103" s="133">
        <v>58.7</v>
      </c>
      <c r="J103" s="87">
        <v>8.1</v>
      </c>
      <c r="K103" s="87">
        <v>105.1</v>
      </c>
      <c r="L103" s="87">
        <v>9.9999999999999645E-2</v>
      </c>
      <c r="M103" s="87">
        <v>157.10000000000002</v>
      </c>
      <c r="N103" s="87">
        <v>0</v>
      </c>
      <c r="O103" s="87">
        <v>217</v>
      </c>
      <c r="P103" s="87">
        <v>0</v>
      </c>
      <c r="Q103" s="87">
        <v>277</v>
      </c>
      <c r="R103" s="87">
        <v>0</v>
      </c>
      <c r="S103" s="87">
        <v>337.00000000000006</v>
      </c>
      <c r="CV103" s="83"/>
      <c r="CW103" s="88"/>
      <c r="CX103" s="88"/>
      <c r="CY103" s="88"/>
      <c r="CZ103" s="88"/>
      <c r="DA103" s="88"/>
      <c r="DB103" s="88"/>
      <c r="DJ103" s="83"/>
      <c r="DK103" s="88"/>
      <c r="DL103" s="88"/>
      <c r="DM103" s="88"/>
      <c r="DN103" s="88"/>
      <c r="DO103" s="88"/>
      <c r="DP103" s="88"/>
      <c r="DX103" s="83"/>
      <c r="DY103" s="88"/>
      <c r="DZ103" s="88"/>
      <c r="EA103" s="88"/>
      <c r="EG103" s="86"/>
      <c r="EH103" s="86"/>
      <c r="EI103" s="86"/>
      <c r="EK103" s="86"/>
      <c r="EL103" s="86"/>
      <c r="EM103" s="82"/>
    </row>
    <row r="104" spans="1:145" x14ac:dyDescent="0.2">
      <c r="A104" s="81">
        <v>2010</v>
      </c>
      <c r="B104" s="88">
        <v>7</v>
      </c>
      <c r="C104" s="88">
        <v>23.261290322580646</v>
      </c>
      <c r="D104" s="87">
        <v>17.300000000000004</v>
      </c>
      <c r="E104" s="87">
        <v>56.400000000000006</v>
      </c>
      <c r="F104" s="87">
        <v>7.3000000000000007</v>
      </c>
      <c r="G104" s="87">
        <v>108.39999999999999</v>
      </c>
      <c r="H104" s="133">
        <v>1.8000000000000007</v>
      </c>
      <c r="I104" s="133">
        <v>164.89999999999998</v>
      </c>
      <c r="J104" s="87">
        <v>0</v>
      </c>
      <c r="K104" s="87">
        <v>225.1</v>
      </c>
      <c r="L104" s="87">
        <v>0</v>
      </c>
      <c r="M104" s="87">
        <v>287.09999999999991</v>
      </c>
      <c r="N104" s="87">
        <v>0</v>
      </c>
      <c r="O104" s="87">
        <v>349.09999999999991</v>
      </c>
      <c r="P104" s="87">
        <v>0</v>
      </c>
      <c r="Q104" s="87">
        <v>411.09999999999997</v>
      </c>
      <c r="R104" s="87">
        <v>0</v>
      </c>
      <c r="S104" s="87">
        <v>473.09999999999991</v>
      </c>
      <c r="EG104" s="86"/>
      <c r="EH104" s="86"/>
      <c r="EI104" s="86"/>
      <c r="EK104" s="86"/>
      <c r="EL104" s="86"/>
      <c r="EM104" s="82"/>
    </row>
    <row r="105" spans="1:145" x14ac:dyDescent="0.2">
      <c r="A105" s="81">
        <v>2010</v>
      </c>
      <c r="B105" s="88">
        <v>8</v>
      </c>
      <c r="C105" s="88">
        <v>22.409677419354832</v>
      </c>
      <c r="D105" s="87">
        <v>31.499999999999996</v>
      </c>
      <c r="E105" s="87">
        <v>44.2</v>
      </c>
      <c r="F105" s="87">
        <v>11.499999999999996</v>
      </c>
      <c r="G105" s="87">
        <v>86.200000000000017</v>
      </c>
      <c r="H105" s="133">
        <v>2.0999999999999979</v>
      </c>
      <c r="I105" s="133">
        <v>138.79999999999998</v>
      </c>
      <c r="J105" s="87">
        <v>0</v>
      </c>
      <c r="K105" s="87">
        <v>198.7</v>
      </c>
      <c r="L105" s="87">
        <v>0</v>
      </c>
      <c r="M105" s="87">
        <v>260.7</v>
      </c>
      <c r="N105" s="87">
        <v>0</v>
      </c>
      <c r="O105" s="87">
        <v>322.7</v>
      </c>
      <c r="P105" s="87">
        <v>0</v>
      </c>
      <c r="Q105" s="87">
        <v>384.7000000000001</v>
      </c>
      <c r="R105" s="87">
        <v>0</v>
      </c>
      <c r="S105" s="87">
        <v>446.70000000000005</v>
      </c>
      <c r="EG105" s="86"/>
      <c r="EH105" s="86"/>
      <c r="EI105" s="86"/>
      <c r="EK105" s="86"/>
      <c r="EL105" s="86"/>
      <c r="EM105" s="82"/>
    </row>
    <row r="106" spans="1:145" x14ac:dyDescent="0.2">
      <c r="A106" s="81">
        <v>2010</v>
      </c>
      <c r="B106" s="88">
        <v>9</v>
      </c>
      <c r="C106" s="88">
        <v>16.446666666666665</v>
      </c>
      <c r="D106" s="87">
        <v>178.3</v>
      </c>
      <c r="E106" s="87">
        <v>11.700000000000003</v>
      </c>
      <c r="F106" s="87">
        <v>126.69999999999996</v>
      </c>
      <c r="G106" s="87">
        <v>20.100000000000001</v>
      </c>
      <c r="H106" s="133">
        <v>78.099999999999994</v>
      </c>
      <c r="I106" s="133">
        <v>31.5</v>
      </c>
      <c r="J106" s="87">
        <v>37.699999999999996</v>
      </c>
      <c r="K106" s="87">
        <v>51.099999999999994</v>
      </c>
      <c r="L106" s="87">
        <v>11.500000000000002</v>
      </c>
      <c r="M106" s="87">
        <v>84.9</v>
      </c>
      <c r="N106" s="87">
        <v>1</v>
      </c>
      <c r="O106" s="87">
        <v>134.39999999999998</v>
      </c>
      <c r="P106" s="87">
        <v>0</v>
      </c>
      <c r="Q106" s="87">
        <v>193.39999999999995</v>
      </c>
      <c r="R106" s="87">
        <v>0</v>
      </c>
      <c r="S106" s="87">
        <v>253.39999999999995</v>
      </c>
      <c r="EG106" s="86"/>
      <c r="EH106" s="86"/>
      <c r="EI106" s="86"/>
      <c r="EK106" s="86"/>
      <c r="EL106" s="86"/>
      <c r="EM106" s="82"/>
    </row>
    <row r="107" spans="1:145" x14ac:dyDescent="0.2">
      <c r="A107" s="81">
        <v>2010</v>
      </c>
      <c r="B107" s="88">
        <v>10</v>
      </c>
      <c r="C107" s="88">
        <v>10.206451612903221</v>
      </c>
      <c r="D107" s="87">
        <v>365.60000000000014</v>
      </c>
      <c r="E107" s="87">
        <v>0</v>
      </c>
      <c r="F107" s="87">
        <v>303.60000000000008</v>
      </c>
      <c r="G107" s="87">
        <v>0</v>
      </c>
      <c r="H107" s="133">
        <v>241.60000000000005</v>
      </c>
      <c r="I107" s="133">
        <v>0</v>
      </c>
      <c r="J107" s="87">
        <v>180.20000000000002</v>
      </c>
      <c r="K107" s="87">
        <v>0.60000000000000142</v>
      </c>
      <c r="L107" s="87">
        <v>123.39999999999996</v>
      </c>
      <c r="M107" s="87">
        <v>5.8000000000000007</v>
      </c>
      <c r="N107" s="87">
        <v>74.099999999999994</v>
      </c>
      <c r="O107" s="87">
        <v>18.5</v>
      </c>
      <c r="P107" s="87">
        <v>35.700000000000003</v>
      </c>
      <c r="Q107" s="87">
        <v>42.099999999999994</v>
      </c>
      <c r="R107" s="87">
        <v>13.2</v>
      </c>
      <c r="S107" s="87">
        <v>81.600000000000023</v>
      </c>
      <c r="EG107" s="86"/>
      <c r="EH107" s="86"/>
      <c r="EI107" s="86"/>
      <c r="EK107" s="86"/>
      <c r="EL107" s="86"/>
      <c r="EM107" s="82"/>
    </row>
    <row r="108" spans="1:145" x14ac:dyDescent="0.2">
      <c r="A108" s="81">
        <v>2010</v>
      </c>
      <c r="B108" s="88">
        <v>11</v>
      </c>
      <c r="C108" s="88">
        <v>4.4900000000000011</v>
      </c>
      <c r="D108" s="87">
        <v>525.30000000000018</v>
      </c>
      <c r="E108" s="87">
        <v>0</v>
      </c>
      <c r="F108" s="87">
        <v>465.30000000000007</v>
      </c>
      <c r="G108" s="87">
        <v>0</v>
      </c>
      <c r="H108" s="133">
        <v>405.3</v>
      </c>
      <c r="I108" s="133">
        <v>0</v>
      </c>
      <c r="J108" s="87">
        <v>345.3</v>
      </c>
      <c r="K108" s="87">
        <v>0</v>
      </c>
      <c r="L108" s="87">
        <v>285.30000000000007</v>
      </c>
      <c r="M108" s="87">
        <v>0</v>
      </c>
      <c r="N108" s="87">
        <v>225.50000000000003</v>
      </c>
      <c r="O108" s="87">
        <v>0.19999999999999929</v>
      </c>
      <c r="P108" s="87">
        <v>167.5</v>
      </c>
      <c r="Q108" s="87">
        <v>2.1999999999999993</v>
      </c>
      <c r="R108" s="87">
        <v>110.19999999999999</v>
      </c>
      <c r="S108" s="87">
        <v>4.8999999999999986</v>
      </c>
      <c r="EG108" s="86"/>
      <c r="EH108" s="86"/>
      <c r="EI108" s="86"/>
      <c r="EK108" s="86"/>
      <c r="EL108" s="86"/>
      <c r="EM108" s="82"/>
    </row>
    <row r="109" spans="1:145" x14ac:dyDescent="0.2">
      <c r="A109" s="81">
        <v>2010</v>
      </c>
      <c r="B109" s="88">
        <v>12</v>
      </c>
      <c r="C109" s="88">
        <v>-3.8129032258064517</v>
      </c>
      <c r="D109" s="87">
        <v>800.20000000000016</v>
      </c>
      <c r="E109" s="87">
        <v>0</v>
      </c>
      <c r="F109" s="87">
        <v>738.20000000000016</v>
      </c>
      <c r="G109" s="87">
        <v>0</v>
      </c>
      <c r="H109" s="133">
        <v>676.20000000000016</v>
      </c>
      <c r="I109" s="133">
        <v>0</v>
      </c>
      <c r="J109" s="87">
        <v>614.20000000000005</v>
      </c>
      <c r="K109" s="87">
        <v>0</v>
      </c>
      <c r="L109" s="87">
        <v>552.20000000000005</v>
      </c>
      <c r="M109" s="87">
        <v>0</v>
      </c>
      <c r="N109" s="87">
        <v>490.2</v>
      </c>
      <c r="O109" s="87">
        <v>0</v>
      </c>
      <c r="P109" s="87">
        <v>428.2</v>
      </c>
      <c r="Q109" s="87">
        <v>0</v>
      </c>
      <c r="R109" s="87">
        <v>366.2</v>
      </c>
      <c r="S109" s="87">
        <v>0</v>
      </c>
      <c r="EG109" s="86"/>
      <c r="EH109" s="86"/>
      <c r="EI109" s="86"/>
      <c r="EK109" s="86"/>
      <c r="EL109" s="86"/>
      <c r="EM109" s="82"/>
    </row>
    <row r="110" spans="1:145" x14ac:dyDescent="0.2">
      <c r="A110" s="81">
        <v>2011</v>
      </c>
      <c r="B110" s="88">
        <v>1</v>
      </c>
      <c r="C110" s="88">
        <v>-7.0096774193548388</v>
      </c>
      <c r="D110" s="87">
        <v>899.29999999999984</v>
      </c>
      <c r="E110" s="87">
        <v>0</v>
      </c>
      <c r="F110" s="87">
        <v>837.3</v>
      </c>
      <c r="G110" s="87">
        <v>0</v>
      </c>
      <c r="H110" s="133">
        <v>775.3</v>
      </c>
      <c r="I110" s="133">
        <v>0</v>
      </c>
      <c r="J110" s="87">
        <v>713.3</v>
      </c>
      <c r="K110" s="87">
        <v>0</v>
      </c>
      <c r="L110" s="87">
        <v>651.30000000000007</v>
      </c>
      <c r="M110" s="87">
        <v>0</v>
      </c>
      <c r="N110" s="87">
        <v>589.30000000000007</v>
      </c>
      <c r="O110" s="87">
        <v>0</v>
      </c>
      <c r="P110" s="87">
        <v>527.30000000000007</v>
      </c>
      <c r="Q110" s="87">
        <v>0</v>
      </c>
      <c r="R110" s="87">
        <v>465.30000000000007</v>
      </c>
      <c r="S110" s="87">
        <v>0</v>
      </c>
      <c r="EG110" s="86">
        <f>Data!F2</f>
        <v>23733365.085325282</v>
      </c>
      <c r="EH110" s="86">
        <f>Data!I2</f>
        <v>6864837.5606799051</v>
      </c>
      <c r="EI110" s="86">
        <f>Data!L2</f>
        <v>16717266.821217919</v>
      </c>
      <c r="EK110" s="86">
        <f t="shared" ref="EK110:EK141" si="208">($FB$14+L110*$FB$15+K110*$FB$16)</f>
        <v>27024122.156708658</v>
      </c>
      <c r="EL110" s="86">
        <f t="shared" ref="EL110:EL141" si="209">($FB$31+J110*$FB$32+K110*$FB$33)</f>
        <v>8244002.8044734839</v>
      </c>
      <c r="EM110" s="82">
        <f t="shared" ref="EM110:EM141" si="210">($FB$48+J110*$FB$49+K110*$FB$50)</f>
        <v>17892416.621512532</v>
      </c>
      <c r="EN110" s="135"/>
      <c r="EO110" s="135"/>
    </row>
    <row r="111" spans="1:145" x14ac:dyDescent="0.2">
      <c r="A111" s="81">
        <v>2011</v>
      </c>
      <c r="B111" s="88">
        <v>2</v>
      </c>
      <c r="C111" s="88">
        <v>-5.364285714285713</v>
      </c>
      <c r="D111" s="87">
        <v>766.20000000000016</v>
      </c>
      <c r="E111" s="87">
        <v>0</v>
      </c>
      <c r="F111" s="87">
        <v>710.20000000000016</v>
      </c>
      <c r="G111" s="87">
        <v>0</v>
      </c>
      <c r="H111" s="133">
        <v>654.20000000000016</v>
      </c>
      <c r="I111" s="133">
        <v>0</v>
      </c>
      <c r="J111" s="87">
        <v>598.20000000000016</v>
      </c>
      <c r="K111" s="87">
        <v>0</v>
      </c>
      <c r="L111" s="87">
        <v>542.20000000000016</v>
      </c>
      <c r="M111" s="87">
        <v>0</v>
      </c>
      <c r="N111" s="87">
        <v>486.2000000000001</v>
      </c>
      <c r="O111" s="87">
        <v>0</v>
      </c>
      <c r="P111" s="87">
        <v>430.20000000000005</v>
      </c>
      <c r="Q111" s="87">
        <v>0</v>
      </c>
      <c r="R111" s="87">
        <v>374.20000000000005</v>
      </c>
      <c r="S111" s="87">
        <v>0</v>
      </c>
      <c r="EG111" s="86">
        <f>Data!F3</f>
        <v>22310529.535325348</v>
      </c>
      <c r="EH111" s="86">
        <f>Data!I3</f>
        <v>7486989.0006799055</v>
      </c>
      <c r="EI111" s="86">
        <f>Data!L3</f>
        <v>15751669.901217917</v>
      </c>
      <c r="EK111" s="86">
        <f t="shared" si="208"/>
        <v>25677637.885279592</v>
      </c>
      <c r="EL111" s="86">
        <f t="shared" si="209"/>
        <v>7847781.5304164747</v>
      </c>
      <c r="EM111" s="82">
        <f t="shared" si="210"/>
        <v>17775638.622374278</v>
      </c>
      <c r="EN111" s="135"/>
      <c r="EO111" s="135"/>
    </row>
    <row r="112" spans="1:145" x14ac:dyDescent="0.2">
      <c r="A112" s="81">
        <v>2011</v>
      </c>
      <c r="B112" s="88">
        <v>3</v>
      </c>
      <c r="C112" s="88">
        <v>-0.4774193548387099</v>
      </c>
      <c r="D112" s="87">
        <v>696.8</v>
      </c>
      <c r="E112" s="87">
        <v>0</v>
      </c>
      <c r="F112" s="87">
        <v>634.79999999999995</v>
      </c>
      <c r="G112" s="87">
        <v>0</v>
      </c>
      <c r="H112" s="133">
        <v>572.79999999999995</v>
      </c>
      <c r="I112" s="133">
        <v>0</v>
      </c>
      <c r="J112" s="87">
        <v>510.79999999999995</v>
      </c>
      <c r="K112" s="87">
        <v>0</v>
      </c>
      <c r="L112" s="87">
        <v>448.8</v>
      </c>
      <c r="M112" s="87">
        <v>0</v>
      </c>
      <c r="N112" s="87">
        <v>386.8</v>
      </c>
      <c r="O112" s="87">
        <v>0</v>
      </c>
      <c r="P112" s="87">
        <v>324.79999999999995</v>
      </c>
      <c r="Q112" s="87">
        <v>0</v>
      </c>
      <c r="R112" s="87">
        <v>263.29999999999995</v>
      </c>
      <c r="S112" s="87">
        <v>0.5</v>
      </c>
      <c r="EG112" s="86">
        <f>Data!F4</f>
        <v>20561511.105325352</v>
      </c>
      <c r="EH112" s="86">
        <f>Data!I4</f>
        <v>7162036.2106799055</v>
      </c>
      <c r="EI112" s="86">
        <f>Data!L4</f>
        <v>16670464.701217921</v>
      </c>
      <c r="EK112" s="86">
        <f t="shared" si="208"/>
        <v>24524918.994798616</v>
      </c>
      <c r="EL112" s="86">
        <f t="shared" si="209"/>
        <v>7546914.9852159303</v>
      </c>
      <c r="EM112" s="82">
        <f t="shared" si="210"/>
        <v>17686964.451004311</v>
      </c>
      <c r="EN112" s="135"/>
      <c r="EO112" s="135"/>
    </row>
    <row r="113" spans="1:145" x14ac:dyDescent="0.2">
      <c r="A113" s="81">
        <v>2011</v>
      </c>
      <c r="B113" s="88">
        <v>4</v>
      </c>
      <c r="C113" s="88">
        <v>6.9233333333333329</v>
      </c>
      <c r="D113" s="87">
        <v>452.2999999999999</v>
      </c>
      <c r="E113" s="87">
        <v>0</v>
      </c>
      <c r="F113" s="87">
        <v>392.2999999999999</v>
      </c>
      <c r="G113" s="87">
        <v>0</v>
      </c>
      <c r="H113" s="133">
        <v>332.2999999999999</v>
      </c>
      <c r="I113" s="133">
        <v>0</v>
      </c>
      <c r="J113" s="87">
        <v>272.29999999999995</v>
      </c>
      <c r="K113" s="87">
        <v>0</v>
      </c>
      <c r="L113" s="87">
        <v>213.6</v>
      </c>
      <c r="M113" s="87">
        <v>1.3000000000000007</v>
      </c>
      <c r="N113" s="87">
        <v>158.70000000000002</v>
      </c>
      <c r="O113" s="87">
        <v>6.4</v>
      </c>
      <c r="P113" s="87">
        <v>106.70000000000002</v>
      </c>
      <c r="Q113" s="87">
        <v>14.399999999999999</v>
      </c>
      <c r="R113" s="87">
        <v>62.2</v>
      </c>
      <c r="S113" s="87">
        <v>29.9</v>
      </c>
      <c r="EG113" s="86">
        <f>Data!F5</f>
        <v>18196504.345325314</v>
      </c>
      <c r="EH113" s="86">
        <f>Data!I5</f>
        <v>6476547.8606799087</v>
      </c>
      <c r="EI113" s="86">
        <f>Data!L5</f>
        <v>14963148.60121792</v>
      </c>
      <c r="EK113" s="86">
        <f t="shared" si="208"/>
        <v>21622140.803780138</v>
      </c>
      <c r="EL113" s="86">
        <f t="shared" si="209"/>
        <v>6725900.4425348109</v>
      </c>
      <c r="EM113" s="82">
        <f t="shared" si="210"/>
        <v>17444987.450183518</v>
      </c>
      <c r="EN113" s="135"/>
      <c r="EO113" s="135"/>
    </row>
    <row r="114" spans="1:145" x14ac:dyDescent="0.2">
      <c r="A114" s="81">
        <v>2011</v>
      </c>
      <c r="B114" s="88">
        <v>5</v>
      </c>
      <c r="C114" s="88">
        <v>14.093548387096776</v>
      </c>
      <c r="D114" s="87">
        <v>246.40000000000003</v>
      </c>
      <c r="E114" s="87">
        <v>1.3000000000000007</v>
      </c>
      <c r="F114" s="87">
        <v>187.50000000000003</v>
      </c>
      <c r="G114" s="87">
        <v>4.4000000000000021</v>
      </c>
      <c r="H114" s="133">
        <v>134.10000000000002</v>
      </c>
      <c r="I114" s="133">
        <v>13</v>
      </c>
      <c r="J114" s="87">
        <v>87.4</v>
      </c>
      <c r="K114" s="87">
        <v>28.3</v>
      </c>
      <c r="L114" s="87">
        <v>50.8</v>
      </c>
      <c r="M114" s="87">
        <v>53.7</v>
      </c>
      <c r="N114" s="87">
        <v>21.800000000000004</v>
      </c>
      <c r="O114" s="87">
        <v>86.7</v>
      </c>
      <c r="P114" s="87">
        <v>7.1</v>
      </c>
      <c r="Q114" s="87">
        <v>134</v>
      </c>
      <c r="R114" s="87">
        <v>2</v>
      </c>
      <c r="S114" s="87">
        <v>190.89999999999998</v>
      </c>
      <c r="EG114" s="86">
        <f>Data!F6</f>
        <v>19242436.605325352</v>
      </c>
      <c r="EH114" s="86">
        <f>Data!I6</f>
        <v>6403514.4906799076</v>
      </c>
      <c r="EI114" s="86">
        <f>Data!L6</f>
        <v>15480338.171217926</v>
      </c>
      <c r="EK114" s="86">
        <f t="shared" si="208"/>
        <v>21544202.132835444</v>
      </c>
      <c r="EL114" s="86">
        <f t="shared" si="209"/>
        <v>6307030.8878317792</v>
      </c>
      <c r="EM114" s="82">
        <f t="shared" si="210"/>
        <v>17372174.003719274</v>
      </c>
      <c r="EN114" s="135"/>
      <c r="EO114" s="135"/>
    </row>
    <row r="115" spans="1:145" x14ac:dyDescent="0.2">
      <c r="A115" s="81">
        <v>2011</v>
      </c>
      <c r="B115" s="88">
        <v>6</v>
      </c>
      <c r="C115" s="88">
        <v>19.106666666666666</v>
      </c>
      <c r="D115" s="87">
        <v>91.899999999999991</v>
      </c>
      <c r="E115" s="87">
        <v>5.0999999999999979</v>
      </c>
      <c r="F115" s="87">
        <v>44</v>
      </c>
      <c r="G115" s="87">
        <v>17.199999999999996</v>
      </c>
      <c r="H115" s="133">
        <v>19</v>
      </c>
      <c r="I115" s="133">
        <v>52.2</v>
      </c>
      <c r="J115" s="87">
        <v>4.7999999999999989</v>
      </c>
      <c r="K115" s="87">
        <v>97.999999999999986</v>
      </c>
      <c r="L115" s="87">
        <v>0</v>
      </c>
      <c r="M115" s="87">
        <v>153.20000000000002</v>
      </c>
      <c r="N115" s="87">
        <v>0</v>
      </c>
      <c r="O115" s="87">
        <v>213.20000000000002</v>
      </c>
      <c r="P115" s="87">
        <v>0</v>
      </c>
      <c r="Q115" s="87">
        <v>273.20000000000005</v>
      </c>
      <c r="R115" s="87">
        <v>0</v>
      </c>
      <c r="S115" s="87">
        <v>333.20000000000005</v>
      </c>
      <c r="EG115" s="86">
        <f>Data!F7</f>
        <v>23455207.885325335</v>
      </c>
      <c r="EH115" s="86">
        <f>Data!I7</f>
        <v>6877896.1406799043</v>
      </c>
      <c r="EI115" s="86">
        <f>Data!L7</f>
        <v>16377529.561217919</v>
      </c>
      <c r="EK115" s="86">
        <f t="shared" si="208"/>
        <v>25673828.766457506</v>
      </c>
      <c r="EL115" s="86">
        <f t="shared" si="209"/>
        <v>6558692.8912883867</v>
      </c>
      <c r="EM115" s="82">
        <f t="shared" si="210"/>
        <v>17571066.459243458</v>
      </c>
      <c r="EN115" s="135"/>
      <c r="EO115" s="135"/>
    </row>
    <row r="116" spans="1:145" x14ac:dyDescent="0.2">
      <c r="A116" s="81">
        <v>2011</v>
      </c>
      <c r="B116" s="88">
        <v>7</v>
      </c>
      <c r="C116" s="88">
        <v>24.396774193548385</v>
      </c>
      <c r="D116" s="87">
        <v>6.100000000000005</v>
      </c>
      <c r="E116" s="87">
        <v>80.40000000000002</v>
      </c>
      <c r="F116" s="87">
        <v>0.5</v>
      </c>
      <c r="G116" s="87">
        <v>136.79999999999998</v>
      </c>
      <c r="H116" s="133">
        <v>0</v>
      </c>
      <c r="I116" s="133">
        <v>198.30000000000004</v>
      </c>
      <c r="J116" s="87">
        <v>0</v>
      </c>
      <c r="K116" s="87">
        <v>260.30000000000007</v>
      </c>
      <c r="L116" s="87">
        <v>0</v>
      </c>
      <c r="M116" s="87">
        <v>322.29999999999995</v>
      </c>
      <c r="N116" s="87">
        <v>0</v>
      </c>
      <c r="O116" s="87">
        <v>384.2999999999999</v>
      </c>
      <c r="P116" s="87">
        <v>0</v>
      </c>
      <c r="Q116" s="87">
        <v>446.2999999999999</v>
      </c>
      <c r="R116" s="87">
        <v>0</v>
      </c>
      <c r="S116" s="87">
        <v>508.2999999999999</v>
      </c>
      <c r="EG116" s="86">
        <f>Data!F8</f>
        <v>29881256.025325283</v>
      </c>
      <c r="EH116" s="86">
        <f>Data!I8</f>
        <v>7234914.1806799052</v>
      </c>
      <c r="EI116" s="86">
        <f>Data!L8</f>
        <v>17038934.041217919</v>
      </c>
      <c r="EK116" s="86">
        <f t="shared" si="208"/>
        <v>36749784.395088628</v>
      </c>
      <c r="EL116" s="86">
        <f t="shared" si="209"/>
        <v>7790284.2370916409</v>
      </c>
      <c r="EM116" s="82">
        <f t="shared" si="210"/>
        <v>18224470.028740145</v>
      </c>
      <c r="EN116" s="135"/>
      <c r="EO116" s="135"/>
    </row>
    <row r="117" spans="1:145" x14ac:dyDescent="0.2">
      <c r="A117" s="81">
        <v>2011</v>
      </c>
      <c r="B117" s="88">
        <v>8</v>
      </c>
      <c r="C117" s="88">
        <v>21.941935483870971</v>
      </c>
      <c r="D117" s="87">
        <v>29.299999999999997</v>
      </c>
      <c r="E117" s="87">
        <v>27.5</v>
      </c>
      <c r="F117" s="87">
        <v>7.6999999999999993</v>
      </c>
      <c r="G117" s="87">
        <v>67.900000000000006</v>
      </c>
      <c r="H117" s="133">
        <v>0</v>
      </c>
      <c r="I117" s="133">
        <v>122.2</v>
      </c>
      <c r="J117" s="87">
        <v>0</v>
      </c>
      <c r="K117" s="87">
        <v>184.2</v>
      </c>
      <c r="L117" s="87">
        <v>0</v>
      </c>
      <c r="M117" s="87">
        <v>246.19999999999996</v>
      </c>
      <c r="N117" s="87">
        <v>0</v>
      </c>
      <c r="O117" s="87">
        <v>308.2</v>
      </c>
      <c r="P117" s="87">
        <v>0</v>
      </c>
      <c r="Q117" s="87">
        <v>370.20000000000005</v>
      </c>
      <c r="R117" s="87">
        <v>0</v>
      </c>
      <c r="S117" s="87">
        <v>432.20000000000005</v>
      </c>
      <c r="EG117" s="86">
        <f>Data!F9</f>
        <v>28120502.455325332</v>
      </c>
      <c r="EH117" s="86">
        <f>Data!I9</f>
        <v>7344852.5306799076</v>
      </c>
      <c r="EI117" s="86">
        <f>Data!L9</f>
        <v>16792927.091217916</v>
      </c>
      <c r="EK117" s="86">
        <f t="shared" si="208"/>
        <v>31556437.362809956</v>
      </c>
      <c r="EL117" s="86">
        <f t="shared" si="209"/>
        <v>7205062.1510207914</v>
      </c>
      <c r="EM117" s="82">
        <f t="shared" si="210"/>
        <v>17915815.580699876</v>
      </c>
      <c r="EN117" s="135"/>
      <c r="EO117" s="135"/>
    </row>
    <row r="118" spans="1:145" x14ac:dyDescent="0.2">
      <c r="A118" s="81">
        <v>2011</v>
      </c>
      <c r="B118" s="88">
        <v>9</v>
      </c>
      <c r="C118" s="88">
        <v>17.709999999999997</v>
      </c>
      <c r="D118" s="87">
        <v>134.69999999999999</v>
      </c>
      <c r="E118" s="87">
        <v>6.0000000000000036</v>
      </c>
      <c r="F118" s="87">
        <v>85.8</v>
      </c>
      <c r="G118" s="87">
        <v>17.100000000000005</v>
      </c>
      <c r="H118" s="133">
        <v>47.999999999999993</v>
      </c>
      <c r="I118" s="133">
        <v>39.300000000000004</v>
      </c>
      <c r="J118" s="87">
        <v>22.400000000000006</v>
      </c>
      <c r="K118" s="87">
        <v>73.7</v>
      </c>
      <c r="L118" s="87">
        <v>9</v>
      </c>
      <c r="M118" s="87">
        <v>120.3</v>
      </c>
      <c r="N118" s="87">
        <v>1.3000000000000007</v>
      </c>
      <c r="O118" s="87">
        <v>172.60000000000002</v>
      </c>
      <c r="P118" s="87">
        <v>0</v>
      </c>
      <c r="Q118" s="87">
        <v>231.30000000000004</v>
      </c>
      <c r="R118" s="87">
        <v>0</v>
      </c>
      <c r="S118" s="87">
        <v>291.3</v>
      </c>
      <c r="EG118" s="86">
        <f>Data!F10</f>
        <v>19919582.535325326</v>
      </c>
      <c r="EH118" s="86">
        <f>Data!I10</f>
        <v>6374849.0306799021</v>
      </c>
      <c r="EI118" s="86">
        <f>Data!L10</f>
        <v>15759561.551217917</v>
      </c>
      <c r="EK118" s="86">
        <f t="shared" si="208"/>
        <v>24126582.085612416</v>
      </c>
      <c r="EL118" s="86">
        <f t="shared" si="209"/>
        <v>6432408.1108057639</v>
      </c>
      <c r="EM118" s="82">
        <f t="shared" si="210"/>
        <v>17490364.526691929</v>
      </c>
      <c r="EN118" s="135"/>
      <c r="EO118" s="135"/>
    </row>
    <row r="119" spans="1:145" x14ac:dyDescent="0.2">
      <c r="A119" s="81">
        <v>2011</v>
      </c>
      <c r="B119" s="88">
        <v>10</v>
      </c>
      <c r="C119" s="88">
        <v>10.483870967741938</v>
      </c>
      <c r="D119" s="87">
        <v>357</v>
      </c>
      <c r="E119" s="87">
        <v>0</v>
      </c>
      <c r="F119" s="87">
        <v>295</v>
      </c>
      <c r="G119" s="87">
        <v>0</v>
      </c>
      <c r="H119" s="133">
        <v>235.4</v>
      </c>
      <c r="I119" s="133">
        <v>2.3999999999999986</v>
      </c>
      <c r="J119" s="87">
        <v>180.70000000000002</v>
      </c>
      <c r="K119" s="87">
        <v>9.6999999999999957</v>
      </c>
      <c r="L119" s="87">
        <v>131.60000000000002</v>
      </c>
      <c r="M119" s="87">
        <v>22.599999999999994</v>
      </c>
      <c r="N119" s="87">
        <v>88.5</v>
      </c>
      <c r="O119" s="87">
        <v>41.5</v>
      </c>
      <c r="P119" s="87">
        <v>49.800000000000004</v>
      </c>
      <c r="Q119" s="87">
        <v>64.8</v>
      </c>
      <c r="R119" s="87">
        <v>23.500000000000004</v>
      </c>
      <c r="S119" s="87">
        <v>100.5</v>
      </c>
      <c r="EG119" s="86">
        <f>Data!F11</f>
        <v>18267774.095325306</v>
      </c>
      <c r="EH119" s="86">
        <f>Data!I11</f>
        <v>6197006.2306798976</v>
      </c>
      <c r="EI119" s="86">
        <f>Data!L11</f>
        <v>15586290.931217926</v>
      </c>
      <c r="EK119" s="86">
        <f t="shared" si="208"/>
        <v>21272081.871394377</v>
      </c>
      <c r="EL119" s="86">
        <f t="shared" si="209"/>
        <v>6485170.4476026641</v>
      </c>
      <c r="EM119" s="82">
        <f t="shared" si="210"/>
        <v>17391394.336994</v>
      </c>
      <c r="EN119" s="135"/>
      <c r="EO119" s="135"/>
    </row>
    <row r="120" spans="1:145" x14ac:dyDescent="0.2">
      <c r="A120" s="81">
        <v>2011</v>
      </c>
      <c r="B120" s="88">
        <v>11</v>
      </c>
      <c r="C120" s="88">
        <v>6.6033333333333335</v>
      </c>
      <c r="D120" s="87">
        <v>461.89999999999992</v>
      </c>
      <c r="E120" s="87">
        <v>0</v>
      </c>
      <c r="F120" s="87">
        <v>401.89999999999992</v>
      </c>
      <c r="G120" s="87">
        <v>0</v>
      </c>
      <c r="H120" s="133">
        <v>341.89999999999992</v>
      </c>
      <c r="I120" s="133">
        <v>0</v>
      </c>
      <c r="J120" s="87">
        <v>281.89999999999998</v>
      </c>
      <c r="K120" s="87">
        <v>0</v>
      </c>
      <c r="L120" s="87">
        <v>221.90000000000003</v>
      </c>
      <c r="M120" s="87">
        <v>0</v>
      </c>
      <c r="N120" s="87">
        <v>165.3</v>
      </c>
      <c r="O120" s="87">
        <v>3.4000000000000004</v>
      </c>
      <c r="P120" s="87">
        <v>115.8</v>
      </c>
      <c r="Q120" s="87">
        <v>13.9</v>
      </c>
      <c r="R120" s="87">
        <v>74.2</v>
      </c>
      <c r="S120" s="87">
        <v>32.300000000000004</v>
      </c>
      <c r="EG120" s="86">
        <f>Data!F12</f>
        <v>20206933.495325342</v>
      </c>
      <c r="EH120" s="86">
        <f>Data!I12</f>
        <v>6512655.0606799014</v>
      </c>
      <c r="EI120" s="86">
        <f>Data!L12</f>
        <v>15941400.461217923</v>
      </c>
      <c r="EK120" s="86">
        <f t="shared" si="208"/>
        <v>21724577.279058427</v>
      </c>
      <c r="EL120" s="86">
        <f t="shared" si="209"/>
        <v>6758947.5687810946</v>
      </c>
      <c r="EM120" s="82">
        <f t="shared" si="210"/>
        <v>17454727.404933538</v>
      </c>
      <c r="EN120" s="135"/>
      <c r="EO120" s="135"/>
    </row>
    <row r="121" spans="1:145" x14ac:dyDescent="0.2">
      <c r="A121" s="81">
        <v>2011</v>
      </c>
      <c r="B121" s="88">
        <v>12</v>
      </c>
      <c r="C121" s="88">
        <v>0.77419354838709664</v>
      </c>
      <c r="D121" s="87">
        <v>658</v>
      </c>
      <c r="E121" s="87">
        <v>0</v>
      </c>
      <c r="F121" s="87">
        <v>596.00000000000011</v>
      </c>
      <c r="G121" s="87">
        <v>0</v>
      </c>
      <c r="H121" s="133">
        <v>534.00000000000011</v>
      </c>
      <c r="I121" s="133">
        <v>0</v>
      </c>
      <c r="J121" s="87">
        <v>472.00000000000006</v>
      </c>
      <c r="K121" s="87">
        <v>0</v>
      </c>
      <c r="L121" s="87">
        <v>410</v>
      </c>
      <c r="M121" s="87">
        <v>0</v>
      </c>
      <c r="N121" s="87">
        <v>348.00000000000006</v>
      </c>
      <c r="O121" s="87">
        <v>0</v>
      </c>
      <c r="P121" s="87">
        <v>286</v>
      </c>
      <c r="Q121" s="87">
        <v>0</v>
      </c>
      <c r="R121" s="87">
        <v>224.09999999999997</v>
      </c>
      <c r="S121" s="87">
        <v>9.9999999999999645E-2</v>
      </c>
      <c r="EG121" s="86">
        <f>Data!F13</f>
        <v>25108396.295325305</v>
      </c>
      <c r="EH121" s="86">
        <f>Data!I13</f>
        <v>8516346.6906799022</v>
      </c>
      <c r="EI121" s="86">
        <f>Data!L13</f>
        <v>16816631.181217916</v>
      </c>
      <c r="EK121" s="86">
        <f t="shared" si="208"/>
        <v>24046059.32723264</v>
      </c>
      <c r="EL121" s="86">
        <f t="shared" si="209"/>
        <v>7413349.5166371986</v>
      </c>
      <c r="EM121" s="82">
        <f t="shared" si="210"/>
        <v>17647598.800556317</v>
      </c>
      <c r="EN121" s="135"/>
      <c r="EO121" s="135"/>
    </row>
    <row r="122" spans="1:145" x14ac:dyDescent="0.2">
      <c r="A122" s="81">
        <v>2012</v>
      </c>
      <c r="B122" s="88">
        <v>1</v>
      </c>
      <c r="C122" s="88">
        <v>-1.7129032258064516</v>
      </c>
      <c r="D122" s="83">
        <v>735.1</v>
      </c>
      <c r="E122" s="87">
        <v>0</v>
      </c>
      <c r="F122" s="87">
        <v>673.1</v>
      </c>
      <c r="G122" s="87">
        <v>0</v>
      </c>
      <c r="H122" s="133">
        <v>611.1</v>
      </c>
      <c r="I122" s="133">
        <v>0</v>
      </c>
      <c r="J122" s="87">
        <v>549.1</v>
      </c>
      <c r="K122" s="87">
        <v>0</v>
      </c>
      <c r="L122" s="87">
        <v>487.1</v>
      </c>
      <c r="M122" s="87">
        <v>0</v>
      </c>
      <c r="N122" s="87">
        <v>425.10000000000008</v>
      </c>
      <c r="O122" s="87">
        <v>0</v>
      </c>
      <c r="P122" s="87">
        <v>363.10000000000008</v>
      </c>
      <c r="Q122" s="87">
        <v>0</v>
      </c>
      <c r="R122" s="87">
        <v>301.10000000000008</v>
      </c>
      <c r="S122" s="87">
        <v>0</v>
      </c>
      <c r="EG122" s="86">
        <f>Data!F14</f>
        <v>22665511.009777255</v>
      </c>
      <c r="EH122" s="86">
        <f>Data!I14</f>
        <v>6574209.2444903748</v>
      </c>
      <c r="EI122" s="86">
        <f>Data!L14</f>
        <v>16785266.463490896</v>
      </c>
      <c r="EK122" s="86">
        <f t="shared" si="208"/>
        <v>24997607.79035987</v>
      </c>
      <c r="EL122" s="86">
        <f t="shared" si="209"/>
        <v>7678759.2493026676</v>
      </c>
      <c r="EM122" s="82">
        <f t="shared" si="210"/>
        <v>17725822.812142409</v>
      </c>
      <c r="EN122" s="135"/>
      <c r="EO122" s="135"/>
    </row>
    <row r="123" spans="1:145" x14ac:dyDescent="0.2">
      <c r="A123" s="81">
        <v>2012</v>
      </c>
      <c r="B123" s="88">
        <v>2</v>
      </c>
      <c r="C123" s="88">
        <v>-0.33448275862068977</v>
      </c>
      <c r="D123" s="83">
        <v>647.70000000000005</v>
      </c>
      <c r="E123" s="87">
        <v>0</v>
      </c>
      <c r="F123" s="87">
        <v>589.69999999999993</v>
      </c>
      <c r="G123" s="87">
        <v>0</v>
      </c>
      <c r="H123" s="133">
        <v>531.70000000000005</v>
      </c>
      <c r="I123" s="133">
        <v>0</v>
      </c>
      <c r="J123" s="87">
        <v>473.70000000000005</v>
      </c>
      <c r="K123" s="87">
        <v>0</v>
      </c>
      <c r="L123" s="87">
        <v>415.70000000000005</v>
      </c>
      <c r="M123" s="87">
        <v>0</v>
      </c>
      <c r="N123" s="87">
        <v>357.7</v>
      </c>
      <c r="O123" s="87">
        <v>0</v>
      </c>
      <c r="P123" s="87">
        <v>299.70000000000005</v>
      </c>
      <c r="Q123" s="87">
        <v>0</v>
      </c>
      <c r="R123" s="87">
        <v>241.70000000000005</v>
      </c>
      <c r="S123" s="87">
        <v>0</v>
      </c>
      <c r="EG123" s="86">
        <f>Data!F15</f>
        <v>21731631.059777245</v>
      </c>
      <c r="EH123" s="86">
        <f>Data!I15</f>
        <v>7340119.5544903772</v>
      </c>
      <c r="EI123" s="86">
        <f>Data!L15</f>
        <v>16079301.203490896</v>
      </c>
      <c r="EK123" s="86">
        <f t="shared" si="208"/>
        <v>24116407.268086407</v>
      </c>
      <c r="EL123" s="86">
        <f t="shared" si="209"/>
        <v>7419201.6119099781</v>
      </c>
      <c r="EM123" s="82">
        <f t="shared" si="210"/>
        <v>17649323.584209967</v>
      </c>
      <c r="EN123" s="135"/>
      <c r="EO123" s="135"/>
    </row>
    <row r="124" spans="1:145" x14ac:dyDescent="0.2">
      <c r="A124" s="81">
        <v>2012</v>
      </c>
      <c r="B124" s="88">
        <v>3</v>
      </c>
      <c r="C124" s="88">
        <v>6.7354838709677418</v>
      </c>
      <c r="D124" s="83">
        <v>473.2000000000001</v>
      </c>
      <c r="E124" s="87">
        <v>0</v>
      </c>
      <c r="F124" s="87">
        <v>411.20000000000005</v>
      </c>
      <c r="G124" s="87">
        <v>0</v>
      </c>
      <c r="H124" s="133">
        <v>349.40000000000009</v>
      </c>
      <c r="I124" s="133">
        <v>0.19999999999999929</v>
      </c>
      <c r="J124" s="87">
        <v>290.2</v>
      </c>
      <c r="K124" s="87">
        <v>3</v>
      </c>
      <c r="L124" s="87">
        <v>236.3</v>
      </c>
      <c r="M124" s="87">
        <v>11.1</v>
      </c>
      <c r="N124" s="87">
        <v>186.99999999999997</v>
      </c>
      <c r="O124" s="87">
        <v>23.799999999999997</v>
      </c>
      <c r="P124" s="87">
        <v>145</v>
      </c>
      <c r="Q124" s="87">
        <v>43.800000000000004</v>
      </c>
      <c r="R124" s="87">
        <v>111.49999999999999</v>
      </c>
      <c r="S124" s="87">
        <v>72.300000000000011</v>
      </c>
      <c r="EG124" s="86">
        <f>Data!F16</f>
        <v>20010014.379777245</v>
      </c>
      <c r="EH124" s="86">
        <f>Data!I16</f>
        <v>6958502.994490372</v>
      </c>
      <c r="EI124" s="86">
        <f>Data!L16</f>
        <v>16537471.803490892</v>
      </c>
      <c r="EK124" s="86">
        <f t="shared" si="208"/>
        <v>22107029.550439928</v>
      </c>
      <c r="EL124" s="86">
        <f t="shared" si="209"/>
        <v>6810590.0792248379</v>
      </c>
      <c r="EM124" s="82">
        <f t="shared" si="210"/>
        <v>17475316.125534605</v>
      </c>
      <c r="EN124" s="135"/>
      <c r="EO124" s="135"/>
    </row>
    <row r="125" spans="1:145" x14ac:dyDescent="0.2">
      <c r="A125" s="81">
        <v>2012</v>
      </c>
      <c r="B125" s="88">
        <v>4</v>
      </c>
      <c r="C125" s="88">
        <v>7.2766666666666673</v>
      </c>
      <c r="D125" s="83">
        <v>441.70000000000005</v>
      </c>
      <c r="E125" s="87">
        <v>0</v>
      </c>
      <c r="F125" s="87">
        <v>381.70000000000005</v>
      </c>
      <c r="G125" s="87">
        <v>0</v>
      </c>
      <c r="H125" s="133">
        <v>321.70000000000005</v>
      </c>
      <c r="I125" s="133">
        <v>0</v>
      </c>
      <c r="J125" s="87">
        <v>263.10000000000002</v>
      </c>
      <c r="K125" s="87">
        <v>1.3999999999999986</v>
      </c>
      <c r="L125" s="87">
        <v>206.9</v>
      </c>
      <c r="M125" s="87">
        <v>5.1999999999999975</v>
      </c>
      <c r="N125" s="87">
        <v>152.9</v>
      </c>
      <c r="O125" s="87">
        <v>11.199999999999998</v>
      </c>
      <c r="P125" s="87">
        <v>100.89999999999999</v>
      </c>
      <c r="Q125" s="87">
        <v>19.2</v>
      </c>
      <c r="R125" s="87">
        <v>51.5</v>
      </c>
      <c r="S125" s="87">
        <v>29.8</v>
      </c>
      <c r="EG125" s="86">
        <f>Data!F17</f>
        <v>18912007.339777257</v>
      </c>
      <c r="EH125" s="86">
        <f>Data!I17</f>
        <v>6528936.0744903851</v>
      </c>
      <c r="EI125" s="86">
        <f>Data!L17</f>
        <v>14880264.923490893</v>
      </c>
      <c r="EK125" s="86">
        <f t="shared" si="208"/>
        <v>21634992.325818256</v>
      </c>
      <c r="EL125" s="86">
        <f t="shared" si="209"/>
        <v>6704996.5206245556</v>
      </c>
      <c r="EM125" s="82">
        <f t="shared" si="210"/>
        <v>17441331.595307913</v>
      </c>
      <c r="EN125" s="135"/>
      <c r="EO125" s="135"/>
    </row>
    <row r="126" spans="1:145" x14ac:dyDescent="0.2">
      <c r="A126" s="81">
        <v>2012</v>
      </c>
      <c r="B126" s="88">
        <v>5</v>
      </c>
      <c r="C126" s="88">
        <v>16.58064516129032</v>
      </c>
      <c r="D126" s="83">
        <v>174.8</v>
      </c>
      <c r="E126" s="87">
        <v>6.7999999999999972</v>
      </c>
      <c r="F126" s="87">
        <v>123.00000000000001</v>
      </c>
      <c r="G126" s="87">
        <v>16.999999999999996</v>
      </c>
      <c r="H126" s="133">
        <v>80.7</v>
      </c>
      <c r="I126" s="133">
        <v>36.699999999999996</v>
      </c>
      <c r="J126" s="87">
        <v>46.199999999999989</v>
      </c>
      <c r="K126" s="87">
        <v>64.199999999999989</v>
      </c>
      <c r="L126" s="87">
        <v>21.499999999999996</v>
      </c>
      <c r="M126" s="87">
        <v>101.5</v>
      </c>
      <c r="N126" s="87">
        <v>7.0999999999999979</v>
      </c>
      <c r="O126" s="87">
        <v>149.10000000000002</v>
      </c>
      <c r="P126" s="87">
        <v>0</v>
      </c>
      <c r="Q126" s="87">
        <v>204</v>
      </c>
      <c r="R126" s="87">
        <v>0</v>
      </c>
      <c r="S126" s="87">
        <v>266</v>
      </c>
      <c r="EG126" s="86">
        <f>Data!F18</f>
        <v>19051304.719777234</v>
      </c>
      <c r="EH126" s="86">
        <f>Data!I18</f>
        <v>6426033.404490374</v>
      </c>
      <c r="EI126" s="86">
        <f>Data!L18</f>
        <v>17082202.913490895</v>
      </c>
      <c r="EK126" s="86">
        <f t="shared" si="208"/>
        <v>23632538.553185675</v>
      </c>
      <c r="EL126" s="86">
        <f t="shared" si="209"/>
        <v>6441280.811015306</v>
      </c>
      <c r="EM126" s="82">
        <f t="shared" si="210"/>
        <v>17475980.390663218</v>
      </c>
      <c r="EN126" s="135"/>
      <c r="EO126" s="135"/>
    </row>
    <row r="127" spans="1:145" x14ac:dyDescent="0.2">
      <c r="A127" s="81">
        <v>2012</v>
      </c>
      <c r="B127" s="88">
        <v>6</v>
      </c>
      <c r="C127" s="88">
        <v>20.613333333333333</v>
      </c>
      <c r="D127" s="83">
        <v>74.7</v>
      </c>
      <c r="E127" s="87">
        <v>33.099999999999994</v>
      </c>
      <c r="F127" s="87">
        <v>42.099999999999994</v>
      </c>
      <c r="G127" s="87">
        <v>60.5</v>
      </c>
      <c r="H127" s="133">
        <v>23.2</v>
      </c>
      <c r="I127" s="133">
        <v>101.60000000000001</v>
      </c>
      <c r="J127" s="87">
        <v>9.6</v>
      </c>
      <c r="K127" s="87">
        <v>148</v>
      </c>
      <c r="L127" s="87">
        <v>1.0999999999999996</v>
      </c>
      <c r="M127" s="87">
        <v>199.5</v>
      </c>
      <c r="N127" s="87">
        <v>0</v>
      </c>
      <c r="O127" s="87">
        <v>258.40000000000003</v>
      </c>
      <c r="P127" s="87">
        <v>0</v>
      </c>
      <c r="Q127" s="87">
        <v>318.40000000000003</v>
      </c>
      <c r="R127" s="87">
        <v>0</v>
      </c>
      <c r="S127" s="87">
        <v>378.40000000000003</v>
      </c>
      <c r="EG127" s="86">
        <f>Data!F19</f>
        <v>27958863.159777239</v>
      </c>
      <c r="EH127" s="86">
        <f>Data!I19</f>
        <v>6971087.1044903705</v>
      </c>
      <c r="EI127" s="86">
        <f>Data!L19</f>
        <v>16878400.213490888</v>
      </c>
      <c r="EK127" s="86">
        <f t="shared" si="208"/>
        <v>29099590.645629164</v>
      </c>
      <c r="EL127" s="86">
        <f t="shared" si="209"/>
        <v>6959725.052355581</v>
      </c>
      <c r="EM127" s="82">
        <f t="shared" si="210"/>
        <v>17778731.737564772</v>
      </c>
      <c r="EN127" s="135"/>
      <c r="EO127" s="135"/>
    </row>
    <row r="128" spans="1:145" x14ac:dyDescent="0.2">
      <c r="A128" s="81">
        <v>2012</v>
      </c>
      <c r="B128" s="88">
        <v>7</v>
      </c>
      <c r="C128" s="88">
        <v>24.303225806451614</v>
      </c>
      <c r="D128" s="83">
        <v>2.3000000000000007</v>
      </c>
      <c r="E128" s="87">
        <v>73.7</v>
      </c>
      <c r="F128" s="87">
        <v>0</v>
      </c>
      <c r="G128" s="87">
        <v>133.4</v>
      </c>
      <c r="H128" s="133">
        <v>0</v>
      </c>
      <c r="I128" s="133">
        <v>195.39999999999998</v>
      </c>
      <c r="J128" s="87">
        <v>0</v>
      </c>
      <c r="K128" s="87">
        <v>257.39999999999998</v>
      </c>
      <c r="L128" s="87">
        <v>0</v>
      </c>
      <c r="M128" s="87">
        <v>319.39999999999998</v>
      </c>
      <c r="N128" s="87">
        <v>0</v>
      </c>
      <c r="O128" s="87">
        <v>381.40000000000003</v>
      </c>
      <c r="P128" s="87">
        <v>0</v>
      </c>
      <c r="Q128" s="87">
        <v>443.40000000000009</v>
      </c>
      <c r="R128" s="87">
        <v>0</v>
      </c>
      <c r="S128" s="87">
        <v>505.40000000000015</v>
      </c>
      <c r="EG128" s="86">
        <f>Data!F20</f>
        <v>33576079.829777248</v>
      </c>
      <c r="EH128" s="86">
        <f>Data!I20</f>
        <v>7716520.8544903751</v>
      </c>
      <c r="EI128" s="86">
        <f>Data!L20</f>
        <v>17160081.253490891</v>
      </c>
      <c r="EK128" s="86">
        <f t="shared" si="208"/>
        <v>36551877.609364465</v>
      </c>
      <c r="EL128" s="86">
        <f t="shared" si="209"/>
        <v>7767982.7384108854</v>
      </c>
      <c r="EM128" s="82">
        <f t="shared" si="210"/>
        <v>18212707.901285261</v>
      </c>
      <c r="EN128" s="135"/>
      <c r="EO128" s="135"/>
    </row>
    <row r="129" spans="1:145" x14ac:dyDescent="0.2">
      <c r="A129" s="81">
        <v>2012</v>
      </c>
      <c r="B129" s="88">
        <v>8</v>
      </c>
      <c r="C129" s="88">
        <v>21.551612903225806</v>
      </c>
      <c r="D129" s="83">
        <v>41.1</v>
      </c>
      <c r="E129" s="87">
        <v>27.2</v>
      </c>
      <c r="F129" s="87">
        <v>12.600000000000001</v>
      </c>
      <c r="G129" s="87">
        <v>60.7</v>
      </c>
      <c r="H129" s="133">
        <v>2</v>
      </c>
      <c r="I129" s="133">
        <v>112.10000000000001</v>
      </c>
      <c r="J129" s="87">
        <v>0</v>
      </c>
      <c r="K129" s="87">
        <v>172.1</v>
      </c>
      <c r="L129" s="87">
        <v>0</v>
      </c>
      <c r="M129" s="87">
        <v>234.09999999999997</v>
      </c>
      <c r="N129" s="87">
        <v>0</v>
      </c>
      <c r="O129" s="87">
        <v>296.10000000000002</v>
      </c>
      <c r="P129" s="87">
        <v>0</v>
      </c>
      <c r="Q129" s="87">
        <v>358.1</v>
      </c>
      <c r="R129" s="87">
        <v>0</v>
      </c>
      <c r="S129" s="87">
        <v>420.09999999999997</v>
      </c>
      <c r="EG129" s="86">
        <f>Data!F21</f>
        <v>30029439.459777251</v>
      </c>
      <c r="EH129" s="86">
        <f>Data!I21</f>
        <v>7843878.4144903794</v>
      </c>
      <c r="EI129" s="86">
        <f>Data!L21</f>
        <v>16796041.313490894</v>
      </c>
      <c r="EK129" s="86">
        <f t="shared" si="208"/>
        <v>30730688.360305727</v>
      </c>
      <c r="EL129" s="86">
        <f t="shared" si="209"/>
        <v>7112011.070318331</v>
      </c>
      <c r="EM129" s="82">
        <f t="shared" si="210"/>
        <v>17866739.117870871</v>
      </c>
      <c r="EN129" s="135"/>
      <c r="EO129" s="135"/>
    </row>
    <row r="130" spans="1:145" x14ac:dyDescent="0.2">
      <c r="A130" s="81">
        <v>2012</v>
      </c>
      <c r="B130" s="88">
        <v>9</v>
      </c>
      <c r="C130" s="88">
        <v>16.353333333333335</v>
      </c>
      <c r="D130" s="83">
        <v>171.4</v>
      </c>
      <c r="E130" s="87">
        <v>2</v>
      </c>
      <c r="F130" s="87">
        <v>126.6</v>
      </c>
      <c r="G130" s="87">
        <v>17.2</v>
      </c>
      <c r="H130" s="133">
        <v>84.999999999999986</v>
      </c>
      <c r="I130" s="133">
        <v>35.6</v>
      </c>
      <c r="J130" s="87">
        <v>48.300000000000011</v>
      </c>
      <c r="K130" s="87">
        <v>58.899999999999991</v>
      </c>
      <c r="L130" s="87">
        <v>21.500000000000004</v>
      </c>
      <c r="M130" s="87">
        <v>92.09999999999998</v>
      </c>
      <c r="N130" s="87">
        <v>6.4</v>
      </c>
      <c r="O130" s="87">
        <v>136.99999999999997</v>
      </c>
      <c r="P130" s="87">
        <v>0.5</v>
      </c>
      <c r="Q130" s="87">
        <v>191.1</v>
      </c>
      <c r="R130" s="87">
        <v>0</v>
      </c>
      <c r="S130" s="87">
        <v>250.6</v>
      </c>
      <c r="EG130" s="86">
        <f>Data!F22</f>
        <v>21238214.669777248</v>
      </c>
      <c r="EH130" s="86">
        <f>Data!I22</f>
        <v>6441465.9444903778</v>
      </c>
      <c r="EI130" s="86">
        <f>Data!L22</f>
        <v>15640179.133490894</v>
      </c>
      <c r="EK130" s="86">
        <f t="shared" si="208"/>
        <v>23270846.841344979</v>
      </c>
      <c r="EL130" s="86">
        <f t="shared" si="209"/>
        <v>6407751.9584996114</v>
      </c>
      <c r="EM130" s="82">
        <f t="shared" si="210"/>
        <v>17456614.703864478</v>
      </c>
      <c r="EN130" s="135"/>
      <c r="EO130" s="135"/>
    </row>
    <row r="131" spans="1:145" x14ac:dyDescent="0.2">
      <c r="A131" s="81">
        <v>2012</v>
      </c>
      <c r="B131" s="88">
        <v>10</v>
      </c>
      <c r="C131" s="88">
        <v>10.212903225806452</v>
      </c>
      <c r="D131" s="83">
        <v>365.4</v>
      </c>
      <c r="E131" s="87">
        <v>0</v>
      </c>
      <c r="F131" s="87">
        <v>303.40000000000003</v>
      </c>
      <c r="G131" s="87">
        <v>0</v>
      </c>
      <c r="H131" s="133">
        <v>242.50000000000003</v>
      </c>
      <c r="I131" s="133">
        <v>1.1000000000000014</v>
      </c>
      <c r="J131" s="87">
        <v>183.9</v>
      </c>
      <c r="K131" s="87">
        <v>4.5</v>
      </c>
      <c r="L131" s="87">
        <v>130.50000000000003</v>
      </c>
      <c r="M131" s="87">
        <v>13.1</v>
      </c>
      <c r="N131" s="87">
        <v>84.299999999999983</v>
      </c>
      <c r="O131" s="87">
        <v>28.9</v>
      </c>
      <c r="P131" s="87">
        <v>48.9</v>
      </c>
      <c r="Q131" s="87">
        <v>55.500000000000007</v>
      </c>
      <c r="R131" s="87">
        <v>22.3</v>
      </c>
      <c r="S131" s="87">
        <v>90.899999999999977</v>
      </c>
      <c r="EG131" s="86">
        <f>Data!F23</f>
        <v>19640038.639777251</v>
      </c>
      <c r="EH131" s="86">
        <f>Data!I23</f>
        <v>6350300.914490371</v>
      </c>
      <c r="EI131" s="86">
        <f>Data!L23</f>
        <v>15988881.633490898</v>
      </c>
      <c r="EK131" s="86">
        <f t="shared" si="208"/>
        <v>20903638.613064829</v>
      </c>
      <c r="EL131" s="86">
        <f t="shared" si="209"/>
        <v>6456197.2621652437</v>
      </c>
      <c r="EM131" s="82">
        <f t="shared" si="210"/>
        <v>17373550.277278926</v>
      </c>
      <c r="EN131" s="135"/>
      <c r="EO131" s="135"/>
    </row>
    <row r="132" spans="1:145" x14ac:dyDescent="0.2">
      <c r="A132" s="81">
        <v>2012</v>
      </c>
      <c r="B132" s="88">
        <v>11</v>
      </c>
      <c r="C132" s="88">
        <v>3.5333333333333332</v>
      </c>
      <c r="D132" s="83">
        <v>554</v>
      </c>
      <c r="E132" s="87">
        <v>0</v>
      </c>
      <c r="F132" s="87">
        <v>494</v>
      </c>
      <c r="G132" s="87">
        <v>0</v>
      </c>
      <c r="H132" s="133">
        <v>433.99999999999994</v>
      </c>
      <c r="I132" s="133">
        <v>0</v>
      </c>
      <c r="J132" s="87">
        <v>373.99999999999994</v>
      </c>
      <c r="K132" s="87">
        <v>0</v>
      </c>
      <c r="L132" s="87">
        <v>313.99999999999994</v>
      </c>
      <c r="M132" s="87">
        <v>0</v>
      </c>
      <c r="N132" s="87">
        <v>254.5</v>
      </c>
      <c r="O132" s="87">
        <v>0.5</v>
      </c>
      <c r="P132" s="87">
        <v>197.7</v>
      </c>
      <c r="Q132" s="87">
        <v>3.6999999999999993</v>
      </c>
      <c r="R132" s="87">
        <v>142.6</v>
      </c>
      <c r="S132" s="87">
        <v>8.6</v>
      </c>
      <c r="EG132" s="86">
        <f>Data!F24</f>
        <v>21482109.149777245</v>
      </c>
      <c r="EH132" s="86">
        <f>Data!I24</f>
        <v>7024430.374490384</v>
      </c>
      <c r="EI132" s="86">
        <f>Data!L24</f>
        <v>16432215.043490896</v>
      </c>
      <c r="EK132" s="86">
        <f t="shared" si="208"/>
        <v>22861251.902327139</v>
      </c>
      <c r="EL132" s="86">
        <f t="shared" si="209"/>
        <v>7075993.4362063818</v>
      </c>
      <c r="EM132" s="82">
        <f t="shared" si="210"/>
        <v>17548170.095816534</v>
      </c>
      <c r="EN132" s="135"/>
      <c r="EO132" s="135"/>
    </row>
    <row r="133" spans="1:145" x14ac:dyDescent="0.2">
      <c r="A133" s="81">
        <v>2012</v>
      </c>
      <c r="B133" s="88">
        <v>12</v>
      </c>
      <c r="C133" s="88">
        <v>0.79032258064516181</v>
      </c>
      <c r="D133" s="83">
        <v>657.50000000000011</v>
      </c>
      <c r="E133" s="87">
        <v>0</v>
      </c>
      <c r="F133" s="87">
        <v>595.50000000000011</v>
      </c>
      <c r="G133" s="87">
        <v>0</v>
      </c>
      <c r="H133" s="133">
        <v>533.50000000000011</v>
      </c>
      <c r="I133" s="133">
        <v>0</v>
      </c>
      <c r="J133" s="87">
        <v>471.50000000000006</v>
      </c>
      <c r="K133" s="87">
        <v>0</v>
      </c>
      <c r="L133" s="87">
        <v>409.50000000000006</v>
      </c>
      <c r="M133" s="87">
        <v>0</v>
      </c>
      <c r="N133" s="87">
        <v>347.50000000000011</v>
      </c>
      <c r="O133" s="87">
        <v>0</v>
      </c>
      <c r="P133" s="87">
        <v>286.00000000000006</v>
      </c>
      <c r="Q133" s="87">
        <v>0.5</v>
      </c>
      <c r="R133" s="87">
        <v>226</v>
      </c>
      <c r="S133" s="87">
        <v>2.5</v>
      </c>
      <c r="EG133" s="86">
        <f>Data!F25</f>
        <v>25647572.909777213</v>
      </c>
      <c r="EH133" s="86">
        <f>Data!I25</f>
        <v>8378458.2844903842</v>
      </c>
      <c r="EI133" s="86">
        <f>Data!L25</f>
        <v>16691357.483490892</v>
      </c>
      <c r="EK133" s="86">
        <f t="shared" si="208"/>
        <v>24039888.455227926</v>
      </c>
      <c r="EL133" s="86">
        <f t="shared" si="209"/>
        <v>7411628.3121452052</v>
      </c>
      <c r="EM133" s="82">
        <f t="shared" si="210"/>
        <v>17647091.51124642</v>
      </c>
      <c r="EN133" s="135"/>
      <c r="EO133" s="135"/>
    </row>
    <row r="134" spans="1:145" x14ac:dyDescent="0.2">
      <c r="A134" s="81">
        <v>2013</v>
      </c>
      <c r="B134" s="88">
        <v>1</v>
      </c>
      <c r="C134" s="88">
        <v>-2.1451612903225801</v>
      </c>
      <c r="D134" s="83">
        <v>748.50000000000011</v>
      </c>
      <c r="E134" s="87">
        <v>0</v>
      </c>
      <c r="F134" s="87">
        <v>686.50000000000011</v>
      </c>
      <c r="G134" s="87">
        <v>0</v>
      </c>
      <c r="H134" s="133">
        <v>624.50000000000011</v>
      </c>
      <c r="I134" s="133">
        <v>0</v>
      </c>
      <c r="J134" s="87">
        <v>562.50000000000011</v>
      </c>
      <c r="K134" s="87">
        <v>0</v>
      </c>
      <c r="L134" s="87">
        <v>500.50000000000006</v>
      </c>
      <c r="M134" s="87">
        <v>0</v>
      </c>
      <c r="N134" s="87">
        <v>438.50000000000006</v>
      </c>
      <c r="O134" s="87">
        <v>0</v>
      </c>
      <c r="P134" s="87">
        <v>376.50000000000006</v>
      </c>
      <c r="Q134" s="87">
        <v>0</v>
      </c>
      <c r="R134" s="87">
        <v>319.70000000000005</v>
      </c>
      <c r="S134" s="87">
        <v>5.1999999999999993</v>
      </c>
      <c r="EG134" s="86">
        <f>Data!F26</f>
        <v>24743261.071531244</v>
      </c>
      <c r="EH134" s="86">
        <f>Data!I26</f>
        <v>7057432.2289354121</v>
      </c>
      <c r="EI134" s="86">
        <f>Data!L26</f>
        <v>17334132.91204248</v>
      </c>
      <c r="EK134" s="86">
        <f t="shared" si="208"/>
        <v>25162987.160086267</v>
      </c>
      <c r="EL134" s="86">
        <f t="shared" si="209"/>
        <v>7724887.5296881059</v>
      </c>
      <c r="EM134" s="82">
        <f t="shared" si="210"/>
        <v>17739418.165647645</v>
      </c>
      <c r="EN134" s="135"/>
      <c r="EO134" s="135"/>
    </row>
    <row r="135" spans="1:145" x14ac:dyDescent="0.2">
      <c r="A135" s="81">
        <v>2013</v>
      </c>
      <c r="B135" s="88">
        <v>2</v>
      </c>
      <c r="C135" s="88">
        <v>-4.5535714285714288</v>
      </c>
      <c r="D135" s="83">
        <v>743.49999999999989</v>
      </c>
      <c r="E135" s="87">
        <v>0</v>
      </c>
      <c r="F135" s="87">
        <v>687.49999999999989</v>
      </c>
      <c r="G135" s="87">
        <v>0</v>
      </c>
      <c r="H135" s="133">
        <v>631.49999999999989</v>
      </c>
      <c r="I135" s="133">
        <v>0</v>
      </c>
      <c r="J135" s="87">
        <v>575.5</v>
      </c>
      <c r="K135" s="87">
        <v>0</v>
      </c>
      <c r="L135" s="87">
        <v>519.49999999999989</v>
      </c>
      <c r="M135" s="87">
        <v>0</v>
      </c>
      <c r="N135" s="87">
        <v>463.49999999999989</v>
      </c>
      <c r="O135" s="87">
        <v>0</v>
      </c>
      <c r="P135" s="87">
        <v>407.49999999999989</v>
      </c>
      <c r="Q135" s="87">
        <v>0</v>
      </c>
      <c r="R135" s="87">
        <v>351.49999999999994</v>
      </c>
      <c r="S135" s="87">
        <v>0</v>
      </c>
      <c r="EG135" s="86">
        <f>Data!F27</f>
        <v>23224532.891531281</v>
      </c>
      <c r="EH135" s="86">
        <f>Data!I27</f>
        <v>7593243.098935415</v>
      </c>
      <c r="EI135" s="86">
        <f>Data!L27</f>
        <v>16623683.162042486</v>
      </c>
      <c r="EK135" s="86">
        <f t="shared" si="208"/>
        <v>25397480.296265475</v>
      </c>
      <c r="EL135" s="86">
        <f t="shared" si="209"/>
        <v>7769638.8464799486</v>
      </c>
      <c r="EM135" s="82">
        <f t="shared" si="210"/>
        <v>17752607.687704962</v>
      </c>
      <c r="EN135" s="135"/>
      <c r="EO135" s="135"/>
    </row>
    <row r="136" spans="1:145" x14ac:dyDescent="0.2">
      <c r="A136" s="81">
        <v>2013</v>
      </c>
      <c r="B136" s="88">
        <v>3</v>
      </c>
      <c r="C136" s="88">
        <v>0.10322580645161282</v>
      </c>
      <c r="D136" s="83">
        <v>678.8</v>
      </c>
      <c r="E136" s="87">
        <v>0</v>
      </c>
      <c r="F136" s="87">
        <v>616.79999999999984</v>
      </c>
      <c r="G136" s="87">
        <v>0</v>
      </c>
      <c r="H136" s="133">
        <v>554.79999999999995</v>
      </c>
      <c r="I136" s="133">
        <v>0</v>
      </c>
      <c r="J136" s="87">
        <v>492.79999999999995</v>
      </c>
      <c r="K136" s="87">
        <v>0</v>
      </c>
      <c r="L136" s="87">
        <v>430.8</v>
      </c>
      <c r="M136" s="87">
        <v>0</v>
      </c>
      <c r="N136" s="87">
        <v>368.79999999999995</v>
      </c>
      <c r="O136" s="87">
        <v>0</v>
      </c>
      <c r="P136" s="87">
        <v>306.8</v>
      </c>
      <c r="Q136" s="87">
        <v>0</v>
      </c>
      <c r="R136" s="87">
        <v>244.79999999999995</v>
      </c>
      <c r="S136" s="87">
        <v>0</v>
      </c>
      <c r="EG136" s="86">
        <f>Data!F28</f>
        <v>23052750.88153125</v>
      </c>
      <c r="EH136" s="86">
        <f>Data!I28</f>
        <v>7735467.3789354125</v>
      </c>
      <c r="EI136" s="86">
        <f>Data!L28</f>
        <v>17463321.022042483</v>
      </c>
      <c r="EK136" s="86">
        <f t="shared" si="208"/>
        <v>24302767.602628835</v>
      </c>
      <c r="EL136" s="86">
        <f t="shared" si="209"/>
        <v>7484951.6235041469</v>
      </c>
      <c r="EM136" s="82">
        <f t="shared" si="210"/>
        <v>17668702.035848025</v>
      </c>
      <c r="EN136" s="135"/>
      <c r="EO136" s="135"/>
    </row>
    <row r="137" spans="1:145" x14ac:dyDescent="0.2">
      <c r="A137" s="81">
        <v>2013</v>
      </c>
      <c r="B137" s="88">
        <v>4</v>
      </c>
      <c r="C137" s="88">
        <v>6.0466666666666669</v>
      </c>
      <c r="D137" s="83">
        <v>478.60000000000014</v>
      </c>
      <c r="E137" s="87">
        <v>0</v>
      </c>
      <c r="F137" s="87">
        <v>418.60000000000008</v>
      </c>
      <c r="G137" s="87">
        <v>0</v>
      </c>
      <c r="H137" s="133">
        <v>358.6</v>
      </c>
      <c r="I137" s="133">
        <v>0</v>
      </c>
      <c r="J137" s="87">
        <v>298.60000000000002</v>
      </c>
      <c r="K137" s="87">
        <v>0</v>
      </c>
      <c r="L137" s="87">
        <v>239.99999999999997</v>
      </c>
      <c r="M137" s="87">
        <v>1.4000000000000004</v>
      </c>
      <c r="N137" s="87">
        <v>184.2</v>
      </c>
      <c r="O137" s="87">
        <v>5.6000000000000014</v>
      </c>
      <c r="P137" s="87">
        <v>135.19999999999999</v>
      </c>
      <c r="Q137" s="87">
        <v>16.600000000000001</v>
      </c>
      <c r="R137" s="87">
        <v>91.899999999999991</v>
      </c>
      <c r="S137" s="87">
        <v>33.299999999999997</v>
      </c>
      <c r="EG137" s="86">
        <f>Data!F29</f>
        <v>19679187.661531229</v>
      </c>
      <c r="EH137" s="86">
        <f>Data!I29</f>
        <v>6936016.7489354145</v>
      </c>
      <c r="EI137" s="86">
        <f>Data!L29</f>
        <v>16662389.712042477</v>
      </c>
      <c r="EK137" s="86">
        <f t="shared" si="208"/>
        <v>21947962.845629148</v>
      </c>
      <c r="EL137" s="86">
        <f t="shared" si="209"/>
        <v>6816435.7988136932</v>
      </c>
      <c r="EM137" s="82">
        <f t="shared" si="210"/>
        <v>17471670.867884092</v>
      </c>
      <c r="EN137" s="135"/>
      <c r="EO137" s="135"/>
    </row>
    <row r="138" spans="1:145" x14ac:dyDescent="0.2">
      <c r="A138" s="81">
        <v>2013</v>
      </c>
      <c r="B138" s="88">
        <v>5</v>
      </c>
      <c r="C138" s="88">
        <v>15.225806451612904</v>
      </c>
      <c r="D138" s="83">
        <v>215.70000000000002</v>
      </c>
      <c r="E138" s="87">
        <v>5.6999999999999993</v>
      </c>
      <c r="F138" s="87">
        <v>159.20000000000002</v>
      </c>
      <c r="G138" s="87">
        <v>11.2</v>
      </c>
      <c r="H138" s="133">
        <v>109.10000000000001</v>
      </c>
      <c r="I138" s="133">
        <v>23.099999999999998</v>
      </c>
      <c r="J138" s="87">
        <v>70.100000000000009</v>
      </c>
      <c r="K138" s="87">
        <v>46.1</v>
      </c>
      <c r="L138" s="87">
        <v>45.1</v>
      </c>
      <c r="M138" s="87">
        <v>83.1</v>
      </c>
      <c r="N138" s="87">
        <v>26.3</v>
      </c>
      <c r="O138" s="87">
        <v>126.3</v>
      </c>
      <c r="P138" s="87">
        <v>14.4</v>
      </c>
      <c r="Q138" s="87">
        <v>176.4</v>
      </c>
      <c r="R138" s="87">
        <v>5.7000000000000011</v>
      </c>
      <c r="S138" s="87">
        <v>229.7</v>
      </c>
      <c r="EG138" s="86">
        <f>Data!F30</f>
        <v>20796344.531531259</v>
      </c>
      <c r="EH138" s="86">
        <f>Data!I30</f>
        <v>6937866.048935418</v>
      </c>
      <c r="EI138" s="86">
        <f>Data!L30</f>
        <v>16900534.112042483</v>
      </c>
      <c r="EK138" s="86">
        <f t="shared" si="208"/>
        <v>22688592.394012697</v>
      </c>
      <c r="EL138" s="86">
        <f t="shared" si="209"/>
        <v>6384362.2732768701</v>
      </c>
      <c r="EM138" s="82">
        <f t="shared" si="210"/>
        <v>17426816.920733728</v>
      </c>
      <c r="EN138" s="135"/>
      <c r="EO138" s="135"/>
    </row>
    <row r="139" spans="1:145" x14ac:dyDescent="0.2">
      <c r="A139" s="81">
        <v>2013</v>
      </c>
      <c r="B139" s="88">
        <v>6</v>
      </c>
      <c r="C139" s="88">
        <v>18.886666666666667</v>
      </c>
      <c r="D139" s="83">
        <v>108.39999999999998</v>
      </c>
      <c r="E139" s="87">
        <v>15.000000000000004</v>
      </c>
      <c r="F139" s="87">
        <v>64.599999999999994</v>
      </c>
      <c r="G139" s="87">
        <v>31.200000000000006</v>
      </c>
      <c r="H139" s="133">
        <v>32.999999999999993</v>
      </c>
      <c r="I139" s="133">
        <v>59.6</v>
      </c>
      <c r="J139" s="87">
        <v>12.7</v>
      </c>
      <c r="K139" s="87">
        <v>99.300000000000011</v>
      </c>
      <c r="L139" s="87">
        <v>2.5999999999999996</v>
      </c>
      <c r="M139" s="87">
        <v>149.19999999999999</v>
      </c>
      <c r="N139" s="87">
        <v>0.40000000000000036</v>
      </c>
      <c r="O139" s="87">
        <v>207.00000000000006</v>
      </c>
      <c r="P139" s="87">
        <v>0</v>
      </c>
      <c r="Q139" s="87">
        <v>266.60000000000002</v>
      </c>
      <c r="R139" s="87">
        <v>0</v>
      </c>
      <c r="S139" s="87">
        <v>326.60000000000002</v>
      </c>
      <c r="EG139" s="86">
        <f>Data!F31</f>
        <v>24720133.67153126</v>
      </c>
      <c r="EH139" s="86">
        <f>Data!I31</f>
        <v>6780363.4189354125</v>
      </c>
      <c r="EI139" s="86">
        <f>Data!L31</f>
        <v>17093096.532042481</v>
      </c>
      <c r="EK139" s="86">
        <f t="shared" si="208"/>
        <v>25794634.135861825</v>
      </c>
      <c r="EL139" s="86">
        <f t="shared" si="209"/>
        <v>6595885.145808436</v>
      </c>
      <c r="EM139" s="82">
        <f t="shared" si="210"/>
        <v>17584354.308164436</v>
      </c>
      <c r="EN139" s="135"/>
      <c r="EO139" s="135"/>
    </row>
    <row r="140" spans="1:145" x14ac:dyDescent="0.2">
      <c r="A140" s="81">
        <v>2013</v>
      </c>
      <c r="B140" s="88">
        <v>7</v>
      </c>
      <c r="C140" s="88">
        <v>22.299999999999994</v>
      </c>
      <c r="D140" s="83">
        <v>40.599999999999994</v>
      </c>
      <c r="E140" s="87">
        <v>49.9</v>
      </c>
      <c r="F140" s="87">
        <v>13.399999999999999</v>
      </c>
      <c r="G140" s="87">
        <v>84.699999999999989</v>
      </c>
      <c r="H140" s="133">
        <v>1.3000000000000007</v>
      </c>
      <c r="I140" s="133">
        <v>134.6</v>
      </c>
      <c r="J140" s="87">
        <v>0</v>
      </c>
      <c r="K140" s="87">
        <v>195.3</v>
      </c>
      <c r="L140" s="87">
        <v>0</v>
      </c>
      <c r="M140" s="87">
        <v>257.30000000000007</v>
      </c>
      <c r="N140" s="87">
        <v>0</v>
      </c>
      <c r="O140" s="87">
        <v>319.3</v>
      </c>
      <c r="P140" s="87">
        <v>0</v>
      </c>
      <c r="Q140" s="87">
        <v>381.29999999999995</v>
      </c>
      <c r="R140" s="87">
        <v>0</v>
      </c>
      <c r="S140" s="87">
        <v>443.29999999999984</v>
      </c>
      <c r="EG140" s="86">
        <f>Data!F32</f>
        <v>31067397.23153127</v>
      </c>
      <c r="EH140" s="86">
        <f>Data!I32</f>
        <v>7593943.1689354144</v>
      </c>
      <c r="EI140" s="86">
        <f>Data!L32</f>
        <v>18142506.432042487</v>
      </c>
      <c r="EK140" s="86">
        <f t="shared" si="208"/>
        <v>32313942.64609896</v>
      </c>
      <c r="EL140" s="86">
        <f t="shared" si="209"/>
        <v>7290423.0597643713</v>
      </c>
      <c r="EM140" s="82">
        <f t="shared" si="210"/>
        <v>17960836.137509953</v>
      </c>
      <c r="EN140" s="135"/>
      <c r="EO140" s="135"/>
    </row>
    <row r="141" spans="1:145" x14ac:dyDescent="0.2">
      <c r="A141" s="81">
        <v>2013</v>
      </c>
      <c r="B141" s="88">
        <v>8</v>
      </c>
      <c r="C141" s="88">
        <v>20.883870967741935</v>
      </c>
      <c r="D141" s="83">
        <v>54.2</v>
      </c>
      <c r="E141" s="87">
        <v>19.600000000000001</v>
      </c>
      <c r="F141" s="87">
        <v>21.500000000000004</v>
      </c>
      <c r="G141" s="87">
        <v>48.9</v>
      </c>
      <c r="H141" s="133">
        <v>4.4000000000000021</v>
      </c>
      <c r="I141" s="133">
        <v>93.800000000000011</v>
      </c>
      <c r="J141" s="87">
        <v>0</v>
      </c>
      <c r="K141" s="87">
        <v>151.39999999999998</v>
      </c>
      <c r="L141" s="87">
        <v>0</v>
      </c>
      <c r="M141" s="87">
        <v>213.4</v>
      </c>
      <c r="N141" s="87">
        <v>0</v>
      </c>
      <c r="O141" s="87">
        <v>275.40000000000009</v>
      </c>
      <c r="P141" s="87">
        <v>0</v>
      </c>
      <c r="Q141" s="87">
        <v>337.40000000000003</v>
      </c>
      <c r="R141" s="87">
        <v>0</v>
      </c>
      <c r="S141" s="87">
        <v>399.40000000000009</v>
      </c>
      <c r="EG141" s="86">
        <f>Data!F33</f>
        <v>28442759.621531248</v>
      </c>
      <c r="EH141" s="86">
        <f>Data!I33</f>
        <v>7611748.6689354172</v>
      </c>
      <c r="EI141" s="86">
        <f>Data!L33</f>
        <v>17778187.962042481</v>
      </c>
      <c r="EK141" s="86">
        <f t="shared" si="208"/>
        <v>29318043.372550555</v>
      </c>
      <c r="EL141" s="86">
        <f t="shared" si="209"/>
        <v>6952824.5107694929</v>
      </c>
      <c r="EM141" s="82">
        <f t="shared" si="210"/>
        <v>17782781.863279101</v>
      </c>
      <c r="EN141" s="135"/>
      <c r="EO141" s="135"/>
    </row>
    <row r="142" spans="1:145" x14ac:dyDescent="0.2">
      <c r="A142" s="81">
        <v>2013</v>
      </c>
      <c r="B142" s="88">
        <v>9</v>
      </c>
      <c r="C142" s="88">
        <v>15.936666666666666</v>
      </c>
      <c r="D142" s="83">
        <v>190.49999999999997</v>
      </c>
      <c r="E142" s="87">
        <v>8.6000000000000014</v>
      </c>
      <c r="F142" s="87">
        <v>137.19999999999999</v>
      </c>
      <c r="G142" s="87">
        <v>15.3</v>
      </c>
      <c r="H142" s="133">
        <v>90</v>
      </c>
      <c r="I142" s="133">
        <v>28.1</v>
      </c>
      <c r="J142" s="87">
        <v>49.2</v>
      </c>
      <c r="K142" s="87">
        <v>47.3</v>
      </c>
      <c r="L142" s="87">
        <v>22.099999999999998</v>
      </c>
      <c r="M142" s="87">
        <v>80.200000000000017</v>
      </c>
      <c r="N142" s="87">
        <v>7</v>
      </c>
      <c r="O142" s="87">
        <v>125.1</v>
      </c>
      <c r="P142" s="87">
        <v>0</v>
      </c>
      <c r="Q142" s="87">
        <v>178.1</v>
      </c>
      <c r="R142" s="87">
        <v>0</v>
      </c>
      <c r="S142" s="87">
        <v>238.10000000000002</v>
      </c>
      <c r="EG142" s="86">
        <f>Data!F34</f>
        <v>20912722.881531265</v>
      </c>
      <c r="EH142" s="86">
        <f>Data!I34</f>
        <v>6250680.5689354129</v>
      </c>
      <c r="EI142" s="86">
        <f>Data!L34</f>
        <v>16668477.222042486</v>
      </c>
      <c r="EK142" s="86">
        <f t="shared" ref="EK142:EK173" si="211">($FB$14+L142*$FB$15+K142*$FB$16)</f>
        <v>22486624.744854026</v>
      </c>
      <c r="EL142" s="86">
        <f t="shared" ref="EL142:EL173" si="212">($FB$31+J142*$FB$32+K142*$FB$33)</f>
        <v>6321644.1318621803</v>
      </c>
      <c r="EM142" s="82">
        <f t="shared" ref="EM142:EM173" si="213">($FB$48+J142*$FB$49+K142*$FB$50)</f>
        <v>17410479.314802751</v>
      </c>
      <c r="EN142" s="135"/>
      <c r="EO142" s="135"/>
    </row>
    <row r="143" spans="1:145" x14ac:dyDescent="0.2">
      <c r="A143" s="81">
        <v>2013</v>
      </c>
      <c r="B143" s="88">
        <v>10</v>
      </c>
      <c r="C143" s="88">
        <v>10.796774193548389</v>
      </c>
      <c r="D143" s="83">
        <v>347.3</v>
      </c>
      <c r="E143" s="87">
        <v>0</v>
      </c>
      <c r="F143" s="87">
        <v>285.3</v>
      </c>
      <c r="G143" s="87">
        <v>0</v>
      </c>
      <c r="H143" s="133">
        <v>223.7</v>
      </c>
      <c r="I143" s="133">
        <v>0.39999999999999858</v>
      </c>
      <c r="J143" s="87">
        <v>166</v>
      </c>
      <c r="K143" s="87">
        <v>4.6999999999999993</v>
      </c>
      <c r="L143" s="87">
        <v>115.4</v>
      </c>
      <c r="M143" s="87">
        <v>16.100000000000001</v>
      </c>
      <c r="N143" s="87">
        <v>75.2</v>
      </c>
      <c r="O143" s="87">
        <v>37.9</v>
      </c>
      <c r="P143" s="87">
        <v>50.6</v>
      </c>
      <c r="Q143" s="87">
        <v>75.3</v>
      </c>
      <c r="R143" s="87">
        <v>28.700000000000003</v>
      </c>
      <c r="S143" s="87">
        <v>115.39999999999999</v>
      </c>
      <c r="EG143" s="86">
        <f>Data!F35</f>
        <v>20981353.041531246</v>
      </c>
      <c r="EH143" s="86">
        <f>Data!I35</f>
        <v>6826886.2589354143</v>
      </c>
      <c r="EI143" s="86">
        <f>Data!L35</f>
        <v>17233627.082042478</v>
      </c>
      <c r="EK143" s="86">
        <f t="shared" si="211"/>
        <v>20730927.022365447</v>
      </c>
      <c r="EL143" s="86">
        <f t="shared" si="212"/>
        <v>6396116.1757436357</v>
      </c>
      <c r="EM143" s="82">
        <f t="shared" si="213"/>
        <v>17356200.501188405</v>
      </c>
      <c r="EN143" s="135"/>
      <c r="EO143" s="135"/>
    </row>
    <row r="144" spans="1:145" x14ac:dyDescent="0.2">
      <c r="A144" s="81">
        <v>2013</v>
      </c>
      <c r="B144" s="88">
        <v>11</v>
      </c>
      <c r="C144" s="88">
        <v>2.06</v>
      </c>
      <c r="D144" s="83">
        <v>598.19999999999993</v>
      </c>
      <c r="E144" s="87">
        <v>0</v>
      </c>
      <c r="F144" s="87">
        <v>538.19999999999993</v>
      </c>
      <c r="G144" s="87">
        <v>0</v>
      </c>
      <c r="H144" s="133">
        <v>478.20000000000005</v>
      </c>
      <c r="I144" s="133">
        <v>0</v>
      </c>
      <c r="J144" s="87">
        <v>418.20000000000005</v>
      </c>
      <c r="K144" s="87">
        <v>0</v>
      </c>
      <c r="L144" s="87">
        <v>358.20000000000005</v>
      </c>
      <c r="M144" s="87">
        <v>0</v>
      </c>
      <c r="N144" s="87">
        <v>298.20000000000005</v>
      </c>
      <c r="O144" s="87">
        <v>0</v>
      </c>
      <c r="P144" s="87">
        <v>243.5</v>
      </c>
      <c r="Q144" s="87">
        <v>5.3000000000000007</v>
      </c>
      <c r="R144" s="87">
        <v>190</v>
      </c>
      <c r="S144" s="87">
        <v>11.8</v>
      </c>
      <c r="EG144" s="86">
        <f>Data!F36</f>
        <v>21829613.801531244</v>
      </c>
      <c r="EH144" s="86">
        <f>Data!I36</f>
        <v>6939097.1989354165</v>
      </c>
      <c r="EI144" s="86">
        <f>Data!L36</f>
        <v>16723236.692042481</v>
      </c>
      <c r="EK144" s="86">
        <f t="shared" si="211"/>
        <v>23406756.987544049</v>
      </c>
      <c r="EL144" s="86">
        <f t="shared" si="212"/>
        <v>7228147.9132986488</v>
      </c>
      <c r="EM144" s="82">
        <f t="shared" si="213"/>
        <v>17593014.470811415</v>
      </c>
      <c r="EN144" s="135"/>
      <c r="EO144" s="135"/>
    </row>
    <row r="145" spans="1:145" x14ac:dyDescent="0.2">
      <c r="A145" s="81">
        <v>2013</v>
      </c>
      <c r="B145" s="88">
        <v>12</v>
      </c>
      <c r="C145" s="88">
        <v>-4.1903225806451623</v>
      </c>
      <c r="D145" s="83">
        <v>811.89999999999986</v>
      </c>
      <c r="E145" s="87">
        <v>0</v>
      </c>
      <c r="F145" s="87">
        <v>749.89999999999986</v>
      </c>
      <c r="G145" s="87">
        <v>0</v>
      </c>
      <c r="H145" s="133">
        <v>687.9</v>
      </c>
      <c r="I145" s="133">
        <v>0</v>
      </c>
      <c r="J145" s="87">
        <v>625.9</v>
      </c>
      <c r="K145" s="87">
        <v>0</v>
      </c>
      <c r="L145" s="87">
        <v>563.9</v>
      </c>
      <c r="M145" s="87">
        <v>0</v>
      </c>
      <c r="N145" s="87">
        <v>501.89999999999992</v>
      </c>
      <c r="O145" s="87">
        <v>0</v>
      </c>
      <c r="P145" s="87">
        <v>439.89999999999992</v>
      </c>
      <c r="Q145" s="87">
        <v>0</v>
      </c>
      <c r="R145" s="87">
        <v>378.6</v>
      </c>
      <c r="S145" s="87">
        <v>0.69999999999999929</v>
      </c>
      <c r="EG145" s="86">
        <f>Data!F37</f>
        <v>28911020.861531246</v>
      </c>
      <c r="EH145" s="86">
        <f>Data!I37</f>
        <v>9532516.128935419</v>
      </c>
      <c r="EI145" s="86">
        <f>Data!L37</f>
        <v>18692544.082042485</v>
      </c>
      <c r="EK145" s="86">
        <f t="shared" si="211"/>
        <v>25945453.730284274</v>
      </c>
      <c r="EL145" s="86">
        <f t="shared" si="212"/>
        <v>7943136.2592729395</v>
      </c>
      <c r="EM145" s="82">
        <f t="shared" si="213"/>
        <v>17803742.450142562</v>
      </c>
      <c r="EN145" s="135"/>
      <c r="EO145" s="135"/>
    </row>
    <row r="146" spans="1:145" x14ac:dyDescent="0.2">
      <c r="A146" s="81">
        <v>2014</v>
      </c>
      <c r="B146" s="88">
        <v>1</v>
      </c>
      <c r="C146" s="88">
        <v>-8.6419354838709683</v>
      </c>
      <c r="D146" s="83">
        <v>949.90000000000009</v>
      </c>
      <c r="E146" s="87">
        <v>0</v>
      </c>
      <c r="F146" s="87">
        <v>887.9000000000002</v>
      </c>
      <c r="G146" s="87">
        <v>0</v>
      </c>
      <c r="H146" s="133">
        <v>825.90000000000009</v>
      </c>
      <c r="I146" s="133">
        <v>0</v>
      </c>
      <c r="J146" s="87">
        <v>763.9000000000002</v>
      </c>
      <c r="K146" s="87">
        <v>0</v>
      </c>
      <c r="L146" s="87">
        <v>701.9000000000002</v>
      </c>
      <c r="M146" s="87">
        <v>0</v>
      </c>
      <c r="N146" s="87">
        <v>639.90000000000009</v>
      </c>
      <c r="O146" s="87">
        <v>0</v>
      </c>
      <c r="P146" s="87">
        <v>577.90000000000009</v>
      </c>
      <c r="Q146" s="87">
        <v>0</v>
      </c>
      <c r="R146" s="87">
        <v>515.9</v>
      </c>
      <c r="S146" s="87">
        <v>0</v>
      </c>
      <c r="EG146" s="86">
        <f>Data!F38</f>
        <v>26360023.557272851</v>
      </c>
      <c r="EH146" s="86">
        <f>Data!I38</f>
        <v>7487898.8517205259</v>
      </c>
      <c r="EI146" s="86">
        <f>Data!L38</f>
        <v>18955499.508963756</v>
      </c>
      <c r="EK146" s="86">
        <f t="shared" si="211"/>
        <v>27648614.403585933</v>
      </c>
      <c r="EL146" s="86">
        <f t="shared" si="212"/>
        <v>8418188.6990632731</v>
      </c>
      <c r="EM146" s="82">
        <f t="shared" si="213"/>
        <v>17943754.299674094</v>
      </c>
      <c r="EN146" s="135"/>
      <c r="EO146" s="135"/>
    </row>
    <row r="147" spans="1:145" x14ac:dyDescent="0.2">
      <c r="A147" s="81">
        <v>2014</v>
      </c>
      <c r="B147" s="88">
        <v>2</v>
      </c>
      <c r="C147" s="88">
        <v>-8.3250000000000011</v>
      </c>
      <c r="D147" s="83">
        <v>849.09999999999991</v>
      </c>
      <c r="E147" s="87">
        <v>0</v>
      </c>
      <c r="F147" s="87">
        <v>793.1</v>
      </c>
      <c r="G147" s="87">
        <v>0</v>
      </c>
      <c r="H147" s="133">
        <v>737.09999999999991</v>
      </c>
      <c r="I147" s="133">
        <v>0</v>
      </c>
      <c r="J147" s="87">
        <v>681.0999999999998</v>
      </c>
      <c r="K147" s="87">
        <v>0</v>
      </c>
      <c r="L147" s="87">
        <v>625.09999999999991</v>
      </c>
      <c r="M147" s="87">
        <v>0</v>
      </c>
      <c r="N147" s="87">
        <v>569.09999999999991</v>
      </c>
      <c r="O147" s="87">
        <v>0</v>
      </c>
      <c r="P147" s="87">
        <v>513.09999999999991</v>
      </c>
      <c r="Q147" s="87">
        <v>0</v>
      </c>
      <c r="R147" s="87">
        <v>457.09999999999997</v>
      </c>
      <c r="S147" s="87">
        <v>0</v>
      </c>
      <c r="EG147" s="86">
        <f>Data!F39</f>
        <v>26374215.547272835</v>
      </c>
      <c r="EH147" s="86">
        <f>Data!I39</f>
        <v>8502995.9417205229</v>
      </c>
      <c r="EI147" s="86">
        <f>Data!L39</f>
        <v>17790077.53896375</v>
      </c>
      <c r="EK147" s="86">
        <f t="shared" si="211"/>
        <v>26700768.463661529</v>
      </c>
      <c r="EL147" s="86">
        <f t="shared" si="212"/>
        <v>8133157.2351890719</v>
      </c>
      <c r="EM147" s="82">
        <f t="shared" si="213"/>
        <v>17859747.189955175</v>
      </c>
      <c r="EN147" s="135"/>
      <c r="EO147" s="135"/>
    </row>
    <row r="148" spans="1:145" x14ac:dyDescent="0.2">
      <c r="A148" s="81">
        <v>2014</v>
      </c>
      <c r="B148" s="88">
        <v>3</v>
      </c>
      <c r="C148" s="88">
        <v>-4.2774193548387096</v>
      </c>
      <c r="D148" s="83">
        <v>814.60000000000014</v>
      </c>
      <c r="E148" s="87">
        <v>0</v>
      </c>
      <c r="F148" s="87">
        <v>752.60000000000014</v>
      </c>
      <c r="G148" s="87">
        <v>0</v>
      </c>
      <c r="H148" s="133">
        <v>690.6</v>
      </c>
      <c r="I148" s="133">
        <v>0</v>
      </c>
      <c r="J148" s="87">
        <v>628.6</v>
      </c>
      <c r="K148" s="87">
        <v>0</v>
      </c>
      <c r="L148" s="87">
        <v>566.6</v>
      </c>
      <c r="M148" s="87">
        <v>0</v>
      </c>
      <c r="N148" s="87">
        <v>504.59999999999991</v>
      </c>
      <c r="O148" s="87">
        <v>0</v>
      </c>
      <c r="P148" s="87">
        <v>442.59999999999991</v>
      </c>
      <c r="Q148" s="87">
        <v>0</v>
      </c>
      <c r="R148" s="87">
        <v>380.59999999999991</v>
      </c>
      <c r="S148" s="87">
        <v>0</v>
      </c>
      <c r="EG148" s="86">
        <f>Data!F40</f>
        <v>24141795.047272857</v>
      </c>
      <c r="EH148" s="86">
        <f>Data!I40</f>
        <v>8235800.4217205308</v>
      </c>
      <c r="EI148" s="86">
        <f>Data!L40</f>
        <v>18916153.298963755</v>
      </c>
      <c r="EK148" s="86">
        <f t="shared" si="211"/>
        <v>25978776.439109739</v>
      </c>
      <c r="EL148" s="86">
        <f t="shared" si="212"/>
        <v>7952430.7635297067</v>
      </c>
      <c r="EM148" s="82">
        <f t="shared" si="213"/>
        <v>17806481.812416006</v>
      </c>
      <c r="EN148" s="135"/>
      <c r="EO148" s="135"/>
    </row>
    <row r="149" spans="1:145" x14ac:dyDescent="0.2">
      <c r="A149" s="81">
        <v>2014</v>
      </c>
      <c r="B149" s="88">
        <v>4</v>
      </c>
      <c r="C149" s="88">
        <v>6.1033333333333335</v>
      </c>
      <c r="D149" s="83">
        <v>476.9</v>
      </c>
      <c r="E149" s="87">
        <v>0</v>
      </c>
      <c r="F149" s="87">
        <v>416.90000000000003</v>
      </c>
      <c r="G149" s="87">
        <v>0</v>
      </c>
      <c r="H149" s="133">
        <v>356.90000000000003</v>
      </c>
      <c r="I149" s="133">
        <v>0</v>
      </c>
      <c r="J149" s="87">
        <v>296.90000000000003</v>
      </c>
      <c r="K149" s="87">
        <v>0</v>
      </c>
      <c r="L149" s="87">
        <v>236.89999999999995</v>
      </c>
      <c r="M149" s="87">
        <v>0</v>
      </c>
      <c r="N149" s="87">
        <v>179.49999999999997</v>
      </c>
      <c r="O149" s="87">
        <v>2.5999999999999996</v>
      </c>
      <c r="P149" s="87">
        <v>126.49999999999997</v>
      </c>
      <c r="Q149" s="87">
        <v>9.6</v>
      </c>
      <c r="R149" s="87">
        <v>77.399999999999991</v>
      </c>
      <c r="S149" s="87">
        <v>20.5</v>
      </c>
      <c r="EG149" s="86">
        <f>Data!F41</f>
        <v>22071105.877272848</v>
      </c>
      <c r="EH149" s="86">
        <f>Data!I41</f>
        <v>7581461.2417205265</v>
      </c>
      <c r="EI149" s="86">
        <f>Data!L41</f>
        <v>17106261.98896376</v>
      </c>
      <c r="EK149" s="86">
        <f t="shared" si="211"/>
        <v>21909703.43919991</v>
      </c>
      <c r="EL149" s="86">
        <f t="shared" si="212"/>
        <v>6810583.7035409138</v>
      </c>
      <c r="EM149" s="82">
        <f t="shared" si="213"/>
        <v>17469946.084230442</v>
      </c>
      <c r="EN149" s="135"/>
      <c r="EO149" s="135"/>
    </row>
    <row r="150" spans="1:145" x14ac:dyDescent="0.2">
      <c r="A150" s="81">
        <v>2014</v>
      </c>
      <c r="B150" s="88">
        <v>5</v>
      </c>
      <c r="C150" s="88">
        <v>14.122580645161293</v>
      </c>
      <c r="D150" s="83">
        <v>246.90000000000006</v>
      </c>
      <c r="E150" s="87">
        <v>2.6999999999999993</v>
      </c>
      <c r="F150" s="87">
        <v>188.90000000000009</v>
      </c>
      <c r="G150" s="87">
        <v>6.6999999999999993</v>
      </c>
      <c r="H150" s="133">
        <v>132.10000000000002</v>
      </c>
      <c r="I150" s="133">
        <v>11.900000000000002</v>
      </c>
      <c r="J150" s="87">
        <v>81.700000000000031</v>
      </c>
      <c r="K150" s="87">
        <v>23.500000000000004</v>
      </c>
      <c r="L150" s="87">
        <v>46.599999999999994</v>
      </c>
      <c r="M150" s="87">
        <v>50.400000000000006</v>
      </c>
      <c r="N150" s="87">
        <v>26.199999999999996</v>
      </c>
      <c r="O150" s="87">
        <v>92</v>
      </c>
      <c r="P150" s="87">
        <v>7.2000000000000011</v>
      </c>
      <c r="Q150" s="87">
        <v>135</v>
      </c>
      <c r="R150" s="87">
        <v>0</v>
      </c>
      <c r="S150" s="87">
        <v>189.79999999999998</v>
      </c>
      <c r="EG150" s="86">
        <f>Data!F42</f>
        <v>20648893.407272812</v>
      </c>
      <c r="EH150" s="86">
        <f>Data!I42</f>
        <v>6902215.0417205226</v>
      </c>
      <c r="EI150" s="86">
        <f>Data!L42</f>
        <v>16785651.398963757</v>
      </c>
      <c r="EK150" s="86">
        <f t="shared" si="211"/>
        <v>21164796.955762748</v>
      </c>
      <c r="EL150" s="86">
        <f t="shared" si="212"/>
        <v>6250496.3312204182</v>
      </c>
      <c r="EM150" s="82">
        <f t="shared" si="213"/>
        <v>17346922.556695607</v>
      </c>
      <c r="EN150" s="135"/>
      <c r="EO150" s="135"/>
    </row>
    <row r="151" spans="1:145" x14ac:dyDescent="0.2">
      <c r="A151" s="81">
        <v>2014</v>
      </c>
      <c r="B151" s="88">
        <v>6</v>
      </c>
      <c r="C151" s="88">
        <v>19.8</v>
      </c>
      <c r="D151" s="83">
        <v>78.500000000000028</v>
      </c>
      <c r="E151" s="87">
        <v>12.5</v>
      </c>
      <c r="F151" s="87">
        <v>38.4</v>
      </c>
      <c r="G151" s="87">
        <v>32.399999999999991</v>
      </c>
      <c r="H151" s="133">
        <v>14.1</v>
      </c>
      <c r="I151" s="133">
        <v>68.099999999999994</v>
      </c>
      <c r="J151" s="87">
        <v>2.7999999999999989</v>
      </c>
      <c r="K151" s="87">
        <v>116.8</v>
      </c>
      <c r="L151" s="87">
        <v>0</v>
      </c>
      <c r="M151" s="87">
        <v>174</v>
      </c>
      <c r="N151" s="87">
        <v>0</v>
      </c>
      <c r="O151" s="87">
        <v>234</v>
      </c>
      <c r="P151" s="87">
        <v>0</v>
      </c>
      <c r="Q151" s="87">
        <v>294</v>
      </c>
      <c r="R151" s="87">
        <v>0</v>
      </c>
      <c r="S151" s="87">
        <v>354</v>
      </c>
      <c r="EG151" s="86">
        <f>Data!F43</f>
        <v>24572425.267272837</v>
      </c>
      <c r="EH151" s="86">
        <f>Data!I43</f>
        <v>6554303.0217205258</v>
      </c>
      <c r="EI151" s="86">
        <f>Data!L43</f>
        <v>17153006.328963753</v>
      </c>
      <c r="EK151" s="86">
        <f t="shared" si="211"/>
        <v>26956810.687703751</v>
      </c>
      <c r="EL151" s="86">
        <f t="shared" si="212"/>
        <v>6696383.3061473742</v>
      </c>
      <c r="EM151" s="82">
        <f t="shared" si="213"/>
        <v>17645288.335159682</v>
      </c>
      <c r="EN151" s="135"/>
      <c r="EO151" s="135"/>
    </row>
    <row r="152" spans="1:145" x14ac:dyDescent="0.2">
      <c r="A152" s="81">
        <v>2014</v>
      </c>
      <c r="B152" s="88">
        <v>7</v>
      </c>
      <c r="C152" s="88">
        <v>20.161290322580641</v>
      </c>
      <c r="D152" s="83">
        <v>70.599999999999994</v>
      </c>
      <c r="E152" s="87">
        <v>13.600000000000001</v>
      </c>
      <c r="F152" s="87">
        <v>28.3</v>
      </c>
      <c r="G152" s="87">
        <v>33.299999999999997</v>
      </c>
      <c r="H152" s="133">
        <v>4</v>
      </c>
      <c r="I152" s="133">
        <v>71</v>
      </c>
      <c r="J152" s="87">
        <v>0</v>
      </c>
      <c r="K152" s="87">
        <v>129</v>
      </c>
      <c r="L152" s="87">
        <v>0</v>
      </c>
      <c r="M152" s="87">
        <v>190.99999999999997</v>
      </c>
      <c r="N152" s="87">
        <v>0</v>
      </c>
      <c r="O152" s="87">
        <v>253</v>
      </c>
      <c r="P152" s="87">
        <v>0</v>
      </c>
      <c r="Q152" s="87">
        <v>315.00000000000006</v>
      </c>
      <c r="R152" s="87">
        <v>0</v>
      </c>
      <c r="S152" s="87">
        <v>377</v>
      </c>
      <c r="EG152" s="86">
        <f>Data!F44</f>
        <v>28609332.357272841</v>
      </c>
      <c r="EH152" s="86">
        <f>Data!I44</f>
        <v>7496044.9317205288</v>
      </c>
      <c r="EI152" s="86">
        <f>Data!L44</f>
        <v>17167656.628963754</v>
      </c>
      <c r="EK152" s="86">
        <f t="shared" si="211"/>
        <v>27789384.062129501</v>
      </c>
      <c r="EL152" s="86">
        <f t="shared" si="212"/>
        <v>6780564.6588905575</v>
      </c>
      <c r="EM152" s="82">
        <f t="shared" si="213"/>
        <v>17691929.568455156</v>
      </c>
      <c r="EN152" s="135"/>
      <c r="EO152" s="135"/>
    </row>
    <row r="153" spans="1:145" x14ac:dyDescent="0.2">
      <c r="A153" s="81">
        <v>2014</v>
      </c>
      <c r="B153" s="88">
        <v>8</v>
      </c>
      <c r="C153" s="88">
        <v>20.35483870967742</v>
      </c>
      <c r="D153" s="83">
        <v>62.100000000000009</v>
      </c>
      <c r="E153" s="87">
        <v>11.100000000000005</v>
      </c>
      <c r="F153" s="87">
        <v>27.5</v>
      </c>
      <c r="G153" s="87">
        <v>38.500000000000007</v>
      </c>
      <c r="H153" s="133">
        <v>8.8000000000000007</v>
      </c>
      <c r="I153" s="133">
        <v>81.800000000000011</v>
      </c>
      <c r="J153" s="87">
        <v>1</v>
      </c>
      <c r="K153" s="87">
        <v>136</v>
      </c>
      <c r="L153" s="87">
        <v>0</v>
      </c>
      <c r="M153" s="87">
        <v>197</v>
      </c>
      <c r="N153" s="87">
        <v>0</v>
      </c>
      <c r="O153" s="87">
        <v>259</v>
      </c>
      <c r="P153" s="87">
        <v>0</v>
      </c>
      <c r="Q153" s="87">
        <v>321</v>
      </c>
      <c r="R153" s="87">
        <v>0</v>
      </c>
      <c r="S153" s="87">
        <v>383</v>
      </c>
      <c r="EG153" s="86">
        <f>Data!F45</f>
        <v>26478984.537272859</v>
      </c>
      <c r="EH153" s="86">
        <f>Data!I45</f>
        <v>7049683.7417205274</v>
      </c>
      <c r="EI153" s="86">
        <f>Data!L45</f>
        <v>17092221.068963751</v>
      </c>
      <c r="EK153" s="86">
        <f t="shared" si="211"/>
        <v>28267090.096636079</v>
      </c>
      <c r="EL153" s="86">
        <f t="shared" si="212"/>
        <v>6837838.2715867124</v>
      </c>
      <c r="EM153" s="82">
        <f t="shared" si="213"/>
        <v>17721335.489207432</v>
      </c>
      <c r="EN153" s="135"/>
      <c r="EO153" s="135"/>
    </row>
    <row r="154" spans="1:145" x14ac:dyDescent="0.2">
      <c r="A154" s="81">
        <v>2014</v>
      </c>
      <c r="B154" s="88">
        <v>9</v>
      </c>
      <c r="C154" s="88">
        <v>16.68</v>
      </c>
      <c r="D154" s="83">
        <v>165.99999999999997</v>
      </c>
      <c r="E154" s="87">
        <v>6.4000000000000021</v>
      </c>
      <c r="F154" s="87">
        <v>113.9</v>
      </c>
      <c r="G154" s="87">
        <v>14.3</v>
      </c>
      <c r="H154" s="133">
        <v>69.700000000000017</v>
      </c>
      <c r="I154" s="133">
        <v>30.1</v>
      </c>
      <c r="J154" s="87">
        <v>39.299999999999997</v>
      </c>
      <c r="K154" s="87">
        <v>59.70000000000001</v>
      </c>
      <c r="L154" s="87">
        <v>20.5</v>
      </c>
      <c r="M154" s="87">
        <v>100.89999999999998</v>
      </c>
      <c r="N154" s="87">
        <v>8.2999999999999989</v>
      </c>
      <c r="O154" s="87">
        <v>148.69999999999999</v>
      </c>
      <c r="P154" s="87">
        <v>0.79999999999999893</v>
      </c>
      <c r="Q154" s="87">
        <v>201.2</v>
      </c>
      <c r="R154" s="87">
        <v>0</v>
      </c>
      <c r="S154" s="87">
        <v>260.40000000000003</v>
      </c>
      <c r="EG154" s="86">
        <f>Data!F46</f>
        <v>21763182.987272844</v>
      </c>
      <c r="EH154" s="86">
        <f>Data!I46</f>
        <v>6616002.9717205288</v>
      </c>
      <c r="EI154" s="86">
        <f>Data!L46</f>
        <v>16842020.668963756</v>
      </c>
      <c r="EK154" s="86">
        <f t="shared" si="211"/>
        <v>23313100.072707728</v>
      </c>
      <c r="EL154" s="86">
        <f t="shared" si="212"/>
        <v>6382922.4152108245</v>
      </c>
      <c r="EM154" s="82">
        <f t="shared" si="213"/>
        <v>17450728.221101474</v>
      </c>
      <c r="EN154" s="135"/>
      <c r="EO154" s="135"/>
    </row>
    <row r="155" spans="1:145" x14ac:dyDescent="0.2">
      <c r="A155" s="81">
        <v>2014</v>
      </c>
      <c r="B155" s="88">
        <v>10</v>
      </c>
      <c r="C155" s="88">
        <v>10.806451612903228</v>
      </c>
      <c r="D155" s="83">
        <v>346.99999999999994</v>
      </c>
      <c r="E155" s="87">
        <v>0</v>
      </c>
      <c r="F155" s="87">
        <v>285</v>
      </c>
      <c r="G155" s="87">
        <v>0</v>
      </c>
      <c r="H155" s="133">
        <v>224.30000000000004</v>
      </c>
      <c r="I155" s="133">
        <v>1.3000000000000007</v>
      </c>
      <c r="J155" s="87">
        <v>167.3</v>
      </c>
      <c r="K155" s="87">
        <v>6.3000000000000007</v>
      </c>
      <c r="L155" s="87">
        <v>117.8</v>
      </c>
      <c r="M155" s="87">
        <v>18.800000000000004</v>
      </c>
      <c r="N155" s="87">
        <v>75.099999999999994</v>
      </c>
      <c r="O155" s="87">
        <v>38.1</v>
      </c>
      <c r="P155" s="87">
        <v>36.099999999999994</v>
      </c>
      <c r="Q155" s="87">
        <v>61.099999999999994</v>
      </c>
      <c r="R155" s="87">
        <v>9.9</v>
      </c>
      <c r="S155" s="87">
        <v>96.9</v>
      </c>
      <c r="EG155" s="86">
        <f>Data!F47</f>
        <v>21382264.647272848</v>
      </c>
      <c r="EH155" s="86">
        <f>Data!I47</f>
        <v>6897925.29172053</v>
      </c>
      <c r="EI155" s="86">
        <f>Data!L47</f>
        <v>16968667.128963754</v>
      </c>
      <c r="EK155" s="86">
        <f t="shared" si="211"/>
        <v>20869737.158732444</v>
      </c>
      <c r="EL155" s="86">
        <f t="shared" si="212"/>
        <v>6412895.58255703</v>
      </c>
      <c r="EM155" s="82">
        <f t="shared" si="213"/>
        <v>17364008.903024416</v>
      </c>
      <c r="EN155" s="135"/>
      <c r="EO155" s="135"/>
    </row>
    <row r="156" spans="1:145" x14ac:dyDescent="0.2">
      <c r="A156" s="81">
        <v>2014</v>
      </c>
      <c r="B156" s="88">
        <v>11</v>
      </c>
      <c r="C156" s="88">
        <v>1.9300000000000002</v>
      </c>
      <c r="D156" s="83">
        <v>602.09999999999991</v>
      </c>
      <c r="E156" s="87">
        <v>0</v>
      </c>
      <c r="F156" s="87">
        <v>542.1</v>
      </c>
      <c r="G156" s="87">
        <v>0</v>
      </c>
      <c r="H156" s="133">
        <v>482.1</v>
      </c>
      <c r="I156" s="133">
        <v>0</v>
      </c>
      <c r="J156" s="87">
        <v>422.10000000000008</v>
      </c>
      <c r="K156" s="87">
        <v>0</v>
      </c>
      <c r="L156" s="87">
        <v>362.10000000000008</v>
      </c>
      <c r="M156" s="87">
        <v>0</v>
      </c>
      <c r="N156" s="87">
        <v>302.10000000000002</v>
      </c>
      <c r="O156" s="87">
        <v>0</v>
      </c>
      <c r="P156" s="87">
        <v>244.20000000000002</v>
      </c>
      <c r="Q156" s="87">
        <v>2.0999999999999996</v>
      </c>
      <c r="R156" s="87">
        <v>189.70000000000005</v>
      </c>
      <c r="S156" s="87">
        <v>7.6</v>
      </c>
      <c r="EG156" s="86">
        <f>Data!F48</f>
        <v>22562429.487272851</v>
      </c>
      <c r="EH156" s="86">
        <f>Data!I48</f>
        <v>7293217.2817205237</v>
      </c>
      <c r="EI156" s="86">
        <f>Data!L48</f>
        <v>17485013.278963756</v>
      </c>
      <c r="EK156" s="86">
        <f t="shared" si="211"/>
        <v>23454889.789180834</v>
      </c>
      <c r="EL156" s="86">
        <f t="shared" si="212"/>
        <v>7241573.3083362021</v>
      </c>
      <c r="EM156" s="82">
        <f t="shared" si="213"/>
        <v>17596971.327428613</v>
      </c>
      <c r="EN156" s="135"/>
      <c r="EO156" s="135"/>
    </row>
    <row r="157" spans="1:145" x14ac:dyDescent="0.2">
      <c r="A157" s="81">
        <v>2014</v>
      </c>
      <c r="B157" s="88">
        <v>12</v>
      </c>
      <c r="C157" s="88">
        <v>2.2580645161290443E-2</v>
      </c>
      <c r="D157" s="83">
        <v>681.29999999999984</v>
      </c>
      <c r="E157" s="87">
        <v>0</v>
      </c>
      <c r="F157" s="87">
        <v>619.29999999999995</v>
      </c>
      <c r="G157" s="87">
        <v>0</v>
      </c>
      <c r="H157" s="133">
        <v>557.29999999999995</v>
      </c>
      <c r="I157" s="133">
        <v>0</v>
      </c>
      <c r="J157" s="87">
        <v>495.30000000000007</v>
      </c>
      <c r="K157" s="87">
        <v>0</v>
      </c>
      <c r="L157" s="87">
        <v>433.30000000000007</v>
      </c>
      <c r="M157" s="87">
        <v>0</v>
      </c>
      <c r="N157" s="87">
        <v>371.30000000000013</v>
      </c>
      <c r="O157" s="87">
        <v>0</v>
      </c>
      <c r="P157" s="87">
        <v>309.30000000000007</v>
      </c>
      <c r="Q157" s="87">
        <v>0</v>
      </c>
      <c r="R157" s="87">
        <v>247.30000000000004</v>
      </c>
      <c r="S157" s="87">
        <v>0</v>
      </c>
      <c r="EG157" s="86">
        <f>Data!F49</f>
        <v>27673778.197272848</v>
      </c>
      <c r="EH157" s="86">
        <f>Data!I49</f>
        <v>9033496.731720522</v>
      </c>
      <c r="EI157" s="86">
        <f>Data!L49</f>
        <v>18431183.118963756</v>
      </c>
      <c r="EK157" s="86">
        <f t="shared" si="211"/>
        <v>24333621.962652415</v>
      </c>
      <c r="EL157" s="86">
        <f t="shared" si="212"/>
        <v>7493557.6459641177</v>
      </c>
      <c r="EM157" s="82">
        <f t="shared" si="213"/>
        <v>17671238.482397508</v>
      </c>
      <c r="EN157" s="135"/>
      <c r="EO157" s="135"/>
    </row>
    <row r="158" spans="1:145" x14ac:dyDescent="0.2">
      <c r="A158" s="81">
        <v>2015</v>
      </c>
      <c r="B158" s="88">
        <v>1</v>
      </c>
      <c r="C158" s="88">
        <v>-7.5612903225806471</v>
      </c>
      <c r="D158" s="83">
        <v>916.39999999999975</v>
      </c>
      <c r="E158" s="87">
        <v>0</v>
      </c>
      <c r="F158" s="87">
        <v>854.39999999999975</v>
      </c>
      <c r="G158" s="87">
        <v>0</v>
      </c>
      <c r="H158" s="133">
        <v>792.39999999999975</v>
      </c>
      <c r="I158" s="133">
        <v>0</v>
      </c>
      <c r="J158" s="87">
        <v>730.39999999999975</v>
      </c>
      <c r="K158" s="87">
        <v>0</v>
      </c>
      <c r="L158" s="87">
        <v>668.39999999999986</v>
      </c>
      <c r="M158" s="87">
        <v>0</v>
      </c>
      <c r="N158" s="87">
        <v>606.39999999999986</v>
      </c>
      <c r="O158" s="87">
        <v>0</v>
      </c>
      <c r="P158" s="87">
        <v>544.4</v>
      </c>
      <c r="Q158" s="87">
        <v>0</v>
      </c>
      <c r="R158" s="87">
        <v>482.4</v>
      </c>
      <c r="S158" s="87">
        <v>0</v>
      </c>
      <c r="EG158" s="86">
        <f>Data!F50</f>
        <v>28069177.441256527</v>
      </c>
      <c r="EH158" s="86">
        <f>Data!I50</f>
        <v>9162367.7804134693</v>
      </c>
      <c r="EI158" s="86">
        <f>Data!L50</f>
        <v>19430730.418670163</v>
      </c>
      <c r="EK158" s="86">
        <f t="shared" si="211"/>
        <v>27235165.979269944</v>
      </c>
      <c r="EL158" s="86">
        <f t="shared" si="212"/>
        <v>8302867.9980996763</v>
      </c>
      <c r="EM158" s="82">
        <f t="shared" si="213"/>
        <v>17909765.915911004</v>
      </c>
      <c r="EN158" s="135"/>
      <c r="EO158" s="135"/>
    </row>
    <row r="159" spans="1:145" x14ac:dyDescent="0.2">
      <c r="A159" s="81">
        <v>2015</v>
      </c>
      <c r="B159" s="88">
        <v>2</v>
      </c>
      <c r="C159" s="88">
        <v>-12.6</v>
      </c>
      <c r="D159" s="83">
        <v>968.8</v>
      </c>
      <c r="E159" s="87">
        <v>0</v>
      </c>
      <c r="F159" s="87">
        <v>912.79999999999984</v>
      </c>
      <c r="G159" s="87">
        <v>0</v>
      </c>
      <c r="H159" s="133">
        <v>856.8</v>
      </c>
      <c r="I159" s="133">
        <v>0</v>
      </c>
      <c r="J159" s="87">
        <v>800.8</v>
      </c>
      <c r="K159" s="87">
        <v>0</v>
      </c>
      <c r="L159" s="87">
        <v>744.79999999999984</v>
      </c>
      <c r="M159" s="87">
        <v>0</v>
      </c>
      <c r="N159" s="87">
        <v>688.8</v>
      </c>
      <c r="O159" s="87">
        <v>0</v>
      </c>
      <c r="P159" s="87">
        <v>632.80000000000007</v>
      </c>
      <c r="Q159" s="87">
        <v>0</v>
      </c>
      <c r="R159" s="87">
        <v>576.79999999999995</v>
      </c>
      <c r="S159" s="87">
        <v>0</v>
      </c>
      <c r="EG159" s="86">
        <f>Data!F51</f>
        <v>26707165.383425221</v>
      </c>
      <c r="EH159" s="86">
        <f>Data!I51</f>
        <v>8827828.0406544302</v>
      </c>
      <c r="EI159" s="86">
        <f>Data!L51</f>
        <v>18338750.900597889</v>
      </c>
      <c r="EK159" s="86">
        <f t="shared" si="211"/>
        <v>28178075.221590571</v>
      </c>
      <c r="EL159" s="86">
        <f t="shared" si="212"/>
        <v>8545213.5905724261</v>
      </c>
      <c r="EM159" s="82">
        <f t="shared" si="213"/>
        <v>17981192.250744477</v>
      </c>
      <c r="EN159" s="135"/>
      <c r="EO159" s="135"/>
    </row>
    <row r="160" spans="1:145" x14ac:dyDescent="0.2">
      <c r="A160" s="81">
        <v>2015</v>
      </c>
      <c r="B160" s="88">
        <v>3</v>
      </c>
      <c r="C160" s="88">
        <v>-1.8548387096774195</v>
      </c>
      <c r="D160" s="83">
        <v>739.49999999999989</v>
      </c>
      <c r="E160" s="87">
        <v>0</v>
      </c>
      <c r="F160" s="87">
        <v>677.5</v>
      </c>
      <c r="G160" s="87">
        <v>0</v>
      </c>
      <c r="H160" s="133">
        <v>615.49999999999989</v>
      </c>
      <c r="I160" s="133">
        <v>0</v>
      </c>
      <c r="J160" s="87">
        <v>553.5</v>
      </c>
      <c r="K160" s="87">
        <v>0</v>
      </c>
      <c r="L160" s="87">
        <v>491.5</v>
      </c>
      <c r="M160" s="87">
        <v>0</v>
      </c>
      <c r="N160" s="87">
        <v>429.5</v>
      </c>
      <c r="O160" s="87">
        <v>0</v>
      </c>
      <c r="P160" s="87">
        <v>367.49999999999994</v>
      </c>
      <c r="Q160" s="87">
        <v>0</v>
      </c>
      <c r="R160" s="87">
        <v>305.49999999999994</v>
      </c>
      <c r="S160" s="87">
        <v>0</v>
      </c>
      <c r="EG160" s="86">
        <f>Data!F52</f>
        <v>24478082.20270231</v>
      </c>
      <c r="EH160" s="86">
        <f>Data!I52</f>
        <v>8435812.8310158737</v>
      </c>
      <c r="EI160" s="86">
        <f>Data!L52</f>
        <v>18807365.387344867</v>
      </c>
      <c r="EK160" s="86">
        <f t="shared" si="211"/>
        <v>25051911.464001372</v>
      </c>
      <c r="EL160" s="86">
        <f t="shared" si="212"/>
        <v>7693905.8488322143</v>
      </c>
      <c r="EM160" s="82">
        <f t="shared" si="213"/>
        <v>17730286.958069503</v>
      </c>
      <c r="EN160" s="135"/>
      <c r="EO160" s="135"/>
    </row>
    <row r="161" spans="1:145" x14ac:dyDescent="0.2">
      <c r="A161" s="81">
        <v>2015</v>
      </c>
      <c r="B161" s="88">
        <v>4</v>
      </c>
      <c r="C161" s="88">
        <v>7.543333333333333</v>
      </c>
      <c r="D161" s="83">
        <v>433.7</v>
      </c>
      <c r="E161" s="87">
        <v>0</v>
      </c>
      <c r="F161" s="87">
        <v>373.69999999999993</v>
      </c>
      <c r="G161" s="87">
        <v>0</v>
      </c>
      <c r="H161" s="133">
        <v>313.7</v>
      </c>
      <c r="I161" s="133">
        <v>0</v>
      </c>
      <c r="J161" s="87">
        <v>253.70000000000002</v>
      </c>
      <c r="K161" s="87">
        <v>0</v>
      </c>
      <c r="L161" s="87">
        <v>195.89999999999998</v>
      </c>
      <c r="M161" s="87">
        <v>2.1999999999999993</v>
      </c>
      <c r="N161" s="87">
        <v>140.9</v>
      </c>
      <c r="O161" s="87">
        <v>7.1999999999999993</v>
      </c>
      <c r="P161" s="87">
        <v>94.399999999999991</v>
      </c>
      <c r="Q161" s="87">
        <v>20.7</v>
      </c>
      <c r="R161" s="87">
        <v>59.3</v>
      </c>
      <c r="S161" s="87">
        <v>45.599999999999994</v>
      </c>
      <c r="EG161" s="86">
        <f>Data!F53</f>
        <v>20676669.084630042</v>
      </c>
      <c r="EH161" s="86">
        <f>Data!I53</f>
        <v>7370231.4141484043</v>
      </c>
      <c r="EI161" s="86">
        <f>Data!L53</f>
        <v>17034456.596983433</v>
      </c>
      <c r="EK161" s="86">
        <f t="shared" si="211"/>
        <v>21403691.934813187</v>
      </c>
      <c r="EL161" s="86">
        <f t="shared" si="212"/>
        <v>6661871.6354326354</v>
      </c>
      <c r="EM161" s="82">
        <f t="shared" si="213"/>
        <v>17426116.287855357</v>
      </c>
      <c r="EN161" s="135"/>
      <c r="EO161" s="135"/>
    </row>
    <row r="162" spans="1:145" x14ac:dyDescent="0.2">
      <c r="A162" s="81">
        <v>2015</v>
      </c>
      <c r="B162" s="88">
        <v>5</v>
      </c>
      <c r="C162" s="88">
        <v>16.21935483870968</v>
      </c>
      <c r="D162" s="83">
        <v>182.5</v>
      </c>
      <c r="E162" s="87">
        <v>3.3000000000000007</v>
      </c>
      <c r="F162" s="87">
        <v>130.19999999999999</v>
      </c>
      <c r="G162" s="87">
        <v>13.000000000000004</v>
      </c>
      <c r="H162" s="133">
        <v>89.3</v>
      </c>
      <c r="I162" s="133">
        <v>34.100000000000009</v>
      </c>
      <c r="J162" s="87">
        <v>56.900000000000006</v>
      </c>
      <c r="K162" s="87">
        <v>63.7</v>
      </c>
      <c r="L162" s="87">
        <v>31.1</v>
      </c>
      <c r="M162" s="87">
        <v>99.9</v>
      </c>
      <c r="N162" s="87">
        <v>11.3</v>
      </c>
      <c r="O162" s="87">
        <v>142.1</v>
      </c>
      <c r="P162" s="87">
        <v>1.5</v>
      </c>
      <c r="Q162" s="87">
        <v>194.29999999999995</v>
      </c>
      <c r="R162" s="87">
        <v>0</v>
      </c>
      <c r="S162" s="87">
        <v>254.79999999999995</v>
      </c>
      <c r="EG162" s="86">
        <f>Data!F54</f>
        <v>21746093.258124005</v>
      </c>
      <c r="EH162" s="86">
        <f>Data!I54</f>
        <v>7077182.7683652705</v>
      </c>
      <c r="EI162" s="86">
        <f>Data!L54</f>
        <v>17537336.143971372</v>
      </c>
      <c r="EK162" s="86">
        <f t="shared" si="211"/>
        <v>23716897.436068617</v>
      </c>
      <c r="EL162" s="86">
        <f t="shared" si="212"/>
        <v>6474269.5011645369</v>
      </c>
      <c r="EM162" s="82">
        <f t="shared" si="213"/>
        <v>17484808.428885546</v>
      </c>
      <c r="EN162" s="135"/>
      <c r="EO162" s="135"/>
    </row>
    <row r="163" spans="1:145" x14ac:dyDescent="0.2">
      <c r="A163" s="81">
        <v>2015</v>
      </c>
      <c r="B163" s="88">
        <v>6</v>
      </c>
      <c r="C163" s="88">
        <v>17.95</v>
      </c>
      <c r="D163" s="83">
        <v>121.79999999999995</v>
      </c>
      <c r="E163" s="87">
        <v>0.30000000000000071</v>
      </c>
      <c r="F163" s="87">
        <v>69.700000000000017</v>
      </c>
      <c r="G163" s="87">
        <v>8.1999999999999957</v>
      </c>
      <c r="H163" s="133">
        <v>33.800000000000004</v>
      </c>
      <c r="I163" s="133">
        <v>32.299999999999997</v>
      </c>
      <c r="J163" s="87">
        <v>14.299999999999999</v>
      </c>
      <c r="K163" s="87">
        <v>72.800000000000011</v>
      </c>
      <c r="L163" s="87">
        <v>2.9999999999999982</v>
      </c>
      <c r="M163" s="87">
        <v>121.5</v>
      </c>
      <c r="N163" s="87">
        <v>0.19999999999999929</v>
      </c>
      <c r="O163" s="87">
        <v>178.69999999999996</v>
      </c>
      <c r="P163" s="87">
        <v>0</v>
      </c>
      <c r="Q163" s="87">
        <v>238.50000000000003</v>
      </c>
      <c r="R163" s="87">
        <v>0</v>
      </c>
      <c r="S163" s="87">
        <v>298.50000000000006</v>
      </c>
      <c r="EG163" s="86">
        <f>Data!F55</f>
        <v>25107302.887039673</v>
      </c>
      <c r="EH163" s="86">
        <f>Data!I55</f>
        <v>6914019.9057146711</v>
      </c>
      <c r="EI163" s="86">
        <f>Data!L55</f>
        <v>17201197.724694267</v>
      </c>
      <c r="EK163" s="86">
        <f t="shared" si="211"/>
        <v>23991112.274262123</v>
      </c>
      <c r="EL163" s="86">
        <f t="shared" si="212"/>
        <v>6397603.4432724696</v>
      </c>
      <c r="EM163" s="82">
        <f t="shared" si="213"/>
        <v>17478496.124454565</v>
      </c>
      <c r="EN163" s="135"/>
      <c r="EO163" s="135"/>
    </row>
    <row r="164" spans="1:145" x14ac:dyDescent="0.2">
      <c r="A164" s="81">
        <v>2015</v>
      </c>
      <c r="B164" s="88">
        <v>7</v>
      </c>
      <c r="C164" s="88">
        <v>21.558064516129033</v>
      </c>
      <c r="D164" s="83">
        <v>44.8</v>
      </c>
      <c r="E164" s="87">
        <v>31.100000000000005</v>
      </c>
      <c r="F164" s="87">
        <v>17.799999999999997</v>
      </c>
      <c r="G164" s="87">
        <v>66.099999999999994</v>
      </c>
      <c r="H164" s="133">
        <v>3.9999999999999964</v>
      </c>
      <c r="I164" s="133">
        <v>114.30000000000001</v>
      </c>
      <c r="J164" s="87">
        <v>0</v>
      </c>
      <c r="K164" s="87">
        <v>172.30000000000004</v>
      </c>
      <c r="L164" s="87">
        <v>0</v>
      </c>
      <c r="M164" s="87">
        <v>234.3</v>
      </c>
      <c r="N164" s="87">
        <v>0</v>
      </c>
      <c r="O164" s="87">
        <v>296.3</v>
      </c>
      <c r="P164" s="87">
        <v>0</v>
      </c>
      <c r="Q164" s="87">
        <v>358.30000000000007</v>
      </c>
      <c r="R164" s="87">
        <v>0</v>
      </c>
      <c r="S164" s="87">
        <v>420.30000000000007</v>
      </c>
      <c r="EG164" s="86">
        <f>Data!F56</f>
        <v>31952965.229208339</v>
      </c>
      <c r="EH164" s="86">
        <f>Data!I56</f>
        <v>7837310.6719797337</v>
      </c>
      <c r="EI164" s="86">
        <f>Data!L56</f>
        <v>18093211.662043665</v>
      </c>
      <c r="EK164" s="86">
        <f t="shared" si="211"/>
        <v>30744337.104148775</v>
      </c>
      <c r="EL164" s="86">
        <f t="shared" si="212"/>
        <v>7113549.1047101077</v>
      </c>
      <c r="EM164" s="82">
        <f t="shared" si="213"/>
        <v>17867550.299074654</v>
      </c>
      <c r="EN164" s="135"/>
      <c r="EO164" s="135"/>
    </row>
    <row r="165" spans="1:145" x14ac:dyDescent="0.2">
      <c r="A165" s="81">
        <v>2015</v>
      </c>
      <c r="B165" s="88">
        <v>8</v>
      </c>
      <c r="C165" s="88">
        <v>20.716129032258063</v>
      </c>
      <c r="D165" s="83">
        <v>58.599999999999994</v>
      </c>
      <c r="E165" s="87">
        <v>18.8</v>
      </c>
      <c r="F165" s="87">
        <v>23.499999999999993</v>
      </c>
      <c r="G165" s="87">
        <v>45.699999999999996</v>
      </c>
      <c r="H165" s="133">
        <v>4.3999999999999986</v>
      </c>
      <c r="I165" s="133">
        <v>88.6</v>
      </c>
      <c r="J165" s="87">
        <v>0</v>
      </c>
      <c r="K165" s="87">
        <v>146.20000000000002</v>
      </c>
      <c r="L165" s="87">
        <v>0</v>
      </c>
      <c r="M165" s="87">
        <v>208.20000000000002</v>
      </c>
      <c r="N165" s="87">
        <v>0</v>
      </c>
      <c r="O165" s="87">
        <v>270.19999999999993</v>
      </c>
      <c r="P165" s="87">
        <v>0</v>
      </c>
      <c r="Q165" s="87">
        <v>332.2</v>
      </c>
      <c r="R165" s="87">
        <v>0</v>
      </c>
      <c r="S165" s="87">
        <v>394.2</v>
      </c>
      <c r="EG165" s="86">
        <f>Data!F57</f>
        <v>29580077.267762542</v>
      </c>
      <c r="EH165" s="86">
        <f>Data!I57</f>
        <v>7385438.6527026212</v>
      </c>
      <c r="EI165" s="86">
        <f>Data!L57</f>
        <v>17648873.695778605</v>
      </c>
      <c r="EK165" s="86">
        <f t="shared" si="211"/>
        <v>28963176.032631382</v>
      </c>
      <c r="EL165" s="86">
        <f t="shared" si="212"/>
        <v>6912835.6165833119</v>
      </c>
      <c r="EM165" s="82">
        <f t="shared" si="213"/>
        <v>17761691.151980687</v>
      </c>
      <c r="EN165" s="135"/>
      <c r="EO165" s="135"/>
    </row>
    <row r="166" spans="1:145" x14ac:dyDescent="0.2">
      <c r="A166" s="81">
        <v>2015</v>
      </c>
      <c r="B166" s="88">
        <v>9</v>
      </c>
      <c r="C166" s="88">
        <v>19.693333333333332</v>
      </c>
      <c r="D166" s="83">
        <v>97.000000000000028</v>
      </c>
      <c r="E166" s="87">
        <v>27.800000000000004</v>
      </c>
      <c r="F166" s="87">
        <v>60.100000000000016</v>
      </c>
      <c r="G166" s="87">
        <v>50.899999999999991</v>
      </c>
      <c r="H166" s="133">
        <v>31.099999999999994</v>
      </c>
      <c r="I166" s="133">
        <v>81.900000000000006</v>
      </c>
      <c r="J166" s="87">
        <v>12.9</v>
      </c>
      <c r="K166" s="87">
        <v>123.69999999999999</v>
      </c>
      <c r="L166" s="87">
        <v>3.2999999999999989</v>
      </c>
      <c r="M166" s="87">
        <v>174.09999999999997</v>
      </c>
      <c r="N166" s="87">
        <v>0</v>
      </c>
      <c r="O166" s="87">
        <v>230.8</v>
      </c>
      <c r="P166" s="87">
        <v>0</v>
      </c>
      <c r="Q166" s="87">
        <v>290.80000000000007</v>
      </c>
      <c r="R166" s="87">
        <v>0</v>
      </c>
      <c r="S166" s="87">
        <v>350.80000000000007</v>
      </c>
      <c r="EG166" s="86">
        <f>Data!F58</f>
        <v>26608771.542461362</v>
      </c>
      <c r="EH166" s="86">
        <f>Data!I58</f>
        <v>7261609.6984857554</v>
      </c>
      <c r="EI166" s="86">
        <f>Data!L58</f>
        <v>17847440.221079815</v>
      </c>
      <c r="EK166" s="86">
        <f t="shared" si="211"/>
        <v>27468420.105519932</v>
      </c>
      <c r="EL166" s="86">
        <f t="shared" si="212"/>
        <v>6784213.8234019317</v>
      </c>
      <c r="EM166" s="82">
        <f t="shared" si="213"/>
        <v>17683521.33075019</v>
      </c>
      <c r="EN166" s="135"/>
      <c r="EO166" s="135"/>
    </row>
    <row r="167" spans="1:145" x14ac:dyDescent="0.2">
      <c r="A167" s="81">
        <v>2015</v>
      </c>
      <c r="B167" s="88">
        <v>10</v>
      </c>
      <c r="C167" s="88">
        <v>9.9419354838709673</v>
      </c>
      <c r="D167" s="83">
        <v>373.8</v>
      </c>
      <c r="E167" s="87">
        <v>0</v>
      </c>
      <c r="F167" s="87">
        <v>311.8</v>
      </c>
      <c r="G167" s="87">
        <v>0</v>
      </c>
      <c r="H167" s="133">
        <v>249.8</v>
      </c>
      <c r="I167" s="133">
        <v>0</v>
      </c>
      <c r="J167" s="87">
        <v>190.60000000000002</v>
      </c>
      <c r="K167" s="87">
        <v>2.7999999999999972</v>
      </c>
      <c r="L167" s="87">
        <v>135.30000000000001</v>
      </c>
      <c r="M167" s="87">
        <v>9.4999999999999982</v>
      </c>
      <c r="N167" s="87">
        <v>85.1</v>
      </c>
      <c r="O167" s="87">
        <v>21.3</v>
      </c>
      <c r="P167" s="87">
        <v>48.199999999999989</v>
      </c>
      <c r="Q167" s="87">
        <v>46.400000000000006</v>
      </c>
      <c r="R167" s="87">
        <v>24.900000000000002</v>
      </c>
      <c r="S167" s="87">
        <v>85.1</v>
      </c>
      <c r="EG167" s="86">
        <f>Data!F59</f>
        <v>21483913.277401097</v>
      </c>
      <c r="EH167" s="86">
        <f>Data!I59</f>
        <v>6991164.0021002153</v>
      </c>
      <c r="EI167" s="86">
        <f>Data!L59</f>
        <v>16827940.095778607</v>
      </c>
      <c r="EK167" s="86">
        <f t="shared" si="211"/>
        <v>20846864.66164422</v>
      </c>
      <c r="EL167" s="86">
        <f t="shared" si="212"/>
        <v>6466188.1100278646</v>
      </c>
      <c r="EM167" s="82">
        <f t="shared" si="213"/>
        <v>17373452.913799368</v>
      </c>
      <c r="EN167" s="135"/>
      <c r="EO167" s="135"/>
    </row>
    <row r="168" spans="1:145" x14ac:dyDescent="0.2">
      <c r="A168" s="81">
        <v>2015</v>
      </c>
      <c r="B168" s="88">
        <v>11</v>
      </c>
      <c r="C168" s="88">
        <v>6.5000000000000009</v>
      </c>
      <c r="D168" s="83">
        <v>465</v>
      </c>
      <c r="E168" s="87">
        <v>0</v>
      </c>
      <c r="F168" s="87">
        <v>404.99999999999994</v>
      </c>
      <c r="G168" s="87">
        <v>0</v>
      </c>
      <c r="H168" s="133">
        <v>345</v>
      </c>
      <c r="I168" s="133">
        <v>0</v>
      </c>
      <c r="J168" s="87">
        <v>285</v>
      </c>
      <c r="K168" s="87">
        <v>0</v>
      </c>
      <c r="L168" s="87">
        <v>227.2</v>
      </c>
      <c r="M168" s="87">
        <v>2.1999999999999993</v>
      </c>
      <c r="N168" s="87">
        <v>172.39999999999995</v>
      </c>
      <c r="O168" s="87">
        <v>7.3999999999999986</v>
      </c>
      <c r="P168" s="87">
        <v>121.9</v>
      </c>
      <c r="Q168" s="87">
        <v>16.899999999999999</v>
      </c>
      <c r="R168" s="87">
        <v>82.8</v>
      </c>
      <c r="S168" s="87">
        <v>37.800000000000004</v>
      </c>
      <c r="EG168" s="86">
        <f>Data!F60</f>
        <v>19734087.166557718</v>
      </c>
      <c r="EH168" s="86">
        <f>Data!I60</f>
        <v>6518609.4286062401</v>
      </c>
      <c r="EI168" s="86">
        <f>Data!L60</f>
        <v>16684572.645176196</v>
      </c>
      <c r="EK168" s="86">
        <f t="shared" si="211"/>
        <v>21789988.522308417</v>
      </c>
      <c r="EL168" s="86">
        <f t="shared" si="212"/>
        <v>6769619.0366314575</v>
      </c>
      <c r="EM168" s="82">
        <f t="shared" si="213"/>
        <v>17457872.5986549</v>
      </c>
      <c r="EN168" s="135"/>
      <c r="EO168" s="135"/>
    </row>
    <row r="169" spans="1:145" x14ac:dyDescent="0.2">
      <c r="A169" s="81">
        <v>2015</v>
      </c>
      <c r="B169" s="88">
        <v>12</v>
      </c>
      <c r="C169" s="88">
        <v>4.1387096774193548</v>
      </c>
      <c r="D169" s="83">
        <v>553.70000000000016</v>
      </c>
      <c r="E169" s="87">
        <v>0</v>
      </c>
      <c r="F169" s="87">
        <v>491.7000000000001</v>
      </c>
      <c r="G169" s="87">
        <v>0</v>
      </c>
      <c r="H169" s="133">
        <v>429.70000000000005</v>
      </c>
      <c r="I169" s="133">
        <v>0</v>
      </c>
      <c r="J169" s="87">
        <v>367.70000000000005</v>
      </c>
      <c r="K169" s="87">
        <v>0</v>
      </c>
      <c r="L169" s="87">
        <v>305.7</v>
      </c>
      <c r="M169" s="87">
        <v>0</v>
      </c>
      <c r="N169" s="87">
        <v>243.70000000000002</v>
      </c>
      <c r="O169" s="87">
        <v>0</v>
      </c>
      <c r="P169" s="87">
        <v>182</v>
      </c>
      <c r="Q169" s="87">
        <v>0.30000000000000071</v>
      </c>
      <c r="R169" s="87">
        <v>126.19999999999999</v>
      </c>
      <c r="S169" s="87">
        <v>6.5</v>
      </c>
      <c r="EG169" s="86">
        <f>Data!F61</f>
        <v>23600600.062943287</v>
      </c>
      <c r="EH169" s="86">
        <f>Data!I61</f>
        <v>6890863.0382447885</v>
      </c>
      <c r="EI169" s="86">
        <f>Data!L61</f>
        <v>16658204.809031619</v>
      </c>
      <c r="EK169" s="86">
        <f t="shared" si="211"/>
        <v>22758815.427048851</v>
      </c>
      <c r="EL169" s="86">
        <f t="shared" si="212"/>
        <v>7054306.2596072592</v>
      </c>
      <c r="EM169" s="82">
        <f t="shared" si="213"/>
        <v>17541778.250511836</v>
      </c>
      <c r="EN169" s="135"/>
      <c r="EO169" s="135"/>
    </row>
    <row r="170" spans="1:145" x14ac:dyDescent="0.2">
      <c r="A170" s="81">
        <v>2016</v>
      </c>
      <c r="B170" s="88">
        <v>1</v>
      </c>
      <c r="C170" s="88">
        <v>-3.6258064516129025</v>
      </c>
      <c r="D170" s="83">
        <v>794.4</v>
      </c>
      <c r="E170" s="87">
        <v>0</v>
      </c>
      <c r="F170" s="87">
        <v>732.4</v>
      </c>
      <c r="G170" s="87">
        <v>0</v>
      </c>
      <c r="H170" s="133">
        <v>670.4</v>
      </c>
      <c r="I170" s="133">
        <v>0</v>
      </c>
      <c r="J170" s="87">
        <v>608.4</v>
      </c>
      <c r="K170" s="87">
        <v>0</v>
      </c>
      <c r="L170" s="87">
        <v>546.4</v>
      </c>
      <c r="M170" s="87">
        <v>0</v>
      </c>
      <c r="N170" s="87">
        <v>484.40000000000009</v>
      </c>
      <c r="O170" s="87">
        <v>0</v>
      </c>
      <c r="P170" s="87">
        <v>422.40000000000009</v>
      </c>
      <c r="Q170" s="87">
        <v>0</v>
      </c>
      <c r="R170" s="87">
        <v>360.40000000000009</v>
      </c>
      <c r="S170" s="87">
        <v>0</v>
      </c>
      <c r="EG170" s="86">
        <f>Data!F62</f>
        <v>26488550.719732195</v>
      </c>
      <c r="EH170" s="86">
        <f>Data!I62</f>
        <v>8689256.1018550042</v>
      </c>
      <c r="EI170" s="86">
        <f>Data!L62</f>
        <v>18392987.23202993</v>
      </c>
      <c r="EK170" s="86">
        <f t="shared" si="211"/>
        <v>25729473.210119206</v>
      </c>
      <c r="EL170" s="86">
        <f t="shared" si="212"/>
        <v>7882894.1020531505</v>
      </c>
      <c r="EM170" s="82">
        <f t="shared" si="213"/>
        <v>17785987.324296173</v>
      </c>
      <c r="EN170" s="135"/>
      <c r="EO170" s="135"/>
    </row>
    <row r="171" spans="1:145" x14ac:dyDescent="0.2">
      <c r="A171" s="81">
        <v>2016</v>
      </c>
      <c r="B171" s="88">
        <v>2</v>
      </c>
      <c r="C171" s="88">
        <v>-2.2896551724137932</v>
      </c>
      <c r="D171" s="83">
        <v>704.4</v>
      </c>
      <c r="E171" s="87">
        <v>0</v>
      </c>
      <c r="F171" s="87">
        <v>646.40000000000009</v>
      </c>
      <c r="G171" s="87">
        <v>0</v>
      </c>
      <c r="H171" s="133">
        <v>588.4</v>
      </c>
      <c r="I171" s="133">
        <v>0</v>
      </c>
      <c r="J171" s="87">
        <v>530.40000000000009</v>
      </c>
      <c r="K171" s="87">
        <v>0</v>
      </c>
      <c r="L171" s="87">
        <v>472.40000000000009</v>
      </c>
      <c r="M171" s="87">
        <v>0</v>
      </c>
      <c r="N171" s="87">
        <v>414.40000000000003</v>
      </c>
      <c r="O171" s="87">
        <v>0</v>
      </c>
      <c r="P171" s="87">
        <v>356.40000000000003</v>
      </c>
      <c r="Q171" s="87">
        <v>0</v>
      </c>
      <c r="R171" s="87">
        <v>299.30000000000007</v>
      </c>
      <c r="S171" s="87">
        <v>0.90000000000000036</v>
      </c>
      <c r="EG171" s="86">
        <f>Data!F63</f>
        <v>25023617.148647863</v>
      </c>
      <c r="EH171" s="86">
        <f>Data!I63</f>
        <v>8524672.8247465622</v>
      </c>
      <c r="EI171" s="86">
        <f>Data!L63</f>
        <v>17502931.916367285</v>
      </c>
      <c r="EK171" s="86">
        <f t="shared" si="211"/>
        <v>24816184.153421216</v>
      </c>
      <c r="EL171" s="86">
        <f t="shared" si="212"/>
        <v>7614386.2013020935</v>
      </c>
      <c r="EM171" s="82">
        <f t="shared" si="213"/>
        <v>17706850.191952266</v>
      </c>
      <c r="EN171" s="135"/>
      <c r="EO171" s="135"/>
    </row>
    <row r="172" spans="1:145" x14ac:dyDescent="0.2">
      <c r="A172" s="81">
        <v>2016</v>
      </c>
      <c r="B172" s="88">
        <v>3</v>
      </c>
      <c r="C172" s="88">
        <v>2.6419354838709674</v>
      </c>
      <c r="D172" s="83">
        <v>600.09999999999991</v>
      </c>
      <c r="E172" s="87">
        <v>0</v>
      </c>
      <c r="F172" s="87">
        <v>538.09999999999991</v>
      </c>
      <c r="G172" s="87">
        <v>0</v>
      </c>
      <c r="H172" s="133">
        <v>476.0999999999998</v>
      </c>
      <c r="I172" s="133">
        <v>0</v>
      </c>
      <c r="J172" s="87">
        <v>414.0999999999998</v>
      </c>
      <c r="K172" s="87">
        <v>0</v>
      </c>
      <c r="L172" s="87">
        <v>352.09999999999985</v>
      </c>
      <c r="M172" s="87">
        <v>0</v>
      </c>
      <c r="N172" s="87">
        <v>290.89999999999992</v>
      </c>
      <c r="O172" s="87">
        <v>0.80000000000000071</v>
      </c>
      <c r="P172" s="87">
        <v>232.90000000000003</v>
      </c>
      <c r="Q172" s="87">
        <v>4.8000000000000007</v>
      </c>
      <c r="R172" s="87">
        <v>176.40000000000003</v>
      </c>
      <c r="S172" s="87">
        <v>10.3</v>
      </c>
      <c r="EG172" s="86">
        <f>Data!F64</f>
        <v>23461776.319732215</v>
      </c>
      <c r="EH172" s="86">
        <f>Data!I64</f>
        <v>8034077.1524574133</v>
      </c>
      <c r="EI172" s="86">
        <f>Data!L64</f>
        <v>17615636.032029931</v>
      </c>
      <c r="EK172" s="86">
        <f t="shared" si="211"/>
        <v>23331472.349086508</v>
      </c>
      <c r="EL172" s="86">
        <f t="shared" si="212"/>
        <v>7214034.0364642972</v>
      </c>
      <c r="EM172" s="82">
        <f t="shared" si="213"/>
        <v>17588854.698470261</v>
      </c>
      <c r="EN172" s="135"/>
      <c r="EO172" s="135"/>
    </row>
    <row r="173" spans="1:145" x14ac:dyDescent="0.2">
      <c r="A173" s="81">
        <v>2016</v>
      </c>
      <c r="B173" s="88">
        <v>4</v>
      </c>
      <c r="C173" s="88">
        <v>4.8400000000000007</v>
      </c>
      <c r="D173" s="83">
        <v>514.79999999999995</v>
      </c>
      <c r="E173" s="87">
        <v>0</v>
      </c>
      <c r="F173" s="87">
        <v>454.8</v>
      </c>
      <c r="G173" s="87">
        <v>0</v>
      </c>
      <c r="H173" s="133">
        <v>394.8</v>
      </c>
      <c r="I173" s="133">
        <v>0</v>
      </c>
      <c r="J173" s="87">
        <v>335.1</v>
      </c>
      <c r="K173" s="87">
        <v>0.30000000000000071</v>
      </c>
      <c r="L173" s="87">
        <v>277.10000000000008</v>
      </c>
      <c r="M173" s="87">
        <v>2.3000000000000007</v>
      </c>
      <c r="N173" s="87">
        <v>219.70000000000005</v>
      </c>
      <c r="O173" s="87">
        <v>4.9000000000000004</v>
      </c>
      <c r="P173" s="87">
        <v>167.70000000000005</v>
      </c>
      <c r="Q173" s="87">
        <v>12.9</v>
      </c>
      <c r="R173" s="87">
        <v>120.60000000000001</v>
      </c>
      <c r="S173" s="87">
        <v>25.8</v>
      </c>
      <c r="EG173" s="86">
        <f>Data!F65</f>
        <v>22136159.26912979</v>
      </c>
      <c r="EH173" s="86">
        <f>Data!I65</f>
        <v>7906470.30908392</v>
      </c>
      <c r="EI173" s="86">
        <f>Data!L65</f>
        <v>16891925.130825114</v>
      </c>
      <c r="EK173" s="86">
        <f t="shared" si="211"/>
        <v>22426314.664143659</v>
      </c>
      <c r="EL173" s="86">
        <f t="shared" si="212"/>
        <v>6944390.7783169169</v>
      </c>
      <c r="EM173" s="82">
        <f t="shared" si="213"/>
        <v>17509919.759312239</v>
      </c>
      <c r="EN173" s="135"/>
      <c r="EO173" s="135"/>
    </row>
    <row r="174" spans="1:145" x14ac:dyDescent="0.2">
      <c r="A174" s="81">
        <v>2016</v>
      </c>
      <c r="B174" s="88">
        <v>5</v>
      </c>
      <c r="C174" s="88">
        <v>14.593548387096776</v>
      </c>
      <c r="D174" s="83">
        <v>238.79999999999998</v>
      </c>
      <c r="E174" s="87">
        <v>9.2000000000000028</v>
      </c>
      <c r="F174" s="87">
        <v>188.29999999999998</v>
      </c>
      <c r="G174" s="87">
        <v>20.700000000000003</v>
      </c>
      <c r="H174" s="133">
        <v>142.50000000000003</v>
      </c>
      <c r="I174" s="133">
        <v>36.9</v>
      </c>
      <c r="J174" s="87">
        <v>102.19999999999999</v>
      </c>
      <c r="K174" s="87">
        <v>58.6</v>
      </c>
      <c r="L174" s="87">
        <v>66.599999999999994</v>
      </c>
      <c r="M174" s="87">
        <v>85</v>
      </c>
      <c r="N174" s="87">
        <v>36.299999999999997</v>
      </c>
      <c r="O174" s="87">
        <v>116.69999999999999</v>
      </c>
      <c r="P174" s="87">
        <v>12.600000000000001</v>
      </c>
      <c r="Q174" s="87">
        <v>155.00000000000003</v>
      </c>
      <c r="R174" s="87">
        <v>3.0999999999999996</v>
      </c>
      <c r="S174" s="87">
        <v>207.5</v>
      </c>
      <c r="EG174" s="86">
        <f>Data!F66</f>
        <v>21068139.211298458</v>
      </c>
      <c r="EH174" s="86">
        <f>Data!I66</f>
        <v>6742797.6054694587</v>
      </c>
      <c r="EI174" s="86">
        <f>Data!L66</f>
        <v>16602755.501909452</v>
      </c>
      <c r="EK174" s="86">
        <f t="shared" ref="EK174:EK205" si="214">($FB$14+L174*$FB$15+K174*$FB$16)</f>
        <v>23806986.38040581</v>
      </c>
      <c r="EL174" s="86">
        <f t="shared" ref="EL174:EL205" si="215">($FB$31+J174*$FB$32+K174*$FB$33)</f>
        <v>6590990.7511488963</v>
      </c>
      <c r="EM174" s="82">
        <f t="shared" ref="EM174:EM205" si="216">($FB$48+J174*$FB$49+K174*$FB$50)</f>
        <v>17510083.719665676</v>
      </c>
      <c r="EN174" s="135"/>
      <c r="EO174" s="135"/>
    </row>
    <row r="175" spans="1:145" x14ac:dyDescent="0.2">
      <c r="A175" s="81">
        <v>2016</v>
      </c>
      <c r="B175" s="88">
        <v>6</v>
      </c>
      <c r="C175" s="88">
        <v>19.983333333333334</v>
      </c>
      <c r="D175" s="83">
        <v>81.69999999999996</v>
      </c>
      <c r="E175" s="87">
        <v>21.200000000000003</v>
      </c>
      <c r="F175" s="87">
        <v>45</v>
      </c>
      <c r="G175" s="87">
        <v>44.5</v>
      </c>
      <c r="H175" s="133">
        <v>24.200000000000003</v>
      </c>
      <c r="I175" s="133">
        <v>83.700000000000017</v>
      </c>
      <c r="J175" s="87">
        <v>9.1999999999999993</v>
      </c>
      <c r="K175" s="87">
        <v>128.70000000000002</v>
      </c>
      <c r="L175" s="87">
        <v>3.0999999999999996</v>
      </c>
      <c r="M175" s="87">
        <v>182.6</v>
      </c>
      <c r="N175" s="87">
        <v>1.0999999999999996</v>
      </c>
      <c r="O175" s="87">
        <v>240.59999999999997</v>
      </c>
      <c r="P175" s="87">
        <v>0</v>
      </c>
      <c r="Q175" s="87">
        <v>299.5</v>
      </c>
      <c r="R175" s="87">
        <v>0</v>
      </c>
      <c r="S175" s="87">
        <v>359.5</v>
      </c>
      <c r="EG175" s="86">
        <f>Data!F67</f>
        <v>30493925.726961114</v>
      </c>
      <c r="EH175" s="86">
        <f>Data!I67</f>
        <v>7675214.5211321106</v>
      </c>
      <c r="EI175" s="86">
        <f>Data!L67</f>
        <v>17495167.299499799</v>
      </c>
      <c r="EK175" s="86">
        <f t="shared" si="214"/>
        <v>27807170.352794174</v>
      </c>
      <c r="EL175" s="86">
        <f t="shared" si="215"/>
        <v>6809927.769955582</v>
      </c>
      <c r="EM175" s="82">
        <f t="shared" si="216"/>
        <v>17700046.91995158</v>
      </c>
      <c r="EN175" s="135"/>
      <c r="EO175" s="135"/>
    </row>
    <row r="176" spans="1:145" x14ac:dyDescent="0.2">
      <c r="A176" s="81">
        <v>2016</v>
      </c>
      <c r="B176" s="88">
        <v>7</v>
      </c>
      <c r="C176" s="88">
        <v>23.70645161290323</v>
      </c>
      <c r="D176" s="83">
        <v>16.199999999999996</v>
      </c>
      <c r="E176" s="87">
        <v>69.099999999999994</v>
      </c>
      <c r="F176" s="87">
        <v>3.8999999999999986</v>
      </c>
      <c r="G176" s="87">
        <v>118.80000000000001</v>
      </c>
      <c r="H176" s="133">
        <v>0</v>
      </c>
      <c r="I176" s="133">
        <v>176.90000000000003</v>
      </c>
      <c r="J176" s="87">
        <v>0</v>
      </c>
      <c r="K176" s="87">
        <v>238.9</v>
      </c>
      <c r="L176" s="87">
        <v>0</v>
      </c>
      <c r="M176" s="87">
        <v>300.89999999999998</v>
      </c>
      <c r="N176" s="87">
        <v>0</v>
      </c>
      <c r="O176" s="87">
        <v>362.9</v>
      </c>
      <c r="P176" s="87">
        <v>0</v>
      </c>
      <c r="Q176" s="87">
        <v>424.90000000000003</v>
      </c>
      <c r="R176" s="87">
        <v>0</v>
      </c>
      <c r="S176" s="87">
        <v>486.90000000000003</v>
      </c>
      <c r="EG176" s="86">
        <f>Data!F68</f>
        <v>36232069.967924938</v>
      </c>
      <c r="EH176" s="86">
        <f>Data!I68</f>
        <v>8203345.3452284951</v>
      </c>
      <c r="EI176" s="86">
        <f>Data!L68</f>
        <v>18373376.195885357</v>
      </c>
      <c r="EK176" s="86">
        <f t="shared" si="214"/>
        <v>35289368.803882793</v>
      </c>
      <c r="EL176" s="86">
        <f t="shared" si="215"/>
        <v>7625714.557171586</v>
      </c>
      <c r="EM176" s="82">
        <f t="shared" si="216"/>
        <v>18137673.639935128</v>
      </c>
      <c r="EN176" s="135"/>
      <c r="EO176" s="135"/>
    </row>
    <row r="177" spans="1:145" x14ac:dyDescent="0.2">
      <c r="A177" s="81">
        <v>2016</v>
      </c>
      <c r="B177" s="88">
        <v>8</v>
      </c>
      <c r="C177" s="88">
        <v>24.303225806451611</v>
      </c>
      <c r="D177" s="83">
        <v>4.1000000000000014</v>
      </c>
      <c r="E177" s="87">
        <v>75.500000000000028</v>
      </c>
      <c r="F177" s="87">
        <v>1.1000000000000014</v>
      </c>
      <c r="G177" s="87">
        <v>134.5</v>
      </c>
      <c r="H177" s="133">
        <v>0</v>
      </c>
      <c r="I177" s="133">
        <v>195.40000000000003</v>
      </c>
      <c r="J177" s="87">
        <v>0</v>
      </c>
      <c r="K177" s="87">
        <v>257.40000000000003</v>
      </c>
      <c r="L177" s="87">
        <v>0</v>
      </c>
      <c r="M177" s="87">
        <v>319.40000000000003</v>
      </c>
      <c r="N177" s="87">
        <v>0</v>
      </c>
      <c r="O177" s="87">
        <v>381.40000000000009</v>
      </c>
      <c r="P177" s="87">
        <v>0</v>
      </c>
      <c r="Q177" s="87">
        <v>443.40000000000009</v>
      </c>
      <c r="R177" s="87">
        <v>0</v>
      </c>
      <c r="S177" s="87">
        <v>505.40000000000009</v>
      </c>
      <c r="EG177" s="86">
        <f>Data!F69</f>
        <v>36666591.857081592</v>
      </c>
      <c r="EH177" s="86">
        <f>Data!I69</f>
        <v>8087094.0199272949</v>
      </c>
      <c r="EI177" s="86">
        <f>Data!L69</f>
        <v>19193976.494680539</v>
      </c>
      <c r="EK177" s="86">
        <f t="shared" si="214"/>
        <v>36551877.609364472</v>
      </c>
      <c r="EL177" s="86">
        <f t="shared" si="215"/>
        <v>7767982.7384108854</v>
      </c>
      <c r="EM177" s="82">
        <f t="shared" si="216"/>
        <v>18212707.901285261</v>
      </c>
      <c r="EN177" s="135"/>
      <c r="EO177" s="135"/>
    </row>
    <row r="178" spans="1:145" x14ac:dyDescent="0.2">
      <c r="A178" s="81">
        <v>2016</v>
      </c>
      <c r="B178" s="88">
        <v>9</v>
      </c>
      <c r="C178" s="88">
        <v>19.45</v>
      </c>
      <c r="D178" s="83">
        <v>94.699999999999989</v>
      </c>
      <c r="E178" s="87">
        <v>18.2</v>
      </c>
      <c r="F178" s="87">
        <v>56.2</v>
      </c>
      <c r="G178" s="87">
        <v>39.700000000000003</v>
      </c>
      <c r="H178" s="133">
        <v>25.900000000000002</v>
      </c>
      <c r="I178" s="133">
        <v>69.40000000000002</v>
      </c>
      <c r="J178" s="87">
        <v>8.3999999999999986</v>
      </c>
      <c r="K178" s="87">
        <v>111.89999999999999</v>
      </c>
      <c r="L178" s="87">
        <v>1.2999999999999989</v>
      </c>
      <c r="M178" s="87">
        <v>164.79999999999998</v>
      </c>
      <c r="N178" s="87">
        <v>0</v>
      </c>
      <c r="O178" s="87">
        <v>223.5</v>
      </c>
      <c r="P178" s="87">
        <v>0</v>
      </c>
      <c r="Q178" s="87">
        <v>283.49999999999994</v>
      </c>
      <c r="R178" s="87">
        <v>0</v>
      </c>
      <c r="S178" s="87">
        <v>343.49999999999989</v>
      </c>
      <c r="EG178" s="86">
        <f>Data!F70</f>
        <v>27451832.531780414</v>
      </c>
      <c r="EH178" s="86">
        <f>Data!I70</f>
        <v>7364858.7428188557</v>
      </c>
      <c r="EI178" s="86">
        <f>Data!L70</f>
        <v>17890059.858535945</v>
      </c>
      <c r="EK178" s="86">
        <f t="shared" si="214"/>
        <v>26638460.730761401</v>
      </c>
      <c r="EL178" s="86">
        <f t="shared" si="215"/>
        <v>6677978.9538591895</v>
      </c>
      <c r="EM178" s="82">
        <f t="shared" si="216"/>
        <v>17631096.03593779</v>
      </c>
      <c r="EN178" s="135"/>
      <c r="EO178" s="135"/>
    </row>
    <row r="179" spans="1:145" x14ac:dyDescent="0.2">
      <c r="A179" s="81">
        <v>2016</v>
      </c>
      <c r="B179" s="88">
        <v>10</v>
      </c>
      <c r="C179" s="88">
        <v>11.867741935483874</v>
      </c>
      <c r="D179" s="83">
        <v>314.10000000000002</v>
      </c>
      <c r="E179" s="87">
        <v>0</v>
      </c>
      <c r="F179" s="87">
        <v>252.10000000000002</v>
      </c>
      <c r="G179" s="87">
        <v>0</v>
      </c>
      <c r="H179" s="133">
        <v>194.20000000000002</v>
      </c>
      <c r="I179" s="133">
        <v>4.1000000000000014</v>
      </c>
      <c r="J179" s="87">
        <v>144.70000000000002</v>
      </c>
      <c r="K179" s="87">
        <v>16.600000000000005</v>
      </c>
      <c r="L179" s="87">
        <v>105.89999999999999</v>
      </c>
      <c r="M179" s="87">
        <v>39.800000000000004</v>
      </c>
      <c r="N179" s="87">
        <v>73.400000000000006</v>
      </c>
      <c r="O179" s="87">
        <v>69.3</v>
      </c>
      <c r="P179" s="87">
        <v>45.400000000000006</v>
      </c>
      <c r="Q179" s="87">
        <v>103.29999999999998</v>
      </c>
      <c r="R179" s="87">
        <v>22.700000000000003</v>
      </c>
      <c r="S179" s="87">
        <v>142.59999999999997</v>
      </c>
      <c r="EG179" s="86">
        <f>Data!F71</f>
        <v>19916253.264310535</v>
      </c>
      <c r="EH179" s="86">
        <f>Data!I71</f>
        <v>6481920.940409217</v>
      </c>
      <c r="EI179" s="86">
        <f>Data!L71</f>
        <v>16939090.046487764</v>
      </c>
      <c r="EK179" s="86">
        <f t="shared" si="214"/>
        <v>21425780.712937023</v>
      </c>
      <c r="EL179" s="86">
        <f t="shared" si="215"/>
        <v>6414305.9106953777</v>
      </c>
      <c r="EM179" s="82">
        <f t="shared" si="216"/>
        <v>17382855.258212019</v>
      </c>
      <c r="EN179" s="135"/>
      <c r="EO179" s="135"/>
    </row>
    <row r="180" spans="1:145" x14ac:dyDescent="0.2">
      <c r="A180" s="81">
        <v>2016</v>
      </c>
      <c r="B180" s="88">
        <v>11</v>
      </c>
      <c r="C180" s="88">
        <v>6.7400000000000029</v>
      </c>
      <c r="D180" s="83">
        <v>457.80000000000018</v>
      </c>
      <c r="E180" s="87">
        <v>0</v>
      </c>
      <c r="F180" s="87">
        <v>397.80000000000013</v>
      </c>
      <c r="G180" s="87">
        <v>0</v>
      </c>
      <c r="H180" s="133">
        <v>337.80000000000007</v>
      </c>
      <c r="I180" s="133">
        <v>0</v>
      </c>
      <c r="J180" s="87">
        <v>277.79999999999995</v>
      </c>
      <c r="K180" s="87">
        <v>0</v>
      </c>
      <c r="L180" s="87">
        <v>218.89999999999995</v>
      </c>
      <c r="M180" s="87">
        <v>1.0999999999999996</v>
      </c>
      <c r="N180" s="87">
        <v>160.89999999999995</v>
      </c>
      <c r="O180" s="87">
        <v>3.0999999999999996</v>
      </c>
      <c r="P180" s="87">
        <v>108.59999999999997</v>
      </c>
      <c r="Q180" s="87">
        <v>10.8</v>
      </c>
      <c r="R180" s="87">
        <v>66</v>
      </c>
      <c r="S180" s="87">
        <v>28.199999999999996</v>
      </c>
      <c r="EG180" s="86">
        <f>Data!F72</f>
        <v>19873181.534190029</v>
      </c>
      <c r="EH180" s="86">
        <f>Data!I72</f>
        <v>6598590.6946260817</v>
      </c>
      <c r="EI180" s="86">
        <f>Data!L72</f>
        <v>17048086.017572101</v>
      </c>
      <c r="EK180" s="86">
        <f t="shared" si="214"/>
        <v>21687552.047030129</v>
      </c>
      <c r="EL180" s="86">
        <f t="shared" si="215"/>
        <v>6744833.6919467449</v>
      </c>
      <c r="EM180" s="82">
        <f t="shared" si="216"/>
        <v>17450567.632592384</v>
      </c>
      <c r="EN180" s="135"/>
      <c r="EO180" s="135"/>
    </row>
    <row r="181" spans="1:145" x14ac:dyDescent="0.2">
      <c r="A181" s="81">
        <v>2016</v>
      </c>
      <c r="B181" s="88">
        <v>12</v>
      </c>
      <c r="C181" s="88">
        <v>-1.6129032258064513</v>
      </c>
      <c r="D181" s="83">
        <v>732</v>
      </c>
      <c r="E181" s="87">
        <v>0</v>
      </c>
      <c r="F181" s="87">
        <v>669.99999999999989</v>
      </c>
      <c r="G181" s="87">
        <v>0</v>
      </c>
      <c r="H181" s="133">
        <v>607.99999999999989</v>
      </c>
      <c r="I181" s="133">
        <v>0</v>
      </c>
      <c r="J181" s="87">
        <v>545.99999999999989</v>
      </c>
      <c r="K181" s="87">
        <v>0</v>
      </c>
      <c r="L181" s="87">
        <v>483.99999999999989</v>
      </c>
      <c r="M181" s="87">
        <v>0</v>
      </c>
      <c r="N181" s="87">
        <v>421.99999999999989</v>
      </c>
      <c r="O181" s="87">
        <v>0</v>
      </c>
      <c r="P181" s="87">
        <v>359.99999999999994</v>
      </c>
      <c r="Q181" s="87">
        <v>0</v>
      </c>
      <c r="R181" s="87">
        <v>298</v>
      </c>
      <c r="S181" s="87">
        <v>0</v>
      </c>
      <c r="EG181" s="86">
        <f>Data!F73</f>
        <v>27978193.948647868</v>
      </c>
      <c r="EH181" s="86">
        <f>Data!I73</f>
        <v>8424033.8464333117</v>
      </c>
      <c r="EI181" s="86">
        <f>Data!L73</f>
        <v>18662560.716367282</v>
      </c>
      <c r="EK181" s="86">
        <f t="shared" si="214"/>
        <v>24959348.383930631</v>
      </c>
      <c r="EL181" s="86">
        <f t="shared" si="215"/>
        <v>7668087.7814523038</v>
      </c>
      <c r="EM181" s="82">
        <f t="shared" si="216"/>
        <v>17722677.618421048</v>
      </c>
      <c r="EN181" s="135"/>
      <c r="EO181" s="135"/>
    </row>
    <row r="182" spans="1:145" x14ac:dyDescent="0.2">
      <c r="A182" s="81">
        <v>2017</v>
      </c>
      <c r="B182" s="88">
        <v>1</v>
      </c>
      <c r="C182" s="88">
        <v>-1.6419354838709674</v>
      </c>
      <c r="D182" s="83">
        <v>732.89999999999986</v>
      </c>
      <c r="E182" s="87">
        <v>0</v>
      </c>
      <c r="F182" s="87">
        <v>670.89999999999986</v>
      </c>
      <c r="G182" s="87">
        <v>0</v>
      </c>
      <c r="H182" s="133">
        <v>608.9</v>
      </c>
      <c r="I182" s="133">
        <v>0</v>
      </c>
      <c r="J182" s="87">
        <v>546.9</v>
      </c>
      <c r="K182" s="87">
        <v>0</v>
      </c>
      <c r="L182" s="87">
        <v>484.9</v>
      </c>
      <c r="M182" s="87">
        <v>0</v>
      </c>
      <c r="N182" s="87">
        <v>422.9</v>
      </c>
      <c r="O182" s="87">
        <v>0</v>
      </c>
      <c r="P182" s="87">
        <v>360.90000000000003</v>
      </c>
      <c r="Q182" s="87">
        <v>0</v>
      </c>
      <c r="R182" s="87">
        <v>298.90000000000003</v>
      </c>
      <c r="S182" s="87">
        <v>0</v>
      </c>
      <c r="EG182" s="86">
        <f>Data!F74</f>
        <v>27093622.098643739</v>
      </c>
      <c r="EH182" s="86">
        <f>Data!I74</f>
        <v>8961782.937473489</v>
      </c>
      <c r="EI182" s="86">
        <f>Data!L74</f>
        <v>19659234.081595186</v>
      </c>
      <c r="EK182" s="86">
        <f t="shared" si="214"/>
        <v>24970455.953539118</v>
      </c>
      <c r="EL182" s="86">
        <f t="shared" si="215"/>
        <v>7671185.9495378938</v>
      </c>
      <c r="EM182" s="82">
        <f t="shared" si="216"/>
        <v>17723590.739178862</v>
      </c>
      <c r="EN182" s="135"/>
      <c r="EO182" s="135"/>
    </row>
    <row r="183" spans="1:145" x14ac:dyDescent="0.2">
      <c r="A183" s="81">
        <v>2017</v>
      </c>
      <c r="B183" s="88">
        <v>2</v>
      </c>
      <c r="C183" s="88">
        <v>-0.22857142857142865</v>
      </c>
      <c r="D183" s="83">
        <v>622.4</v>
      </c>
      <c r="E183" s="87">
        <v>0</v>
      </c>
      <c r="F183" s="87">
        <v>566.40000000000009</v>
      </c>
      <c r="G183" s="87">
        <v>0</v>
      </c>
      <c r="H183" s="133">
        <v>510.4</v>
      </c>
      <c r="I183" s="133">
        <v>0</v>
      </c>
      <c r="J183" s="87">
        <v>454.4</v>
      </c>
      <c r="K183" s="87">
        <v>0</v>
      </c>
      <c r="L183" s="87">
        <v>398.4</v>
      </c>
      <c r="M183" s="87">
        <v>0</v>
      </c>
      <c r="N183" s="87">
        <v>342.4</v>
      </c>
      <c r="O183" s="87">
        <v>0</v>
      </c>
      <c r="P183" s="87">
        <v>287.3</v>
      </c>
      <c r="Q183" s="87">
        <v>0.90000000000000036</v>
      </c>
      <c r="R183" s="87">
        <v>233.29999999999998</v>
      </c>
      <c r="S183" s="87">
        <v>2.9000000000000004</v>
      </c>
      <c r="EG183" s="86">
        <f>Data!F75</f>
        <v>23068759.370932903</v>
      </c>
      <c r="EH183" s="86">
        <f>Data!I75</f>
        <v>7475683.5639795121</v>
      </c>
      <c r="EI183" s="86">
        <f>Data!L75</f>
        <v>17436974.630992774</v>
      </c>
      <c r="EK183" s="86">
        <f t="shared" si="214"/>
        <v>23902895.096723229</v>
      </c>
      <c r="EL183" s="86">
        <f t="shared" si="215"/>
        <v>7352763.118519011</v>
      </c>
      <c r="EM183" s="82">
        <f t="shared" si="216"/>
        <v>17629742.216847949</v>
      </c>
      <c r="EN183" s="135"/>
      <c r="EO183" s="135"/>
    </row>
    <row r="184" spans="1:145" x14ac:dyDescent="0.2">
      <c r="A184" s="81">
        <v>2017</v>
      </c>
      <c r="B184" s="88">
        <v>3</v>
      </c>
      <c r="C184" s="88">
        <v>-0.5161290322580645</v>
      </c>
      <c r="D184" s="83">
        <v>697.99999999999989</v>
      </c>
      <c r="E184" s="87">
        <v>0</v>
      </c>
      <c r="F184" s="87">
        <v>636</v>
      </c>
      <c r="G184" s="87">
        <v>0</v>
      </c>
      <c r="H184" s="133">
        <v>574</v>
      </c>
      <c r="I184" s="133">
        <v>0</v>
      </c>
      <c r="J184" s="87">
        <v>512</v>
      </c>
      <c r="K184" s="87">
        <v>0</v>
      </c>
      <c r="L184" s="87">
        <v>450</v>
      </c>
      <c r="M184" s="87">
        <v>0</v>
      </c>
      <c r="N184" s="87">
        <v>388</v>
      </c>
      <c r="O184" s="87">
        <v>0</v>
      </c>
      <c r="P184" s="87">
        <v>327.10000000000002</v>
      </c>
      <c r="Q184" s="87">
        <v>1.0999999999999996</v>
      </c>
      <c r="R184" s="87">
        <v>268.29999999999995</v>
      </c>
      <c r="S184" s="87">
        <v>4.2999999999999989</v>
      </c>
      <c r="EG184" s="86">
        <f>Data!F76</f>
        <v>25389455.235993147</v>
      </c>
      <c r="EH184" s="86">
        <f>Data!I76</f>
        <v>8386104.0073530022</v>
      </c>
      <c r="EI184" s="86">
        <f>Data!L76</f>
        <v>19634422.014125314</v>
      </c>
      <c r="EK184" s="86">
        <f t="shared" si="214"/>
        <v>24539729.087609932</v>
      </c>
      <c r="EL184" s="86">
        <f t="shared" si="215"/>
        <v>7551045.8759967154</v>
      </c>
      <c r="EM184" s="82">
        <f t="shared" si="216"/>
        <v>17688181.945348065</v>
      </c>
      <c r="EN184" s="135"/>
      <c r="EO184" s="135"/>
    </row>
    <row r="185" spans="1:145" x14ac:dyDescent="0.2">
      <c r="A185" s="81">
        <v>2017</v>
      </c>
      <c r="B185" s="88">
        <v>4</v>
      </c>
      <c r="C185" s="88">
        <v>9.4166666666666643</v>
      </c>
      <c r="D185" s="83">
        <v>377.50000000000006</v>
      </c>
      <c r="E185" s="87">
        <v>0</v>
      </c>
      <c r="F185" s="87">
        <v>317.50000000000006</v>
      </c>
      <c r="G185" s="87">
        <v>0</v>
      </c>
      <c r="H185" s="133">
        <v>257.49999999999994</v>
      </c>
      <c r="I185" s="133">
        <v>0</v>
      </c>
      <c r="J185" s="87">
        <v>199.7</v>
      </c>
      <c r="K185" s="87">
        <v>2.1999999999999993</v>
      </c>
      <c r="L185" s="87">
        <v>145.9</v>
      </c>
      <c r="M185" s="87">
        <v>8.3999999999999986</v>
      </c>
      <c r="N185" s="87">
        <v>98</v>
      </c>
      <c r="O185" s="87">
        <v>20.5</v>
      </c>
      <c r="P185" s="87">
        <v>57.499999999999986</v>
      </c>
      <c r="Q185" s="87">
        <v>39.999999999999993</v>
      </c>
      <c r="R185" s="87">
        <v>26.1</v>
      </c>
      <c r="S185" s="87">
        <v>68.599999999999994</v>
      </c>
      <c r="EG185" s="86">
        <f>Data!F77</f>
        <v>20358576.739607595</v>
      </c>
      <c r="EH185" s="86">
        <f>Data!I77</f>
        <v>6961618.7254252993</v>
      </c>
      <c r="EI185" s="86">
        <f>Data!L77</f>
        <v>17013785.724968679</v>
      </c>
      <c r="EK185" s="86">
        <f t="shared" si="214"/>
        <v>20936740.916615065</v>
      </c>
      <c r="EL185" s="86">
        <f t="shared" si="215"/>
        <v>6492899.9286068268</v>
      </c>
      <c r="EM185" s="82">
        <f t="shared" si="216"/>
        <v>17380252.035628136</v>
      </c>
      <c r="EN185" s="135"/>
      <c r="EO185" s="135"/>
    </row>
    <row r="186" spans="1:145" x14ac:dyDescent="0.2">
      <c r="A186" s="81">
        <v>2017</v>
      </c>
      <c r="B186" s="88">
        <v>5</v>
      </c>
      <c r="C186" s="88">
        <v>12.580645161290324</v>
      </c>
      <c r="D186" s="83">
        <v>293.39999999999998</v>
      </c>
      <c r="E186" s="87">
        <v>1.3999999999999986</v>
      </c>
      <c r="F186" s="87">
        <v>233.39999999999998</v>
      </c>
      <c r="G186" s="87">
        <v>3.3999999999999986</v>
      </c>
      <c r="H186" s="133">
        <v>177</v>
      </c>
      <c r="I186" s="133">
        <v>9</v>
      </c>
      <c r="J186" s="87">
        <v>125.89999999999998</v>
      </c>
      <c r="K186" s="87">
        <v>19.900000000000002</v>
      </c>
      <c r="L186" s="87">
        <v>82.59999999999998</v>
      </c>
      <c r="M186" s="87">
        <v>38.6</v>
      </c>
      <c r="N186" s="87">
        <v>45.900000000000006</v>
      </c>
      <c r="O186" s="87">
        <v>63.900000000000013</v>
      </c>
      <c r="P186" s="87">
        <v>22.200000000000003</v>
      </c>
      <c r="Q186" s="87">
        <v>102.19999999999999</v>
      </c>
      <c r="R186" s="87">
        <v>6.3</v>
      </c>
      <c r="S186" s="87">
        <v>148.30000000000001</v>
      </c>
      <c r="EG186" s="86">
        <f>Data!F78</f>
        <v>21397367.515511237</v>
      </c>
      <c r="EH186" s="86">
        <f>Data!I78</f>
        <v>6487938.850726502</v>
      </c>
      <c r="EI186" s="86">
        <f>Data!L78</f>
        <v>18093877.252679512</v>
      </c>
      <c r="EK186" s="86">
        <f t="shared" si="214"/>
        <v>21363422.350927494</v>
      </c>
      <c r="EL186" s="86">
        <f t="shared" si="215"/>
        <v>6374966.1892607128</v>
      </c>
      <c r="EM186" s="82">
        <f t="shared" si="216"/>
        <v>17377165.670022354</v>
      </c>
      <c r="EN186" s="135"/>
      <c r="EO186" s="135"/>
    </row>
    <row r="187" spans="1:145" x14ac:dyDescent="0.2">
      <c r="A187" s="81">
        <v>2017</v>
      </c>
      <c r="B187" s="88">
        <v>6</v>
      </c>
      <c r="C187" s="88">
        <v>19.383333333333329</v>
      </c>
      <c r="D187" s="83">
        <v>96.399999999999991</v>
      </c>
      <c r="E187" s="87">
        <v>17.900000000000002</v>
      </c>
      <c r="F187" s="87">
        <v>57.3</v>
      </c>
      <c r="G187" s="87">
        <v>38.799999999999997</v>
      </c>
      <c r="H187" s="133">
        <v>26.7</v>
      </c>
      <c r="I187" s="133">
        <v>68.2</v>
      </c>
      <c r="J187" s="87">
        <v>8.8000000000000007</v>
      </c>
      <c r="K187" s="87">
        <v>110.30000000000001</v>
      </c>
      <c r="L187" s="87">
        <v>0.70000000000000107</v>
      </c>
      <c r="M187" s="87">
        <v>162.19999999999999</v>
      </c>
      <c r="N187" s="87">
        <v>0</v>
      </c>
      <c r="O187" s="87">
        <v>221.49999999999997</v>
      </c>
      <c r="P187" s="87">
        <v>0</v>
      </c>
      <c r="Q187" s="87">
        <v>281.49999999999994</v>
      </c>
      <c r="R187" s="87">
        <v>0</v>
      </c>
      <c r="S187" s="87">
        <v>341.5</v>
      </c>
      <c r="EG187" s="86">
        <f>Data!F79</f>
        <v>28536633.10587268</v>
      </c>
      <c r="EH187" s="86">
        <f>Data!I79</f>
        <v>7096252.9422927629</v>
      </c>
      <c r="EI187" s="86">
        <f>Data!L79</f>
        <v>19315178.650269885</v>
      </c>
      <c r="EK187" s="86">
        <f t="shared" si="214"/>
        <v>26521865.733611386</v>
      </c>
      <c r="EL187" s="86">
        <f t="shared" si="215"/>
        <v>6667051.6423185747</v>
      </c>
      <c r="EM187" s="82">
        <f t="shared" si="216"/>
        <v>17625012.417755425</v>
      </c>
      <c r="EN187" s="135"/>
      <c r="EO187" s="135"/>
    </row>
    <row r="188" spans="1:145" x14ac:dyDescent="0.2">
      <c r="A188" s="81">
        <v>2017</v>
      </c>
      <c r="B188" s="88">
        <v>7</v>
      </c>
      <c r="C188" s="88">
        <v>21.758064516129032</v>
      </c>
      <c r="D188" s="83">
        <v>27.799999999999997</v>
      </c>
      <c r="E188" s="87">
        <v>20.300000000000004</v>
      </c>
      <c r="F188" s="87">
        <v>5.3999999999999986</v>
      </c>
      <c r="G188" s="87">
        <v>59.900000000000006</v>
      </c>
      <c r="H188" s="133">
        <v>0</v>
      </c>
      <c r="I188" s="133">
        <v>116.5</v>
      </c>
      <c r="J188" s="87">
        <v>0</v>
      </c>
      <c r="K188" s="87">
        <v>178.50000000000003</v>
      </c>
      <c r="L188" s="87">
        <v>0</v>
      </c>
      <c r="M188" s="87">
        <v>240.50000000000009</v>
      </c>
      <c r="N188" s="87">
        <v>0</v>
      </c>
      <c r="O188" s="87">
        <v>302.50000000000006</v>
      </c>
      <c r="P188" s="87">
        <v>0</v>
      </c>
      <c r="Q188" s="87">
        <v>364.50000000000006</v>
      </c>
      <c r="R188" s="87">
        <v>0</v>
      </c>
      <c r="S188" s="87">
        <v>426.50000000000006</v>
      </c>
      <c r="EG188" s="86">
        <f>Data!F80</f>
        <v>29930546.214306407</v>
      </c>
      <c r="EH188" s="86">
        <f>Data!I80</f>
        <v>6969986.9760277011</v>
      </c>
      <c r="EI188" s="86">
        <f>Data!L80</f>
        <v>19549131.777980741</v>
      </c>
      <c r="EK188" s="86">
        <f t="shared" si="214"/>
        <v>31167448.163283169</v>
      </c>
      <c r="EL188" s="86">
        <f t="shared" si="215"/>
        <v>7161228.1708551701</v>
      </c>
      <c r="EM188" s="82">
        <f t="shared" si="216"/>
        <v>17892696.916391995</v>
      </c>
      <c r="EN188" s="135"/>
      <c r="EO188" s="135"/>
    </row>
    <row r="189" spans="1:145" x14ac:dyDescent="0.2">
      <c r="A189" s="81">
        <v>2017</v>
      </c>
      <c r="B189" s="88">
        <v>8</v>
      </c>
      <c r="C189" s="88">
        <v>20.051612903225806</v>
      </c>
      <c r="D189" s="83">
        <v>69.600000000000009</v>
      </c>
      <c r="E189" s="87">
        <v>9.1999999999999993</v>
      </c>
      <c r="F189" s="87">
        <v>31.300000000000004</v>
      </c>
      <c r="G189" s="87">
        <v>32.900000000000006</v>
      </c>
      <c r="H189" s="133">
        <v>11.600000000000003</v>
      </c>
      <c r="I189" s="133">
        <v>75.2</v>
      </c>
      <c r="J189" s="87">
        <v>1.9000000000000004</v>
      </c>
      <c r="K189" s="87">
        <v>127.49999999999999</v>
      </c>
      <c r="L189" s="87">
        <v>0</v>
      </c>
      <c r="M189" s="87">
        <v>187.60000000000002</v>
      </c>
      <c r="N189" s="87">
        <v>0</v>
      </c>
      <c r="O189" s="87">
        <v>249.60000000000005</v>
      </c>
      <c r="P189" s="87">
        <v>0</v>
      </c>
      <c r="Q189" s="87">
        <v>311.59999999999997</v>
      </c>
      <c r="R189" s="87">
        <v>0</v>
      </c>
      <c r="S189" s="87">
        <v>373.59999999999997</v>
      </c>
      <c r="EG189" s="86">
        <f>Data!F81</f>
        <v>30545492.91310158</v>
      </c>
      <c r="EH189" s="86">
        <f>Data!I81</f>
        <v>7469547.1206060164</v>
      </c>
      <c r="EI189" s="86">
        <f>Data!L81</f>
        <v>19412331.565932523</v>
      </c>
      <c r="EK189" s="86">
        <f t="shared" si="214"/>
        <v>27687018.483306661</v>
      </c>
      <c r="EL189" s="86">
        <f t="shared" si="215"/>
        <v>6775569.9780218126</v>
      </c>
      <c r="EM189" s="82">
        <f t="shared" si="216"/>
        <v>17687773.408804376</v>
      </c>
      <c r="EN189" s="135"/>
      <c r="EO189" s="135"/>
    </row>
    <row r="190" spans="1:145" x14ac:dyDescent="0.2">
      <c r="A190" s="81">
        <v>2017</v>
      </c>
      <c r="B190" s="88">
        <v>9</v>
      </c>
      <c r="C190" s="88">
        <v>18.746666666666666</v>
      </c>
      <c r="D190" s="83">
        <v>113.89999999999999</v>
      </c>
      <c r="E190" s="87">
        <v>16.3</v>
      </c>
      <c r="F190" s="87">
        <v>78.899999999999991</v>
      </c>
      <c r="G190" s="87">
        <v>41.300000000000004</v>
      </c>
      <c r="H190" s="133">
        <v>49.099999999999994</v>
      </c>
      <c r="I190" s="133">
        <v>71.5</v>
      </c>
      <c r="J190" s="87">
        <v>25.2</v>
      </c>
      <c r="K190" s="87">
        <v>107.6</v>
      </c>
      <c r="L190" s="87">
        <v>7.7000000000000011</v>
      </c>
      <c r="M190" s="87">
        <v>150.10000000000002</v>
      </c>
      <c r="N190" s="87">
        <v>1.5</v>
      </c>
      <c r="O190" s="87">
        <v>203.9</v>
      </c>
      <c r="P190" s="87">
        <v>0</v>
      </c>
      <c r="Q190" s="87">
        <v>262.40000000000009</v>
      </c>
      <c r="R190" s="87">
        <v>0</v>
      </c>
      <c r="S190" s="87">
        <v>322.40000000000009</v>
      </c>
      <c r="EG190" s="86">
        <f>Data!F82</f>
        <v>26816098.763703998</v>
      </c>
      <c r="EH190" s="86">
        <f>Data!I82</f>
        <v>6971224.8651843295</v>
      </c>
      <c r="EI190" s="86">
        <f>Data!L82</f>
        <v>19254316.134607218</v>
      </c>
      <c r="EK190" s="86">
        <f t="shared" si="214"/>
        <v>26423999.899796303</v>
      </c>
      <c r="EL190" s="86">
        <f t="shared" si="215"/>
        <v>6702743.6853669984</v>
      </c>
      <c r="EM190" s="82">
        <f t="shared" si="216"/>
        <v>17630700.560868941</v>
      </c>
      <c r="EN190" s="135"/>
      <c r="EO190" s="135"/>
    </row>
    <row r="191" spans="1:145" x14ac:dyDescent="0.2">
      <c r="A191" s="81">
        <v>2017</v>
      </c>
      <c r="B191" s="88">
        <v>10</v>
      </c>
      <c r="C191" s="88">
        <v>13.293548387096774</v>
      </c>
      <c r="D191" s="83">
        <v>270.09999999999997</v>
      </c>
      <c r="E191" s="87">
        <v>0.19999999999999929</v>
      </c>
      <c r="F191" s="87">
        <v>210.99999999999997</v>
      </c>
      <c r="G191" s="87">
        <v>3.0999999999999979</v>
      </c>
      <c r="H191" s="133">
        <v>154</v>
      </c>
      <c r="I191" s="133">
        <v>8.0999999999999979</v>
      </c>
      <c r="J191" s="87">
        <v>103.3</v>
      </c>
      <c r="K191" s="87">
        <v>19.399999999999999</v>
      </c>
      <c r="L191" s="87">
        <v>70.000000000000014</v>
      </c>
      <c r="M191" s="87">
        <v>48.1</v>
      </c>
      <c r="N191" s="87">
        <v>44.2</v>
      </c>
      <c r="O191" s="87">
        <v>84.3</v>
      </c>
      <c r="P191" s="87">
        <v>24.199999999999996</v>
      </c>
      <c r="Q191" s="87">
        <v>126.3</v>
      </c>
      <c r="R191" s="87">
        <v>9</v>
      </c>
      <c r="S191" s="87">
        <v>173.09999999999997</v>
      </c>
      <c r="EG191" s="86">
        <f>Data!F83</f>
        <v>21561059.833583519</v>
      </c>
      <c r="EH191" s="86">
        <f>Data!I83</f>
        <v>6295611.4001240861</v>
      </c>
      <c r="EI191" s="86">
        <f>Data!L83</f>
        <v>18460397.773161445</v>
      </c>
      <c r="EK191" s="86">
        <f t="shared" si="214"/>
        <v>21173794.516801037</v>
      </c>
      <c r="EL191" s="86">
        <f t="shared" si="215"/>
        <v>6293322.6602431443</v>
      </c>
      <c r="EM191" s="82">
        <f t="shared" si="216"/>
        <v>17352208.240205552</v>
      </c>
      <c r="EN191" s="135"/>
      <c r="EO191" s="135"/>
    </row>
    <row r="192" spans="1:145" x14ac:dyDescent="0.2">
      <c r="A192" s="81">
        <v>2017</v>
      </c>
      <c r="B192" s="88">
        <v>11</v>
      </c>
      <c r="C192" s="88">
        <v>3.6866666666666674</v>
      </c>
      <c r="D192" s="83">
        <v>549.4</v>
      </c>
      <c r="E192" s="87">
        <v>0</v>
      </c>
      <c r="F192" s="87">
        <v>489.40000000000009</v>
      </c>
      <c r="G192" s="87">
        <v>0</v>
      </c>
      <c r="H192" s="133">
        <v>429.40000000000003</v>
      </c>
      <c r="I192" s="133">
        <v>0</v>
      </c>
      <c r="J192" s="87">
        <v>369.4</v>
      </c>
      <c r="K192" s="87">
        <v>0</v>
      </c>
      <c r="L192" s="87">
        <v>309.40000000000003</v>
      </c>
      <c r="M192" s="87">
        <v>0</v>
      </c>
      <c r="N192" s="87">
        <v>249.40000000000003</v>
      </c>
      <c r="O192" s="87">
        <v>0</v>
      </c>
      <c r="P192" s="87">
        <v>191.20000000000005</v>
      </c>
      <c r="Q192" s="87">
        <v>1.8000000000000007</v>
      </c>
      <c r="R192" s="87">
        <v>136.10000000000002</v>
      </c>
      <c r="S192" s="87">
        <v>6.7000000000000011</v>
      </c>
      <c r="EG192" s="86">
        <f>Data!F84</f>
        <v>23579172.681776274</v>
      </c>
      <c r="EH192" s="86">
        <f>Data!I84</f>
        <v>7055249.0097626392</v>
      </c>
      <c r="EI192" s="86">
        <f>Data!L84</f>
        <v>18666476.115330122</v>
      </c>
      <c r="EK192" s="86">
        <f t="shared" si="214"/>
        <v>22804479.879883751</v>
      </c>
      <c r="EL192" s="86">
        <f t="shared" si="215"/>
        <v>7060158.3548800377</v>
      </c>
      <c r="EM192" s="82">
        <f t="shared" si="216"/>
        <v>17543503.034165487</v>
      </c>
      <c r="EN192" s="135"/>
      <c r="EO192" s="135"/>
    </row>
    <row r="193" spans="1:145" x14ac:dyDescent="0.2">
      <c r="A193" s="81">
        <v>2017</v>
      </c>
      <c r="B193" s="88">
        <v>12</v>
      </c>
      <c r="C193" s="88">
        <v>-5.1774193548387109</v>
      </c>
      <c r="D193" s="83">
        <v>842.5</v>
      </c>
      <c r="E193" s="87">
        <v>0</v>
      </c>
      <c r="F193" s="87">
        <v>780.49999999999989</v>
      </c>
      <c r="G193" s="87">
        <v>0</v>
      </c>
      <c r="H193" s="133">
        <v>718.49999999999989</v>
      </c>
      <c r="I193" s="133">
        <v>0</v>
      </c>
      <c r="J193" s="87">
        <v>656.49999999999989</v>
      </c>
      <c r="K193" s="87">
        <v>0</v>
      </c>
      <c r="L193" s="87">
        <v>594.49999999999989</v>
      </c>
      <c r="M193" s="87">
        <v>0</v>
      </c>
      <c r="N193" s="87">
        <v>532.49999999999989</v>
      </c>
      <c r="O193" s="87">
        <v>0</v>
      </c>
      <c r="P193" s="87">
        <v>470.5</v>
      </c>
      <c r="Q193" s="87">
        <v>0</v>
      </c>
      <c r="R193" s="87">
        <v>408.5</v>
      </c>
      <c r="S193" s="87">
        <v>0</v>
      </c>
      <c r="EG193" s="86">
        <f>Data!F85</f>
        <v>27478381.028764222</v>
      </c>
      <c r="EH193" s="86">
        <f>Data!I85</f>
        <v>7872393.2507264968</v>
      </c>
      <c r="EI193" s="86">
        <f>Data!L85</f>
        <v>19446811.238221694</v>
      </c>
      <c r="EK193" s="86">
        <f t="shared" si="214"/>
        <v>26323111.096972898</v>
      </c>
      <c r="EL193" s="86">
        <f t="shared" si="215"/>
        <v>8048473.974182969</v>
      </c>
      <c r="EM193" s="82">
        <f t="shared" si="216"/>
        <v>17834788.555908252</v>
      </c>
      <c r="EN193" s="135"/>
      <c r="EO193" s="135"/>
    </row>
    <row r="194" spans="1:145" x14ac:dyDescent="0.2">
      <c r="A194" s="81">
        <v>2018</v>
      </c>
      <c r="B194" s="88">
        <v>1</v>
      </c>
      <c r="C194" s="88">
        <v>-5.6225806451612907</v>
      </c>
      <c r="D194" s="83">
        <v>856.3</v>
      </c>
      <c r="E194" s="87">
        <v>0</v>
      </c>
      <c r="F194" s="87">
        <v>794.29999999999984</v>
      </c>
      <c r="G194" s="87">
        <v>0</v>
      </c>
      <c r="H194" s="133">
        <v>732.29999999999984</v>
      </c>
      <c r="I194" s="133">
        <v>0</v>
      </c>
      <c r="J194" s="87">
        <v>670.29999999999984</v>
      </c>
      <c r="K194" s="87">
        <v>0</v>
      </c>
      <c r="L194" s="87">
        <v>608.29999999999984</v>
      </c>
      <c r="M194" s="87">
        <v>0</v>
      </c>
      <c r="N194" s="87">
        <v>546.29999999999995</v>
      </c>
      <c r="O194" s="87">
        <v>0</v>
      </c>
      <c r="P194" s="87">
        <v>484.2999999999999</v>
      </c>
      <c r="Q194" s="87">
        <v>0</v>
      </c>
      <c r="R194" s="87">
        <v>422.89999999999992</v>
      </c>
      <c r="S194" s="87">
        <v>0.59999999999999964</v>
      </c>
      <c r="EG194" s="86">
        <f>Data!F86</f>
        <v>29607203.423201349</v>
      </c>
      <c r="EH194" s="86">
        <f>Data!I86</f>
        <v>8973675.8913750686</v>
      </c>
      <c r="EI194" s="86">
        <f>Data!L86</f>
        <v>21184390.447006177</v>
      </c>
      <c r="EK194" s="86">
        <f t="shared" si="214"/>
        <v>26493427.164303064</v>
      </c>
      <c r="EL194" s="86">
        <f t="shared" si="215"/>
        <v>8095979.218162002</v>
      </c>
      <c r="EM194" s="82">
        <f t="shared" si="216"/>
        <v>17848789.740861405</v>
      </c>
      <c r="EN194" s="135"/>
      <c r="EO194" s="135"/>
    </row>
    <row r="195" spans="1:145" x14ac:dyDescent="0.2">
      <c r="A195" s="81">
        <v>2018</v>
      </c>
      <c r="B195" s="88">
        <v>2</v>
      </c>
      <c r="C195" s="88">
        <v>-1.8214285714285698</v>
      </c>
      <c r="D195" s="83">
        <v>667</v>
      </c>
      <c r="E195" s="87">
        <v>0</v>
      </c>
      <c r="F195" s="87">
        <v>611</v>
      </c>
      <c r="G195" s="87">
        <v>0</v>
      </c>
      <c r="H195" s="133">
        <v>555.00000000000023</v>
      </c>
      <c r="I195" s="133">
        <v>0</v>
      </c>
      <c r="J195" s="87">
        <v>499.00000000000011</v>
      </c>
      <c r="K195" s="87">
        <v>0</v>
      </c>
      <c r="L195" s="87">
        <v>443.00000000000011</v>
      </c>
      <c r="M195" s="87">
        <v>0</v>
      </c>
      <c r="N195" s="87">
        <v>387.00000000000011</v>
      </c>
      <c r="O195" s="87">
        <v>0</v>
      </c>
      <c r="P195" s="87">
        <v>331.00000000000011</v>
      </c>
      <c r="Q195" s="87">
        <v>0</v>
      </c>
      <c r="R195" s="87">
        <v>277.70000000000005</v>
      </c>
      <c r="S195" s="87">
        <v>2.6999999999999993</v>
      </c>
      <c r="EG195" s="86">
        <f>Data!F87</f>
        <v>24179288.772598948</v>
      </c>
      <c r="EH195" s="86">
        <f>Data!I87</f>
        <v>7560592.093784716</v>
      </c>
      <c r="EI195" s="86">
        <f>Data!L87</f>
        <v>18766666.803632692</v>
      </c>
      <c r="EK195" s="86">
        <f t="shared" si="214"/>
        <v>24453336.879543908</v>
      </c>
      <c r="EL195" s="86">
        <f t="shared" si="215"/>
        <v>7506294.5592048727</v>
      </c>
      <c r="EM195" s="82">
        <f t="shared" si="216"/>
        <v>17674992.423290744</v>
      </c>
      <c r="EN195" s="135"/>
      <c r="EO195" s="135"/>
    </row>
    <row r="196" spans="1:145" x14ac:dyDescent="0.2">
      <c r="A196" s="81">
        <v>2018</v>
      </c>
      <c r="B196" s="88">
        <v>3</v>
      </c>
      <c r="C196" s="88">
        <v>0.1290322580645161</v>
      </c>
      <c r="D196" s="83">
        <v>677.99999999999977</v>
      </c>
      <c r="E196" s="87">
        <v>0</v>
      </c>
      <c r="F196" s="87">
        <v>615.99999999999989</v>
      </c>
      <c r="G196" s="87">
        <v>0</v>
      </c>
      <c r="H196" s="133">
        <v>553.99999999999989</v>
      </c>
      <c r="I196" s="133">
        <v>0</v>
      </c>
      <c r="J196" s="87">
        <v>492</v>
      </c>
      <c r="K196" s="87">
        <v>0</v>
      </c>
      <c r="L196" s="87">
        <v>430</v>
      </c>
      <c r="M196" s="87">
        <v>0</v>
      </c>
      <c r="N196" s="87">
        <v>368</v>
      </c>
      <c r="O196" s="87">
        <v>0</v>
      </c>
      <c r="P196" s="87">
        <v>306.00000000000006</v>
      </c>
      <c r="Q196" s="87">
        <v>0</v>
      </c>
      <c r="R196" s="87">
        <v>244.00000000000003</v>
      </c>
      <c r="S196" s="87">
        <v>0</v>
      </c>
      <c r="EG196" s="86">
        <f>Data!F88</f>
        <v>26124027.606333889</v>
      </c>
      <c r="EH196" s="86">
        <f>Data!I88</f>
        <v>8232567.2745076045</v>
      </c>
      <c r="EI196" s="86">
        <f>Data!L88</f>
        <v>17697661.348210998</v>
      </c>
      <c r="EK196" s="86">
        <f t="shared" si="214"/>
        <v>24292894.207421288</v>
      </c>
      <c r="EL196" s="86">
        <f t="shared" si="215"/>
        <v>7482197.6963169575</v>
      </c>
      <c r="EM196" s="82">
        <f t="shared" si="216"/>
        <v>17667890.372952189</v>
      </c>
      <c r="EN196" s="135"/>
      <c r="EO196" s="135"/>
    </row>
    <row r="197" spans="1:145" x14ac:dyDescent="0.2">
      <c r="A197" s="81">
        <v>2018</v>
      </c>
      <c r="B197" s="88">
        <v>4</v>
      </c>
      <c r="C197" s="88">
        <v>3.4266666666666667</v>
      </c>
      <c r="D197" s="83">
        <v>557.20000000000016</v>
      </c>
      <c r="E197" s="87">
        <v>0</v>
      </c>
      <c r="F197" s="87">
        <v>497.20000000000005</v>
      </c>
      <c r="G197" s="87">
        <v>0</v>
      </c>
      <c r="H197" s="133">
        <v>437.20000000000005</v>
      </c>
      <c r="I197" s="133">
        <v>0</v>
      </c>
      <c r="J197" s="87">
        <v>377.2</v>
      </c>
      <c r="K197" s="87">
        <v>0</v>
      </c>
      <c r="L197" s="87">
        <v>317.2</v>
      </c>
      <c r="M197" s="87">
        <v>0</v>
      </c>
      <c r="N197" s="87">
        <v>257.19999999999993</v>
      </c>
      <c r="O197" s="87">
        <v>0</v>
      </c>
      <c r="P197" s="87">
        <v>200</v>
      </c>
      <c r="Q197" s="87">
        <v>2.8000000000000007</v>
      </c>
      <c r="R197" s="87">
        <v>148.69999999999996</v>
      </c>
      <c r="S197" s="87">
        <v>11.5</v>
      </c>
      <c r="EG197" s="86">
        <f>Data!F89</f>
        <v>22298688.406333879</v>
      </c>
      <c r="EH197" s="86">
        <f>Data!I89</f>
        <v>7175356.5853509782</v>
      </c>
      <c r="EI197" s="86">
        <f>Data!L89</f>
        <v>19284257.097608585</v>
      </c>
      <c r="EK197" s="86">
        <f t="shared" si="214"/>
        <v>22900745.483157322</v>
      </c>
      <c r="EL197" s="86">
        <f t="shared" si="215"/>
        <v>7087009.1449551433</v>
      </c>
      <c r="EM197" s="82">
        <f t="shared" si="216"/>
        <v>17551416.747399874</v>
      </c>
      <c r="EN197" s="135"/>
      <c r="EO197" s="135"/>
    </row>
    <row r="198" spans="1:145" x14ac:dyDescent="0.2">
      <c r="A198" s="81">
        <v>2018</v>
      </c>
      <c r="B198" s="88">
        <v>5</v>
      </c>
      <c r="C198" s="88">
        <v>16.970967741935482</v>
      </c>
      <c r="D198" s="83">
        <v>165.3</v>
      </c>
      <c r="E198" s="87">
        <v>9.3999999999999986</v>
      </c>
      <c r="F198" s="87">
        <v>119.3</v>
      </c>
      <c r="G198" s="87">
        <v>25.4</v>
      </c>
      <c r="H198" s="133">
        <v>75.3</v>
      </c>
      <c r="I198" s="133">
        <v>43.4</v>
      </c>
      <c r="J198" s="87">
        <v>39.300000000000004</v>
      </c>
      <c r="K198" s="87">
        <v>69.399999999999991</v>
      </c>
      <c r="L198" s="87">
        <v>15</v>
      </c>
      <c r="M198" s="87">
        <v>107.10000000000001</v>
      </c>
      <c r="N198" s="87">
        <v>4.8000000000000007</v>
      </c>
      <c r="O198" s="87">
        <v>158.9</v>
      </c>
      <c r="P198" s="87">
        <v>1.9000000000000004</v>
      </c>
      <c r="Q198" s="87">
        <v>218</v>
      </c>
      <c r="R198" s="87">
        <v>0</v>
      </c>
      <c r="S198" s="87">
        <v>278.09999999999997</v>
      </c>
      <c r="EG198" s="86">
        <f>Data!F90</f>
        <v>24908740.34850258</v>
      </c>
      <c r="EH198" s="86">
        <f>Data!I90</f>
        <v>7104279.4576401319</v>
      </c>
      <c r="EI198" s="86">
        <f>Data!L90</f>
        <v>19795859.748211004</v>
      </c>
      <c r="EK198" s="86">
        <f t="shared" si="214"/>
        <v>23907184.557043537</v>
      </c>
      <c r="EL198" s="86">
        <f t="shared" si="215"/>
        <v>6457517.0832119714</v>
      </c>
      <c r="EM198" s="82">
        <f t="shared" si="216"/>
        <v>17490070.509485058</v>
      </c>
      <c r="EN198" s="135"/>
      <c r="EO198" s="135"/>
    </row>
    <row r="199" spans="1:145" x14ac:dyDescent="0.2">
      <c r="A199" s="81">
        <v>2018</v>
      </c>
      <c r="B199" s="88">
        <v>6</v>
      </c>
      <c r="C199" s="88">
        <v>19.523333333333333</v>
      </c>
      <c r="D199" s="83">
        <v>93.900000000000034</v>
      </c>
      <c r="E199" s="87">
        <v>19.600000000000001</v>
      </c>
      <c r="F199" s="87">
        <v>49.600000000000009</v>
      </c>
      <c r="G199" s="87">
        <v>35.299999999999997</v>
      </c>
      <c r="H199" s="133">
        <v>14.8</v>
      </c>
      <c r="I199" s="133">
        <v>60.500000000000014</v>
      </c>
      <c r="J199" s="87">
        <v>5.6999999999999993</v>
      </c>
      <c r="K199" s="87">
        <v>111.39999999999998</v>
      </c>
      <c r="L199" s="87">
        <v>1.6999999999999993</v>
      </c>
      <c r="M199" s="87">
        <v>167.39999999999998</v>
      </c>
      <c r="N199" s="87">
        <v>0</v>
      </c>
      <c r="O199" s="87">
        <v>225.70000000000002</v>
      </c>
      <c r="P199" s="87">
        <v>0</v>
      </c>
      <c r="Q199" s="87">
        <v>285.7</v>
      </c>
      <c r="R199" s="87">
        <v>0</v>
      </c>
      <c r="S199" s="87">
        <v>345.70000000000005</v>
      </c>
      <c r="EG199" s="86">
        <f>Data!F91</f>
        <v>34041039.172598973</v>
      </c>
      <c r="EH199" s="86">
        <f>Data!I91</f>
        <v>7590209.0961943539</v>
      </c>
      <c r="EI199" s="86">
        <f>Data!L91</f>
        <v>21072458.919295345</v>
      </c>
      <c r="EK199" s="86">
        <f t="shared" si="214"/>
        <v>26609275.568757564</v>
      </c>
      <c r="EL199" s="86">
        <f t="shared" si="215"/>
        <v>6664839.3636229821</v>
      </c>
      <c r="EM199" s="82">
        <f t="shared" si="216"/>
        <v>17626328.720654882</v>
      </c>
      <c r="EN199" s="135"/>
      <c r="EO199" s="135"/>
    </row>
    <row r="200" spans="1:145" x14ac:dyDescent="0.2">
      <c r="A200" s="81">
        <v>2018</v>
      </c>
      <c r="B200" s="88">
        <v>7</v>
      </c>
      <c r="C200" s="88">
        <v>23.412903225806449</v>
      </c>
      <c r="D200" s="83">
        <v>14.600000000000001</v>
      </c>
      <c r="E200" s="87">
        <v>58.400000000000006</v>
      </c>
      <c r="F200" s="87">
        <v>1.3000000000000007</v>
      </c>
      <c r="G200" s="87">
        <v>107.10000000000002</v>
      </c>
      <c r="H200" s="133">
        <v>0</v>
      </c>
      <c r="I200" s="133">
        <v>167.80000000000004</v>
      </c>
      <c r="J200" s="87">
        <v>0</v>
      </c>
      <c r="K200" s="87">
        <v>229.79999999999998</v>
      </c>
      <c r="L200" s="87">
        <v>0</v>
      </c>
      <c r="M200" s="87">
        <v>291.79999999999995</v>
      </c>
      <c r="N200" s="87">
        <v>0</v>
      </c>
      <c r="O200" s="87">
        <v>353.79999999999995</v>
      </c>
      <c r="P200" s="87">
        <v>0</v>
      </c>
      <c r="Q200" s="87">
        <v>415.79999999999995</v>
      </c>
      <c r="R200" s="87">
        <v>0</v>
      </c>
      <c r="S200" s="87">
        <v>477.79999999999995</v>
      </c>
      <c r="EG200" s="86">
        <f>Data!F92</f>
        <v>35267527.105129071</v>
      </c>
      <c r="EH200" s="86">
        <f>Data!I92</f>
        <v>7685013.5202907361</v>
      </c>
      <c r="EI200" s="86">
        <f>Data!L92</f>
        <v>20882452.104837507</v>
      </c>
      <c r="EK200" s="86">
        <f t="shared" si="214"/>
        <v>34668350.959024243</v>
      </c>
      <c r="EL200" s="86">
        <f t="shared" si="215"/>
        <v>7555733.992345768</v>
      </c>
      <c r="EM200" s="82">
        <f t="shared" si="216"/>
        <v>18100764.895162903</v>
      </c>
      <c r="EN200" s="135"/>
      <c r="EO200" s="135"/>
    </row>
    <row r="201" spans="1:145" x14ac:dyDescent="0.2">
      <c r="A201" s="81">
        <v>2018</v>
      </c>
      <c r="B201" s="88">
        <v>8</v>
      </c>
      <c r="C201" s="88">
        <v>23.199999999999996</v>
      </c>
      <c r="D201" s="83">
        <v>17.099999999999994</v>
      </c>
      <c r="E201" s="87">
        <v>54.3</v>
      </c>
      <c r="F201" s="87">
        <v>5.0999999999999979</v>
      </c>
      <c r="G201" s="87">
        <v>104.3</v>
      </c>
      <c r="H201" s="133">
        <v>1.1999999999999993</v>
      </c>
      <c r="I201" s="133">
        <v>162.4</v>
      </c>
      <c r="J201" s="87">
        <v>0</v>
      </c>
      <c r="K201" s="87">
        <v>223.20000000000002</v>
      </c>
      <c r="L201" s="87">
        <v>0</v>
      </c>
      <c r="M201" s="87">
        <v>285.2</v>
      </c>
      <c r="N201" s="87">
        <v>0</v>
      </c>
      <c r="O201" s="87">
        <v>347.2</v>
      </c>
      <c r="P201" s="87">
        <v>0</v>
      </c>
      <c r="Q201" s="87">
        <v>409.19999999999993</v>
      </c>
      <c r="R201" s="87">
        <v>0</v>
      </c>
      <c r="S201" s="87">
        <v>471.2</v>
      </c>
      <c r="EG201" s="86">
        <f>Data!F93</f>
        <v>37882496.762960359</v>
      </c>
      <c r="EH201" s="86">
        <f>Data!I93</f>
        <v>8305832.5949895326</v>
      </c>
      <c r="EI201" s="86">
        <f>Data!L93</f>
        <v>21499366.514476053</v>
      </c>
      <c r="EK201" s="86">
        <f t="shared" si="214"/>
        <v>34217942.412203759</v>
      </c>
      <c r="EL201" s="86">
        <f t="shared" si="215"/>
        <v>7504978.8574171532</v>
      </c>
      <c r="EM201" s="82">
        <f t="shared" si="216"/>
        <v>18073995.915437989</v>
      </c>
      <c r="EN201" s="135"/>
      <c r="EO201" s="135"/>
    </row>
    <row r="202" spans="1:145" x14ac:dyDescent="0.2">
      <c r="A202" s="81">
        <v>2018</v>
      </c>
      <c r="B202" s="88">
        <v>9</v>
      </c>
      <c r="C202" s="88">
        <v>18.993333333333339</v>
      </c>
      <c r="D202" s="83">
        <v>114.9</v>
      </c>
      <c r="E202" s="87">
        <v>24.7</v>
      </c>
      <c r="F202" s="87">
        <v>77.899999999999991</v>
      </c>
      <c r="G202" s="87">
        <v>47.699999999999996</v>
      </c>
      <c r="H202" s="133">
        <v>46.599999999999994</v>
      </c>
      <c r="I202" s="133">
        <v>76.399999999999977</v>
      </c>
      <c r="J202" s="87">
        <v>25.1</v>
      </c>
      <c r="K202" s="87">
        <v>114.89999999999998</v>
      </c>
      <c r="L202" s="87">
        <v>8.7000000000000011</v>
      </c>
      <c r="M202" s="87">
        <v>158.5</v>
      </c>
      <c r="N202" s="87">
        <v>0.80000000000000071</v>
      </c>
      <c r="O202" s="87">
        <v>210.59999999999997</v>
      </c>
      <c r="P202" s="87">
        <v>0</v>
      </c>
      <c r="Q202" s="87">
        <v>269.80000000000007</v>
      </c>
      <c r="R202" s="87">
        <v>0</v>
      </c>
      <c r="S202" s="87">
        <v>329.80000000000007</v>
      </c>
      <c r="EG202" s="86">
        <f>Data!F94</f>
        <v>28623515.240068838</v>
      </c>
      <c r="EH202" s="86">
        <f>Data!I94</f>
        <v>7235600.4407726647</v>
      </c>
      <c r="EI202" s="86">
        <f>Data!L94</f>
        <v>19842338.148211002</v>
      </c>
      <c r="EK202" s="86">
        <f t="shared" si="214"/>
        <v>26934520.794076882</v>
      </c>
      <c r="EL202" s="86">
        <f t="shared" si="215"/>
        <v>6758537.6997684315</v>
      </c>
      <c r="EM202" s="82">
        <f t="shared" si="216"/>
        <v>17660207.216945119</v>
      </c>
      <c r="EN202" s="135"/>
      <c r="EO202" s="135"/>
    </row>
    <row r="203" spans="1:145" x14ac:dyDescent="0.2">
      <c r="A203" s="81">
        <v>2018</v>
      </c>
      <c r="B203" s="88">
        <v>10</v>
      </c>
      <c r="C203" s="88">
        <v>8.9290322580645149</v>
      </c>
      <c r="D203" s="83">
        <v>406.2</v>
      </c>
      <c r="E203" s="87">
        <v>1</v>
      </c>
      <c r="F203" s="87">
        <v>347.40000000000003</v>
      </c>
      <c r="G203" s="87">
        <v>4.1999999999999993</v>
      </c>
      <c r="H203" s="133">
        <v>289.40000000000003</v>
      </c>
      <c r="I203" s="133">
        <v>8.1999999999999993</v>
      </c>
      <c r="J203" s="87">
        <v>231.4</v>
      </c>
      <c r="K203" s="87">
        <v>12.2</v>
      </c>
      <c r="L203" s="87">
        <v>175.3</v>
      </c>
      <c r="M203" s="87">
        <v>18.100000000000001</v>
      </c>
      <c r="N203" s="87">
        <v>126.1</v>
      </c>
      <c r="O203" s="87">
        <v>30.9</v>
      </c>
      <c r="P203" s="87">
        <v>81.899999999999977</v>
      </c>
      <c r="Q203" s="87">
        <v>48.699999999999996</v>
      </c>
      <c r="R203" s="87">
        <v>45.099999999999994</v>
      </c>
      <c r="S203" s="87">
        <v>73.900000000000006</v>
      </c>
      <c r="EG203" s="86">
        <f>Data!F95</f>
        <v>23069429.620791711</v>
      </c>
      <c r="EH203" s="86">
        <f>Data!I95</f>
        <v>6858390.011857003</v>
      </c>
      <c r="EI203" s="86">
        <f>Data!L95</f>
        <v>19326961.830138713</v>
      </c>
      <c r="EK203" s="86">
        <f t="shared" si="214"/>
        <v>21982025.382644635</v>
      </c>
      <c r="EL203" s="86">
        <f t="shared" si="215"/>
        <v>6678926.0129880542</v>
      </c>
      <c r="EM203" s="82">
        <f t="shared" si="216"/>
        <v>17452973.238064852</v>
      </c>
      <c r="EN203" s="135"/>
      <c r="EO203" s="135"/>
    </row>
    <row r="204" spans="1:145" x14ac:dyDescent="0.2">
      <c r="A204" s="81">
        <v>2018</v>
      </c>
      <c r="B204" s="88">
        <v>11</v>
      </c>
      <c r="C204" s="88">
        <v>1.5300000000000002</v>
      </c>
      <c r="D204" s="83">
        <v>614.10000000000014</v>
      </c>
      <c r="E204" s="87">
        <v>0</v>
      </c>
      <c r="F204" s="87">
        <v>554.10000000000014</v>
      </c>
      <c r="G204" s="87">
        <v>0</v>
      </c>
      <c r="H204" s="133">
        <v>494.1</v>
      </c>
      <c r="I204" s="133">
        <v>0</v>
      </c>
      <c r="J204" s="87">
        <v>434.10000000000008</v>
      </c>
      <c r="K204" s="87">
        <v>0</v>
      </c>
      <c r="L204" s="87">
        <v>374.10000000000008</v>
      </c>
      <c r="M204" s="87">
        <v>0</v>
      </c>
      <c r="N204" s="87">
        <v>314.5</v>
      </c>
      <c r="O204" s="87">
        <v>0.40000000000000036</v>
      </c>
      <c r="P204" s="87">
        <v>256.49999999999994</v>
      </c>
      <c r="Q204" s="87">
        <v>2.4000000000000004</v>
      </c>
      <c r="R204" s="87">
        <v>199.29999999999998</v>
      </c>
      <c r="S204" s="87">
        <v>5.2000000000000011</v>
      </c>
      <c r="EG204" s="86">
        <f>Data!F96</f>
        <v>22177389.890671223</v>
      </c>
      <c r="EH204" s="86">
        <f>Data!I96</f>
        <v>6844367.4480015812</v>
      </c>
      <c r="EI204" s="86">
        <f>Data!L96</f>
        <v>19493164.066283286</v>
      </c>
      <c r="EK204" s="86">
        <f t="shared" si="214"/>
        <v>23602990.717294022</v>
      </c>
      <c r="EL204" s="86">
        <f t="shared" si="215"/>
        <v>7282882.216144057</v>
      </c>
      <c r="EM204" s="82">
        <f t="shared" si="216"/>
        <v>17609146.270866137</v>
      </c>
      <c r="EN204" s="135"/>
      <c r="EO204" s="135"/>
    </row>
    <row r="205" spans="1:145" x14ac:dyDescent="0.2">
      <c r="A205" s="81">
        <v>2018</v>
      </c>
      <c r="B205" s="88">
        <v>12</v>
      </c>
      <c r="C205" s="88">
        <v>-0.18064516129032263</v>
      </c>
      <c r="D205" s="83">
        <v>687.6</v>
      </c>
      <c r="E205" s="87">
        <v>0</v>
      </c>
      <c r="F205" s="87">
        <v>625.60000000000014</v>
      </c>
      <c r="G205" s="87">
        <v>0</v>
      </c>
      <c r="H205" s="133">
        <v>563.60000000000014</v>
      </c>
      <c r="I205" s="133">
        <v>0</v>
      </c>
      <c r="J205" s="87">
        <v>501.6</v>
      </c>
      <c r="K205" s="87">
        <v>0</v>
      </c>
      <c r="L205" s="87">
        <v>439.59999999999997</v>
      </c>
      <c r="M205" s="87">
        <v>0</v>
      </c>
      <c r="N205" s="87">
        <v>377.60000000000008</v>
      </c>
      <c r="O205" s="87">
        <v>0</v>
      </c>
      <c r="P205" s="87">
        <v>315.60000000000002</v>
      </c>
      <c r="Q205" s="87">
        <v>0</v>
      </c>
      <c r="R205" s="87">
        <v>253.6</v>
      </c>
      <c r="S205" s="87">
        <v>0</v>
      </c>
      <c r="EG205" s="86">
        <f>Data!F97</f>
        <v>30826041.620791715</v>
      </c>
      <c r="EH205" s="86">
        <f>Data!I97</f>
        <v>8731785.7901702579</v>
      </c>
      <c r="EI205" s="86">
        <f>Data!L97</f>
        <v>20044221.165078472</v>
      </c>
      <c r="EK205" s="86">
        <f t="shared" si="214"/>
        <v>24411374.949911837</v>
      </c>
      <c r="EL205" s="86">
        <f t="shared" si="215"/>
        <v>7515244.8225632412</v>
      </c>
      <c r="EM205" s="82">
        <f t="shared" si="216"/>
        <v>17677630.327702209</v>
      </c>
      <c r="EN205" s="135"/>
      <c r="EO205" s="135"/>
    </row>
    <row r="206" spans="1:145" x14ac:dyDescent="0.2">
      <c r="A206" s="81">
        <v>2019</v>
      </c>
      <c r="B206" s="88">
        <v>1</v>
      </c>
      <c r="C206" s="88">
        <v>-6.661290322580645</v>
      </c>
      <c r="D206" s="83">
        <v>888.50000000000011</v>
      </c>
      <c r="E206" s="87">
        <v>0</v>
      </c>
      <c r="F206" s="87">
        <v>826.5</v>
      </c>
      <c r="G206" s="87">
        <v>0</v>
      </c>
      <c r="H206" s="133">
        <v>764.5</v>
      </c>
      <c r="I206" s="133">
        <v>0</v>
      </c>
      <c r="J206" s="87">
        <v>702.49999999999989</v>
      </c>
      <c r="K206" s="87">
        <v>0</v>
      </c>
      <c r="L206" s="87">
        <v>640.5</v>
      </c>
      <c r="M206" s="87">
        <v>0</v>
      </c>
      <c r="N206" s="87">
        <v>578.5</v>
      </c>
      <c r="O206" s="87">
        <v>0</v>
      </c>
      <c r="P206" s="87">
        <v>516.5</v>
      </c>
      <c r="Q206" s="87">
        <v>0</v>
      </c>
      <c r="R206" s="87">
        <v>454.50000000000006</v>
      </c>
      <c r="S206" s="87">
        <v>0</v>
      </c>
      <c r="EG206" s="86">
        <f>Data!F98</f>
        <v>30296678.502611879</v>
      </c>
      <c r="EH206" s="86">
        <f>Data!I98</f>
        <v>9100450.7979688402</v>
      </c>
      <c r="EI206" s="86">
        <f>Data!L98</f>
        <v>21620563.218417685</v>
      </c>
      <c r="EK206" s="86">
        <f t="shared" ref="EK206:EK241" si="217">($FB$14+L206*$FB$15+K206*$FB$16)</f>
        <v>26890831.321406785</v>
      </c>
      <c r="EL206" s="86">
        <f t="shared" ref="EL206:EL241" si="218">($FB$31+J206*$FB$32+K206*$FB$33)</f>
        <v>8206824.7874464132</v>
      </c>
      <c r="EM206" s="82">
        <f t="shared" ref="EM206:EM241" si="219">($FB$48+J206*$FB$49+K206*$FB$50)</f>
        <v>17881459.172418758</v>
      </c>
      <c r="EN206" s="135"/>
      <c r="EO206" s="135"/>
    </row>
    <row r="207" spans="1:145" x14ac:dyDescent="0.2">
      <c r="A207" s="81">
        <v>2019</v>
      </c>
      <c r="B207" s="88">
        <v>2</v>
      </c>
      <c r="C207" s="88">
        <v>-4.2035714285714283</v>
      </c>
      <c r="D207" s="83">
        <v>733.70000000000027</v>
      </c>
      <c r="E207" s="87">
        <v>0</v>
      </c>
      <c r="F207" s="87">
        <v>677.70000000000016</v>
      </c>
      <c r="G207" s="87">
        <v>0</v>
      </c>
      <c r="H207" s="133">
        <v>621.70000000000016</v>
      </c>
      <c r="I207" s="133">
        <v>0</v>
      </c>
      <c r="J207" s="87">
        <v>565.70000000000005</v>
      </c>
      <c r="K207" s="87">
        <v>0</v>
      </c>
      <c r="L207" s="87">
        <v>509.70000000000005</v>
      </c>
      <c r="M207" s="87">
        <v>0</v>
      </c>
      <c r="N207" s="87">
        <v>453.70000000000005</v>
      </c>
      <c r="O207" s="87">
        <v>0</v>
      </c>
      <c r="P207" s="87">
        <v>397.7000000000001</v>
      </c>
      <c r="Q207" s="87">
        <v>0</v>
      </c>
      <c r="R207" s="87">
        <v>342.90000000000009</v>
      </c>
      <c r="S207" s="87">
        <v>1.1999999999999993</v>
      </c>
      <c r="EG207" s="86">
        <f>Data!F99</f>
        <v>27263823.630322684</v>
      </c>
      <c r="EH207" s="86">
        <f>Data!I99</f>
        <v>8257335.0678483583</v>
      </c>
      <c r="EI207" s="86">
        <f>Data!L99</f>
        <v>19419033.849742986</v>
      </c>
      <c r="EK207" s="86">
        <f t="shared" si="217"/>
        <v>25276531.204973042</v>
      </c>
      <c r="EL207" s="86">
        <f t="shared" si="218"/>
        <v>7735903.2384368666</v>
      </c>
      <c r="EM207" s="82">
        <f t="shared" si="219"/>
        <v>17742664.817230985</v>
      </c>
      <c r="EN207" s="135"/>
      <c r="EO207" s="135"/>
    </row>
    <row r="208" spans="1:145" x14ac:dyDescent="0.2">
      <c r="A208" s="81">
        <v>2019</v>
      </c>
      <c r="B208" s="88">
        <v>3</v>
      </c>
      <c r="C208" s="88">
        <v>-1.1580645161290322</v>
      </c>
      <c r="D208" s="83">
        <v>717.9</v>
      </c>
      <c r="E208" s="87">
        <v>0</v>
      </c>
      <c r="F208" s="87">
        <v>655.90000000000009</v>
      </c>
      <c r="G208" s="87">
        <v>0</v>
      </c>
      <c r="H208" s="133">
        <v>593.90000000000009</v>
      </c>
      <c r="I208" s="133">
        <v>0</v>
      </c>
      <c r="J208" s="87">
        <v>531.9</v>
      </c>
      <c r="K208" s="87">
        <v>0</v>
      </c>
      <c r="L208" s="87">
        <v>469.9</v>
      </c>
      <c r="M208" s="87">
        <v>0</v>
      </c>
      <c r="N208" s="87">
        <v>407.9</v>
      </c>
      <c r="O208" s="87">
        <v>0</v>
      </c>
      <c r="P208" s="87">
        <v>345.9</v>
      </c>
      <c r="Q208" s="87">
        <v>0</v>
      </c>
      <c r="R208" s="87">
        <v>283.90000000000003</v>
      </c>
      <c r="S208" s="87">
        <v>0</v>
      </c>
      <c r="EG208" s="86">
        <f>Data!F100</f>
        <v>25289889.885744374</v>
      </c>
      <c r="EH208" s="86">
        <f>Data!I100</f>
        <v>8209950.1811013678</v>
      </c>
      <c r="EI208" s="86">
        <f>Data!L100</f>
        <v>20467345.232875522</v>
      </c>
      <c r="EK208" s="86">
        <f t="shared" si="217"/>
        <v>24785329.793397635</v>
      </c>
      <c r="EL208" s="86">
        <f t="shared" si="218"/>
        <v>7619549.8147780746</v>
      </c>
      <c r="EM208" s="82">
        <f t="shared" si="219"/>
        <v>17708372.059881959</v>
      </c>
      <c r="EN208" s="135"/>
      <c r="EO208" s="135"/>
    </row>
    <row r="209" spans="1:145" x14ac:dyDescent="0.2">
      <c r="A209" s="81">
        <v>2019</v>
      </c>
      <c r="B209" s="88">
        <v>4</v>
      </c>
      <c r="C209" s="88">
        <v>6.44</v>
      </c>
      <c r="D209" s="83">
        <v>466.80000000000013</v>
      </c>
      <c r="E209" s="87">
        <v>0</v>
      </c>
      <c r="F209" s="87">
        <v>406.80000000000007</v>
      </c>
      <c r="G209" s="87">
        <v>0</v>
      </c>
      <c r="H209" s="133">
        <v>346.8</v>
      </c>
      <c r="I209" s="133">
        <v>0</v>
      </c>
      <c r="J209" s="87">
        <v>286.80000000000007</v>
      </c>
      <c r="K209" s="87">
        <v>0</v>
      </c>
      <c r="L209" s="87">
        <v>226.80000000000004</v>
      </c>
      <c r="M209" s="87">
        <v>0</v>
      </c>
      <c r="N209" s="87">
        <v>168.70000000000002</v>
      </c>
      <c r="O209" s="87">
        <v>1.9000000000000004</v>
      </c>
      <c r="P209" s="87">
        <v>111.89999999999998</v>
      </c>
      <c r="Q209" s="87">
        <v>5.0999999999999996</v>
      </c>
      <c r="R209" s="87">
        <v>67.999999999999986</v>
      </c>
      <c r="S209" s="87">
        <v>21.199999999999996</v>
      </c>
      <c r="EG209" s="86">
        <f>Data!F101</f>
        <v>24085428.083334759</v>
      </c>
      <c r="EH209" s="86">
        <f>Data!I101</f>
        <v>7384598.2196555957</v>
      </c>
      <c r="EI209" s="86">
        <f>Data!L101</f>
        <v>18962848.172634561</v>
      </c>
      <c r="EK209" s="86">
        <f t="shared" si="217"/>
        <v>21785051.824704643</v>
      </c>
      <c r="EL209" s="86">
        <f t="shared" si="218"/>
        <v>6775815.3728026357</v>
      </c>
      <c r="EM209" s="82">
        <f t="shared" si="219"/>
        <v>17459698.840170529</v>
      </c>
      <c r="EN209" s="135"/>
      <c r="EO209" s="135"/>
    </row>
    <row r="210" spans="1:145" x14ac:dyDescent="0.2">
      <c r="A210" s="81">
        <v>2019</v>
      </c>
      <c r="B210" s="88">
        <v>5</v>
      </c>
      <c r="C210" s="88">
        <v>11.7741935483871</v>
      </c>
      <c r="D210" s="83">
        <v>316.99999999999994</v>
      </c>
      <c r="E210" s="87">
        <v>0</v>
      </c>
      <c r="F210" s="87">
        <v>254.99999999999994</v>
      </c>
      <c r="G210" s="87">
        <v>0</v>
      </c>
      <c r="H210" s="133">
        <v>192.99999999999994</v>
      </c>
      <c r="I210" s="133">
        <v>0</v>
      </c>
      <c r="J210" s="87">
        <v>135.6</v>
      </c>
      <c r="K210" s="87">
        <v>4.6000000000000014</v>
      </c>
      <c r="L210" s="87">
        <v>87.700000000000017</v>
      </c>
      <c r="M210" s="87">
        <v>18.7</v>
      </c>
      <c r="N210" s="87">
        <v>46.800000000000011</v>
      </c>
      <c r="O210" s="87">
        <v>39.799999999999997</v>
      </c>
      <c r="P210" s="87">
        <v>20.6</v>
      </c>
      <c r="Q210" s="87">
        <v>75.599999999999994</v>
      </c>
      <c r="R210" s="87">
        <v>6.6</v>
      </c>
      <c r="S210" s="87">
        <v>123.59999999999998</v>
      </c>
      <c r="EG210" s="86">
        <f>Data!F102</f>
        <v>23509154.888154022</v>
      </c>
      <c r="EH210" s="86">
        <f>Data!I102</f>
        <v>7011908.0220652344</v>
      </c>
      <c r="EI210" s="86">
        <f>Data!L102</f>
        <v>19104958.755767088</v>
      </c>
      <c r="EK210" s="86">
        <f t="shared" si="217"/>
        <v>20382236.341382649</v>
      </c>
      <c r="EL210" s="86">
        <f t="shared" si="218"/>
        <v>6290697.9254345149</v>
      </c>
      <c r="EM210" s="82">
        <f t="shared" si="219"/>
        <v>17324951.720544782</v>
      </c>
      <c r="EN210" s="135"/>
      <c r="EO210" s="135"/>
    </row>
    <row r="211" spans="1:145" x14ac:dyDescent="0.2">
      <c r="A211" s="81">
        <v>2019</v>
      </c>
      <c r="B211" s="88">
        <v>6</v>
      </c>
      <c r="C211" s="88">
        <v>18.193333333333335</v>
      </c>
      <c r="D211" s="83">
        <v>119.70000000000002</v>
      </c>
      <c r="E211" s="87">
        <v>5.4999999999999964</v>
      </c>
      <c r="F211" s="87">
        <v>70.400000000000006</v>
      </c>
      <c r="G211" s="87">
        <v>16.2</v>
      </c>
      <c r="H211" s="133">
        <v>35.5</v>
      </c>
      <c r="I211" s="133">
        <v>41.3</v>
      </c>
      <c r="J211" s="87">
        <v>13.800000000000002</v>
      </c>
      <c r="K211" s="87">
        <v>79.600000000000009</v>
      </c>
      <c r="L211" s="87">
        <v>4.2000000000000011</v>
      </c>
      <c r="M211" s="87">
        <v>130</v>
      </c>
      <c r="N211" s="87">
        <v>0.40000000000000036</v>
      </c>
      <c r="O211" s="87">
        <v>186.2</v>
      </c>
      <c r="P211" s="87">
        <v>0</v>
      </c>
      <c r="Q211" s="87">
        <v>245.8</v>
      </c>
      <c r="R211" s="87">
        <v>0</v>
      </c>
      <c r="S211" s="87">
        <v>305.8</v>
      </c>
      <c r="EG211" s="86">
        <f>Data!F103</f>
        <v>26580302.01104556</v>
      </c>
      <c r="EH211" s="86">
        <f>Data!I103</f>
        <v>6642423.5594146261</v>
      </c>
      <c r="EI211" s="86">
        <f>Data!L103</f>
        <v>18871763.652152628</v>
      </c>
      <c r="EK211" s="86">
        <f t="shared" si="217"/>
        <v>24469979.657736972</v>
      </c>
      <c r="EL211" s="86">
        <f t="shared" si="218"/>
        <v>6448175.4081008658</v>
      </c>
      <c r="EM211" s="82">
        <f t="shared" si="219"/>
        <v>17505568.996073365</v>
      </c>
      <c r="EN211" s="135"/>
      <c r="EO211" s="135"/>
    </row>
    <row r="212" spans="1:145" x14ac:dyDescent="0.2">
      <c r="A212" s="81">
        <v>2019</v>
      </c>
      <c r="B212" s="88">
        <v>7</v>
      </c>
      <c r="C212" s="88">
        <v>23.383870967741931</v>
      </c>
      <c r="D212" s="83">
        <v>11.7</v>
      </c>
      <c r="E212" s="87">
        <v>54.6</v>
      </c>
      <c r="F212" s="87">
        <v>0</v>
      </c>
      <c r="G212" s="87">
        <v>104.90000000000002</v>
      </c>
      <c r="H212" s="133">
        <v>0</v>
      </c>
      <c r="I212" s="133">
        <v>166.90000000000006</v>
      </c>
      <c r="J212" s="87">
        <v>0</v>
      </c>
      <c r="K212" s="87">
        <v>228.9</v>
      </c>
      <c r="L212" s="87">
        <v>0</v>
      </c>
      <c r="M212" s="87">
        <v>290.89999999999992</v>
      </c>
      <c r="N212" s="87">
        <v>0</v>
      </c>
      <c r="O212" s="87">
        <v>352.89999999999992</v>
      </c>
      <c r="P212" s="87">
        <v>0</v>
      </c>
      <c r="Q212" s="87">
        <v>414.9</v>
      </c>
      <c r="R212" s="87">
        <v>0</v>
      </c>
      <c r="S212" s="87">
        <v>476.9</v>
      </c>
      <c r="EG212" s="86">
        <f>Data!F104</f>
        <v>38634397.654419079</v>
      </c>
      <c r="EH212" s="86">
        <f>Data!I104</f>
        <v>7953798.4027881147</v>
      </c>
      <c r="EI212" s="86">
        <f>Data!L104</f>
        <v>21610925.483477946</v>
      </c>
      <c r="EK212" s="86">
        <f t="shared" si="217"/>
        <v>34606931.611730538</v>
      </c>
      <c r="EL212" s="86">
        <f t="shared" si="218"/>
        <v>7548812.8375827754</v>
      </c>
      <c r="EM212" s="82">
        <f t="shared" si="219"/>
        <v>18097114.579745866</v>
      </c>
      <c r="EN212" s="135"/>
      <c r="EO212" s="135"/>
    </row>
    <row r="213" spans="1:145" x14ac:dyDescent="0.2">
      <c r="A213" s="81">
        <v>2019</v>
      </c>
      <c r="B213" s="88">
        <v>8</v>
      </c>
      <c r="C213" s="88">
        <v>21.303225806451607</v>
      </c>
      <c r="D213" s="83">
        <v>35.5</v>
      </c>
      <c r="E213" s="87">
        <v>13.899999999999999</v>
      </c>
      <c r="F213" s="87">
        <v>7.8000000000000007</v>
      </c>
      <c r="G213" s="87">
        <v>48.200000000000017</v>
      </c>
      <c r="H213" s="133">
        <v>0.89999999999999858</v>
      </c>
      <c r="I213" s="133">
        <v>103.29999999999998</v>
      </c>
      <c r="J213" s="87">
        <v>0</v>
      </c>
      <c r="K213" s="87">
        <v>164.40000000000006</v>
      </c>
      <c r="L213" s="87">
        <v>0</v>
      </c>
      <c r="M213" s="87">
        <v>226.40000000000006</v>
      </c>
      <c r="N213" s="87">
        <v>0</v>
      </c>
      <c r="O213" s="87">
        <v>288.39999999999998</v>
      </c>
      <c r="P213" s="87">
        <v>0</v>
      </c>
      <c r="Q213" s="87">
        <v>350.4</v>
      </c>
      <c r="R213" s="87">
        <v>0</v>
      </c>
      <c r="S213" s="87">
        <v>412.4</v>
      </c>
      <c r="EG213" s="86">
        <f>Data!F105</f>
        <v>35462351.398997389</v>
      </c>
      <c r="EH213" s="86">
        <f>Data!I105</f>
        <v>7820229.9304989632</v>
      </c>
      <c r="EI213" s="86">
        <f>Data!L105</f>
        <v>20499002.408779137</v>
      </c>
      <c r="EK213" s="86">
        <f t="shared" si="217"/>
        <v>30205211.722348493</v>
      </c>
      <c r="EL213" s="86">
        <f t="shared" si="218"/>
        <v>7052796.7462349469</v>
      </c>
      <c r="EM213" s="82">
        <f t="shared" si="219"/>
        <v>17835508.641525138</v>
      </c>
      <c r="EN213" s="135"/>
      <c r="EO213" s="135"/>
    </row>
    <row r="214" spans="1:145" x14ac:dyDescent="0.2">
      <c r="A214" s="81">
        <v>2019</v>
      </c>
      <c r="B214" s="88">
        <v>9</v>
      </c>
      <c r="C214" s="88">
        <v>17.566666666666666</v>
      </c>
      <c r="D214" s="83">
        <v>138.29999999999998</v>
      </c>
      <c r="E214" s="87">
        <v>5.3000000000000007</v>
      </c>
      <c r="F214" s="87">
        <v>84.499999999999986</v>
      </c>
      <c r="G214" s="87">
        <v>11.500000000000004</v>
      </c>
      <c r="H214" s="133">
        <v>38.4</v>
      </c>
      <c r="I214" s="133">
        <v>25.400000000000002</v>
      </c>
      <c r="J214" s="87">
        <v>11.699999999999998</v>
      </c>
      <c r="K214" s="87">
        <v>58.7</v>
      </c>
      <c r="L214" s="87">
        <v>2.5999999999999979</v>
      </c>
      <c r="M214" s="87">
        <v>109.6</v>
      </c>
      <c r="N214" s="87">
        <v>0.19999999999999929</v>
      </c>
      <c r="O214" s="87">
        <v>167.2</v>
      </c>
      <c r="P214" s="87">
        <v>0</v>
      </c>
      <c r="Q214" s="87">
        <v>227</v>
      </c>
      <c r="R214" s="87">
        <v>0</v>
      </c>
      <c r="S214" s="87">
        <v>286.99999999999994</v>
      </c>
      <c r="EG214" s="86">
        <f>Data!F106</f>
        <v>26458002.714660037</v>
      </c>
      <c r="EH214" s="86">
        <f>Data!I106</f>
        <v>7019323.2991736615</v>
      </c>
      <c r="EI214" s="86">
        <f>Data!L106</f>
        <v>19124595.555767093</v>
      </c>
      <c r="EK214" s="86">
        <f t="shared" si="217"/>
        <v>23023939.135723665</v>
      </c>
      <c r="EL214" s="86">
        <f t="shared" si="218"/>
        <v>6280221.7552938778</v>
      </c>
      <c r="EM214" s="82">
        <f t="shared" si="219"/>
        <v>17418669.945176244</v>
      </c>
      <c r="EN214" s="135"/>
      <c r="EO214" s="135"/>
    </row>
    <row r="215" spans="1:145" x14ac:dyDescent="0.2">
      <c r="A215" s="81">
        <v>2019</v>
      </c>
      <c r="B215" s="88">
        <v>10</v>
      </c>
      <c r="C215" s="88">
        <v>10.53548387096774</v>
      </c>
      <c r="D215" s="83">
        <v>356.50000000000006</v>
      </c>
      <c r="E215" s="87">
        <v>1.1000000000000014</v>
      </c>
      <c r="F215" s="87">
        <v>296.50000000000006</v>
      </c>
      <c r="G215" s="87">
        <v>3.1000000000000014</v>
      </c>
      <c r="H215" s="133">
        <v>236.5</v>
      </c>
      <c r="I215" s="133">
        <v>5.1000000000000014</v>
      </c>
      <c r="J215" s="87">
        <v>177.10000000000002</v>
      </c>
      <c r="K215" s="87">
        <v>7.7000000000000028</v>
      </c>
      <c r="L215" s="87">
        <v>119.39999999999999</v>
      </c>
      <c r="M215" s="87">
        <v>12.000000000000004</v>
      </c>
      <c r="N215" s="87">
        <v>67.2</v>
      </c>
      <c r="O215" s="87">
        <v>21.800000000000004</v>
      </c>
      <c r="P215" s="87">
        <v>26.599999999999998</v>
      </c>
      <c r="Q215" s="87">
        <v>43.2</v>
      </c>
      <c r="R215" s="87">
        <v>5.7</v>
      </c>
      <c r="S215" s="87">
        <v>84.300000000000011</v>
      </c>
      <c r="EG215" s="86">
        <f>Data!F107</f>
        <v>23458321.991768487</v>
      </c>
      <c r="EH215" s="86">
        <f>Data!I107</f>
        <v>6782854.7690531816</v>
      </c>
      <c r="EI215" s="86">
        <f>Data!L107</f>
        <v>19237444.143718898</v>
      </c>
      <c r="EK215" s="86">
        <f t="shared" si="217"/>
        <v>20985025.156048853</v>
      </c>
      <c r="EL215" s="86">
        <f t="shared" si="218"/>
        <v>6457397.431342545</v>
      </c>
      <c r="EM215" s="82">
        <f t="shared" si="219"/>
        <v>17379630.04192489</v>
      </c>
      <c r="EN215" s="135"/>
      <c r="EO215" s="135"/>
    </row>
    <row r="216" spans="1:145" x14ac:dyDescent="0.2">
      <c r="A216" s="81">
        <v>2019</v>
      </c>
      <c r="B216" s="88">
        <v>11</v>
      </c>
      <c r="C216" s="88">
        <v>0.89000000000000024</v>
      </c>
      <c r="D216" s="83">
        <v>633.30000000000018</v>
      </c>
      <c r="E216" s="87">
        <v>0</v>
      </c>
      <c r="F216" s="87">
        <v>573.30000000000018</v>
      </c>
      <c r="G216" s="87">
        <v>0</v>
      </c>
      <c r="H216" s="133">
        <v>513.30000000000007</v>
      </c>
      <c r="I216" s="133">
        <v>0</v>
      </c>
      <c r="J216" s="87">
        <v>453.3</v>
      </c>
      <c r="K216" s="87">
        <v>0</v>
      </c>
      <c r="L216" s="87">
        <v>393.30000000000007</v>
      </c>
      <c r="M216" s="87">
        <v>0</v>
      </c>
      <c r="N216" s="87">
        <v>333.3</v>
      </c>
      <c r="O216" s="87">
        <v>0</v>
      </c>
      <c r="P216" s="87">
        <v>273.3</v>
      </c>
      <c r="Q216" s="87">
        <v>0</v>
      </c>
      <c r="R216" s="87">
        <v>213.29999999999995</v>
      </c>
      <c r="S216" s="87">
        <v>0</v>
      </c>
      <c r="EG216" s="86">
        <f>Data!F108</f>
        <v>22723875.611045595</v>
      </c>
      <c r="EH216" s="86">
        <f>Data!I108</f>
        <v>6765629.6027881224</v>
      </c>
      <c r="EI216" s="86">
        <f>Data!L108</f>
        <v>19655626.620827332</v>
      </c>
      <c r="EK216" s="86">
        <f t="shared" si="217"/>
        <v>23839952.202275123</v>
      </c>
      <c r="EL216" s="86">
        <f t="shared" si="218"/>
        <v>7348976.4686366245</v>
      </c>
      <c r="EM216" s="82">
        <f t="shared" si="219"/>
        <v>17628626.180366173</v>
      </c>
      <c r="EN216" s="135"/>
      <c r="EO216" s="135"/>
    </row>
    <row r="217" spans="1:145" x14ac:dyDescent="0.2">
      <c r="A217" s="81">
        <v>2019</v>
      </c>
      <c r="B217" s="88">
        <v>12</v>
      </c>
      <c r="C217" s="88">
        <v>-0.78709677419354829</v>
      </c>
      <c r="D217" s="83">
        <v>706.39999999999986</v>
      </c>
      <c r="E217" s="87">
        <v>0</v>
      </c>
      <c r="F217" s="87">
        <v>644.4</v>
      </c>
      <c r="G217" s="87">
        <v>0</v>
      </c>
      <c r="H217" s="133">
        <v>582.4</v>
      </c>
      <c r="I217" s="133">
        <v>0</v>
      </c>
      <c r="J217" s="87">
        <v>520.4</v>
      </c>
      <c r="K217" s="87">
        <v>0</v>
      </c>
      <c r="L217" s="87">
        <v>458.39999999999992</v>
      </c>
      <c r="M217" s="87">
        <v>0</v>
      </c>
      <c r="N217" s="87">
        <v>396.39999999999992</v>
      </c>
      <c r="O217" s="87">
        <v>0</v>
      </c>
      <c r="P217" s="87">
        <v>334.4</v>
      </c>
      <c r="Q217" s="87">
        <v>0</v>
      </c>
      <c r="R217" s="87">
        <v>272.40000000000003</v>
      </c>
      <c r="S217" s="87">
        <v>0</v>
      </c>
      <c r="EG217" s="86">
        <f>Data!F109</f>
        <v>29555236.748394977</v>
      </c>
      <c r="EH217" s="86">
        <f>Data!I109</f>
        <v>8143431.5883302838</v>
      </c>
      <c r="EI217" s="86">
        <f>Data!L109</f>
        <v>20768680.182273109</v>
      </c>
      <c r="EK217" s="86">
        <f t="shared" si="217"/>
        <v>24643399.737289164</v>
      </c>
      <c r="EL217" s="86">
        <f t="shared" si="218"/>
        <v>7579962.111462214</v>
      </c>
      <c r="EM217" s="82">
        <f t="shared" si="219"/>
        <v>17696704.405754331</v>
      </c>
      <c r="EN217" s="135"/>
      <c r="EO217" s="135"/>
    </row>
    <row r="218" spans="1:145" x14ac:dyDescent="0.2">
      <c r="A218" s="81">
        <v>2020</v>
      </c>
      <c r="B218" s="88">
        <v>1</v>
      </c>
      <c r="C218" s="88">
        <v>-1.5161290322580645</v>
      </c>
      <c r="D218" s="83">
        <v>729</v>
      </c>
      <c r="E218" s="87">
        <v>0</v>
      </c>
      <c r="F218" s="87">
        <v>667</v>
      </c>
      <c r="G218" s="87">
        <v>0</v>
      </c>
      <c r="H218" s="133">
        <v>605</v>
      </c>
      <c r="I218" s="133">
        <v>0</v>
      </c>
      <c r="J218" s="87">
        <v>543</v>
      </c>
      <c r="K218" s="87">
        <v>0</v>
      </c>
      <c r="L218" s="87">
        <v>481</v>
      </c>
      <c r="M218" s="87">
        <v>0</v>
      </c>
      <c r="N218" s="87">
        <v>419</v>
      </c>
      <c r="O218" s="87">
        <v>0</v>
      </c>
      <c r="P218" s="87">
        <v>357</v>
      </c>
      <c r="Q218" s="87">
        <v>0</v>
      </c>
      <c r="R218" s="87">
        <v>295</v>
      </c>
      <c r="S218" s="87">
        <v>0</v>
      </c>
      <c r="EG218" s="86">
        <f>Data!F110</f>
        <v>31096332.909579843</v>
      </c>
      <c r="EH218" s="86">
        <f>Data!I110</f>
        <v>9133853.9773062132</v>
      </c>
      <c r="EI218" s="86">
        <f>Data!L110</f>
        <v>22240497.13711904</v>
      </c>
      <c r="EK218" s="86">
        <f t="shared" si="217"/>
        <v>24922323.151902333</v>
      </c>
      <c r="EL218" s="86">
        <f t="shared" si="218"/>
        <v>7657760.5545003414</v>
      </c>
      <c r="EM218" s="82">
        <f t="shared" si="219"/>
        <v>17719633.882561669</v>
      </c>
      <c r="EN218" s="135"/>
      <c r="EO218" s="135"/>
    </row>
    <row r="219" spans="1:145" x14ac:dyDescent="0.2">
      <c r="A219" s="81">
        <v>2020</v>
      </c>
      <c r="B219" s="88">
        <v>2</v>
      </c>
      <c r="C219" s="88">
        <v>-3.0965517241379308</v>
      </c>
      <c r="D219" s="83">
        <v>727.8</v>
      </c>
      <c r="E219" s="87">
        <v>0</v>
      </c>
      <c r="F219" s="87">
        <v>669.80000000000007</v>
      </c>
      <c r="G219" s="87">
        <v>0</v>
      </c>
      <c r="H219" s="133">
        <v>611.79999999999995</v>
      </c>
      <c r="I219" s="133">
        <v>0</v>
      </c>
      <c r="J219" s="87">
        <v>553.80000000000007</v>
      </c>
      <c r="K219" s="87">
        <v>0</v>
      </c>
      <c r="L219" s="87">
        <v>495.8</v>
      </c>
      <c r="M219" s="87">
        <v>0</v>
      </c>
      <c r="N219" s="87">
        <v>437.8</v>
      </c>
      <c r="O219" s="87">
        <v>0</v>
      </c>
      <c r="P219" s="87">
        <v>379.79999999999995</v>
      </c>
      <c r="Q219" s="87">
        <v>0</v>
      </c>
      <c r="R219" s="87">
        <v>321.8</v>
      </c>
      <c r="S219" s="87">
        <v>0</v>
      </c>
      <c r="EG219" s="86">
        <f>Data!F111</f>
        <v>26929021.208375014</v>
      </c>
      <c r="EH219" s="86">
        <f>Data!I111</f>
        <v>8086938.7194748772</v>
      </c>
      <c r="EI219" s="86">
        <f>Data!L111</f>
        <v>20355118.476878062</v>
      </c>
      <c r="EK219" s="86">
        <f t="shared" si="217"/>
        <v>25104980.963241935</v>
      </c>
      <c r="EL219" s="86">
        <f t="shared" si="218"/>
        <v>7694938.5715274103</v>
      </c>
      <c r="EM219" s="82">
        <f t="shared" si="219"/>
        <v>17730591.331655439</v>
      </c>
      <c r="EN219" s="135"/>
      <c r="EO219" s="135"/>
    </row>
    <row r="220" spans="1:145" x14ac:dyDescent="0.2">
      <c r="A220" s="81">
        <v>2020</v>
      </c>
      <c r="B220" s="88">
        <v>3</v>
      </c>
      <c r="C220" s="88">
        <v>3.2032258064516133</v>
      </c>
      <c r="D220" s="83">
        <v>582.70000000000005</v>
      </c>
      <c r="E220" s="87">
        <v>0</v>
      </c>
      <c r="F220" s="87">
        <v>520.69999999999993</v>
      </c>
      <c r="G220" s="87">
        <v>0</v>
      </c>
      <c r="H220" s="133">
        <v>458.69999999999993</v>
      </c>
      <c r="I220" s="133">
        <v>0</v>
      </c>
      <c r="J220" s="87">
        <v>396.7</v>
      </c>
      <c r="K220" s="87">
        <v>0</v>
      </c>
      <c r="L220" s="87">
        <v>334.7</v>
      </c>
      <c r="M220" s="87">
        <v>0</v>
      </c>
      <c r="N220" s="87">
        <v>273.2000000000001</v>
      </c>
      <c r="O220" s="87">
        <v>0.5</v>
      </c>
      <c r="P220" s="87">
        <v>214.70000000000005</v>
      </c>
      <c r="Q220" s="87">
        <v>4</v>
      </c>
      <c r="R220" s="87">
        <v>156.70000000000002</v>
      </c>
      <c r="S220" s="87">
        <v>8</v>
      </c>
      <c r="EG220" s="86">
        <f>Data!F112</f>
        <v>26338553.699941278</v>
      </c>
      <c r="EH220" s="86">
        <f>Data!I112</f>
        <v>7679145.8712821063</v>
      </c>
      <c r="EI220" s="86">
        <f>Data!L112</f>
        <v>19763421.609408177</v>
      </c>
      <c r="EK220" s="86">
        <f t="shared" si="217"/>
        <v>23116726.003322389</v>
      </c>
      <c r="EL220" s="86">
        <f t="shared" si="218"/>
        <v>7154136.1201429088</v>
      </c>
      <c r="EM220" s="82">
        <f t="shared" si="219"/>
        <v>17571201.030485854</v>
      </c>
      <c r="EN220" s="135"/>
      <c r="EO220" s="135"/>
    </row>
    <row r="221" spans="1:145" x14ac:dyDescent="0.2">
      <c r="A221" s="81">
        <v>2020</v>
      </c>
      <c r="B221" s="88">
        <v>4</v>
      </c>
      <c r="C221" s="88">
        <v>5.9233333333333338</v>
      </c>
      <c r="D221" s="83">
        <v>482.2999999999999</v>
      </c>
      <c r="E221" s="87">
        <v>0</v>
      </c>
      <c r="F221" s="87">
        <v>422.2999999999999</v>
      </c>
      <c r="G221" s="87">
        <v>0</v>
      </c>
      <c r="H221" s="133">
        <v>362.2999999999999</v>
      </c>
      <c r="I221" s="133">
        <v>0</v>
      </c>
      <c r="J221" s="87">
        <v>302.29999999999995</v>
      </c>
      <c r="K221" s="87">
        <v>0</v>
      </c>
      <c r="L221" s="87">
        <v>242.3</v>
      </c>
      <c r="M221" s="87">
        <v>0</v>
      </c>
      <c r="N221" s="87">
        <v>182.29999999999998</v>
      </c>
      <c r="O221" s="87">
        <v>0</v>
      </c>
      <c r="P221" s="87">
        <v>125.50000000000001</v>
      </c>
      <c r="Q221" s="87">
        <v>3.2000000000000011</v>
      </c>
      <c r="R221" s="87">
        <v>77.599999999999994</v>
      </c>
      <c r="S221" s="87">
        <v>15.300000000000002</v>
      </c>
      <c r="EG221" s="86">
        <f>Data!F113</f>
        <v>27039073.834881049</v>
      </c>
      <c r="EH221" s="86">
        <f>Data!I113</f>
        <v>6710329.7941736775</v>
      </c>
      <c r="EI221" s="86">
        <f>Data!L113</f>
        <v>17089130.553986501</v>
      </c>
      <c r="EK221" s="86">
        <f t="shared" si="217"/>
        <v>21976348.856850844</v>
      </c>
      <c r="EL221" s="86">
        <f t="shared" si="218"/>
        <v>6829172.7120544482</v>
      </c>
      <c r="EM221" s="82">
        <f t="shared" si="219"/>
        <v>17475424.808777329</v>
      </c>
      <c r="EN221" s="135"/>
      <c r="EO221" s="135"/>
    </row>
    <row r="222" spans="1:145" x14ac:dyDescent="0.2">
      <c r="A222" s="81">
        <v>2020</v>
      </c>
      <c r="B222" s="88">
        <v>5</v>
      </c>
      <c r="C222" s="88">
        <v>12.06774193548387</v>
      </c>
      <c r="D222" s="83">
        <v>313.79999999999995</v>
      </c>
      <c r="E222" s="87">
        <v>5.8999999999999986</v>
      </c>
      <c r="F222" s="87">
        <v>258.89999999999998</v>
      </c>
      <c r="G222" s="87">
        <v>13</v>
      </c>
      <c r="H222" s="133">
        <v>208.09999999999997</v>
      </c>
      <c r="I222" s="133">
        <v>24.2</v>
      </c>
      <c r="J222" s="87">
        <v>160.9</v>
      </c>
      <c r="K222" s="87">
        <v>39</v>
      </c>
      <c r="L222" s="87">
        <v>116.19999999999999</v>
      </c>
      <c r="M222" s="87">
        <v>56.300000000000004</v>
      </c>
      <c r="N222" s="87">
        <v>82.2</v>
      </c>
      <c r="O222" s="87">
        <v>84.300000000000011</v>
      </c>
      <c r="P222" s="87">
        <v>57.5</v>
      </c>
      <c r="Q222" s="87">
        <v>121.6</v>
      </c>
      <c r="R222" s="87">
        <v>37.1</v>
      </c>
      <c r="S222" s="87">
        <v>163.20000000000002</v>
      </c>
      <c r="EG222" s="86">
        <f>Data!F114</f>
        <v>27307988.668615971</v>
      </c>
      <c r="EH222" s="86">
        <f>Data!I114</f>
        <v>6149818.835137534</v>
      </c>
      <c r="EI222" s="86">
        <f>Data!L114</f>
        <v>17090225.378082871</v>
      </c>
      <c r="EK222" s="86">
        <f t="shared" si="217"/>
        <v>23081559.986655232</v>
      </c>
      <c r="EL222" s="86">
        <f t="shared" si="218"/>
        <v>6642332.7881149184</v>
      </c>
      <c r="EM222" s="82">
        <f t="shared" si="219"/>
        <v>17490143.726676621</v>
      </c>
      <c r="EN222" s="135"/>
      <c r="EO222" s="135"/>
    </row>
    <row r="223" spans="1:145" x14ac:dyDescent="0.2">
      <c r="A223" s="81">
        <v>2020</v>
      </c>
      <c r="B223" s="88">
        <v>6</v>
      </c>
      <c r="C223" s="88">
        <v>20.463333333333331</v>
      </c>
      <c r="D223" s="83">
        <v>71.5</v>
      </c>
      <c r="E223" s="87">
        <v>25.400000000000002</v>
      </c>
      <c r="F223" s="87">
        <v>41.600000000000009</v>
      </c>
      <c r="G223" s="87">
        <v>55.499999999999993</v>
      </c>
      <c r="H223" s="133">
        <v>23.799999999999997</v>
      </c>
      <c r="I223" s="133">
        <v>97.700000000000017</v>
      </c>
      <c r="J223" s="87">
        <v>9.2999999999999989</v>
      </c>
      <c r="K223" s="87">
        <v>143.20000000000002</v>
      </c>
      <c r="L223" s="87">
        <v>2.0999999999999996</v>
      </c>
      <c r="M223" s="87">
        <v>196.00000000000003</v>
      </c>
      <c r="N223" s="87">
        <v>0</v>
      </c>
      <c r="O223" s="87">
        <v>253.90000000000003</v>
      </c>
      <c r="P223" s="87">
        <v>0</v>
      </c>
      <c r="Q223" s="87">
        <v>313.89999999999998</v>
      </c>
      <c r="R223" s="87">
        <v>0</v>
      </c>
      <c r="S223" s="87">
        <v>373.9</v>
      </c>
      <c r="EG223" s="86">
        <f>Data!F115</f>
        <v>39033998.461387023</v>
      </c>
      <c r="EH223" s="86">
        <f>Data!I115</f>
        <v>6828756.04959537</v>
      </c>
      <c r="EI223" s="86">
        <f>Data!L115</f>
        <v>18398254.573263608</v>
      </c>
      <c r="EK223" s="86">
        <f t="shared" si="217"/>
        <v>28784362.537405513</v>
      </c>
      <c r="EL223" s="86">
        <f t="shared" si="218"/>
        <v>6921779.5042577563</v>
      </c>
      <c r="EM223" s="82">
        <f t="shared" si="219"/>
        <v>17758959.015087988</v>
      </c>
      <c r="EN223" s="135"/>
      <c r="EO223" s="135"/>
    </row>
    <row r="224" spans="1:145" x14ac:dyDescent="0.2">
      <c r="A224" s="81">
        <v>2020</v>
      </c>
      <c r="B224" s="88">
        <v>7</v>
      </c>
      <c r="C224" s="88">
        <v>24.958064516129035</v>
      </c>
      <c r="D224" s="83">
        <v>1.5</v>
      </c>
      <c r="E224" s="87">
        <v>93.199999999999989</v>
      </c>
      <c r="F224" s="87">
        <v>0</v>
      </c>
      <c r="G224" s="87">
        <v>153.70000000000002</v>
      </c>
      <c r="H224" s="133">
        <v>0</v>
      </c>
      <c r="I224" s="133">
        <v>215.70000000000002</v>
      </c>
      <c r="J224" s="87">
        <v>0</v>
      </c>
      <c r="K224" s="87">
        <v>277.7</v>
      </c>
      <c r="L224" s="87">
        <v>0</v>
      </c>
      <c r="M224" s="87">
        <v>339.70000000000005</v>
      </c>
      <c r="N224" s="87">
        <v>0</v>
      </c>
      <c r="O224" s="87">
        <v>401.70000000000005</v>
      </c>
      <c r="P224" s="87">
        <v>0</v>
      </c>
      <c r="Q224" s="87">
        <v>463.70000000000005</v>
      </c>
      <c r="R224" s="87">
        <v>0</v>
      </c>
      <c r="S224" s="87">
        <v>525.70000000000005</v>
      </c>
      <c r="EG224" s="86">
        <f>Data!F116</f>
        <v>45880496.822832875</v>
      </c>
      <c r="EH224" s="86">
        <f>Data!I116</f>
        <v>7775470.7291134307</v>
      </c>
      <c r="EI224" s="86">
        <f>Data!L116</f>
        <v>20433793.725070819</v>
      </c>
      <c r="EK224" s="86">
        <f t="shared" si="217"/>
        <v>37937225.109433547</v>
      </c>
      <c r="EL224" s="86">
        <f t="shared" si="218"/>
        <v>7924093.2291761711</v>
      </c>
      <c r="EM224" s="82">
        <f t="shared" si="219"/>
        <v>18295042.793469459</v>
      </c>
      <c r="EN224" s="135"/>
      <c r="EO224" s="135"/>
    </row>
    <row r="225" spans="1:145" x14ac:dyDescent="0.2">
      <c r="A225" s="81">
        <v>2020</v>
      </c>
      <c r="B225" s="88">
        <v>8</v>
      </c>
      <c r="C225" s="88">
        <v>22.06129032258065</v>
      </c>
      <c r="D225" s="83">
        <v>32.5</v>
      </c>
      <c r="E225" s="87">
        <v>34.4</v>
      </c>
      <c r="F225" s="87">
        <v>9.4999999999999964</v>
      </c>
      <c r="G225" s="87">
        <v>73.400000000000006</v>
      </c>
      <c r="H225" s="133">
        <v>0.80000000000000071</v>
      </c>
      <c r="I225" s="133">
        <v>126.69999999999999</v>
      </c>
      <c r="J225" s="87">
        <v>0</v>
      </c>
      <c r="K225" s="87">
        <v>187.89999999999998</v>
      </c>
      <c r="L225" s="87">
        <v>0</v>
      </c>
      <c r="M225" s="87">
        <v>249.89999999999998</v>
      </c>
      <c r="N225" s="87">
        <v>0</v>
      </c>
      <c r="O225" s="87">
        <v>311.89999999999998</v>
      </c>
      <c r="P225" s="87">
        <v>0</v>
      </c>
      <c r="Q225" s="87">
        <v>373.90000000000003</v>
      </c>
      <c r="R225" s="87">
        <v>0</v>
      </c>
      <c r="S225" s="87">
        <v>435.90000000000003</v>
      </c>
      <c r="EG225" s="86">
        <f>Data!F117</f>
        <v>40192363.868616</v>
      </c>
      <c r="EH225" s="86">
        <f>Data!I117</f>
        <v>7602092.4544146396</v>
      </c>
      <c r="EI225" s="86">
        <f>Data!L117</f>
        <v>19508210.264829874</v>
      </c>
      <c r="EK225" s="86">
        <f t="shared" si="217"/>
        <v>31808939.123906288</v>
      </c>
      <c r="EL225" s="86">
        <f t="shared" si="218"/>
        <v>7233515.7872686516</v>
      </c>
      <c r="EM225" s="82">
        <f t="shared" si="219"/>
        <v>17930822.432969902</v>
      </c>
      <c r="EN225" s="135"/>
      <c r="EO225" s="135"/>
    </row>
    <row r="226" spans="1:145" x14ac:dyDescent="0.2">
      <c r="A226" s="81">
        <v>2020</v>
      </c>
      <c r="B226" s="88">
        <v>9</v>
      </c>
      <c r="C226" s="88">
        <v>16.806666666666665</v>
      </c>
      <c r="D226" s="83">
        <v>159.69999999999999</v>
      </c>
      <c r="E226" s="87">
        <v>3.8999999999999986</v>
      </c>
      <c r="F226" s="87">
        <v>108.60000000000001</v>
      </c>
      <c r="G226" s="87">
        <v>12.799999999999997</v>
      </c>
      <c r="H226" s="133">
        <v>69.100000000000009</v>
      </c>
      <c r="I226" s="133">
        <v>33.299999999999997</v>
      </c>
      <c r="J226" s="87">
        <v>35.6</v>
      </c>
      <c r="K226" s="87">
        <v>59.8</v>
      </c>
      <c r="L226" s="87">
        <v>15.899999999999999</v>
      </c>
      <c r="M226" s="87">
        <v>100.10000000000001</v>
      </c>
      <c r="N226" s="87">
        <v>4.7999999999999989</v>
      </c>
      <c r="O226" s="87">
        <v>148.99999999999997</v>
      </c>
      <c r="P226" s="87">
        <v>1.1999999999999993</v>
      </c>
      <c r="Q226" s="87">
        <v>205.4</v>
      </c>
      <c r="R226" s="87">
        <v>0</v>
      </c>
      <c r="S226" s="87">
        <v>264.20000000000005</v>
      </c>
      <c r="EG226" s="86">
        <f>Data!F118</f>
        <v>28598946.287893068</v>
      </c>
      <c r="EH226" s="86">
        <f>Data!I118</f>
        <v>6802526.1989929536</v>
      </c>
      <c r="EI226" s="86">
        <f>Data!L118</f>
        <v>18413970.168444328</v>
      </c>
      <c r="EK226" s="86">
        <f t="shared" si="217"/>
        <v>23263152.422185864</v>
      </c>
      <c r="EL226" s="86">
        <f t="shared" si="218"/>
        <v>6370954.5191659583</v>
      </c>
      <c r="EM226" s="82">
        <f t="shared" si="219"/>
        <v>17447379.870810129</v>
      </c>
      <c r="EN226" s="135"/>
      <c r="EO226" s="135"/>
    </row>
    <row r="227" spans="1:145" x14ac:dyDescent="0.2">
      <c r="A227" s="81">
        <v>2020</v>
      </c>
      <c r="B227" s="88">
        <v>10</v>
      </c>
      <c r="C227" s="88">
        <v>9.2806451612903249</v>
      </c>
      <c r="D227" s="83">
        <v>394.29999999999995</v>
      </c>
      <c r="E227" s="87">
        <v>0</v>
      </c>
      <c r="F227" s="87">
        <v>332.3</v>
      </c>
      <c r="G227" s="87">
        <v>0</v>
      </c>
      <c r="H227" s="133">
        <v>270.3</v>
      </c>
      <c r="I227" s="133">
        <v>0</v>
      </c>
      <c r="J227" s="87">
        <v>208.8</v>
      </c>
      <c r="K227" s="87">
        <v>0.5</v>
      </c>
      <c r="L227" s="87">
        <v>149.90000000000003</v>
      </c>
      <c r="M227" s="87">
        <v>3.5999999999999996</v>
      </c>
      <c r="N227" s="87">
        <v>98.9</v>
      </c>
      <c r="O227" s="87">
        <v>14.599999999999998</v>
      </c>
      <c r="P227" s="87">
        <v>60.7</v>
      </c>
      <c r="Q227" s="87">
        <v>38.4</v>
      </c>
      <c r="R227" s="87">
        <v>33</v>
      </c>
      <c r="S227" s="87">
        <v>72.7</v>
      </c>
      <c r="EG227" s="86">
        <f>Data!F119</f>
        <v>25393750.721628018</v>
      </c>
      <c r="EH227" s="86">
        <f>Data!I119</f>
        <v>6713600.6953784954</v>
      </c>
      <c r="EI227" s="86">
        <f>Data!L119</f>
        <v>18353398.004588902</v>
      </c>
      <c r="EK227" s="86">
        <f t="shared" si="217"/>
        <v>20870093.569986917</v>
      </c>
      <c r="EL227" s="86">
        <f t="shared" si="218"/>
        <v>6511152.5580310179</v>
      </c>
      <c r="EM227" s="82">
        <f t="shared" si="219"/>
        <v>17382589.660836086</v>
      </c>
      <c r="EN227" s="135"/>
      <c r="EO227" s="135"/>
    </row>
    <row r="228" spans="1:145" x14ac:dyDescent="0.2">
      <c r="A228" s="81">
        <v>2020</v>
      </c>
      <c r="B228" s="88">
        <v>11</v>
      </c>
      <c r="C228" s="88">
        <v>6.8400000000000016</v>
      </c>
      <c r="D228" s="83">
        <v>454.8</v>
      </c>
      <c r="E228" s="87">
        <v>0</v>
      </c>
      <c r="F228" s="87">
        <v>394.8</v>
      </c>
      <c r="G228" s="87">
        <v>0</v>
      </c>
      <c r="H228" s="133">
        <v>334.79999999999995</v>
      </c>
      <c r="I228" s="133">
        <v>0</v>
      </c>
      <c r="J228" s="87">
        <v>274.89999999999998</v>
      </c>
      <c r="K228" s="87">
        <v>0.10000000000000142</v>
      </c>
      <c r="L228" s="87">
        <v>220.39999999999998</v>
      </c>
      <c r="M228" s="87">
        <v>5.6000000000000014</v>
      </c>
      <c r="N228" s="87">
        <v>170.79999999999995</v>
      </c>
      <c r="O228" s="87">
        <v>16</v>
      </c>
      <c r="P228" s="87">
        <v>127.39999999999999</v>
      </c>
      <c r="Q228" s="87">
        <v>32.6</v>
      </c>
      <c r="R228" s="87">
        <v>87.199999999999989</v>
      </c>
      <c r="S228" s="87">
        <v>52.399999999999991</v>
      </c>
      <c r="EG228" s="86">
        <f>Data!F120</f>
        <v>23298897.661387056</v>
      </c>
      <c r="EH228" s="86">
        <f>Data!I120</f>
        <v>6639791.5001977691</v>
      </c>
      <c r="EI228" s="86">
        <f>Data!L120</f>
        <v>18350168.269649133</v>
      </c>
      <c r="EK228" s="86">
        <f t="shared" si="217"/>
        <v>21712889.034965802</v>
      </c>
      <c r="EL228" s="86">
        <f t="shared" si="218"/>
        <v>6735619.7230890673</v>
      </c>
      <c r="EM228" s="82">
        <f t="shared" si="219"/>
        <v>17448030.945196874</v>
      </c>
      <c r="EN228" s="135"/>
      <c r="EO228" s="135"/>
    </row>
    <row r="229" spans="1:145" x14ac:dyDescent="0.2">
      <c r="A229" s="81">
        <v>2020</v>
      </c>
      <c r="B229" s="88">
        <v>12</v>
      </c>
      <c r="C229" s="88">
        <v>-0.30000000000000004</v>
      </c>
      <c r="D229" s="83">
        <v>691.29999999999984</v>
      </c>
      <c r="E229" s="87">
        <v>0</v>
      </c>
      <c r="F229" s="87">
        <v>629.29999999999984</v>
      </c>
      <c r="G229" s="87">
        <v>0</v>
      </c>
      <c r="H229" s="133">
        <v>567.29999999999995</v>
      </c>
      <c r="I229" s="133">
        <v>0</v>
      </c>
      <c r="J229" s="87">
        <v>505.3</v>
      </c>
      <c r="K229" s="87">
        <v>0</v>
      </c>
      <c r="L229" s="87">
        <v>443.3</v>
      </c>
      <c r="M229" s="87">
        <v>0</v>
      </c>
      <c r="N229" s="87">
        <v>381.30000000000007</v>
      </c>
      <c r="O229" s="87">
        <v>0</v>
      </c>
      <c r="P229" s="87">
        <v>319.30000000000007</v>
      </c>
      <c r="Q229" s="87">
        <v>0</v>
      </c>
      <c r="R229" s="87">
        <v>257.3</v>
      </c>
      <c r="S229" s="87">
        <v>0</v>
      </c>
      <c r="EG229" s="86">
        <f>Data!F121</f>
        <v>29408230.692712367</v>
      </c>
      <c r="EH229" s="86">
        <f>Data!I121</f>
        <v>7370193.7845351249</v>
      </c>
      <c r="EI229" s="86">
        <f>Data!L121</f>
        <v>19370101.339528672</v>
      </c>
      <c r="EK229" s="86">
        <f t="shared" si="217"/>
        <v>24457039.402746737</v>
      </c>
      <c r="EL229" s="86">
        <f t="shared" si="218"/>
        <v>7527981.7358039962</v>
      </c>
      <c r="EM229" s="82">
        <f t="shared" si="219"/>
        <v>17681384.268595446</v>
      </c>
      <c r="EN229" s="135"/>
      <c r="EO229" s="135"/>
    </row>
    <row r="230" spans="1:145" x14ac:dyDescent="0.2">
      <c r="A230" s="81">
        <v>2021</v>
      </c>
      <c r="B230" s="88">
        <v>1</v>
      </c>
      <c r="C230" s="88">
        <v>-2.6451612903225805</v>
      </c>
      <c r="D230" s="83">
        <v>763.99999999999989</v>
      </c>
      <c r="E230" s="87">
        <v>0</v>
      </c>
      <c r="F230" s="87">
        <v>701.99999999999989</v>
      </c>
      <c r="G230" s="87">
        <v>0</v>
      </c>
      <c r="H230" s="133">
        <v>639.99999999999989</v>
      </c>
      <c r="I230" s="133">
        <v>0</v>
      </c>
      <c r="J230" s="87">
        <v>577.99999999999989</v>
      </c>
      <c r="K230" s="87">
        <v>0</v>
      </c>
      <c r="L230" s="87">
        <v>516</v>
      </c>
      <c r="M230" s="87">
        <v>0</v>
      </c>
      <c r="N230" s="87">
        <v>453.99999999999994</v>
      </c>
      <c r="O230" s="87">
        <v>0</v>
      </c>
      <c r="P230" s="87">
        <v>392</v>
      </c>
      <c r="Q230" s="87">
        <v>0</v>
      </c>
      <c r="R230" s="87">
        <v>330</v>
      </c>
      <c r="S230" s="87">
        <v>0</v>
      </c>
      <c r="EG230" s="86">
        <f>Data!F122</f>
        <v>33477332.406683832</v>
      </c>
      <c r="EH230" s="86">
        <f>Data!I122</f>
        <v>9067196.1680459175</v>
      </c>
      <c r="EI230" s="86">
        <f>Data!L122</f>
        <v>20686129.996556558</v>
      </c>
      <c r="EK230" s="86">
        <f t="shared" si="217"/>
        <v>25354284.192232467</v>
      </c>
      <c r="EL230" s="86">
        <f t="shared" si="218"/>
        <v>7778244.8689399175</v>
      </c>
      <c r="EM230" s="82">
        <f t="shared" si="219"/>
        <v>17755144.134254448</v>
      </c>
      <c r="EN230" s="135"/>
      <c r="EO230" s="135"/>
    </row>
    <row r="231" spans="1:145" x14ac:dyDescent="0.2">
      <c r="A231" s="81">
        <v>2021</v>
      </c>
      <c r="B231" s="88">
        <v>2</v>
      </c>
      <c r="C231" s="88">
        <v>-5.3464285714285724</v>
      </c>
      <c r="D231" s="83">
        <v>765.69999999999993</v>
      </c>
      <c r="E231" s="87">
        <v>0</v>
      </c>
      <c r="F231" s="87">
        <v>709.7</v>
      </c>
      <c r="G231" s="87">
        <v>0</v>
      </c>
      <c r="H231" s="133">
        <v>653.70000000000005</v>
      </c>
      <c r="I231" s="133">
        <v>0</v>
      </c>
      <c r="J231" s="87">
        <v>597.70000000000005</v>
      </c>
      <c r="K231" s="87">
        <v>0</v>
      </c>
      <c r="L231" s="87">
        <v>541.69999999999993</v>
      </c>
      <c r="M231" s="87">
        <v>0</v>
      </c>
      <c r="N231" s="87">
        <v>485.7</v>
      </c>
      <c r="O231" s="87">
        <v>0</v>
      </c>
      <c r="P231" s="87">
        <v>429.7</v>
      </c>
      <c r="Q231" s="87">
        <v>0</v>
      </c>
      <c r="R231" s="87">
        <v>373.70000000000005</v>
      </c>
      <c r="S231" s="87">
        <v>0</v>
      </c>
      <c r="EG231" s="86">
        <f>Data!F123</f>
        <v>31909165.380177792</v>
      </c>
      <c r="EH231" s="86">
        <f>Data!I123</f>
        <v>8649316.948768802</v>
      </c>
      <c r="EI231" s="86">
        <f>Data!L123</f>
        <v>19399903.28812281</v>
      </c>
      <c r="EK231" s="86">
        <f t="shared" si="217"/>
        <v>25671467.013274875</v>
      </c>
      <c r="EL231" s="86">
        <f t="shared" si="218"/>
        <v>7846060.3259244803</v>
      </c>
      <c r="EM231" s="82">
        <f t="shared" si="219"/>
        <v>17775131.333064381</v>
      </c>
      <c r="EN231" s="135"/>
      <c r="EO231" s="135"/>
    </row>
    <row r="232" spans="1:145" x14ac:dyDescent="0.2">
      <c r="A232" s="81">
        <v>2021</v>
      </c>
      <c r="B232" s="88">
        <v>3</v>
      </c>
      <c r="C232" s="88">
        <v>3.1387096774193552</v>
      </c>
      <c r="D232" s="83">
        <v>584.69999999999993</v>
      </c>
      <c r="E232" s="87">
        <v>0</v>
      </c>
      <c r="F232" s="87">
        <v>522.70000000000005</v>
      </c>
      <c r="G232" s="87">
        <v>0</v>
      </c>
      <c r="H232" s="133">
        <v>460.70000000000005</v>
      </c>
      <c r="I232" s="133">
        <v>0</v>
      </c>
      <c r="J232" s="87">
        <v>398.70000000000005</v>
      </c>
      <c r="K232" s="87">
        <v>0</v>
      </c>
      <c r="L232" s="87">
        <v>337.20000000000005</v>
      </c>
      <c r="M232" s="87">
        <v>0.5</v>
      </c>
      <c r="N232" s="87">
        <v>277.70000000000005</v>
      </c>
      <c r="O232" s="87">
        <v>3</v>
      </c>
      <c r="P232" s="87">
        <v>222.10000000000002</v>
      </c>
      <c r="Q232" s="87">
        <v>9.4</v>
      </c>
      <c r="R232" s="87">
        <v>168.29999999999998</v>
      </c>
      <c r="S232" s="87">
        <v>17.600000000000001</v>
      </c>
      <c r="EG232" s="86">
        <f>Data!F124</f>
        <v>27920614.768129587</v>
      </c>
      <c r="EH232" s="86">
        <f>Data!I124</f>
        <v>7947048.8331061499</v>
      </c>
      <c r="EI232" s="86">
        <f>Data!L124</f>
        <v>19460488.801375829</v>
      </c>
      <c r="EK232" s="86">
        <f t="shared" si="217"/>
        <v>23147580.363345969</v>
      </c>
      <c r="EL232" s="86">
        <f t="shared" si="218"/>
        <v>7161020.9381108843</v>
      </c>
      <c r="EM232" s="82">
        <f t="shared" si="219"/>
        <v>17573230.18772544</v>
      </c>
      <c r="EN232" s="135"/>
      <c r="EO232" s="135"/>
    </row>
    <row r="233" spans="1:145" x14ac:dyDescent="0.2">
      <c r="A233" s="81">
        <v>2021</v>
      </c>
      <c r="B233" s="88">
        <v>4</v>
      </c>
      <c r="C233" s="88">
        <v>7.9200000000000017</v>
      </c>
      <c r="D233" s="83">
        <v>422.39999999999992</v>
      </c>
      <c r="E233" s="87">
        <v>0</v>
      </c>
      <c r="F233" s="87">
        <v>362.4</v>
      </c>
      <c r="G233" s="87">
        <v>0</v>
      </c>
      <c r="H233" s="133">
        <v>302.39999999999998</v>
      </c>
      <c r="I233" s="133">
        <v>0</v>
      </c>
      <c r="J233" s="87">
        <v>242.4</v>
      </c>
      <c r="K233" s="87">
        <v>0</v>
      </c>
      <c r="L233" s="87">
        <v>185.99999999999997</v>
      </c>
      <c r="M233" s="87">
        <v>3.5999999999999996</v>
      </c>
      <c r="N233" s="87">
        <v>134.30000000000001</v>
      </c>
      <c r="O233" s="87">
        <v>11.9</v>
      </c>
      <c r="P233" s="87">
        <v>87.600000000000023</v>
      </c>
      <c r="Q233" s="87">
        <v>25.2</v>
      </c>
      <c r="R233" s="87">
        <v>52.4</v>
      </c>
      <c r="S233" s="87">
        <v>50</v>
      </c>
      <c r="EG233" s="86">
        <f>Data!F125</f>
        <v>25767139.02837057</v>
      </c>
      <c r="EH233" s="86">
        <f>Data!I125</f>
        <v>7297564.2644314589</v>
      </c>
      <c r="EI233" s="86">
        <f>Data!L125</f>
        <v>17754694.584508352</v>
      </c>
      <c r="EK233" s="86">
        <f t="shared" si="217"/>
        <v>21281508.669119805</v>
      </c>
      <c r="EL233" s="86">
        <f t="shared" si="218"/>
        <v>6622972.4139135722</v>
      </c>
      <c r="EM233" s="82">
        <f t="shared" si="219"/>
        <v>17414651.549451686</v>
      </c>
      <c r="EN233" s="135"/>
      <c r="EO233" s="135"/>
    </row>
    <row r="234" spans="1:145" x14ac:dyDescent="0.2">
      <c r="A234" s="81">
        <v>2021</v>
      </c>
      <c r="B234" s="88">
        <v>5</v>
      </c>
      <c r="C234" s="88">
        <v>13.60322580645161</v>
      </c>
      <c r="D234" s="83">
        <v>266.10000000000002</v>
      </c>
      <c r="E234" s="87">
        <v>5.7999999999999972</v>
      </c>
      <c r="F234" s="87">
        <v>212.50000000000003</v>
      </c>
      <c r="G234" s="87">
        <v>14.199999999999996</v>
      </c>
      <c r="H234" s="133">
        <v>164.2</v>
      </c>
      <c r="I234" s="133">
        <v>27.899999999999995</v>
      </c>
      <c r="J234" s="87">
        <v>118.79999999999998</v>
      </c>
      <c r="K234" s="87">
        <v>44.499999999999986</v>
      </c>
      <c r="L234" s="87">
        <v>80.299999999999983</v>
      </c>
      <c r="M234" s="87">
        <v>67.999999999999986</v>
      </c>
      <c r="N234" s="87">
        <v>49.7</v>
      </c>
      <c r="O234" s="87">
        <v>99.40000000000002</v>
      </c>
      <c r="P234" s="87">
        <v>25.399999999999995</v>
      </c>
      <c r="Q234" s="87">
        <v>137.09999999999997</v>
      </c>
      <c r="R234" s="87">
        <v>8.6</v>
      </c>
      <c r="S234" s="87">
        <v>182.3</v>
      </c>
      <c r="EG234" s="86">
        <f>Data!F126</f>
        <v>27806855.086201914</v>
      </c>
      <c r="EH234" s="86">
        <f>Data!I126</f>
        <v>6666532.7270820532</v>
      </c>
      <c r="EI234" s="86">
        <f>Data!L126</f>
        <v>17924133.967640873</v>
      </c>
      <c r="EK234" s="86">
        <f t="shared" si="217"/>
        <v>23013831.832400348</v>
      </c>
      <c r="EL234" s="86">
        <f t="shared" si="218"/>
        <v>6539703.315662873</v>
      </c>
      <c r="EM234" s="82">
        <f t="shared" si="219"/>
        <v>17469737.449887395</v>
      </c>
      <c r="EN234" s="135"/>
      <c r="EO234" s="135"/>
    </row>
    <row r="235" spans="1:145" x14ac:dyDescent="0.2">
      <c r="A235" s="81">
        <v>2021</v>
      </c>
      <c r="B235" s="88">
        <v>6</v>
      </c>
      <c r="C235" s="88">
        <v>21.833333333333329</v>
      </c>
      <c r="D235" s="83">
        <v>42.099999999999994</v>
      </c>
      <c r="E235" s="87">
        <v>37.1</v>
      </c>
      <c r="F235" s="87">
        <v>19.399999999999999</v>
      </c>
      <c r="G235" s="87">
        <v>74.400000000000006</v>
      </c>
      <c r="H235" s="133">
        <v>7</v>
      </c>
      <c r="I235" s="133">
        <v>122</v>
      </c>
      <c r="J235" s="87">
        <v>1.1999999999999993</v>
      </c>
      <c r="K235" s="87">
        <v>176.20000000000005</v>
      </c>
      <c r="L235" s="87">
        <v>0</v>
      </c>
      <c r="M235" s="87">
        <v>235.00000000000006</v>
      </c>
      <c r="N235" s="87">
        <v>0</v>
      </c>
      <c r="O235" s="87">
        <v>295.00000000000006</v>
      </c>
      <c r="P235" s="87">
        <v>0</v>
      </c>
      <c r="Q235" s="87">
        <v>355.00000000000006</v>
      </c>
      <c r="R235" s="87">
        <v>0</v>
      </c>
      <c r="S235" s="87">
        <v>415.00000000000011</v>
      </c>
      <c r="EG235" s="86">
        <f>Data!F127</f>
        <v>36815818.816322342</v>
      </c>
      <c r="EH235" s="86">
        <f>Data!I127</f>
        <v>7252784.1969615808</v>
      </c>
      <c r="EI235" s="86">
        <f>Data!L127</f>
        <v>19511616.174869806</v>
      </c>
      <c r="EK235" s="86">
        <f t="shared" si="217"/>
        <v>31010487.609088153</v>
      </c>
      <c r="EL235" s="86">
        <f t="shared" si="218"/>
        <v>7147671.6661305288</v>
      </c>
      <c r="EM235" s="82">
        <f t="shared" si="219"/>
        <v>17884585.826892219</v>
      </c>
      <c r="EN235" s="85"/>
      <c r="EO235" s="85"/>
    </row>
    <row r="236" spans="1:145" x14ac:dyDescent="0.2">
      <c r="A236" s="81">
        <v>2021</v>
      </c>
      <c r="B236" s="88">
        <v>7</v>
      </c>
      <c r="C236" s="88">
        <v>21.364516129032253</v>
      </c>
      <c r="D236" s="83">
        <v>46.800000000000011</v>
      </c>
      <c r="E236" s="87">
        <v>27.099999999999998</v>
      </c>
      <c r="F236" s="87">
        <v>16</v>
      </c>
      <c r="G236" s="87">
        <v>58.3</v>
      </c>
      <c r="H236" s="133">
        <v>4.4000000000000021</v>
      </c>
      <c r="I236" s="133">
        <v>108.69999999999997</v>
      </c>
      <c r="J236" s="87">
        <v>0</v>
      </c>
      <c r="K236" s="87">
        <v>166.3</v>
      </c>
      <c r="L236" s="87">
        <v>0</v>
      </c>
      <c r="M236" s="87">
        <v>228.30000000000004</v>
      </c>
      <c r="N236" s="87">
        <v>0</v>
      </c>
      <c r="O236" s="87">
        <v>290.3</v>
      </c>
      <c r="P236" s="87">
        <v>0</v>
      </c>
      <c r="Q236" s="87">
        <v>352.3</v>
      </c>
      <c r="R236" s="87">
        <v>0</v>
      </c>
      <c r="S236" s="87">
        <v>414.3</v>
      </c>
      <c r="EG236" s="86">
        <f>Data!F128</f>
        <v>38740795.529575378</v>
      </c>
      <c r="EH236" s="86">
        <f>Data!I128</f>
        <v>7831341.0162386866</v>
      </c>
      <c r="EI236" s="86">
        <f>Data!L128</f>
        <v>19730898.671255335</v>
      </c>
      <c r="EK236" s="86">
        <f t="shared" si="217"/>
        <v>30334874.788857415</v>
      </c>
      <c r="EL236" s="86">
        <f t="shared" si="218"/>
        <v>7067408.0729568209</v>
      </c>
      <c r="EM236" s="82">
        <f t="shared" si="219"/>
        <v>17843214.862961099</v>
      </c>
      <c r="EN236" s="85"/>
      <c r="EO236" s="85"/>
    </row>
    <row r="237" spans="1:145" x14ac:dyDescent="0.2">
      <c r="A237" s="81">
        <v>2021</v>
      </c>
      <c r="B237" s="88">
        <v>8</v>
      </c>
      <c r="C237" s="88">
        <v>23.787096774193543</v>
      </c>
      <c r="D237" s="83">
        <v>17.2</v>
      </c>
      <c r="E237" s="87">
        <v>72.599999999999994</v>
      </c>
      <c r="F237" s="87">
        <v>3.9000000000000021</v>
      </c>
      <c r="G237" s="87">
        <v>121.30000000000001</v>
      </c>
      <c r="H237" s="133">
        <v>0</v>
      </c>
      <c r="I237" s="133">
        <v>179.4</v>
      </c>
      <c r="J237" s="87">
        <v>0</v>
      </c>
      <c r="K237" s="87">
        <v>241.4</v>
      </c>
      <c r="L237" s="87">
        <v>0</v>
      </c>
      <c r="M237" s="87">
        <v>303.39999999999998</v>
      </c>
      <c r="N237" s="87">
        <v>0</v>
      </c>
      <c r="O237" s="87">
        <v>365.40000000000003</v>
      </c>
      <c r="P237" s="87">
        <v>0</v>
      </c>
      <c r="Q237" s="87">
        <v>427.40000000000003</v>
      </c>
      <c r="R237" s="87">
        <v>0</v>
      </c>
      <c r="S237" s="87">
        <v>489.40000000000003</v>
      </c>
      <c r="EG237" s="86">
        <f>Data!F129</f>
        <v>41750401.312707894</v>
      </c>
      <c r="EH237" s="86">
        <f>Data!I129</f>
        <v>8601650.7704555504</v>
      </c>
      <c r="EI237" s="86">
        <f>Data!L129</f>
        <v>21625023.654387861</v>
      </c>
      <c r="EK237" s="86">
        <f t="shared" si="217"/>
        <v>35459978.101920858</v>
      </c>
      <c r="EL237" s="86">
        <f t="shared" si="218"/>
        <v>7644939.9870687881</v>
      </c>
      <c r="EM237" s="82">
        <f t="shared" si="219"/>
        <v>18147813.404982444</v>
      </c>
      <c r="EN237" s="85"/>
      <c r="EO237" s="85"/>
    </row>
    <row r="238" spans="1:145" x14ac:dyDescent="0.2">
      <c r="A238" s="81">
        <v>2021</v>
      </c>
      <c r="B238" s="88">
        <v>9</v>
      </c>
      <c r="C238" s="88">
        <v>17.643333333333334</v>
      </c>
      <c r="D238" s="83">
        <v>130.9</v>
      </c>
      <c r="E238" s="87">
        <v>0.19999999999999929</v>
      </c>
      <c r="F238" s="87">
        <v>75.7</v>
      </c>
      <c r="G238" s="87">
        <v>5</v>
      </c>
      <c r="H238" s="133">
        <v>35.600000000000009</v>
      </c>
      <c r="I238" s="133">
        <v>24.900000000000002</v>
      </c>
      <c r="J238" s="87">
        <v>14.3</v>
      </c>
      <c r="K238" s="87">
        <v>63.599999999999994</v>
      </c>
      <c r="L238" s="87">
        <v>3</v>
      </c>
      <c r="M238" s="87">
        <v>112.3</v>
      </c>
      <c r="N238" s="87">
        <v>0</v>
      </c>
      <c r="O238" s="87">
        <v>169.29999999999998</v>
      </c>
      <c r="P238" s="87">
        <v>0</v>
      </c>
      <c r="Q238" s="87">
        <v>229.29999999999998</v>
      </c>
      <c r="R238" s="87">
        <v>0</v>
      </c>
      <c r="S238" s="87">
        <v>289.3</v>
      </c>
      <c r="EG238" s="86">
        <f>Data!F130</f>
        <v>32351736.252466962</v>
      </c>
      <c r="EH238" s="86">
        <f>Data!I130</f>
        <v>7907454.7704555504</v>
      </c>
      <c r="EI238" s="86">
        <f>Data!L130</f>
        <v>19356266.873664983</v>
      </c>
      <c r="EK238" s="86">
        <f t="shared" si="217"/>
        <v>23363270.057482045</v>
      </c>
      <c r="EL238" s="86">
        <f t="shared" si="218"/>
        <v>6326853.8612507638</v>
      </c>
      <c r="EM238" s="82">
        <f t="shared" si="219"/>
        <v>17441181.789080445</v>
      </c>
      <c r="EN238" s="85"/>
      <c r="EO238" s="85"/>
    </row>
    <row r="239" spans="1:145" x14ac:dyDescent="0.2">
      <c r="A239" s="81">
        <v>2021</v>
      </c>
      <c r="B239" s="88">
        <v>10</v>
      </c>
      <c r="C239" s="88">
        <v>13.49677419354839</v>
      </c>
      <c r="D239" s="83">
        <v>263.60000000000002</v>
      </c>
      <c r="E239" s="87">
        <v>0</v>
      </c>
      <c r="F239" s="87">
        <v>201.6</v>
      </c>
      <c r="G239" s="87">
        <v>0</v>
      </c>
      <c r="H239" s="133">
        <v>145.19999999999999</v>
      </c>
      <c r="I239" s="133">
        <v>5.5999999999999979</v>
      </c>
      <c r="J239" s="87">
        <v>102.60000000000001</v>
      </c>
      <c r="K239" s="87">
        <v>24.999999999999993</v>
      </c>
      <c r="L239" s="87">
        <v>68.600000000000009</v>
      </c>
      <c r="M239" s="87">
        <v>52.999999999999986</v>
      </c>
      <c r="N239" s="87">
        <v>40.099999999999994</v>
      </c>
      <c r="O239" s="87">
        <v>86.499999999999986</v>
      </c>
      <c r="P239" s="87">
        <v>20.499999999999996</v>
      </c>
      <c r="Q239" s="87">
        <v>128.89999999999998</v>
      </c>
      <c r="R239" s="87">
        <v>6.5000000000000009</v>
      </c>
      <c r="S239" s="87">
        <v>176.89999999999998</v>
      </c>
      <c r="EG239" s="86">
        <f>Data!F131</f>
        <v>26087658.662105598</v>
      </c>
      <c r="EH239" s="86">
        <f>Data!I131</f>
        <v>7515365.3343109731</v>
      </c>
      <c r="EI239" s="86">
        <f>Data!L131</f>
        <v>19174685.678484261</v>
      </c>
      <c r="EK239" s="86">
        <f t="shared" si="217"/>
        <v>21538680.902793095</v>
      </c>
      <c r="EL239" s="86">
        <f t="shared" si="218"/>
        <v>6333977.9369240878</v>
      </c>
      <c r="EM239" s="82">
        <f t="shared" si="219"/>
        <v>17374211.108877681</v>
      </c>
      <c r="EN239" s="85"/>
      <c r="EO239" s="85"/>
    </row>
    <row r="240" spans="1:145" x14ac:dyDescent="0.2">
      <c r="A240" s="81">
        <v>2021</v>
      </c>
      <c r="B240" s="88">
        <v>11</v>
      </c>
      <c r="C240" s="88">
        <v>4.2099999999999982</v>
      </c>
      <c r="D240" s="83">
        <v>533.69999999999982</v>
      </c>
      <c r="E240" s="87">
        <v>0</v>
      </c>
      <c r="F240" s="87">
        <v>473.69999999999987</v>
      </c>
      <c r="G240" s="87">
        <v>0</v>
      </c>
      <c r="H240" s="133">
        <v>413.7</v>
      </c>
      <c r="I240" s="133">
        <v>0</v>
      </c>
      <c r="J240" s="87">
        <v>353.7</v>
      </c>
      <c r="K240" s="87">
        <v>0</v>
      </c>
      <c r="L240" s="87">
        <v>293.70000000000005</v>
      </c>
      <c r="M240" s="87">
        <v>0</v>
      </c>
      <c r="N240" s="87">
        <v>233.70000000000005</v>
      </c>
      <c r="O240" s="87">
        <v>0</v>
      </c>
      <c r="P240" s="87">
        <v>175.30000000000004</v>
      </c>
      <c r="Q240" s="87">
        <v>1.5999999999999996</v>
      </c>
      <c r="R240" s="87">
        <v>124.60000000000002</v>
      </c>
      <c r="S240" s="87">
        <v>10.9</v>
      </c>
      <c r="EG240" s="86">
        <f>Data!F132</f>
        <v>24401756.406683806</v>
      </c>
      <c r="EH240" s="86">
        <f>Data!I132</f>
        <v>7471210.1921422994</v>
      </c>
      <c r="EI240" s="86">
        <f>Data!L132</f>
        <v>19299565.186917998</v>
      </c>
      <c r="EK240" s="86">
        <f t="shared" si="217"/>
        <v>22610714.498935666</v>
      </c>
      <c r="EL240" s="86">
        <f t="shared" si="218"/>
        <v>7006112.5338314278</v>
      </c>
      <c r="EM240" s="82">
        <f t="shared" si="219"/>
        <v>17527574.149834722</v>
      </c>
      <c r="EN240" s="85"/>
      <c r="EO240" s="85"/>
    </row>
    <row r="241" spans="1:145" x14ac:dyDescent="0.2">
      <c r="A241" s="81">
        <v>2021</v>
      </c>
      <c r="B241" s="88">
        <v>12</v>
      </c>
      <c r="C241" s="88">
        <v>1.6967741935483871</v>
      </c>
      <c r="D241" s="83">
        <v>629.4000000000002</v>
      </c>
      <c r="E241" s="87">
        <v>0</v>
      </c>
      <c r="F241" s="87">
        <v>567.40000000000009</v>
      </c>
      <c r="G241" s="87">
        <v>0</v>
      </c>
      <c r="H241" s="133">
        <v>505.4</v>
      </c>
      <c r="I241" s="133">
        <v>0</v>
      </c>
      <c r="J241" s="87">
        <v>443.4</v>
      </c>
      <c r="K241" s="87">
        <v>0</v>
      </c>
      <c r="L241" s="87">
        <v>381.4</v>
      </c>
      <c r="M241" s="87">
        <v>0</v>
      </c>
      <c r="N241" s="87">
        <v>319.39999999999998</v>
      </c>
      <c r="O241" s="87">
        <v>0</v>
      </c>
      <c r="P241" s="87">
        <v>257.8</v>
      </c>
      <c r="Q241" s="87">
        <v>0.40000000000000036</v>
      </c>
      <c r="R241" s="87">
        <v>199.59999999999997</v>
      </c>
      <c r="S241" s="87">
        <v>4.2000000000000011</v>
      </c>
      <c r="EG241" s="86">
        <f>Data!F133</f>
        <v>30014573.110298268</v>
      </c>
      <c r="EH241" s="86">
        <f>Data!I133</f>
        <v>8272319.9174434999</v>
      </c>
      <c r="EI241" s="86">
        <f>Data!L133</f>
        <v>19859068.280893892</v>
      </c>
      <c r="EK241" s="86">
        <f t="shared" si="217"/>
        <v>23693085.448562875</v>
      </c>
      <c r="EL241" s="86">
        <f t="shared" si="218"/>
        <v>7314896.6196951438</v>
      </c>
      <c r="EM241" s="82">
        <f t="shared" si="219"/>
        <v>17618581.852030218</v>
      </c>
      <c r="EN241" s="85"/>
      <c r="EO241" s="85"/>
    </row>
    <row r="242" spans="1:145" x14ac:dyDescent="0.2">
      <c r="B242" s="83"/>
      <c r="W242" s="81"/>
      <c r="AB242" s="85"/>
      <c r="AC242" s="85"/>
      <c r="AD242" s="82"/>
      <c r="AE242" s="85"/>
      <c r="AF242" s="84"/>
      <c r="AG242" s="84"/>
    </row>
    <row r="243" spans="1:145" x14ac:dyDescent="0.2">
      <c r="B243" s="83"/>
      <c r="W243" s="81"/>
      <c r="AB243" s="85"/>
      <c r="AC243" s="85"/>
      <c r="AD243" s="82"/>
      <c r="AE243" s="85"/>
      <c r="AF243" s="84"/>
      <c r="AG243" s="84"/>
    </row>
    <row r="244" spans="1:145" x14ac:dyDescent="0.2">
      <c r="B244" s="83"/>
      <c r="W244" s="81"/>
      <c r="AB244" s="85"/>
      <c r="AC244" s="85"/>
      <c r="AD244" s="82"/>
      <c r="AE244" s="85"/>
      <c r="AF244" s="84"/>
      <c r="AG244" s="84"/>
      <c r="EN244" s="137"/>
      <c r="EO244" s="137"/>
    </row>
    <row r="245" spans="1:145" x14ac:dyDescent="0.2">
      <c r="B245" s="83"/>
      <c r="W245" s="81"/>
      <c r="X245" s="81"/>
      <c r="Y245" s="85"/>
      <c r="Z245" s="85"/>
      <c r="AA245" s="82"/>
      <c r="AB245" s="85"/>
      <c r="AC245" s="84"/>
      <c r="AD245" s="84"/>
    </row>
    <row r="246" spans="1:145" x14ac:dyDescent="0.2">
      <c r="B246" s="83"/>
      <c r="W246" s="81"/>
      <c r="X246" s="81"/>
      <c r="Y246" s="85"/>
      <c r="Z246" s="85"/>
      <c r="AA246" s="82"/>
      <c r="AB246" s="85"/>
      <c r="AC246" s="84"/>
      <c r="AD246" s="84"/>
    </row>
    <row r="247" spans="1:145" x14ac:dyDescent="0.2">
      <c r="B247" s="83"/>
      <c r="W247" s="85"/>
      <c r="X247" s="85"/>
      <c r="Z247" s="85"/>
      <c r="AA247" s="84"/>
      <c r="AB247" s="84"/>
    </row>
    <row r="248" spans="1:145" x14ac:dyDescent="0.2">
      <c r="B248" s="83"/>
      <c r="W248" s="85"/>
      <c r="X248" s="85"/>
      <c r="Z248" s="85"/>
      <c r="AA248" s="84"/>
      <c r="AB248" s="84"/>
    </row>
    <row r="249" spans="1:145" x14ac:dyDescent="0.2">
      <c r="B249" s="83"/>
      <c r="W249" s="85"/>
      <c r="X249" s="85"/>
      <c r="Z249" s="85"/>
      <c r="AA249" s="84"/>
      <c r="AB249" s="84"/>
    </row>
    <row r="250" spans="1:145" x14ac:dyDescent="0.2">
      <c r="B250" s="83"/>
      <c r="W250" s="85"/>
      <c r="X250" s="85"/>
      <c r="Z250" s="85"/>
      <c r="AA250" s="84"/>
      <c r="AB250" s="84"/>
    </row>
    <row r="251" spans="1:145" x14ac:dyDescent="0.2">
      <c r="B251" s="83"/>
      <c r="W251" s="85"/>
      <c r="X251" s="85"/>
      <c r="Z251" s="85"/>
      <c r="AA251" s="84"/>
      <c r="AB251" s="84"/>
    </row>
    <row r="252" spans="1:145" x14ac:dyDescent="0.2">
      <c r="B252" s="83"/>
      <c r="W252" s="85"/>
      <c r="X252" s="85"/>
      <c r="Z252" s="85"/>
      <c r="AA252" s="84"/>
      <c r="AB252" s="84"/>
    </row>
    <row r="253" spans="1:145" x14ac:dyDescent="0.2">
      <c r="B253" s="83"/>
      <c r="W253" s="85"/>
      <c r="X253" s="85"/>
      <c r="Z253" s="85"/>
      <c r="AA253" s="84"/>
      <c r="AB253" s="84"/>
    </row>
    <row r="254" spans="1:145" x14ac:dyDescent="0.2">
      <c r="B254" s="83"/>
      <c r="Z254" s="85"/>
      <c r="AA254" s="84"/>
      <c r="AB254" s="84"/>
    </row>
    <row r="255" spans="1:145" x14ac:dyDescent="0.2">
      <c r="B255" s="83"/>
      <c r="Z255" s="85"/>
      <c r="AA255" s="84"/>
      <c r="AB255" s="84"/>
    </row>
    <row r="256" spans="1:145" x14ac:dyDescent="0.2">
      <c r="B256" s="83"/>
      <c r="Z256" s="85"/>
      <c r="AA256" s="84"/>
      <c r="AB256" s="84"/>
    </row>
    <row r="257" spans="2:28" x14ac:dyDescent="0.2">
      <c r="B257" s="83"/>
      <c r="Z257" s="85"/>
      <c r="AA257" s="84"/>
      <c r="AB257" s="84"/>
    </row>
    <row r="258" spans="2:28" x14ac:dyDescent="0.2">
      <c r="B258" s="83"/>
      <c r="Z258" s="85"/>
      <c r="AA258" s="84"/>
      <c r="AB258" s="84"/>
    </row>
    <row r="259" spans="2:28" x14ac:dyDescent="0.2">
      <c r="B259" s="83"/>
      <c r="Z259" s="85"/>
      <c r="AA259" s="84"/>
      <c r="AB259" s="84"/>
    </row>
    <row r="260" spans="2:28" x14ac:dyDescent="0.2">
      <c r="B260" s="83"/>
      <c r="C260" s="83"/>
      <c r="D260" s="83"/>
      <c r="E260" s="83"/>
      <c r="F260" s="83"/>
      <c r="G260" s="83"/>
      <c r="H260" s="134"/>
      <c r="I260" s="134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Z260" s="85"/>
      <c r="AA260" s="84"/>
      <c r="AB260" s="84"/>
    </row>
    <row r="261" spans="2:28" x14ac:dyDescent="0.2">
      <c r="B261" s="83"/>
      <c r="C261" s="83"/>
      <c r="D261" s="83"/>
      <c r="E261" s="83"/>
      <c r="F261" s="83"/>
      <c r="G261" s="83"/>
      <c r="H261" s="134"/>
      <c r="I261" s="134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</row>
    <row r="262" spans="2:28" x14ac:dyDescent="0.2">
      <c r="B262" s="83"/>
      <c r="C262" s="83"/>
      <c r="D262" s="83"/>
      <c r="E262" s="83"/>
      <c r="F262" s="83"/>
      <c r="G262" s="83"/>
      <c r="H262" s="134"/>
      <c r="I262" s="134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</row>
    <row r="263" spans="2:28" x14ac:dyDescent="0.2">
      <c r="B263" s="83"/>
      <c r="C263" s="83"/>
      <c r="D263" s="83"/>
      <c r="E263" s="83"/>
      <c r="F263" s="83"/>
      <c r="G263" s="83"/>
      <c r="H263" s="134"/>
      <c r="I263" s="134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</row>
    <row r="264" spans="2:28" x14ac:dyDescent="0.2">
      <c r="B264" s="83"/>
      <c r="C264" s="83"/>
      <c r="D264" s="83"/>
      <c r="E264" s="83"/>
      <c r="F264" s="83"/>
      <c r="G264" s="83"/>
      <c r="H264" s="134"/>
      <c r="I264" s="134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</row>
    <row r="265" spans="2:28" x14ac:dyDescent="0.2">
      <c r="B265" s="83"/>
      <c r="C265" s="83"/>
      <c r="D265" s="83"/>
      <c r="E265" s="83"/>
      <c r="F265" s="83"/>
      <c r="G265" s="83"/>
      <c r="H265" s="134"/>
      <c r="I265" s="134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79998168889431442"/>
  </sheetPr>
  <dimension ref="A1:AW190"/>
  <sheetViews>
    <sheetView zoomScaleNormal="100" workbookViewId="0">
      <pane xSplit="1" ySplit="2" topLeftCell="Q3" activePane="bottomRight" state="frozen"/>
      <selection activeCell="V159" sqref="V159"/>
      <selection pane="topRight" activeCell="V159" sqref="V159"/>
      <selection pane="bottomLeft" activeCell="V159" sqref="V159"/>
      <selection pane="bottomRight" activeCell="T12" sqref="T12"/>
    </sheetView>
  </sheetViews>
  <sheetFormatPr defaultRowHeight="12.75" x14ac:dyDescent="0.2"/>
  <cols>
    <col min="1" max="3" width="11.85546875" customWidth="1"/>
    <col min="4" max="4" width="14.140625" customWidth="1"/>
    <col min="5" max="5" width="14.7109375" customWidth="1"/>
    <col min="6" max="6" width="13" style="5" bestFit="1" customWidth="1"/>
    <col min="7" max="7" width="13" style="1" customWidth="1"/>
    <col min="8" max="8" width="12.85546875" style="1" customWidth="1"/>
    <col min="9" max="9" width="15.42578125" style="1" customWidth="1"/>
    <col min="10" max="11" width="8" style="1" customWidth="1"/>
    <col min="12" max="12" width="13.5703125" style="57" bestFit="1" customWidth="1"/>
    <col min="13" max="13" width="13.140625" style="1" customWidth="1"/>
    <col min="14" max="14" width="14.7109375" style="1" customWidth="1"/>
    <col min="15" max="15" width="16" style="1" bestFit="1" customWidth="1"/>
    <col min="16" max="16" width="14.5703125" style="1" customWidth="1"/>
    <col min="17" max="17" width="15.140625" style="1" bestFit="1" customWidth="1"/>
    <col min="18" max="18" width="12.42578125" style="1" customWidth="1"/>
    <col min="19" max="19" width="22.42578125" bestFit="1" customWidth="1"/>
    <col min="20" max="20" width="16.140625" customWidth="1"/>
    <col min="21" max="21" width="18.85546875" bestFit="1" customWidth="1"/>
    <col min="22" max="22" width="13.7109375" bestFit="1" customWidth="1"/>
    <col min="23" max="23" width="13" bestFit="1" customWidth="1"/>
    <col min="24" max="24" width="14.85546875" bestFit="1" customWidth="1"/>
    <col min="25" max="27" width="13.7109375" bestFit="1" customWidth="1"/>
    <col min="28" max="29" width="13" bestFit="1" customWidth="1"/>
    <col min="30" max="30" width="12.28515625" bestFit="1" customWidth="1"/>
    <col min="31" max="32" width="12.28515625" style="5" bestFit="1" customWidth="1"/>
    <col min="33" max="39" width="12.7109375" style="5" customWidth="1"/>
    <col min="40" max="49" width="12.7109375" customWidth="1"/>
  </cols>
  <sheetData>
    <row r="1" spans="1:45" ht="20.25" customHeight="1" x14ac:dyDescent="0.25">
      <c r="A1" s="321" t="s">
        <v>268</v>
      </c>
      <c r="B1" s="321"/>
      <c r="C1" s="321"/>
      <c r="D1" s="321"/>
      <c r="E1" s="321"/>
      <c r="F1" s="321"/>
    </row>
    <row r="2" spans="1:45" ht="42" customHeight="1" x14ac:dyDescent="0.2">
      <c r="D2" s="28" t="s">
        <v>269</v>
      </c>
      <c r="E2" s="28" t="s">
        <v>270</v>
      </c>
      <c r="F2" s="6" t="s">
        <v>271</v>
      </c>
      <c r="G2" s="252" t="str">
        <f>Data!AP1</f>
        <v>HDD16</v>
      </c>
      <c r="H2" s="252" t="str">
        <f>Data!AQ1</f>
        <v>CDD16</v>
      </c>
      <c r="I2" s="8" t="s">
        <v>272</v>
      </c>
      <c r="J2" s="8" t="s">
        <v>273</v>
      </c>
      <c r="K2" s="8" t="s">
        <v>131</v>
      </c>
      <c r="L2" s="58" t="s">
        <v>274</v>
      </c>
      <c r="M2" s="8" t="str">
        <f>Data!CG1</f>
        <v>COVIDHDD16</v>
      </c>
      <c r="N2" s="8" t="str">
        <f>Data!CH1</f>
        <v>COVIDCDD16</v>
      </c>
      <c r="O2" s="8" t="s">
        <v>275</v>
      </c>
      <c r="P2" s="8" t="s">
        <v>276</v>
      </c>
      <c r="Q2" s="8" t="s">
        <v>277</v>
      </c>
      <c r="R2" s="8" t="s">
        <v>278</v>
      </c>
      <c r="AE2" s="7"/>
      <c r="AF2" s="7"/>
      <c r="AG2" s="7"/>
    </row>
    <row r="3" spans="1:45" ht="12.75" customHeight="1" x14ac:dyDescent="0.2">
      <c r="A3" s="2">
        <v>40544</v>
      </c>
      <c r="B3">
        <f>YEAR(A3)</f>
        <v>2011</v>
      </c>
      <c r="C3">
        <f>MONTH(A3)</f>
        <v>1</v>
      </c>
      <c r="D3" s="151">
        <f>Data!D2</f>
        <v>23710157.339999959</v>
      </c>
      <c r="E3" s="151">
        <f>Data!E2</f>
        <v>23207.745325324893</v>
      </c>
      <c r="F3" s="151">
        <f>Data!F2</f>
        <v>23733365.085325282</v>
      </c>
      <c r="G3" s="253">
        <f>Data!AP2</f>
        <v>713.3</v>
      </c>
      <c r="H3" s="129">
        <f>Data!AQ2</f>
        <v>0</v>
      </c>
      <c r="I3" s="32">
        <f>Data!BG2</f>
        <v>31</v>
      </c>
      <c r="J3" s="32">
        <f>Data!BX2</f>
        <v>0</v>
      </c>
      <c r="K3" s="32">
        <f>Data!BR2</f>
        <v>0</v>
      </c>
      <c r="L3" s="41">
        <f>Data!AA2</f>
        <v>26615</v>
      </c>
      <c r="M3" s="255">
        <f>Data!CG2</f>
        <v>0</v>
      </c>
      <c r="N3" s="78">
        <f>Data!CH2</f>
        <v>0</v>
      </c>
      <c r="O3" s="32">
        <f>$T$19+G3*$T$20+H3*$T$21+I3*$T$22+J3*$T$23+K3*$T$24+L3*$T$25+M3*$T$26+N3*$T$27</f>
        <v>24703828.522043005</v>
      </c>
      <c r="P3" s="145">
        <f>O3-E3</f>
        <v>24680620.776717681</v>
      </c>
      <c r="Q3" s="32">
        <f>+O3-F3</f>
        <v>970463.43671772256</v>
      </c>
      <c r="R3" s="50">
        <f>ABS(Q3/F3)</f>
        <v>4.0890258639208969E-2</v>
      </c>
      <c r="S3" t="s">
        <v>279</v>
      </c>
      <c r="AE3"/>
      <c r="AF3" s="39"/>
      <c r="AG3" s="66"/>
      <c r="AH3" s="51"/>
      <c r="AI3" s="74"/>
      <c r="AJ3" s="74"/>
      <c r="AK3" s="204"/>
      <c r="AL3" s="74"/>
      <c r="AM3" s="74"/>
      <c r="AN3" s="197"/>
      <c r="AO3" s="204"/>
      <c r="AP3" s="68"/>
      <c r="AQ3" s="68"/>
      <c r="AR3" s="5"/>
    </row>
    <row r="4" spans="1:45" x14ac:dyDescent="0.2">
      <c r="A4" s="2">
        <v>40575</v>
      </c>
      <c r="B4">
        <f t="shared" ref="B4:B67" si="0">YEAR(A4)</f>
        <v>2011</v>
      </c>
      <c r="C4">
        <f t="shared" ref="C4:C67" si="1">MONTH(A4)</f>
        <v>2</v>
      </c>
      <c r="D4" s="151">
        <f>Data!D3</f>
        <v>22287321.790000025</v>
      </c>
      <c r="E4" s="151">
        <f>Data!E3</f>
        <v>23207.745325324893</v>
      </c>
      <c r="F4" s="151">
        <f>Data!F3</f>
        <v>22310529.535325348</v>
      </c>
      <c r="G4" s="253">
        <f>Data!AP3</f>
        <v>598.20000000000016</v>
      </c>
      <c r="H4" s="129">
        <f>Data!AQ3</f>
        <v>0</v>
      </c>
      <c r="I4" s="32">
        <f>Data!BG3</f>
        <v>28</v>
      </c>
      <c r="J4" s="32">
        <f>Data!BX3</f>
        <v>0</v>
      </c>
      <c r="K4" s="32">
        <f>Data!BR3</f>
        <v>0</v>
      </c>
      <c r="L4" s="41">
        <f>Data!AA3</f>
        <v>26654</v>
      </c>
      <c r="M4" s="255">
        <f>Data!CG3</f>
        <v>0</v>
      </c>
      <c r="N4" s="78">
        <f>Data!CH3</f>
        <v>0</v>
      </c>
      <c r="O4" s="32">
        <f t="shared" ref="O4" si="2">$T$19+G4*$T$20+H4*$T$21+I4*$T$22+J4*$T$23+K4*$T$24+L4*$T$25+M4*$T$26+N4*$T$27</f>
        <v>21621102.323816389</v>
      </c>
      <c r="P4" s="145">
        <f t="shared" ref="P4:P67" si="3">O4-E4</f>
        <v>21597894.578491066</v>
      </c>
      <c r="Q4" s="32">
        <f t="shared" ref="Q4:Q67" si="4">+O4-F4</f>
        <v>-689427.21150895953</v>
      </c>
      <c r="R4" s="50">
        <f t="shared" ref="R4:R67" si="5">ABS(Q4/F4)</f>
        <v>3.0901427526287793E-2</v>
      </c>
      <c r="AE4"/>
      <c r="AF4" s="39"/>
      <c r="AG4" s="51"/>
      <c r="AH4" s="74"/>
      <c r="AI4" s="74"/>
      <c r="AJ4" s="74"/>
      <c r="AK4" s="197"/>
      <c r="AL4" s="208"/>
      <c r="AM4" s="74"/>
      <c r="AN4" s="197"/>
      <c r="AO4" s="197"/>
      <c r="AP4" s="68"/>
      <c r="AQ4" s="68"/>
      <c r="AR4" s="5"/>
    </row>
    <row r="5" spans="1:45" x14ac:dyDescent="0.2">
      <c r="A5" s="2">
        <v>40603</v>
      </c>
      <c r="B5">
        <f t="shared" si="0"/>
        <v>2011</v>
      </c>
      <c r="C5">
        <f t="shared" si="1"/>
        <v>3</v>
      </c>
      <c r="D5" s="151">
        <f>Data!D4</f>
        <v>20538303.360000029</v>
      </c>
      <c r="E5" s="151">
        <f>Data!E4</f>
        <v>23207.745325324893</v>
      </c>
      <c r="F5" s="151">
        <f>Data!F4</f>
        <v>20561511.105325352</v>
      </c>
      <c r="G5" s="253">
        <f>Data!AP4</f>
        <v>510.79999999999995</v>
      </c>
      <c r="H5" s="129">
        <f>Data!AQ4</f>
        <v>0</v>
      </c>
      <c r="I5" s="32">
        <f>Data!BG4</f>
        <v>31</v>
      </c>
      <c r="J5" s="32">
        <f>Data!BX4</f>
        <v>1</v>
      </c>
      <c r="K5" s="32">
        <f>Data!BR4</f>
        <v>0</v>
      </c>
      <c r="L5" s="41">
        <f>Data!AA4</f>
        <v>26750</v>
      </c>
      <c r="M5" s="255">
        <f>Data!CG4</f>
        <v>0</v>
      </c>
      <c r="N5" s="78">
        <f>Data!CH4</f>
        <v>0</v>
      </c>
      <c r="O5" s="32">
        <f>$T$19+G5*$T$20+H5*$T$21+I5*$T$22+J5*$T$23+K5*$T$24+L5*$T$25+M5*$T$26+N5*$T$27</f>
        <v>20142231.515205633</v>
      </c>
      <c r="P5" s="145">
        <f t="shared" si="3"/>
        <v>20119023.76988031</v>
      </c>
      <c r="Q5" s="32">
        <f t="shared" si="4"/>
        <v>-419279.59011971951</v>
      </c>
      <c r="R5" s="50">
        <f t="shared" si="5"/>
        <v>2.0391477453771758E-2</v>
      </c>
      <c r="AC5" s="130"/>
      <c r="AE5"/>
      <c r="AF5" s="51"/>
      <c r="AG5" s="51"/>
      <c r="AH5" s="74"/>
      <c r="AI5" s="74"/>
      <c r="AJ5" s="74"/>
      <c r="AK5" s="197"/>
      <c r="AL5" s="208"/>
      <c r="AM5" s="74"/>
      <c r="AN5" s="197"/>
      <c r="AO5" s="197"/>
      <c r="AP5" s="67"/>
      <c r="AQ5" s="68"/>
      <c r="AR5" s="5"/>
    </row>
    <row r="6" spans="1:45" ht="12.75" customHeight="1" x14ac:dyDescent="0.2">
      <c r="A6" s="2">
        <v>40634</v>
      </c>
      <c r="B6">
        <f t="shared" si="0"/>
        <v>2011</v>
      </c>
      <c r="C6">
        <f t="shared" si="1"/>
        <v>4</v>
      </c>
      <c r="D6" s="151">
        <f>Data!D5</f>
        <v>18173296.59999999</v>
      </c>
      <c r="E6" s="151">
        <f>Data!E5</f>
        <v>23207.745325324893</v>
      </c>
      <c r="F6" s="151">
        <f>Data!F5</f>
        <v>18196504.345325314</v>
      </c>
      <c r="G6" s="253">
        <f>Data!AP5</f>
        <v>272.29999999999995</v>
      </c>
      <c r="H6" s="129">
        <f>Data!AQ5</f>
        <v>0</v>
      </c>
      <c r="I6" s="32">
        <f>Data!BG5</f>
        <v>30</v>
      </c>
      <c r="J6" s="32">
        <f>Data!BX5</f>
        <v>1</v>
      </c>
      <c r="K6" s="32">
        <f>Data!BR5</f>
        <v>0</v>
      </c>
      <c r="L6" s="41">
        <f>Data!AA5</f>
        <v>26846</v>
      </c>
      <c r="M6" s="255">
        <f>Data!CG5</f>
        <v>0</v>
      </c>
      <c r="N6" s="78">
        <f>Data!CH5</f>
        <v>0</v>
      </c>
      <c r="O6" s="32">
        <f t="shared" ref="O6:O69" si="6">$T$19+G6*$T$20+H6*$T$21+I6*$T$22+J6*$T$23+K6*$T$24+L6*$T$25+M6*$T$26+N6*$T$27</f>
        <v>17415298.381147988</v>
      </c>
      <c r="P6" s="145">
        <f t="shared" si="3"/>
        <v>17392090.635822665</v>
      </c>
      <c r="Q6" s="32">
        <f t="shared" si="4"/>
        <v>-781205.96417732537</v>
      </c>
      <c r="R6" s="50">
        <f t="shared" si="5"/>
        <v>4.2931650461645807E-2</v>
      </c>
      <c r="AE6"/>
      <c r="AG6" s="74"/>
      <c r="AH6" s="69"/>
      <c r="AJ6" s="39"/>
      <c r="AL6" s="209"/>
      <c r="AM6" s="209"/>
      <c r="AN6" s="5"/>
      <c r="AO6" s="5"/>
      <c r="AP6" s="5"/>
      <c r="AQ6" s="5"/>
      <c r="AR6" s="5"/>
      <c r="AS6" s="28"/>
    </row>
    <row r="7" spans="1:45" x14ac:dyDescent="0.2">
      <c r="A7" s="2">
        <v>40664</v>
      </c>
      <c r="B7">
        <f t="shared" si="0"/>
        <v>2011</v>
      </c>
      <c r="C7">
        <f t="shared" si="1"/>
        <v>5</v>
      </c>
      <c r="D7" s="151">
        <f>Data!D6</f>
        <v>19219228.860000029</v>
      </c>
      <c r="E7" s="151">
        <f>Data!E6</f>
        <v>23207.745325324893</v>
      </c>
      <c r="F7" s="151">
        <f>Data!F6</f>
        <v>19242436.605325352</v>
      </c>
      <c r="G7" s="253">
        <f>Data!AP6</f>
        <v>87.4</v>
      </c>
      <c r="H7" s="129">
        <f>Data!AQ6</f>
        <v>28.3</v>
      </c>
      <c r="I7" s="32">
        <f>Data!BG6</f>
        <v>31</v>
      </c>
      <c r="J7" s="32">
        <f>Data!BX6</f>
        <v>1</v>
      </c>
      <c r="K7" s="32">
        <f>Data!BR6</f>
        <v>0</v>
      </c>
      <c r="L7" s="41">
        <f>Data!AA6</f>
        <v>26969</v>
      </c>
      <c r="M7" s="255">
        <f>Data!CG6</f>
        <v>0</v>
      </c>
      <c r="N7" s="78">
        <f>Data!CH6</f>
        <v>0</v>
      </c>
      <c r="O7" s="32">
        <f t="shared" si="6"/>
        <v>18070622.210426494</v>
      </c>
      <c r="P7" s="145">
        <f t="shared" si="3"/>
        <v>18047414.465101171</v>
      </c>
      <c r="Q7" s="32">
        <f t="shared" si="4"/>
        <v>-1171814.3948988579</v>
      </c>
      <c r="R7" s="50">
        <f t="shared" si="5"/>
        <v>6.0897401869291219E-2</v>
      </c>
      <c r="AE7"/>
      <c r="AG7" s="74"/>
      <c r="AH7" s="69"/>
      <c r="AI7" s="39"/>
      <c r="AJ7" s="39"/>
      <c r="AL7" s="209"/>
      <c r="AM7" s="209"/>
      <c r="AN7" s="5"/>
      <c r="AO7" s="5"/>
      <c r="AP7" s="5"/>
      <c r="AQ7" s="5"/>
      <c r="AR7" s="5"/>
      <c r="AS7" s="28"/>
    </row>
    <row r="8" spans="1:45" x14ac:dyDescent="0.2">
      <c r="A8" s="2">
        <v>40695</v>
      </c>
      <c r="B8">
        <f t="shared" si="0"/>
        <v>2011</v>
      </c>
      <c r="C8">
        <f t="shared" si="1"/>
        <v>6</v>
      </c>
      <c r="D8" s="151">
        <f>Data!D7</f>
        <v>23432000.140000012</v>
      </c>
      <c r="E8" s="151">
        <f>Data!E7</f>
        <v>23207.745325324893</v>
      </c>
      <c r="F8" s="151">
        <f>Data!F7</f>
        <v>23455207.885325335</v>
      </c>
      <c r="G8" s="253">
        <f>Data!AP7</f>
        <v>4.7999999999999989</v>
      </c>
      <c r="H8" s="129">
        <f>Data!AQ7</f>
        <v>97.999999999999986</v>
      </c>
      <c r="I8" s="32">
        <f>Data!BG7</f>
        <v>30</v>
      </c>
      <c r="J8" s="32">
        <f>Data!BX7</f>
        <v>0</v>
      </c>
      <c r="K8" s="32">
        <f>Data!BR7</f>
        <v>0</v>
      </c>
      <c r="L8" s="41">
        <f>Data!AA7</f>
        <v>27068</v>
      </c>
      <c r="M8" s="255">
        <f>Data!CG7</f>
        <v>0</v>
      </c>
      <c r="N8" s="78">
        <f>Data!CH7</f>
        <v>0</v>
      </c>
      <c r="O8" s="32">
        <f t="shared" si="6"/>
        <v>23268834.523716442</v>
      </c>
      <c r="P8" s="145">
        <f t="shared" si="3"/>
        <v>23245626.778391119</v>
      </c>
      <c r="Q8" s="32">
        <f t="shared" si="4"/>
        <v>-186373.36160889268</v>
      </c>
      <c r="R8" s="50">
        <f t="shared" si="5"/>
        <v>7.9459266581685898E-3</v>
      </c>
      <c r="AE8"/>
      <c r="AG8" s="74"/>
      <c r="AH8" s="69"/>
      <c r="AI8" s="39"/>
      <c r="AJ8" s="39"/>
      <c r="AL8" s="209"/>
      <c r="AM8" s="209"/>
      <c r="AN8" s="5"/>
      <c r="AO8" s="5"/>
      <c r="AP8" s="5"/>
      <c r="AQ8" s="5"/>
      <c r="AR8" s="5"/>
      <c r="AS8" s="28"/>
    </row>
    <row r="9" spans="1:45" x14ac:dyDescent="0.2">
      <c r="A9" s="2">
        <v>40725</v>
      </c>
      <c r="B9">
        <f t="shared" si="0"/>
        <v>2011</v>
      </c>
      <c r="C9">
        <f t="shared" si="1"/>
        <v>7</v>
      </c>
      <c r="D9" s="151">
        <f>Data!D8</f>
        <v>29858048.27999996</v>
      </c>
      <c r="E9" s="151">
        <f>Data!E8</f>
        <v>23207.745325324893</v>
      </c>
      <c r="F9" s="151">
        <f>Data!F8</f>
        <v>29881256.025325283</v>
      </c>
      <c r="G9" s="253">
        <f>Data!AP8</f>
        <v>0</v>
      </c>
      <c r="H9" s="129">
        <f>Data!AQ8</f>
        <v>260.30000000000007</v>
      </c>
      <c r="I9" s="32">
        <f>Data!BG8</f>
        <v>31</v>
      </c>
      <c r="J9" s="32">
        <f>Data!BX8</f>
        <v>0</v>
      </c>
      <c r="K9" s="32">
        <f>Data!BR8</f>
        <v>0</v>
      </c>
      <c r="L9" s="41">
        <f>Data!AA8</f>
        <v>27119</v>
      </c>
      <c r="M9" s="255">
        <f>Data!CG8</f>
        <v>0</v>
      </c>
      <c r="N9" s="78">
        <f>Data!CH8</f>
        <v>0</v>
      </c>
      <c r="O9" s="32">
        <f t="shared" si="6"/>
        <v>32547948.46714358</v>
      </c>
      <c r="P9" s="145">
        <f t="shared" si="3"/>
        <v>32524740.721818257</v>
      </c>
      <c r="Q9" s="32">
        <f t="shared" si="4"/>
        <v>2666692.4418182969</v>
      </c>
      <c r="R9" s="50">
        <f t="shared" si="5"/>
        <v>8.9242983613479737E-2</v>
      </c>
      <c r="AE9"/>
      <c r="AG9" s="74"/>
      <c r="AH9" s="69"/>
      <c r="AI9" s="39"/>
      <c r="AJ9" s="39"/>
      <c r="AL9" s="209"/>
      <c r="AM9" s="209"/>
      <c r="AN9" s="5"/>
      <c r="AO9" s="5"/>
      <c r="AP9" s="5"/>
      <c r="AQ9" s="5"/>
      <c r="AR9" s="5"/>
      <c r="AS9" s="28"/>
    </row>
    <row r="10" spans="1:45" x14ac:dyDescent="0.2">
      <c r="A10" s="2">
        <v>40756</v>
      </c>
      <c r="B10">
        <f t="shared" si="0"/>
        <v>2011</v>
      </c>
      <c r="C10">
        <f t="shared" si="1"/>
        <v>8</v>
      </c>
      <c r="D10" s="151">
        <f>Data!D9</f>
        <v>28097294.710000008</v>
      </c>
      <c r="E10" s="151">
        <f>Data!E9</f>
        <v>23207.745325324893</v>
      </c>
      <c r="F10" s="151">
        <f>Data!F9</f>
        <v>28120502.455325332</v>
      </c>
      <c r="G10" s="253">
        <f>Data!AP9</f>
        <v>0</v>
      </c>
      <c r="H10" s="129">
        <f>Data!AQ9</f>
        <v>184.2</v>
      </c>
      <c r="I10" s="32">
        <f>Data!BG9</f>
        <v>31</v>
      </c>
      <c r="J10" s="32">
        <f>Data!BX9</f>
        <v>0</v>
      </c>
      <c r="K10" s="32">
        <f>Data!BR9</f>
        <v>0</v>
      </c>
      <c r="L10" s="41">
        <f>Data!AA9</f>
        <v>27177</v>
      </c>
      <c r="M10" s="255">
        <f>Data!CG9</f>
        <v>0</v>
      </c>
      <c r="N10" s="78">
        <f>Data!CH9</f>
        <v>0</v>
      </c>
      <c r="O10" s="32">
        <f t="shared" si="6"/>
        <v>28553919.213335745</v>
      </c>
      <c r="P10" s="145">
        <f t="shared" si="3"/>
        <v>28530711.468010422</v>
      </c>
      <c r="Q10" s="32">
        <f t="shared" si="4"/>
        <v>433416.7580104135</v>
      </c>
      <c r="R10" s="50">
        <f t="shared" si="5"/>
        <v>1.5412838326732495E-2</v>
      </c>
      <c r="AE10"/>
      <c r="AG10" s="74"/>
      <c r="AH10" s="69"/>
      <c r="AI10" s="39"/>
      <c r="AJ10" s="39"/>
      <c r="AL10" s="209"/>
      <c r="AM10" s="209"/>
      <c r="AN10" s="5"/>
      <c r="AO10" s="5"/>
      <c r="AP10" s="5"/>
      <c r="AQ10" s="5"/>
      <c r="AR10" s="5"/>
      <c r="AS10" s="28"/>
    </row>
    <row r="11" spans="1:45" x14ac:dyDescent="0.2">
      <c r="A11" s="2">
        <v>40787</v>
      </c>
      <c r="B11">
        <f t="shared" si="0"/>
        <v>2011</v>
      </c>
      <c r="C11">
        <f t="shared" si="1"/>
        <v>9</v>
      </c>
      <c r="D11" s="151">
        <f>Data!D10</f>
        <v>19896374.790000003</v>
      </c>
      <c r="E11" s="151">
        <f>Data!E10</f>
        <v>23207.745325324893</v>
      </c>
      <c r="F11" s="151">
        <f>Data!F10</f>
        <v>19919582.535325326</v>
      </c>
      <c r="G11" s="253">
        <f>Data!AP10</f>
        <v>22.400000000000006</v>
      </c>
      <c r="H11" s="129">
        <f>Data!AQ10</f>
        <v>73.7</v>
      </c>
      <c r="I11" s="32">
        <f>Data!BG10</f>
        <v>30</v>
      </c>
      <c r="J11" s="32">
        <f>Data!BX10</f>
        <v>1</v>
      </c>
      <c r="K11" s="32">
        <f>Data!BR10</f>
        <v>1</v>
      </c>
      <c r="L11" s="41">
        <f>Data!AA10</f>
        <v>27326</v>
      </c>
      <c r="M11" s="255">
        <f>Data!CG10</f>
        <v>0</v>
      </c>
      <c r="N11" s="78">
        <f>Data!CH10</f>
        <v>0</v>
      </c>
      <c r="O11" s="32">
        <f t="shared" si="6"/>
        <v>21122421.989654027</v>
      </c>
      <c r="P11" s="145">
        <f t="shared" si="3"/>
        <v>21099214.244328704</v>
      </c>
      <c r="Q11" s="32">
        <f t="shared" si="4"/>
        <v>1202839.4543287009</v>
      </c>
      <c r="R11" s="50">
        <f t="shared" si="5"/>
        <v>6.0384772230823065E-2</v>
      </c>
      <c r="AC11" s="130"/>
      <c r="AE11"/>
      <c r="AG11" s="74"/>
      <c r="AH11" s="69"/>
      <c r="AI11" s="39"/>
      <c r="AJ11" s="39"/>
      <c r="AL11" s="209"/>
      <c r="AM11" s="209"/>
      <c r="AN11" s="5"/>
      <c r="AO11" s="5"/>
      <c r="AP11" s="5"/>
      <c r="AQ11" s="5"/>
      <c r="AR11" s="5"/>
      <c r="AS11" s="28"/>
    </row>
    <row r="12" spans="1:45" ht="13.5" customHeight="1" x14ac:dyDescent="0.2">
      <c r="A12" s="2">
        <v>40817</v>
      </c>
      <c r="B12">
        <f t="shared" si="0"/>
        <v>2011</v>
      </c>
      <c r="C12">
        <f t="shared" si="1"/>
        <v>10</v>
      </c>
      <c r="D12" s="151">
        <f>Data!D11</f>
        <v>18244566.349999983</v>
      </c>
      <c r="E12" s="151">
        <f>Data!E11</f>
        <v>23207.745325324893</v>
      </c>
      <c r="F12" s="151">
        <f>Data!F11</f>
        <v>18267774.095325306</v>
      </c>
      <c r="G12" s="253">
        <f>Data!AP11</f>
        <v>180.70000000000002</v>
      </c>
      <c r="H12" s="129">
        <f>Data!AQ11</f>
        <v>9.6999999999999957</v>
      </c>
      <c r="I12" s="32">
        <f>Data!BG11</f>
        <v>31</v>
      </c>
      <c r="J12" s="32">
        <f>Data!BX11</f>
        <v>1</v>
      </c>
      <c r="K12" s="32">
        <f>Data!BR11</f>
        <v>0</v>
      </c>
      <c r="L12" s="41">
        <f>Data!AA11</f>
        <v>27440</v>
      </c>
      <c r="M12" s="255">
        <f>Data!CG11</f>
        <v>0</v>
      </c>
      <c r="N12" s="78">
        <f>Data!CH11</f>
        <v>0</v>
      </c>
      <c r="O12" s="32">
        <f t="shared" si="6"/>
        <v>18178258.058418937</v>
      </c>
      <c r="P12" s="145">
        <f t="shared" si="3"/>
        <v>18155050.313093614</v>
      </c>
      <c r="Q12" s="32">
        <f t="shared" si="4"/>
        <v>-89516.03690636903</v>
      </c>
      <c r="R12" s="50">
        <f t="shared" si="5"/>
        <v>4.9002158905214425E-3</v>
      </c>
      <c r="T12" t="s">
        <v>356</v>
      </c>
      <c r="Y12" s="315"/>
      <c r="Z12" s="315" t="s">
        <v>349</v>
      </c>
      <c r="AA12" s="315"/>
      <c r="AB12" s="315"/>
      <c r="AC12" s="316"/>
      <c r="AE12"/>
      <c r="AG12" s="74"/>
      <c r="AH12" s="69"/>
      <c r="AI12" s="39"/>
      <c r="AJ12" s="39"/>
      <c r="AL12" s="209"/>
      <c r="AM12" s="209"/>
      <c r="AN12" s="5"/>
      <c r="AO12" s="5"/>
      <c r="AP12" s="5"/>
      <c r="AQ12" s="5"/>
      <c r="AR12" s="5"/>
      <c r="AS12" s="28"/>
    </row>
    <row r="13" spans="1:45" x14ac:dyDescent="0.2">
      <c r="A13" s="2">
        <v>40848</v>
      </c>
      <c r="B13">
        <f t="shared" si="0"/>
        <v>2011</v>
      </c>
      <c r="C13">
        <f t="shared" si="1"/>
        <v>11</v>
      </c>
      <c r="D13" s="151">
        <f>Data!D12</f>
        <v>20183725.750000019</v>
      </c>
      <c r="E13" s="151">
        <f>Data!E12</f>
        <v>23207.745325324893</v>
      </c>
      <c r="F13" s="151">
        <f>Data!F12</f>
        <v>20206933.495325342</v>
      </c>
      <c r="G13" s="253">
        <f>Data!AP12</f>
        <v>281.89999999999998</v>
      </c>
      <c r="H13" s="129">
        <f>Data!AQ12</f>
        <v>0</v>
      </c>
      <c r="I13" s="32">
        <f>Data!BG12</f>
        <v>30</v>
      </c>
      <c r="J13" s="32">
        <f>Data!BX12</f>
        <v>1</v>
      </c>
      <c r="K13" s="32">
        <f>Data!BR12</f>
        <v>0</v>
      </c>
      <c r="L13" s="41">
        <f>Data!AA12</f>
        <v>27703</v>
      </c>
      <c r="M13" s="255">
        <f>Data!CG12</f>
        <v>0</v>
      </c>
      <c r="N13" s="78">
        <f>Data!CH12</f>
        <v>0</v>
      </c>
      <c r="O13" s="32">
        <f t="shared" si="6"/>
        <v>18003506.160173032</v>
      </c>
      <c r="P13" s="145">
        <f t="shared" si="3"/>
        <v>17980298.414847709</v>
      </c>
      <c r="Q13" s="32">
        <f t="shared" si="4"/>
        <v>-2203427.3351523094</v>
      </c>
      <c r="R13" s="50">
        <f t="shared" si="5"/>
        <v>0.10904313292573803</v>
      </c>
      <c r="Y13" s="315"/>
      <c r="Z13" s="315"/>
      <c r="AA13" s="315"/>
      <c r="AB13" s="315"/>
      <c r="AC13" s="316"/>
      <c r="AE13"/>
      <c r="AG13" s="74"/>
      <c r="AH13" s="69"/>
      <c r="AI13" s="39"/>
      <c r="AJ13" s="39"/>
      <c r="AL13" s="209"/>
      <c r="AM13" s="209"/>
      <c r="AN13" s="5"/>
      <c r="AO13" s="5"/>
      <c r="AP13" s="5"/>
      <c r="AQ13" s="5"/>
      <c r="AR13" s="5"/>
      <c r="AS13" s="28"/>
    </row>
    <row r="14" spans="1:45" ht="13.5" customHeight="1" x14ac:dyDescent="0.2">
      <c r="A14" s="2">
        <v>40878</v>
      </c>
      <c r="B14">
        <f t="shared" si="0"/>
        <v>2011</v>
      </c>
      <c r="C14">
        <f t="shared" si="1"/>
        <v>12</v>
      </c>
      <c r="D14" s="151">
        <f>Data!D13</f>
        <v>25085188.549999982</v>
      </c>
      <c r="E14" s="151">
        <f>Data!E13</f>
        <v>23207.745325324893</v>
      </c>
      <c r="F14" s="151">
        <f>Data!F13</f>
        <v>25108396.295325305</v>
      </c>
      <c r="G14" s="253">
        <f>Data!AP13</f>
        <v>472.00000000000006</v>
      </c>
      <c r="H14" s="129">
        <f>Data!AQ13</f>
        <v>0</v>
      </c>
      <c r="I14" s="32">
        <f>Data!BG13</f>
        <v>31</v>
      </c>
      <c r="J14" s="32">
        <f>Data!BX13</f>
        <v>0</v>
      </c>
      <c r="K14" s="32">
        <f>Data!BR13</f>
        <v>0</v>
      </c>
      <c r="L14" s="41">
        <f>Data!AA13</f>
        <v>27826</v>
      </c>
      <c r="M14" s="255">
        <f>Data!CG13</f>
        <v>0</v>
      </c>
      <c r="N14" s="78">
        <f>Data!CH13</f>
        <v>0</v>
      </c>
      <c r="O14" s="32">
        <f t="shared" si="6"/>
        <v>23308707.025824837</v>
      </c>
      <c r="P14" s="145">
        <f t="shared" si="3"/>
        <v>23285499.280499514</v>
      </c>
      <c r="Q14" s="32">
        <f t="shared" si="4"/>
        <v>-1799689.2695004679</v>
      </c>
      <c r="R14" s="50">
        <f t="shared" si="5"/>
        <v>7.1676790836519302E-2</v>
      </c>
      <c r="S14" t="s">
        <v>350</v>
      </c>
      <c r="W14" s="130"/>
      <c r="Y14" s="315" t="s">
        <v>280</v>
      </c>
      <c r="Z14" s="315"/>
      <c r="AA14" s="315"/>
      <c r="AB14" s="315"/>
      <c r="AC14" s="316"/>
      <c r="AE14"/>
      <c r="AG14" s="74"/>
      <c r="AH14" s="69"/>
      <c r="AI14" s="39"/>
      <c r="AJ14" s="39"/>
      <c r="AL14" s="209"/>
      <c r="AM14" s="209"/>
      <c r="AN14" s="5"/>
      <c r="AO14" s="5"/>
      <c r="AP14" s="5"/>
      <c r="AQ14" s="5"/>
      <c r="AR14" s="5"/>
      <c r="AS14" s="28"/>
    </row>
    <row r="15" spans="1:45" x14ac:dyDescent="0.2">
      <c r="A15" s="2">
        <v>40909</v>
      </c>
      <c r="B15">
        <f t="shared" si="0"/>
        <v>2012</v>
      </c>
      <c r="C15">
        <f t="shared" si="1"/>
        <v>1</v>
      </c>
      <c r="D15" s="151">
        <f>Data!D14</f>
        <v>22605358.370000012</v>
      </c>
      <c r="E15" s="151">
        <f>Data!E14</f>
        <v>60152.639777244323</v>
      </c>
      <c r="F15" s="151">
        <f>Data!F14</f>
        <v>22665511.009777255</v>
      </c>
      <c r="G15" s="253">
        <f>Data!AP14</f>
        <v>549.1</v>
      </c>
      <c r="H15" s="129">
        <f>Data!AQ14</f>
        <v>0</v>
      </c>
      <c r="I15" s="32">
        <f>Data!BG14</f>
        <v>31</v>
      </c>
      <c r="J15" s="32">
        <f>Data!BX14</f>
        <v>0</v>
      </c>
      <c r="K15" s="32">
        <f>Data!BR14</f>
        <v>0</v>
      </c>
      <c r="L15" s="41">
        <f>Data!AA14</f>
        <v>27984</v>
      </c>
      <c r="M15" s="255">
        <f>Data!CG14</f>
        <v>0</v>
      </c>
      <c r="N15" s="78">
        <f>Data!CH14</f>
        <v>0</v>
      </c>
      <c r="O15" s="32">
        <f t="shared" si="6"/>
        <v>24075174.581782162</v>
      </c>
      <c r="P15" s="145">
        <f t="shared" si="3"/>
        <v>24015021.942004919</v>
      </c>
      <c r="Q15" s="32">
        <f t="shared" si="4"/>
        <v>1409663.5720049068</v>
      </c>
      <c r="R15" s="50">
        <f t="shared" si="5"/>
        <v>6.2194210904700897E-2</v>
      </c>
      <c r="S15" t="s">
        <v>281</v>
      </c>
      <c r="Y15" s="315" t="s">
        <v>281</v>
      </c>
      <c r="Z15" s="315"/>
      <c r="AA15" s="315"/>
      <c r="AB15" s="315"/>
      <c r="AC15" s="315"/>
      <c r="AE15"/>
      <c r="AG15" s="74"/>
      <c r="AH15" s="69"/>
      <c r="AI15" s="39"/>
      <c r="AJ15" s="39"/>
      <c r="AL15" s="209"/>
      <c r="AM15" s="209"/>
      <c r="AN15" s="5"/>
      <c r="AO15" s="5"/>
      <c r="AP15" s="5"/>
      <c r="AQ15" s="5"/>
      <c r="AR15" s="5"/>
      <c r="AS15" s="28"/>
    </row>
    <row r="16" spans="1:45" x14ac:dyDescent="0.2">
      <c r="A16" s="2">
        <v>40940</v>
      </c>
      <c r="B16">
        <f t="shared" si="0"/>
        <v>2012</v>
      </c>
      <c r="C16">
        <f t="shared" si="1"/>
        <v>2</v>
      </c>
      <c r="D16" s="151">
        <f>Data!D15</f>
        <v>21671478.420000002</v>
      </c>
      <c r="E16" s="151">
        <f>Data!E15</f>
        <v>60152.639777244323</v>
      </c>
      <c r="F16" s="151">
        <f>Data!F15</f>
        <v>21731631.059777245</v>
      </c>
      <c r="G16" s="253">
        <f>Data!AP15</f>
        <v>473.70000000000005</v>
      </c>
      <c r="H16" s="129">
        <f>Data!AQ15</f>
        <v>0</v>
      </c>
      <c r="I16" s="32">
        <f>Data!BG15</f>
        <v>29</v>
      </c>
      <c r="J16" s="32">
        <f>Data!BX15</f>
        <v>0</v>
      </c>
      <c r="K16" s="32">
        <f>Data!BR15</f>
        <v>0</v>
      </c>
      <c r="L16" s="41">
        <f>Data!AA15</f>
        <v>28152</v>
      </c>
      <c r="M16" s="255">
        <f>Data!CG15</f>
        <v>0</v>
      </c>
      <c r="N16" s="78">
        <f>Data!CH15</f>
        <v>0</v>
      </c>
      <c r="O16" s="32">
        <f t="shared" si="6"/>
        <v>22115238.605460197</v>
      </c>
      <c r="P16" s="145">
        <f t="shared" si="3"/>
        <v>22055085.965682954</v>
      </c>
      <c r="Q16" s="32">
        <f t="shared" si="4"/>
        <v>383607.54568295181</v>
      </c>
      <c r="R16" s="50">
        <f t="shared" si="5"/>
        <v>1.7652036546532641E-2</v>
      </c>
      <c r="S16" t="s">
        <v>351</v>
      </c>
      <c r="Y16" s="315" t="s">
        <v>282</v>
      </c>
      <c r="Z16" s="315"/>
      <c r="AA16" s="315"/>
      <c r="AB16" s="315"/>
      <c r="AC16" s="315"/>
      <c r="AE16"/>
      <c r="AG16" s="74"/>
      <c r="AH16" s="69"/>
      <c r="AI16" s="39"/>
      <c r="AJ16" s="39"/>
      <c r="AL16" s="209"/>
      <c r="AM16" s="209"/>
      <c r="AN16" s="5"/>
      <c r="AO16" s="5"/>
      <c r="AP16" s="5"/>
      <c r="AQ16" s="5"/>
      <c r="AR16" s="35"/>
      <c r="AS16" s="28"/>
    </row>
    <row r="17" spans="1:46" x14ac:dyDescent="0.2">
      <c r="A17" s="2">
        <v>40969</v>
      </c>
      <c r="B17">
        <f t="shared" si="0"/>
        <v>2012</v>
      </c>
      <c r="C17">
        <f t="shared" si="1"/>
        <v>3</v>
      </c>
      <c r="D17" s="151">
        <f>Data!D16</f>
        <v>19949861.740000002</v>
      </c>
      <c r="E17" s="151">
        <f>Data!E16</f>
        <v>60152.639777244323</v>
      </c>
      <c r="F17" s="151">
        <f>Data!F16</f>
        <v>20010014.379777245</v>
      </c>
      <c r="G17" s="253">
        <f>Data!AP16</f>
        <v>290.2</v>
      </c>
      <c r="H17" s="129">
        <f>Data!AQ16</f>
        <v>3</v>
      </c>
      <c r="I17" s="32">
        <f>Data!BG16</f>
        <v>31</v>
      </c>
      <c r="J17" s="32">
        <f>Data!BX16</f>
        <v>1</v>
      </c>
      <c r="K17" s="32">
        <f>Data!BR16</f>
        <v>0</v>
      </c>
      <c r="L17" s="41">
        <f>Data!AA16</f>
        <v>28320</v>
      </c>
      <c r="M17" s="255">
        <f>Data!CG16</f>
        <v>0</v>
      </c>
      <c r="N17" s="78">
        <f>Data!CH16</f>
        <v>0</v>
      </c>
      <c r="O17" s="32">
        <f t="shared" si="6"/>
        <v>19297999.801098853</v>
      </c>
      <c r="P17" s="145">
        <f t="shared" si="3"/>
        <v>19237847.16132161</v>
      </c>
      <c r="Q17" s="32">
        <f t="shared" si="4"/>
        <v>-712014.57867839187</v>
      </c>
      <c r="R17" s="50">
        <f t="shared" si="5"/>
        <v>3.558291189425513E-2</v>
      </c>
      <c r="Y17" s="315"/>
      <c r="Z17" s="315"/>
      <c r="AA17" s="315"/>
      <c r="AB17" s="315"/>
      <c r="AC17" s="315"/>
      <c r="AE17"/>
      <c r="AG17" s="74"/>
      <c r="AH17" s="69"/>
      <c r="AI17" s="39"/>
      <c r="AJ17" s="39"/>
      <c r="AL17" s="209"/>
      <c r="AM17" s="209"/>
      <c r="AN17" s="5"/>
      <c r="AO17" s="5"/>
      <c r="AP17" s="5"/>
      <c r="AQ17" s="5"/>
      <c r="AR17" s="5"/>
      <c r="AS17" s="28"/>
    </row>
    <row r="18" spans="1:46" x14ac:dyDescent="0.2">
      <c r="A18" s="2">
        <v>41000</v>
      </c>
      <c r="B18">
        <f t="shared" si="0"/>
        <v>2012</v>
      </c>
      <c r="C18">
        <f t="shared" si="1"/>
        <v>4</v>
      </c>
      <c r="D18" s="151">
        <f>Data!D17</f>
        <v>18851854.700000014</v>
      </c>
      <c r="E18" s="151">
        <f>Data!E17</f>
        <v>60152.639777244323</v>
      </c>
      <c r="F18" s="151">
        <f>Data!F17</f>
        <v>18912007.339777257</v>
      </c>
      <c r="G18" s="253">
        <f>Data!AP17</f>
        <v>263.10000000000002</v>
      </c>
      <c r="H18" s="129">
        <f>Data!AQ17</f>
        <v>1.3999999999999986</v>
      </c>
      <c r="I18" s="32">
        <f>Data!BG17</f>
        <v>30</v>
      </c>
      <c r="J18" s="32">
        <f>Data!BX17</f>
        <v>1</v>
      </c>
      <c r="K18" s="32">
        <f>Data!BR17</f>
        <v>0</v>
      </c>
      <c r="L18" s="41">
        <f>Data!AA17</f>
        <v>28570</v>
      </c>
      <c r="M18" s="255">
        <f>Data!CG17</f>
        <v>0</v>
      </c>
      <c r="N18" s="78">
        <f>Data!CH17</f>
        <v>0</v>
      </c>
      <c r="O18" s="32">
        <f t="shared" si="6"/>
        <v>18423624.943382394</v>
      </c>
      <c r="P18" s="145">
        <f t="shared" si="3"/>
        <v>18363472.30360515</v>
      </c>
      <c r="Q18" s="32">
        <f t="shared" si="4"/>
        <v>-488382.39639486372</v>
      </c>
      <c r="R18" s="50">
        <f t="shared" si="5"/>
        <v>2.5823932257453101E-2</v>
      </c>
      <c r="T18" t="s">
        <v>135</v>
      </c>
      <c r="U18" t="s">
        <v>136</v>
      </c>
      <c r="V18" t="s">
        <v>137</v>
      </c>
      <c r="W18" t="s">
        <v>138</v>
      </c>
      <c r="Y18" s="315"/>
      <c r="Z18" s="315" t="s">
        <v>135</v>
      </c>
      <c r="AA18" s="315" t="s">
        <v>136</v>
      </c>
      <c r="AB18" s="315" t="s">
        <v>137</v>
      </c>
      <c r="AC18" s="315" t="s">
        <v>138</v>
      </c>
      <c r="AE18"/>
      <c r="AF18" s="51"/>
      <c r="AG18" s="69"/>
      <c r="AH18" s="70"/>
      <c r="AI18" s="39"/>
      <c r="AL18" s="60"/>
      <c r="AM18" s="71"/>
      <c r="AN18" s="71"/>
      <c r="AO18" s="71"/>
      <c r="AP18" s="5"/>
      <c r="AQ18" s="5"/>
      <c r="AS18" s="28"/>
    </row>
    <row r="19" spans="1:46" x14ac:dyDescent="0.2">
      <c r="A19" s="2">
        <v>41030</v>
      </c>
      <c r="B19">
        <f t="shared" si="0"/>
        <v>2012</v>
      </c>
      <c r="C19">
        <f t="shared" si="1"/>
        <v>5</v>
      </c>
      <c r="D19" s="151">
        <f>Data!D18</f>
        <v>18991152.079999991</v>
      </c>
      <c r="E19" s="151">
        <f>Data!E18</f>
        <v>60152.639777244323</v>
      </c>
      <c r="F19" s="151">
        <f>Data!F18</f>
        <v>19051304.719777234</v>
      </c>
      <c r="G19" s="253">
        <f>Data!AP18</f>
        <v>46.199999999999989</v>
      </c>
      <c r="H19" s="129">
        <f>Data!AQ18</f>
        <v>64.199999999999989</v>
      </c>
      <c r="I19" s="32">
        <f>Data!BG18</f>
        <v>31</v>
      </c>
      <c r="J19" s="32">
        <f>Data!BX18</f>
        <v>1</v>
      </c>
      <c r="K19" s="32">
        <f>Data!BR18</f>
        <v>0</v>
      </c>
      <c r="L19" s="41">
        <f>Data!AA18</f>
        <v>28755</v>
      </c>
      <c r="M19" s="255">
        <f>Data!CG18</f>
        <v>0</v>
      </c>
      <c r="N19" s="78">
        <f>Data!CH18</f>
        <v>0</v>
      </c>
      <c r="O19" s="32">
        <f t="shared" si="6"/>
        <v>20662080.877335876</v>
      </c>
      <c r="P19" s="145">
        <f t="shared" si="3"/>
        <v>20601928.237558633</v>
      </c>
      <c r="Q19" s="32">
        <f t="shared" si="4"/>
        <v>1610776.1575586423</v>
      </c>
      <c r="R19" s="50">
        <f t="shared" si="5"/>
        <v>8.4549388152218741E-2</v>
      </c>
      <c r="S19" t="s">
        <v>139</v>
      </c>
      <c r="T19">
        <v>-18892736.902284101</v>
      </c>
      <c r="U19">
        <v>5185536.8876383696</v>
      </c>
      <c r="V19">
        <v>-3.6433521372342099</v>
      </c>
      <c r="W19">
        <v>3.9520076722873601E-4</v>
      </c>
      <c r="Y19" s="315" t="s">
        <v>139</v>
      </c>
      <c r="Z19" s="315">
        <v>-18893263.306903001</v>
      </c>
      <c r="AA19" s="315">
        <v>5185235.7900725901</v>
      </c>
      <c r="AB19" s="315">
        <v>-3.6436652202152802</v>
      </c>
      <c r="AC19" s="315">
        <v>3.9476725714889698E-4</v>
      </c>
      <c r="AE19"/>
      <c r="AF19" s="74"/>
      <c r="AG19" s="69"/>
      <c r="AH19" s="51"/>
      <c r="AI19" s="77"/>
      <c r="AJ19" s="77"/>
      <c r="AK19" s="1"/>
      <c r="AN19" s="5"/>
      <c r="AO19" s="5"/>
      <c r="AP19" s="5"/>
      <c r="AQ19" s="5"/>
    </row>
    <row r="20" spans="1:46" x14ac:dyDescent="0.2">
      <c r="A20" s="2">
        <v>41061</v>
      </c>
      <c r="B20">
        <f t="shared" si="0"/>
        <v>2012</v>
      </c>
      <c r="C20">
        <f t="shared" si="1"/>
        <v>6</v>
      </c>
      <c r="D20" s="151">
        <f>Data!D19</f>
        <v>27898710.519999996</v>
      </c>
      <c r="E20" s="151">
        <f>Data!E19</f>
        <v>60152.639777244323</v>
      </c>
      <c r="F20" s="151">
        <f>Data!F19</f>
        <v>27958863.159777239</v>
      </c>
      <c r="G20" s="253">
        <f>Data!AP19</f>
        <v>9.6</v>
      </c>
      <c r="H20" s="129">
        <f>Data!AQ19</f>
        <v>148</v>
      </c>
      <c r="I20" s="32">
        <f>Data!BG19</f>
        <v>30</v>
      </c>
      <c r="J20" s="32">
        <f>Data!BX19</f>
        <v>0</v>
      </c>
      <c r="K20" s="32">
        <f>Data!BR19</f>
        <v>0</v>
      </c>
      <c r="L20" s="41">
        <f>Data!AA19</f>
        <v>28856</v>
      </c>
      <c r="M20" s="255">
        <f>Data!CG19</f>
        <v>0</v>
      </c>
      <c r="N20" s="78">
        <f>Data!CH19</f>
        <v>0</v>
      </c>
      <c r="O20" s="32">
        <f t="shared" si="6"/>
        <v>27009637.321441893</v>
      </c>
      <c r="P20" s="145">
        <f t="shared" si="3"/>
        <v>26949484.681664649</v>
      </c>
      <c r="Q20" s="32">
        <f t="shared" si="4"/>
        <v>-949225.83833534643</v>
      </c>
      <c r="R20" s="50">
        <f t="shared" si="5"/>
        <v>3.3950802395318468E-2</v>
      </c>
      <c r="S20" t="s">
        <v>113</v>
      </c>
      <c r="T20">
        <v>8735.1953265126594</v>
      </c>
      <c r="U20">
        <v>955.17340067697796</v>
      </c>
      <c r="V20">
        <v>9.1451408930793008</v>
      </c>
      <c r="W20" s="130">
        <v>1.55543222650303E-15</v>
      </c>
      <c r="Y20" s="315" t="s">
        <v>113</v>
      </c>
      <c r="Z20" s="315">
        <v>8735.5477451992792</v>
      </c>
      <c r="AA20" s="315">
        <v>955.16207542171696</v>
      </c>
      <c r="AB20" s="315">
        <v>9.1456182882286399</v>
      </c>
      <c r="AC20" s="316">
        <v>1.5513487993009601E-15</v>
      </c>
      <c r="AE20"/>
      <c r="AF20" s="74"/>
      <c r="AG20" s="212"/>
      <c r="AH20" s="212"/>
      <c r="AI20" s="39"/>
      <c r="AK20" s="1"/>
      <c r="AN20" s="5"/>
      <c r="AO20" s="5"/>
      <c r="AP20" s="5"/>
      <c r="AQ20" s="5"/>
    </row>
    <row r="21" spans="1:46" x14ac:dyDescent="0.2">
      <c r="A21" s="2">
        <v>41091</v>
      </c>
      <c r="B21">
        <f t="shared" si="0"/>
        <v>2012</v>
      </c>
      <c r="C21">
        <f t="shared" si="1"/>
        <v>7</v>
      </c>
      <c r="D21" s="151">
        <f>Data!D20</f>
        <v>33515927.190000005</v>
      </c>
      <c r="E21" s="151">
        <f>Data!E20</f>
        <v>60152.639777244323</v>
      </c>
      <c r="F21" s="151">
        <f>Data!F20</f>
        <v>33576079.829777248</v>
      </c>
      <c r="G21" s="253">
        <f>Data!AP20</f>
        <v>0</v>
      </c>
      <c r="H21" s="129">
        <f>Data!AQ20</f>
        <v>257.39999999999998</v>
      </c>
      <c r="I21" s="32">
        <f>Data!BG20</f>
        <v>31</v>
      </c>
      <c r="J21" s="32">
        <f>Data!BX20</f>
        <v>0</v>
      </c>
      <c r="K21" s="32">
        <f>Data!BR20</f>
        <v>0</v>
      </c>
      <c r="L21" s="41">
        <f>Data!AA20</f>
        <v>28963</v>
      </c>
      <c r="M21" s="255">
        <f>Data!CG20</f>
        <v>0</v>
      </c>
      <c r="N21" s="78">
        <f>Data!CH20</f>
        <v>0</v>
      </c>
      <c r="O21" s="32">
        <f t="shared" si="6"/>
        <v>33479649.868677016</v>
      </c>
      <c r="P21" s="145">
        <f t="shared" si="3"/>
        <v>33419497.228899773</v>
      </c>
      <c r="Q21" s="32">
        <f t="shared" si="4"/>
        <v>-96429.961100231856</v>
      </c>
      <c r="R21" s="50">
        <f t="shared" si="5"/>
        <v>2.871983912032282E-3</v>
      </c>
      <c r="S21" t="s">
        <v>114</v>
      </c>
      <c r="T21">
        <v>52932.491715269898</v>
      </c>
      <c r="U21">
        <v>3453.7667894875899</v>
      </c>
      <c r="V21">
        <v>15.3260179223401</v>
      </c>
      <c r="W21" s="130">
        <v>2.6275464431370299E-30</v>
      </c>
      <c r="Y21" s="315" t="s">
        <v>114</v>
      </c>
      <c r="Z21" s="315">
        <v>52933.346861410202</v>
      </c>
      <c r="AA21" s="315">
        <v>3453.72029547191</v>
      </c>
      <c r="AB21" s="315">
        <v>15.3264718427864</v>
      </c>
      <c r="AC21" s="316">
        <v>2.6212456298096899E-30</v>
      </c>
      <c r="AE21"/>
      <c r="AF21" s="51"/>
      <c r="AG21" s="69"/>
      <c r="AH21" s="51"/>
      <c r="AI21" s="39"/>
      <c r="AK21" s="1"/>
      <c r="AN21" s="5"/>
      <c r="AO21" s="5"/>
      <c r="AP21" s="5"/>
      <c r="AQ21" s="5"/>
    </row>
    <row r="22" spans="1:46" x14ac:dyDescent="0.2">
      <c r="A22" s="2">
        <v>41122</v>
      </c>
      <c r="B22">
        <f t="shared" si="0"/>
        <v>2012</v>
      </c>
      <c r="C22">
        <f t="shared" si="1"/>
        <v>8</v>
      </c>
      <c r="D22" s="151">
        <f>Data!D21</f>
        <v>29969286.820000008</v>
      </c>
      <c r="E22" s="151">
        <f>Data!E21</f>
        <v>60152.639777244323</v>
      </c>
      <c r="F22" s="151">
        <f>Data!F21</f>
        <v>30029439.459777251</v>
      </c>
      <c r="G22" s="253">
        <f>Data!AP21</f>
        <v>0</v>
      </c>
      <c r="H22" s="129">
        <f>Data!AQ21</f>
        <v>172.1</v>
      </c>
      <c r="I22" s="32">
        <f>Data!BG21</f>
        <v>31</v>
      </c>
      <c r="J22" s="32">
        <f>Data!BX21</f>
        <v>0</v>
      </c>
      <c r="K22" s="32">
        <f>Data!BR21</f>
        <v>0</v>
      </c>
      <c r="L22" s="41">
        <f>Data!AA21</f>
        <v>29039</v>
      </c>
      <c r="M22" s="255">
        <f>Data!CG21</f>
        <v>0</v>
      </c>
      <c r="N22" s="78">
        <f>Data!CH21</f>
        <v>0</v>
      </c>
      <c r="O22" s="32">
        <f t="shared" si="6"/>
        <v>29009234.804589324</v>
      </c>
      <c r="P22" s="145">
        <f t="shared" si="3"/>
        <v>28949082.164812081</v>
      </c>
      <c r="Q22" s="32">
        <f t="shared" si="4"/>
        <v>-1020204.6551879272</v>
      </c>
      <c r="R22" s="50">
        <f t="shared" si="5"/>
        <v>3.3973483139917882E-2</v>
      </c>
      <c r="S22" t="s">
        <v>34</v>
      </c>
      <c r="T22">
        <v>700085.65402100503</v>
      </c>
      <c r="U22">
        <v>167164.851737177</v>
      </c>
      <c r="V22">
        <v>4.1879955429967204</v>
      </c>
      <c r="W22" s="130">
        <v>5.3201429036835201E-5</v>
      </c>
      <c r="Y22" s="315" t="s">
        <v>34</v>
      </c>
      <c r="Z22" s="315">
        <v>700140.39219496294</v>
      </c>
      <c r="AA22" s="315">
        <v>167154.58775368199</v>
      </c>
      <c r="AB22" s="315">
        <v>4.1885801736215802</v>
      </c>
      <c r="AC22" s="316">
        <v>5.3081721144805101E-5</v>
      </c>
      <c r="AE22"/>
      <c r="AF22" s="51"/>
      <c r="AG22" s="69"/>
      <c r="AH22" s="51"/>
      <c r="AI22" s="39"/>
      <c r="AK22" s="72"/>
      <c r="AL22" s="72"/>
      <c r="AM22" s="72"/>
      <c r="AN22" s="72"/>
      <c r="AO22" s="72"/>
      <c r="AP22" s="72"/>
      <c r="AQ22" s="5"/>
    </row>
    <row r="23" spans="1:46" x14ac:dyDescent="0.2">
      <c r="A23" s="2">
        <v>41153</v>
      </c>
      <c r="B23">
        <f t="shared" si="0"/>
        <v>2012</v>
      </c>
      <c r="C23">
        <f t="shared" si="1"/>
        <v>9</v>
      </c>
      <c r="D23" s="151">
        <f>Data!D22</f>
        <v>21178062.030000005</v>
      </c>
      <c r="E23" s="151">
        <f>Data!E22</f>
        <v>60152.639777244323</v>
      </c>
      <c r="F23" s="151">
        <f>Data!F22</f>
        <v>21238214.669777248</v>
      </c>
      <c r="G23" s="253">
        <f>Data!AP22</f>
        <v>48.300000000000011</v>
      </c>
      <c r="H23" s="129">
        <f>Data!AQ22</f>
        <v>58.899999999999991</v>
      </c>
      <c r="I23" s="32">
        <f>Data!BG22</f>
        <v>30</v>
      </c>
      <c r="J23" s="32">
        <f>Data!BX22</f>
        <v>1</v>
      </c>
      <c r="K23" s="32">
        <f>Data!BR22</f>
        <v>1</v>
      </c>
      <c r="L23" s="41">
        <f>Data!AA22</f>
        <v>29133</v>
      </c>
      <c r="M23" s="255">
        <f>Data!CG22</f>
        <v>0</v>
      </c>
      <c r="N23" s="78">
        <f>Data!CH22</f>
        <v>0</v>
      </c>
      <c r="O23" s="32">
        <f t="shared" si="6"/>
        <v>21628693.565425608</v>
      </c>
      <c r="P23" s="145">
        <f t="shared" si="3"/>
        <v>21568540.925648365</v>
      </c>
      <c r="Q23" s="32">
        <f t="shared" si="4"/>
        <v>390478.89564836025</v>
      </c>
      <c r="R23" s="50">
        <f t="shared" si="5"/>
        <v>1.8385674206600141E-2</v>
      </c>
      <c r="S23" t="s">
        <v>51</v>
      </c>
      <c r="T23">
        <v>-2872168.3044731901</v>
      </c>
      <c r="U23">
        <v>364288.28144099098</v>
      </c>
      <c r="V23">
        <v>-7.8843280193146601</v>
      </c>
      <c r="W23" s="130">
        <v>1.44918884190066E-12</v>
      </c>
      <c r="Y23" s="315" t="s">
        <v>51</v>
      </c>
      <c r="Z23" s="315">
        <v>-2872240.8640193399</v>
      </c>
      <c r="AA23" s="315">
        <v>364282.109347158</v>
      </c>
      <c r="AB23" s="315">
        <v>-7.8846607898663397</v>
      </c>
      <c r="AC23" s="316">
        <v>1.44662653707938E-12</v>
      </c>
      <c r="AE23"/>
      <c r="AF23" s="51"/>
      <c r="AG23" s="69"/>
      <c r="AH23" s="51"/>
      <c r="AI23" s="39"/>
      <c r="AK23" s="72"/>
      <c r="AL23" s="72"/>
      <c r="AM23" s="72"/>
      <c r="AN23" s="72"/>
      <c r="AO23" s="72"/>
      <c r="AP23" s="72"/>
      <c r="AQ23" s="5"/>
    </row>
    <row r="24" spans="1:46" x14ac:dyDescent="0.2">
      <c r="A24" s="2">
        <v>41183</v>
      </c>
      <c r="B24">
        <f t="shared" si="0"/>
        <v>2012</v>
      </c>
      <c r="C24">
        <f t="shared" si="1"/>
        <v>10</v>
      </c>
      <c r="D24" s="151">
        <f>Data!D23</f>
        <v>19579886.000000007</v>
      </c>
      <c r="E24" s="151">
        <f>Data!E23</f>
        <v>60152.639777244323</v>
      </c>
      <c r="F24" s="151">
        <f>Data!F23</f>
        <v>19640038.639777251</v>
      </c>
      <c r="G24" s="253">
        <f>Data!AP23</f>
        <v>183.9</v>
      </c>
      <c r="H24" s="129">
        <f>Data!AQ23</f>
        <v>4.5</v>
      </c>
      <c r="I24" s="32">
        <f>Data!BG23</f>
        <v>31</v>
      </c>
      <c r="J24" s="32">
        <f>Data!BX23</f>
        <v>1</v>
      </c>
      <c r="K24" s="32">
        <f>Data!BR23</f>
        <v>0</v>
      </c>
      <c r="L24" s="41">
        <f>Data!AA23</f>
        <v>29289</v>
      </c>
      <c r="M24" s="255">
        <f>Data!CG23</f>
        <v>0</v>
      </c>
      <c r="N24" s="78">
        <f>Data!CH23</f>
        <v>0</v>
      </c>
      <c r="O24" s="32">
        <f t="shared" si="6"/>
        <v>19019109.885580048</v>
      </c>
      <c r="P24" s="145">
        <f t="shared" si="3"/>
        <v>18958957.245802805</v>
      </c>
      <c r="Q24" s="32">
        <f t="shared" si="4"/>
        <v>-620928.75419720262</v>
      </c>
      <c r="R24" s="50">
        <f t="shared" si="5"/>
        <v>3.1615454815838641E-2</v>
      </c>
      <c r="S24" t="s">
        <v>45</v>
      </c>
      <c r="T24">
        <v>1706441.2545030201</v>
      </c>
      <c r="U24">
        <v>497377.36926863599</v>
      </c>
      <c r="V24">
        <v>3.43087836306715</v>
      </c>
      <c r="W24" s="130">
        <v>8.1974804307166204E-4</v>
      </c>
      <c r="Y24" s="315" t="s">
        <v>45</v>
      </c>
      <c r="Z24" s="315">
        <v>1706351.3837903</v>
      </c>
      <c r="AA24" s="315">
        <v>497363.92251725</v>
      </c>
      <c r="AB24" s="315">
        <v>3.4307904263625302</v>
      </c>
      <c r="AC24" s="316">
        <v>8.1999039110360495E-4</v>
      </c>
      <c r="AE24"/>
      <c r="AF24" s="51"/>
      <c r="AG24" s="69"/>
      <c r="AH24" s="51"/>
      <c r="AI24" s="39"/>
      <c r="AK24" s="204"/>
      <c r="AL24" s="204"/>
      <c r="AM24" s="204"/>
      <c r="AN24" s="67"/>
      <c r="AO24" s="67"/>
      <c r="AP24" s="67"/>
      <c r="AQ24" s="5"/>
    </row>
    <row r="25" spans="1:46" x14ac:dyDescent="0.2">
      <c r="A25" s="2">
        <v>41214</v>
      </c>
      <c r="B25">
        <f t="shared" si="0"/>
        <v>2012</v>
      </c>
      <c r="C25">
        <f t="shared" si="1"/>
        <v>11</v>
      </c>
      <c r="D25" s="151">
        <f>Data!D24</f>
        <v>21421956.510000002</v>
      </c>
      <c r="E25" s="151">
        <f>Data!E24</f>
        <v>60152.639777244323</v>
      </c>
      <c r="F25" s="151">
        <f>Data!F24</f>
        <v>21482109.149777245</v>
      </c>
      <c r="G25" s="253">
        <f>Data!AP24</f>
        <v>373.99999999999994</v>
      </c>
      <c r="H25" s="129">
        <f>Data!AQ24</f>
        <v>0</v>
      </c>
      <c r="I25" s="32">
        <f>Data!BG24</f>
        <v>30</v>
      </c>
      <c r="J25" s="32">
        <f>Data!BX24</f>
        <v>1</v>
      </c>
      <c r="K25" s="32">
        <f>Data!BR24</f>
        <v>0</v>
      </c>
      <c r="L25" s="41">
        <f>Data!AA24</f>
        <v>29378</v>
      </c>
      <c r="M25" s="255">
        <f>Data!CG24</f>
        <v>0</v>
      </c>
      <c r="N25" s="78">
        <f>Data!CH24</f>
        <v>0</v>
      </c>
      <c r="O25" s="32">
        <f t="shared" si="6"/>
        <v>19793765.711607885</v>
      </c>
      <c r="P25" s="145">
        <f t="shared" si="3"/>
        <v>19733613.071830641</v>
      </c>
      <c r="Q25" s="32">
        <f t="shared" si="4"/>
        <v>-1688343.4381693602</v>
      </c>
      <c r="R25" s="50">
        <f t="shared" si="5"/>
        <v>7.8593001571582985E-2</v>
      </c>
      <c r="S25" t="s">
        <v>26</v>
      </c>
      <c r="T25">
        <v>588.50630558987302</v>
      </c>
      <c r="U25">
        <v>38.0701712054043</v>
      </c>
      <c r="V25">
        <v>15.458462280472499</v>
      </c>
      <c r="W25" s="130">
        <v>1.3053892766067999E-30</v>
      </c>
      <c r="Y25" s="315" t="s">
        <v>26</v>
      </c>
      <c r="Z25" s="315">
        <v>588.46728649549095</v>
      </c>
      <c r="AA25" s="315">
        <v>38.071823410709797</v>
      </c>
      <c r="AB25" s="315">
        <v>15.456766547460701</v>
      </c>
      <c r="AC25" s="316">
        <v>1.31711731993705E-30</v>
      </c>
      <c r="AE25" s="2"/>
      <c r="AF25" s="51"/>
      <c r="AG25" s="69"/>
      <c r="AH25" s="73"/>
      <c r="AI25" s="2"/>
      <c r="AJ25" s="39"/>
      <c r="AM25" s="2"/>
      <c r="AN25" s="74"/>
      <c r="AO25" s="74"/>
      <c r="AP25" s="74"/>
      <c r="AQ25" s="2"/>
      <c r="AR25" s="74"/>
      <c r="AS25" s="74"/>
      <c r="AT25" s="5"/>
    </row>
    <row r="26" spans="1:46" x14ac:dyDescent="0.2">
      <c r="A26" s="2">
        <v>41244</v>
      </c>
      <c r="B26">
        <f t="shared" si="0"/>
        <v>2012</v>
      </c>
      <c r="C26">
        <f t="shared" si="1"/>
        <v>12</v>
      </c>
      <c r="D26" s="151">
        <f>Data!D25</f>
        <v>25587420.26999997</v>
      </c>
      <c r="E26" s="151">
        <f>Data!E25</f>
        <v>60152.639777244323</v>
      </c>
      <c r="F26" s="151">
        <f>Data!F25</f>
        <v>25647572.909777213</v>
      </c>
      <c r="G26" s="253">
        <f>Data!AP25</f>
        <v>471.50000000000006</v>
      </c>
      <c r="H26" s="129">
        <f>Data!AQ25</f>
        <v>0</v>
      </c>
      <c r="I26" s="32">
        <f>Data!BG25</f>
        <v>31</v>
      </c>
      <c r="J26" s="32">
        <f>Data!BX25</f>
        <v>0</v>
      </c>
      <c r="K26" s="32">
        <f>Data!BR25</f>
        <v>0</v>
      </c>
      <c r="L26" s="41">
        <f>Data!AA25</f>
        <v>29614</v>
      </c>
      <c r="M26" s="255">
        <f>Data!CG25</f>
        <v>0</v>
      </c>
      <c r="N26" s="78">
        <f>Data!CH25</f>
        <v>0</v>
      </c>
      <c r="O26" s="32">
        <f t="shared" si="6"/>
        <v>24356588.702556275</v>
      </c>
      <c r="P26" s="145">
        <f t="shared" si="3"/>
        <v>24296436.062779032</v>
      </c>
      <c r="Q26" s="32">
        <f t="shared" si="4"/>
        <v>-1290984.2072209381</v>
      </c>
      <c r="R26" s="50">
        <f t="shared" si="5"/>
        <v>5.033553123183819E-2</v>
      </c>
      <c r="S26" t="s">
        <v>283</v>
      </c>
      <c r="T26">
        <v>3583.1468978574599</v>
      </c>
      <c r="U26">
        <v>1128.5185962640501</v>
      </c>
      <c r="V26">
        <v>3.1750889260659498</v>
      </c>
      <c r="W26">
        <v>1.8932264723428699E-3</v>
      </c>
      <c r="Y26" s="315" t="s">
        <v>283</v>
      </c>
      <c r="Z26" s="315">
        <v>3576.4087557058901</v>
      </c>
      <c r="AA26" s="315">
        <v>1128.55821394485</v>
      </c>
      <c r="AB26" s="315">
        <v>3.1690068899544301</v>
      </c>
      <c r="AC26" s="315">
        <v>1.9302008059125699E-3</v>
      </c>
      <c r="AE26" s="2"/>
      <c r="AF26" s="51"/>
      <c r="AG26" s="69"/>
      <c r="AH26" s="73"/>
      <c r="AI26" s="2"/>
      <c r="AJ26" s="39"/>
      <c r="AM26" s="2"/>
      <c r="AN26" s="74"/>
      <c r="AO26" s="74"/>
      <c r="AP26" s="74"/>
      <c r="AQ26" s="2"/>
      <c r="AR26" s="74"/>
      <c r="AS26" s="74"/>
      <c r="AT26" s="5"/>
    </row>
    <row r="27" spans="1:46" x14ac:dyDescent="0.2">
      <c r="A27" s="2">
        <v>41275</v>
      </c>
      <c r="B27">
        <f t="shared" si="0"/>
        <v>2013</v>
      </c>
      <c r="C27">
        <f t="shared" si="1"/>
        <v>1</v>
      </c>
      <c r="D27" s="151">
        <f>Data!D26</f>
        <v>24654099.019999988</v>
      </c>
      <c r="E27" s="151">
        <f>Data!E26</f>
        <v>89162.051531255813</v>
      </c>
      <c r="F27" s="151">
        <f>Data!F26</f>
        <v>24743261.071531244</v>
      </c>
      <c r="G27" s="253">
        <f>Data!AP26</f>
        <v>562.50000000000011</v>
      </c>
      <c r="H27" s="129">
        <f>Data!AQ26</f>
        <v>0</v>
      </c>
      <c r="I27" s="32">
        <f>Data!BG26</f>
        <v>31</v>
      </c>
      <c r="J27" s="32">
        <f>Data!BX26</f>
        <v>0</v>
      </c>
      <c r="K27" s="32">
        <f>Data!BR26</f>
        <v>0</v>
      </c>
      <c r="L27" s="41">
        <f>Data!AA26</f>
        <v>29835</v>
      </c>
      <c r="M27" s="255">
        <f>Data!CG26</f>
        <v>0</v>
      </c>
      <c r="N27" s="78">
        <f>Data!CH26</f>
        <v>0</v>
      </c>
      <c r="O27" s="32">
        <f t="shared" si="6"/>
        <v>25281551.370804287</v>
      </c>
      <c r="P27" s="145">
        <f t="shared" si="3"/>
        <v>25192389.319273032</v>
      </c>
      <c r="Q27" s="32">
        <f t="shared" si="4"/>
        <v>538290.29927304387</v>
      </c>
      <c r="R27" s="50">
        <f t="shared" si="5"/>
        <v>2.1755026458189154E-2</v>
      </c>
      <c r="S27" t="s">
        <v>284</v>
      </c>
      <c r="T27">
        <v>24547.497590356401</v>
      </c>
      <c r="U27">
        <v>3130.8789125877402</v>
      </c>
      <c r="V27">
        <v>7.8404493676401197</v>
      </c>
      <c r="W27" s="130">
        <v>1.8296999297249899E-12</v>
      </c>
      <c r="Y27" s="315" t="s">
        <v>284</v>
      </c>
      <c r="Z27" s="315">
        <v>24534.8158289153</v>
      </c>
      <c r="AA27" s="315">
        <v>3130.9815657572599</v>
      </c>
      <c r="AB27" s="315">
        <v>7.8361418978783597</v>
      </c>
      <c r="AC27" s="316">
        <v>1.8720205917012902E-12</v>
      </c>
      <c r="AE27" s="2"/>
      <c r="AF27" s="51"/>
      <c r="AG27" s="213"/>
      <c r="AH27" s="73"/>
      <c r="AI27" s="2"/>
      <c r="AJ27" s="39"/>
      <c r="AM27" s="2"/>
      <c r="AN27" s="74"/>
      <c r="AO27" s="5"/>
      <c r="AP27" s="5"/>
      <c r="AQ27" s="2"/>
      <c r="AR27" s="74"/>
      <c r="AS27" s="5"/>
      <c r="AT27" s="5"/>
    </row>
    <row r="28" spans="1:46" x14ac:dyDescent="0.2">
      <c r="A28" s="2">
        <v>41306</v>
      </c>
      <c r="B28">
        <f t="shared" si="0"/>
        <v>2013</v>
      </c>
      <c r="C28">
        <f t="shared" si="1"/>
        <v>2</v>
      </c>
      <c r="D28" s="151">
        <f>Data!D27</f>
        <v>23135370.840000026</v>
      </c>
      <c r="E28" s="151">
        <f>Data!E27</f>
        <v>89162.051531255813</v>
      </c>
      <c r="F28" s="151">
        <f>Data!F27</f>
        <v>23224532.891531281</v>
      </c>
      <c r="G28" s="253">
        <f>Data!AP27</f>
        <v>575.5</v>
      </c>
      <c r="H28" s="129">
        <f>Data!AQ27</f>
        <v>0</v>
      </c>
      <c r="I28" s="32">
        <f>Data!BG27</f>
        <v>28</v>
      </c>
      <c r="J28" s="32">
        <f>Data!BX27</f>
        <v>0</v>
      </c>
      <c r="K28" s="32">
        <f>Data!BR27</f>
        <v>0</v>
      </c>
      <c r="L28" s="41">
        <f>Data!AA27</f>
        <v>29989</v>
      </c>
      <c r="M28" s="255">
        <f>Data!CG27</f>
        <v>0</v>
      </c>
      <c r="N28" s="78">
        <f>Data!CH27</f>
        <v>0</v>
      </c>
      <c r="O28" s="32">
        <f t="shared" si="6"/>
        <v>23385481.919046778</v>
      </c>
      <c r="P28" s="145">
        <f t="shared" si="3"/>
        <v>23296319.867515523</v>
      </c>
      <c r="Q28" s="32">
        <f t="shared" si="4"/>
        <v>160949.02751549706</v>
      </c>
      <c r="R28" s="50">
        <f t="shared" si="5"/>
        <v>6.9301298014129865E-3</v>
      </c>
      <c r="Y28" s="315"/>
      <c r="Z28" s="315"/>
      <c r="AA28" s="315"/>
      <c r="AB28" s="315"/>
      <c r="AC28" s="315"/>
      <c r="AE28" s="2"/>
      <c r="AF28" s="51"/>
      <c r="AG28" s="69"/>
      <c r="AH28" s="73"/>
      <c r="AI28" s="2"/>
      <c r="AJ28" s="39"/>
      <c r="AM28" s="2"/>
      <c r="AN28" s="74"/>
      <c r="AO28" s="5"/>
      <c r="AP28" s="5"/>
      <c r="AQ28" s="2"/>
      <c r="AR28" s="74"/>
      <c r="AS28" s="5"/>
      <c r="AT28" s="5"/>
    </row>
    <row r="29" spans="1:46" x14ac:dyDescent="0.2">
      <c r="A29" s="2">
        <v>41334</v>
      </c>
      <c r="B29">
        <f t="shared" si="0"/>
        <v>2013</v>
      </c>
      <c r="C29">
        <f t="shared" si="1"/>
        <v>3</v>
      </c>
      <c r="D29" s="151">
        <f>Data!D28</f>
        <v>22963588.829999994</v>
      </c>
      <c r="E29" s="151">
        <f>Data!E28</f>
        <v>89162.051531255813</v>
      </c>
      <c r="F29" s="151">
        <f>Data!F28</f>
        <v>23052750.88153125</v>
      </c>
      <c r="G29" s="253">
        <f>Data!AP28</f>
        <v>492.79999999999995</v>
      </c>
      <c r="H29" s="129">
        <f>Data!AQ28</f>
        <v>0</v>
      </c>
      <c r="I29" s="32">
        <f>Data!BG28</f>
        <v>31</v>
      </c>
      <c r="J29" s="32">
        <f>Data!BX28</f>
        <v>1</v>
      </c>
      <c r="K29" s="32">
        <f>Data!BR28</f>
        <v>0</v>
      </c>
      <c r="L29" s="41">
        <f>Data!AA28</f>
        <v>30236</v>
      </c>
      <c r="M29" s="255">
        <f>Data!CG28</f>
        <v>0</v>
      </c>
      <c r="N29" s="78">
        <f>Data!CH28</f>
        <v>0</v>
      </c>
      <c r="O29" s="32">
        <f t="shared" si="6"/>
        <v>22036530.980614703</v>
      </c>
      <c r="P29" s="145">
        <f t="shared" si="3"/>
        <v>21947368.929083448</v>
      </c>
      <c r="Q29" s="32">
        <f t="shared" si="4"/>
        <v>-1016219.9009165466</v>
      </c>
      <c r="R29" s="50">
        <f t="shared" si="5"/>
        <v>4.4082370305345765E-2</v>
      </c>
      <c r="S29" t="s">
        <v>140</v>
      </c>
      <c r="Y29" s="315" t="s">
        <v>140</v>
      </c>
      <c r="Z29" s="315"/>
      <c r="AA29" s="315"/>
      <c r="AB29" s="315"/>
      <c r="AC29" s="315"/>
      <c r="AE29" s="2"/>
      <c r="AF29" s="51"/>
      <c r="AG29" s="69"/>
      <c r="AH29" s="73"/>
      <c r="AI29" s="2"/>
      <c r="AJ29" s="39"/>
      <c r="AM29" s="2"/>
      <c r="AN29" s="74"/>
      <c r="AO29" s="5"/>
      <c r="AP29" s="5"/>
      <c r="AQ29" s="2"/>
      <c r="AR29" s="74"/>
      <c r="AS29" s="5"/>
      <c r="AT29" s="5"/>
    </row>
    <row r="30" spans="1:46" x14ac:dyDescent="0.2">
      <c r="A30" s="2">
        <v>41365</v>
      </c>
      <c r="B30">
        <f t="shared" si="0"/>
        <v>2013</v>
      </c>
      <c r="C30">
        <f t="shared" si="1"/>
        <v>4</v>
      </c>
      <c r="D30" s="151">
        <f>Data!D29</f>
        <v>19590025.609999973</v>
      </c>
      <c r="E30" s="151">
        <f>Data!E29</f>
        <v>89162.051531255813</v>
      </c>
      <c r="F30" s="151">
        <f>Data!F29</f>
        <v>19679187.661531229</v>
      </c>
      <c r="G30" s="253">
        <f>Data!AP29</f>
        <v>298.60000000000002</v>
      </c>
      <c r="H30" s="129">
        <f>Data!AQ29</f>
        <v>0</v>
      </c>
      <c r="I30" s="32">
        <f>Data!BG29</f>
        <v>30</v>
      </c>
      <c r="J30" s="32">
        <f>Data!BX29</f>
        <v>1</v>
      </c>
      <c r="K30" s="32">
        <f>Data!BR29</f>
        <v>0</v>
      </c>
      <c r="L30" s="41">
        <f>Data!AA29</f>
        <v>30511</v>
      </c>
      <c r="M30" s="255">
        <f>Data!CG29</f>
        <v>0</v>
      </c>
      <c r="N30" s="78">
        <f>Data!CH29</f>
        <v>0</v>
      </c>
      <c r="O30" s="32">
        <f t="shared" si="6"/>
        <v>19801909.62822216</v>
      </c>
      <c r="P30" s="145">
        <f t="shared" si="3"/>
        <v>19712747.576690905</v>
      </c>
      <c r="Q30" s="32">
        <f t="shared" si="4"/>
        <v>122721.96669093147</v>
      </c>
      <c r="R30" s="50">
        <f t="shared" si="5"/>
        <v>6.2361297021841866E-3</v>
      </c>
      <c r="S30" t="s">
        <v>141</v>
      </c>
      <c r="T30">
        <v>26319098.5556794</v>
      </c>
      <c r="U30" t="s">
        <v>142</v>
      </c>
      <c r="V30">
        <v>5379459.2851267997</v>
      </c>
      <c r="Y30" s="315" t="s">
        <v>141</v>
      </c>
      <c r="Z30" s="315">
        <v>26318647.798103601</v>
      </c>
      <c r="AA30" s="315" t="s">
        <v>142</v>
      </c>
      <c r="AB30" s="315">
        <v>5379028.7518450199</v>
      </c>
      <c r="AC30" s="315"/>
      <c r="AE30" s="2"/>
      <c r="AF30" s="51"/>
      <c r="AG30" s="213"/>
      <c r="AH30" s="73"/>
      <c r="AI30" s="2"/>
      <c r="AJ30" s="39"/>
      <c r="AM30" s="2"/>
      <c r="AN30" s="74"/>
      <c r="AO30" s="5"/>
      <c r="AP30" s="5"/>
      <c r="AQ30" s="2"/>
      <c r="AR30" s="74"/>
      <c r="AS30" s="5"/>
      <c r="AT30" s="5"/>
    </row>
    <row r="31" spans="1:46" x14ac:dyDescent="0.2">
      <c r="A31" s="2">
        <v>41395</v>
      </c>
      <c r="B31">
        <f t="shared" si="0"/>
        <v>2013</v>
      </c>
      <c r="C31">
        <f t="shared" si="1"/>
        <v>5</v>
      </c>
      <c r="D31" s="151">
        <f>Data!D30</f>
        <v>20707182.480000004</v>
      </c>
      <c r="E31" s="151">
        <f>Data!E30</f>
        <v>89162.051531255813</v>
      </c>
      <c r="F31" s="151">
        <f>Data!F30</f>
        <v>20796344.531531259</v>
      </c>
      <c r="G31" s="253">
        <f>Data!AP30</f>
        <v>70.100000000000009</v>
      </c>
      <c r="H31" s="129">
        <f>Data!AQ30</f>
        <v>46.1</v>
      </c>
      <c r="I31" s="32">
        <f>Data!BG30</f>
        <v>31</v>
      </c>
      <c r="J31" s="32">
        <f>Data!BX30</f>
        <v>1</v>
      </c>
      <c r="K31" s="32">
        <f>Data!BR30</f>
        <v>0</v>
      </c>
      <c r="L31" s="41">
        <f>Data!AA30</f>
        <v>30723</v>
      </c>
      <c r="M31" s="255">
        <f>Data!CG30</f>
        <v>0</v>
      </c>
      <c r="N31" s="78">
        <f>Data!CH30</f>
        <v>0</v>
      </c>
      <c r="O31" s="32">
        <f t="shared" si="6"/>
        <v>21070954.354994014</v>
      </c>
      <c r="P31" s="145">
        <f t="shared" si="3"/>
        <v>20981792.303462759</v>
      </c>
      <c r="Q31" s="32">
        <f t="shared" si="4"/>
        <v>274609.82346275449</v>
      </c>
      <c r="R31" s="50">
        <f t="shared" si="5"/>
        <v>1.3204716004122414E-2</v>
      </c>
      <c r="S31" t="s">
        <v>143</v>
      </c>
      <c r="T31">
        <v>233383346747024</v>
      </c>
      <c r="U31" t="s">
        <v>144</v>
      </c>
      <c r="V31">
        <v>1377470.7195832301</v>
      </c>
      <c r="W31" s="130"/>
      <c r="Y31" s="315" t="s">
        <v>143</v>
      </c>
      <c r="Z31" s="315">
        <v>233370554573808</v>
      </c>
      <c r="AA31" s="315" t="s">
        <v>144</v>
      </c>
      <c r="AB31" s="315">
        <v>1377432.9682060301</v>
      </c>
      <c r="AC31" s="316"/>
      <c r="AE31" s="2"/>
      <c r="AF31" s="51"/>
      <c r="AG31" s="69"/>
      <c r="AH31" s="73"/>
      <c r="AI31" s="2"/>
      <c r="AJ31" s="39"/>
      <c r="AM31" s="2"/>
      <c r="AN31" s="74"/>
      <c r="AO31" s="5"/>
      <c r="AP31" s="5"/>
      <c r="AQ31" s="2"/>
      <c r="AR31" s="74"/>
      <c r="AS31" s="5"/>
      <c r="AT31" s="5"/>
    </row>
    <row r="32" spans="1:46" x14ac:dyDescent="0.2">
      <c r="A32" s="2">
        <v>41426</v>
      </c>
      <c r="B32">
        <f t="shared" si="0"/>
        <v>2013</v>
      </c>
      <c r="C32">
        <f t="shared" si="1"/>
        <v>6</v>
      </c>
      <c r="D32" s="151">
        <f>Data!D31</f>
        <v>24630971.620000005</v>
      </c>
      <c r="E32" s="151">
        <f>Data!E31</f>
        <v>89162.051531255813</v>
      </c>
      <c r="F32" s="151">
        <f>Data!F31</f>
        <v>24720133.67153126</v>
      </c>
      <c r="G32" s="253">
        <f>Data!AP31</f>
        <v>12.7</v>
      </c>
      <c r="H32" s="129">
        <f>Data!AQ31</f>
        <v>99.300000000000011</v>
      </c>
      <c r="I32" s="32">
        <f>Data!BG31</f>
        <v>30</v>
      </c>
      <c r="J32" s="32">
        <f>Data!BX31</f>
        <v>0</v>
      </c>
      <c r="K32" s="32">
        <f>Data!BR31</f>
        <v>0</v>
      </c>
      <c r="L32" s="41">
        <f>Data!AA31</f>
        <v>30825</v>
      </c>
      <c r="M32" s="255">
        <f>Data!CG31</f>
        <v>0</v>
      </c>
      <c r="N32" s="78">
        <f>Data!CH31</f>
        <v>0</v>
      </c>
      <c r="O32" s="32">
        <f t="shared" si="6"/>
        <v>25617672.996126898</v>
      </c>
      <c r="P32" s="145">
        <f t="shared" si="3"/>
        <v>25528510.944595642</v>
      </c>
      <c r="Q32" s="32">
        <f t="shared" si="4"/>
        <v>897539.32459563762</v>
      </c>
      <c r="R32" s="50">
        <f t="shared" si="5"/>
        <v>3.630802877208069E-2</v>
      </c>
      <c r="S32" t="s">
        <v>145</v>
      </c>
      <c r="T32">
        <v>0.93843912073048597</v>
      </c>
      <c r="U32" t="s">
        <v>146</v>
      </c>
      <c r="V32">
        <v>0.93443516110320002</v>
      </c>
      <c r="W32" s="130"/>
      <c r="Y32" s="315" t="s">
        <v>145</v>
      </c>
      <c r="Z32" s="315">
        <v>0.93843263368290097</v>
      </c>
      <c r="AA32" s="315" t="s">
        <v>146</v>
      </c>
      <c r="AB32" s="315">
        <v>0.93442825213382197</v>
      </c>
      <c r="AC32" s="316"/>
      <c r="AE32" s="2"/>
      <c r="AF32" s="51"/>
      <c r="AG32" s="69"/>
      <c r="AH32" s="73"/>
      <c r="AI32" s="2"/>
      <c r="AJ32" s="39"/>
      <c r="AM32" s="2"/>
      <c r="AN32" s="74"/>
      <c r="AO32" s="5"/>
      <c r="AP32" s="5"/>
      <c r="AQ32" s="2"/>
      <c r="AR32" s="74"/>
      <c r="AS32" s="5"/>
      <c r="AT32" s="5"/>
    </row>
    <row r="33" spans="1:49" x14ac:dyDescent="0.2">
      <c r="A33" s="2">
        <v>41456</v>
      </c>
      <c r="B33">
        <f t="shared" si="0"/>
        <v>2013</v>
      </c>
      <c r="C33">
        <f t="shared" si="1"/>
        <v>7</v>
      </c>
      <c r="D33" s="151">
        <f>Data!D32</f>
        <v>30978235.180000015</v>
      </c>
      <c r="E33" s="151">
        <f>Data!E32</f>
        <v>89162.051531255813</v>
      </c>
      <c r="F33" s="151">
        <f>Data!F32</f>
        <v>31067397.23153127</v>
      </c>
      <c r="G33" s="253">
        <f>Data!AP32</f>
        <v>0</v>
      </c>
      <c r="H33" s="129">
        <f>Data!AQ32</f>
        <v>195.3</v>
      </c>
      <c r="I33" s="32">
        <f>Data!BG32</f>
        <v>31</v>
      </c>
      <c r="J33" s="32">
        <f>Data!BX32</f>
        <v>0</v>
      </c>
      <c r="K33" s="32">
        <f>Data!BR32</f>
        <v>0</v>
      </c>
      <c r="L33" s="41">
        <f>Data!AA32</f>
        <v>30936</v>
      </c>
      <c r="M33" s="255">
        <f>Data!CG32</f>
        <v>0</v>
      </c>
      <c r="N33" s="78">
        <f>Data!CH32</f>
        <v>0</v>
      </c>
      <c r="O33" s="32">
        <f t="shared" si="6"/>
        <v>31353665.074087575</v>
      </c>
      <c r="P33" s="145">
        <f t="shared" si="3"/>
        <v>31264503.02255632</v>
      </c>
      <c r="Q33" s="32">
        <f t="shared" si="4"/>
        <v>286267.84255630523</v>
      </c>
      <c r="R33" s="50">
        <f t="shared" si="5"/>
        <v>9.2144134387209965E-3</v>
      </c>
      <c r="S33" t="s">
        <v>285</v>
      </c>
      <c r="T33">
        <v>263.29887212825798</v>
      </c>
      <c r="U33" t="s">
        <v>148</v>
      </c>
      <c r="V33" s="130">
        <v>1.4895288245749501E-73</v>
      </c>
      <c r="W33" s="130"/>
      <c r="Y33" s="315" t="s">
        <v>285</v>
      </c>
      <c r="Z33" s="315">
        <v>263.236867034233</v>
      </c>
      <c r="AA33" s="315" t="s">
        <v>148</v>
      </c>
      <c r="AB33" s="316">
        <v>1.5099957346625299E-73</v>
      </c>
      <c r="AC33" s="316"/>
      <c r="AE33" s="2"/>
      <c r="AF33" s="51"/>
      <c r="AG33" s="213"/>
      <c r="AH33" s="73"/>
      <c r="AI33" s="2"/>
      <c r="AJ33" s="39"/>
      <c r="AM33" s="2"/>
      <c r="AN33" s="74"/>
      <c r="AO33" s="5"/>
      <c r="AP33" s="5"/>
      <c r="AQ33" s="2"/>
      <c r="AR33" s="74"/>
      <c r="AS33" s="5"/>
      <c r="AT33" s="5"/>
    </row>
    <row r="34" spans="1:49" x14ac:dyDescent="0.2">
      <c r="A34" s="2">
        <v>41487</v>
      </c>
      <c r="B34">
        <f t="shared" si="0"/>
        <v>2013</v>
      </c>
      <c r="C34">
        <f t="shared" si="1"/>
        <v>8</v>
      </c>
      <c r="D34" s="151">
        <f>Data!D33</f>
        <v>28353597.569999993</v>
      </c>
      <c r="E34" s="151">
        <f>Data!E33</f>
        <v>89162.051531255813</v>
      </c>
      <c r="F34" s="151">
        <f>Data!F33</f>
        <v>28442759.621531248</v>
      </c>
      <c r="G34" s="253">
        <f>Data!AP33</f>
        <v>0</v>
      </c>
      <c r="H34" s="129">
        <f>Data!AQ33</f>
        <v>151.39999999999998</v>
      </c>
      <c r="I34" s="32">
        <f>Data!BG33</f>
        <v>31</v>
      </c>
      <c r="J34" s="32">
        <f>Data!BX33</f>
        <v>0</v>
      </c>
      <c r="K34" s="32">
        <f>Data!BR33</f>
        <v>0</v>
      </c>
      <c r="L34" s="41">
        <f>Data!AA33</f>
        <v>30985</v>
      </c>
      <c r="M34" s="255">
        <f>Data!CG33</f>
        <v>0</v>
      </c>
      <c r="N34" s="78">
        <f>Data!CH33</f>
        <v>0</v>
      </c>
      <c r="O34" s="32">
        <f t="shared" si="6"/>
        <v>29058765.496761132</v>
      </c>
      <c r="P34" s="145">
        <f t="shared" si="3"/>
        <v>28969603.445229877</v>
      </c>
      <c r="Q34" s="32">
        <f t="shared" si="4"/>
        <v>616005.87522988394</v>
      </c>
      <c r="R34" s="50">
        <f t="shared" si="5"/>
        <v>2.1657739383472683E-2</v>
      </c>
      <c r="S34" t="s">
        <v>149</v>
      </c>
      <c r="T34">
        <v>-4.2453263967470196E-3</v>
      </c>
      <c r="U34" t="s">
        <v>150</v>
      </c>
      <c r="V34">
        <v>1.9975076720049301</v>
      </c>
      <c r="W34" s="130"/>
      <c r="Y34" s="315" t="s">
        <v>149</v>
      </c>
      <c r="Z34" s="315">
        <v>-4.2291676121520702E-3</v>
      </c>
      <c r="AA34" s="315" t="s">
        <v>150</v>
      </c>
      <c r="AB34" s="315">
        <v>1.9974519624829501</v>
      </c>
      <c r="AC34" s="316"/>
      <c r="AE34" s="2"/>
      <c r="AF34" s="51"/>
      <c r="AG34" s="69"/>
      <c r="AH34" s="73"/>
      <c r="AI34" s="2"/>
      <c r="AJ34" s="39"/>
      <c r="AM34" s="2"/>
      <c r="AN34" s="74"/>
      <c r="AO34" s="5"/>
      <c r="AP34" s="5"/>
      <c r="AQ34" s="2"/>
      <c r="AR34" s="74"/>
      <c r="AS34" s="5"/>
      <c r="AT34" s="5"/>
    </row>
    <row r="35" spans="1:49" x14ac:dyDescent="0.2">
      <c r="A35" s="2">
        <v>41518</v>
      </c>
      <c r="B35">
        <f t="shared" si="0"/>
        <v>2013</v>
      </c>
      <c r="C35">
        <f t="shared" si="1"/>
        <v>9</v>
      </c>
      <c r="D35" s="151">
        <f>Data!D34</f>
        <v>20823560.830000009</v>
      </c>
      <c r="E35" s="151">
        <f>Data!E34</f>
        <v>89162.051531255813</v>
      </c>
      <c r="F35" s="151">
        <f>Data!F34</f>
        <v>20912722.881531265</v>
      </c>
      <c r="G35" s="253">
        <f>Data!AP34</f>
        <v>49.2</v>
      </c>
      <c r="H35" s="129">
        <f>Data!AQ34</f>
        <v>47.3</v>
      </c>
      <c r="I35" s="32">
        <f>Data!BG34</f>
        <v>30</v>
      </c>
      <c r="J35" s="32">
        <f>Data!BX34</f>
        <v>1</v>
      </c>
      <c r="K35" s="32">
        <f>Data!BR34</f>
        <v>1</v>
      </c>
      <c r="L35" s="41">
        <f>Data!AA34</f>
        <v>31028</v>
      </c>
      <c r="M35" s="255">
        <f>Data!CG34</f>
        <v>0</v>
      </c>
      <c r="N35" s="78">
        <f>Data!CH34</f>
        <v>0</v>
      </c>
      <c r="O35" s="32">
        <f t="shared" si="6"/>
        <v>22137757.786415152</v>
      </c>
      <c r="P35" s="145">
        <f t="shared" si="3"/>
        <v>22048595.734883897</v>
      </c>
      <c r="Q35" s="32">
        <f t="shared" si="4"/>
        <v>1225034.9048838876</v>
      </c>
      <c r="R35" s="50">
        <f t="shared" si="5"/>
        <v>5.8578450631398056E-2</v>
      </c>
      <c r="W35" s="130"/>
      <c r="AE35" s="2"/>
      <c r="AF35" s="51"/>
      <c r="AG35" s="69"/>
      <c r="AH35" s="73"/>
      <c r="AI35" s="2"/>
      <c r="AJ35" s="39"/>
      <c r="AM35" s="2"/>
      <c r="AN35" s="74"/>
      <c r="AO35" s="5"/>
      <c r="AP35" s="5"/>
      <c r="AQ35" s="2"/>
      <c r="AR35" s="74"/>
      <c r="AS35" s="39"/>
      <c r="AT35" s="5"/>
    </row>
    <row r="36" spans="1:49" x14ac:dyDescent="0.2">
      <c r="A36" s="2">
        <v>41548</v>
      </c>
      <c r="B36">
        <f t="shared" si="0"/>
        <v>2013</v>
      </c>
      <c r="C36">
        <f t="shared" si="1"/>
        <v>10</v>
      </c>
      <c r="D36" s="151">
        <f>Data!D35</f>
        <v>20892190.989999991</v>
      </c>
      <c r="E36" s="151">
        <f>Data!E35</f>
        <v>89162.051531255813</v>
      </c>
      <c r="F36" s="151">
        <f>Data!F35</f>
        <v>20981353.041531246</v>
      </c>
      <c r="G36" s="253">
        <f>Data!AP35</f>
        <v>166</v>
      </c>
      <c r="H36" s="129">
        <f>Data!AQ35</f>
        <v>4.6999999999999993</v>
      </c>
      <c r="I36" s="32">
        <f>Data!BG35</f>
        <v>31</v>
      </c>
      <c r="J36" s="32">
        <f>Data!BX35</f>
        <v>1</v>
      </c>
      <c r="K36" s="32">
        <f>Data!BR35</f>
        <v>0</v>
      </c>
      <c r="L36" s="41">
        <f>Data!AA35</f>
        <v>31160</v>
      </c>
      <c r="M36" s="255">
        <f>Data!CG35</f>
        <v>0</v>
      </c>
      <c r="N36" s="78">
        <f>Data!CH35</f>
        <v>0</v>
      </c>
      <c r="O36" s="32">
        <f t="shared" si="6"/>
        <v>19974431.685337175</v>
      </c>
      <c r="P36" s="145">
        <f t="shared" si="3"/>
        <v>19885269.633805919</v>
      </c>
      <c r="Q36" s="32">
        <f t="shared" si="4"/>
        <v>-1006921.3561940715</v>
      </c>
      <c r="R36" s="50">
        <f t="shared" si="5"/>
        <v>4.7991249858907341E-2</v>
      </c>
      <c r="W36" s="130"/>
      <c r="AE36" s="2"/>
      <c r="AF36" s="51"/>
      <c r="AH36" s="73"/>
      <c r="AI36" s="2"/>
      <c r="AJ36" s="39"/>
      <c r="AM36" s="2"/>
      <c r="AN36" s="74"/>
      <c r="AO36" s="5"/>
      <c r="AP36" s="5"/>
      <c r="AQ36" s="2"/>
      <c r="AR36" s="74"/>
      <c r="AS36" s="5"/>
      <c r="AT36" s="5"/>
    </row>
    <row r="37" spans="1:49" x14ac:dyDescent="0.2">
      <c r="A37" s="2">
        <v>41579</v>
      </c>
      <c r="B37">
        <f t="shared" si="0"/>
        <v>2013</v>
      </c>
      <c r="C37">
        <f t="shared" si="1"/>
        <v>11</v>
      </c>
      <c r="D37" s="151">
        <f>Data!D36</f>
        <v>21740451.749999989</v>
      </c>
      <c r="E37" s="151">
        <f>Data!E36</f>
        <v>89162.051531255813</v>
      </c>
      <c r="F37" s="151">
        <f>Data!F36</f>
        <v>21829613.801531244</v>
      </c>
      <c r="G37" s="253">
        <f>Data!AP36</f>
        <v>418.20000000000005</v>
      </c>
      <c r="H37" s="129">
        <f>Data!AQ36</f>
        <v>0</v>
      </c>
      <c r="I37" s="32">
        <f>Data!BG36</f>
        <v>30</v>
      </c>
      <c r="J37" s="32">
        <f>Data!BX36</f>
        <v>1</v>
      </c>
      <c r="K37" s="32">
        <f>Data!BR36</f>
        <v>0</v>
      </c>
      <c r="L37" s="41">
        <f>Data!AA36</f>
        <v>31231</v>
      </c>
      <c r="M37" s="255">
        <f>Data!CG36</f>
        <v>0</v>
      </c>
      <c r="N37" s="78">
        <f>Data!CH36</f>
        <v>0</v>
      </c>
      <c r="O37" s="32">
        <f t="shared" si="6"/>
        <v>21270363.52929778</v>
      </c>
      <c r="P37" s="145">
        <f t="shared" si="3"/>
        <v>21181201.477766525</v>
      </c>
      <c r="Q37" s="32">
        <f t="shared" si="4"/>
        <v>-559250.27223346382</v>
      </c>
      <c r="R37" s="50">
        <f t="shared" si="5"/>
        <v>2.5618880724048131E-2</v>
      </c>
      <c r="W37" s="130"/>
      <c r="AE37" s="2"/>
      <c r="AI37" s="2"/>
      <c r="AM37" s="2"/>
      <c r="AN37" s="76"/>
      <c r="AO37" s="5"/>
      <c r="AP37" s="5"/>
      <c r="AQ37" s="2"/>
      <c r="AR37" s="76"/>
      <c r="AS37" s="71"/>
      <c r="AT37" s="5"/>
      <c r="AU37" s="29"/>
      <c r="AV37" s="29"/>
    </row>
    <row r="38" spans="1:49" x14ac:dyDescent="0.2">
      <c r="A38" s="2">
        <v>41609</v>
      </c>
      <c r="B38">
        <f t="shared" si="0"/>
        <v>2013</v>
      </c>
      <c r="C38">
        <f t="shared" si="1"/>
        <v>12</v>
      </c>
      <c r="D38" s="151">
        <f>Data!D37</f>
        <v>28821858.809999991</v>
      </c>
      <c r="E38" s="151">
        <f>Data!E37</f>
        <v>89162.051531255813</v>
      </c>
      <c r="F38" s="151">
        <f>Data!F37</f>
        <v>28911020.861531246</v>
      </c>
      <c r="G38" s="253">
        <f>Data!AP37</f>
        <v>625.9</v>
      </c>
      <c r="H38" s="129">
        <f>Data!AQ37</f>
        <v>0</v>
      </c>
      <c r="I38" s="32">
        <f>Data!BG37</f>
        <v>31</v>
      </c>
      <c r="J38" s="32">
        <f>Data!BX37</f>
        <v>0</v>
      </c>
      <c r="K38" s="32">
        <f>Data!BR37</f>
        <v>0</v>
      </c>
      <c r="L38" s="41">
        <f>Data!AA37</f>
        <v>31309</v>
      </c>
      <c r="M38" s="255">
        <f>Data!CG37</f>
        <v>0</v>
      </c>
      <c r="N38" s="78">
        <f>Data!CH37</f>
        <v>0</v>
      </c>
      <c r="O38" s="32">
        <f t="shared" si="6"/>
        <v>26702821.04894466</v>
      </c>
      <c r="P38" s="145">
        <f t="shared" si="3"/>
        <v>26613658.997413404</v>
      </c>
      <c r="Q38" s="32">
        <f t="shared" si="4"/>
        <v>-2208199.8125865869</v>
      </c>
      <c r="R38" s="50">
        <f t="shared" si="5"/>
        <v>7.6379171222030362E-2</v>
      </c>
      <c r="W38" s="130"/>
      <c r="AE38" s="2"/>
      <c r="AI38" s="2"/>
      <c r="AM38" s="2"/>
      <c r="AN38" s="76"/>
      <c r="AO38" s="5"/>
      <c r="AP38" s="5"/>
      <c r="AQ38" s="2"/>
      <c r="AR38" s="76"/>
      <c r="AS38" s="5"/>
      <c r="AT38" s="5"/>
      <c r="AU38" s="29"/>
      <c r="AV38" s="29"/>
    </row>
    <row r="39" spans="1:49" x14ac:dyDescent="0.2">
      <c r="A39" s="2">
        <v>41640</v>
      </c>
      <c r="B39">
        <f t="shared" si="0"/>
        <v>2014</v>
      </c>
      <c r="C39">
        <f t="shared" si="1"/>
        <v>1</v>
      </c>
      <c r="D39" s="151">
        <f>Data!D38</f>
        <v>26189486.200000007</v>
      </c>
      <c r="E39" s="151">
        <f>Data!E38</f>
        <v>170537.35727284456</v>
      </c>
      <c r="F39" s="151">
        <f>Data!F38</f>
        <v>26360023.557272851</v>
      </c>
      <c r="G39" s="253">
        <f>Data!AP38</f>
        <v>763.9000000000002</v>
      </c>
      <c r="H39" s="129">
        <f>Data!AQ38</f>
        <v>0</v>
      </c>
      <c r="I39" s="32">
        <f>Data!BG38</f>
        <v>31</v>
      </c>
      <c r="J39" s="32">
        <f>Data!BX38</f>
        <v>0</v>
      </c>
      <c r="K39" s="32">
        <f>Data!BR38</f>
        <v>0</v>
      </c>
      <c r="L39" s="41">
        <f>Data!AA38</f>
        <v>31327</v>
      </c>
      <c r="M39" s="255">
        <f>Data!CG38</f>
        <v>0</v>
      </c>
      <c r="N39" s="78">
        <f>Data!CH38</f>
        <v>0</v>
      </c>
      <c r="O39" s="32">
        <f t="shared" si="6"/>
        <v>27918871.117504027</v>
      </c>
      <c r="P39" s="145">
        <f t="shared" si="3"/>
        <v>27748333.760231182</v>
      </c>
      <c r="Q39" s="32">
        <f t="shared" si="4"/>
        <v>1558847.5602311753</v>
      </c>
      <c r="R39" s="50">
        <f t="shared" si="5"/>
        <v>5.9136804519322295E-2</v>
      </c>
      <c r="W39" s="130"/>
      <c r="AE39" s="2"/>
      <c r="AI39" s="2"/>
      <c r="AM39" s="2"/>
      <c r="AN39" s="76"/>
      <c r="AO39" s="5"/>
      <c r="AP39" s="5"/>
      <c r="AQ39" s="2"/>
      <c r="AR39" s="76"/>
      <c r="AS39" s="5"/>
      <c r="AT39" s="5"/>
      <c r="AU39" s="29"/>
      <c r="AV39" s="29"/>
    </row>
    <row r="40" spans="1:49" x14ac:dyDescent="0.2">
      <c r="A40" s="2">
        <v>41671</v>
      </c>
      <c r="B40">
        <f t="shared" si="0"/>
        <v>2014</v>
      </c>
      <c r="C40">
        <f t="shared" si="1"/>
        <v>2</v>
      </c>
      <c r="D40" s="151">
        <f>Data!D39</f>
        <v>26203678.18999999</v>
      </c>
      <c r="E40" s="151">
        <f>Data!E39</f>
        <v>170537.35727284456</v>
      </c>
      <c r="F40" s="151">
        <f>Data!F39</f>
        <v>26374215.547272835</v>
      </c>
      <c r="G40" s="253">
        <f>Data!AP39</f>
        <v>681.0999999999998</v>
      </c>
      <c r="H40" s="129">
        <f>Data!AQ39</f>
        <v>0</v>
      </c>
      <c r="I40" s="32">
        <f>Data!BG39</f>
        <v>28</v>
      </c>
      <c r="J40" s="32">
        <f>Data!BX39</f>
        <v>0</v>
      </c>
      <c r="K40" s="32">
        <f>Data!BR39</f>
        <v>0</v>
      </c>
      <c r="L40" s="41">
        <f>Data!AA39</f>
        <v>31341</v>
      </c>
      <c r="M40" s="255">
        <f>Data!CG39</f>
        <v>0</v>
      </c>
      <c r="N40" s="78">
        <f>Data!CH39</f>
        <v>0</v>
      </c>
      <c r="O40" s="32">
        <f t="shared" si="6"/>
        <v>25103579.070684023</v>
      </c>
      <c r="P40" s="145">
        <f t="shared" si="3"/>
        <v>24933041.713411178</v>
      </c>
      <c r="Q40" s="32">
        <f t="shared" si="4"/>
        <v>-1270636.4765888117</v>
      </c>
      <c r="R40" s="50">
        <f t="shared" si="5"/>
        <v>4.81772234822051E-2</v>
      </c>
      <c r="W40" s="130"/>
      <c r="AE40" s="2"/>
      <c r="AI40" s="2"/>
      <c r="AM40" s="2"/>
      <c r="AN40" s="76"/>
      <c r="AO40" s="5"/>
      <c r="AP40" s="5"/>
      <c r="AQ40" s="2"/>
      <c r="AR40" s="76"/>
      <c r="AS40" s="5"/>
      <c r="AT40" s="5"/>
      <c r="AU40" s="29"/>
      <c r="AV40" s="29"/>
    </row>
    <row r="41" spans="1:49" x14ac:dyDescent="0.2">
      <c r="A41" s="2">
        <v>41699</v>
      </c>
      <c r="B41">
        <f t="shared" si="0"/>
        <v>2014</v>
      </c>
      <c r="C41">
        <f t="shared" si="1"/>
        <v>3</v>
      </c>
      <c r="D41" s="151">
        <f>Data!D40</f>
        <v>23971257.690000013</v>
      </c>
      <c r="E41" s="151">
        <f>Data!E40</f>
        <v>170537.35727284456</v>
      </c>
      <c r="F41" s="151">
        <f>Data!F40</f>
        <v>24141795.047272857</v>
      </c>
      <c r="G41" s="253">
        <f>Data!AP40</f>
        <v>628.6</v>
      </c>
      <c r="H41" s="129">
        <f>Data!AQ40</f>
        <v>0</v>
      </c>
      <c r="I41" s="32">
        <f>Data!BG40</f>
        <v>31</v>
      </c>
      <c r="J41" s="32">
        <f>Data!BX40</f>
        <v>1</v>
      </c>
      <c r="K41" s="32">
        <f>Data!BR40</f>
        <v>0</v>
      </c>
      <c r="L41" s="41">
        <f>Data!AA40</f>
        <v>31333</v>
      </c>
      <c r="M41" s="255">
        <f>Data!CG40</f>
        <v>0</v>
      </c>
      <c r="N41" s="78">
        <f>Data!CH40</f>
        <v>0</v>
      </c>
      <c r="O41" s="32">
        <f t="shared" si="6"/>
        <v>23868361.923187215</v>
      </c>
      <c r="P41" s="145">
        <f t="shared" si="3"/>
        <v>23697824.56591437</v>
      </c>
      <c r="Q41" s="32">
        <f t="shared" si="4"/>
        <v>-273433.1240856424</v>
      </c>
      <c r="R41" s="50">
        <f t="shared" si="5"/>
        <v>1.1326130619128521E-2</v>
      </c>
      <c r="AE41" s="2"/>
      <c r="AI41" s="2"/>
      <c r="AM41" s="2"/>
      <c r="AN41" s="76"/>
      <c r="AO41" s="5"/>
      <c r="AP41" s="5"/>
      <c r="AQ41" s="2"/>
      <c r="AR41" s="76"/>
      <c r="AS41" s="5"/>
      <c r="AT41" s="5"/>
      <c r="AU41" s="29"/>
      <c r="AV41" s="29"/>
    </row>
    <row r="42" spans="1:49" x14ac:dyDescent="0.2">
      <c r="A42" s="2">
        <v>41730</v>
      </c>
      <c r="B42">
        <f t="shared" si="0"/>
        <v>2014</v>
      </c>
      <c r="C42">
        <f t="shared" si="1"/>
        <v>4</v>
      </c>
      <c r="D42" s="151">
        <f>Data!D41</f>
        <v>21900568.520000003</v>
      </c>
      <c r="E42" s="151">
        <f>Data!E41</f>
        <v>170537.35727284456</v>
      </c>
      <c r="F42" s="151">
        <f>Data!F41</f>
        <v>22071105.877272848</v>
      </c>
      <c r="G42" s="253">
        <f>Data!AP41</f>
        <v>296.90000000000003</v>
      </c>
      <c r="H42" s="129">
        <f>Data!AQ41</f>
        <v>0</v>
      </c>
      <c r="I42" s="32">
        <f>Data!BG41</f>
        <v>30</v>
      </c>
      <c r="J42" s="32">
        <f>Data!BX41</f>
        <v>1</v>
      </c>
      <c r="K42" s="32">
        <f>Data!BR41</f>
        <v>0</v>
      </c>
      <c r="L42" s="41">
        <f>Data!AA41</f>
        <v>31349</v>
      </c>
      <c r="M42" s="255">
        <f>Data!CG41</f>
        <v>0</v>
      </c>
      <c r="N42" s="78">
        <f>Data!CH41</f>
        <v>0</v>
      </c>
      <c r="O42" s="32">
        <f t="shared" si="6"/>
        <v>20280228.080251399</v>
      </c>
      <c r="P42" s="145">
        <f t="shared" si="3"/>
        <v>20109690.722978555</v>
      </c>
      <c r="Q42" s="32">
        <f t="shared" si="4"/>
        <v>-1790877.7970214486</v>
      </c>
      <c r="R42" s="50">
        <f t="shared" si="5"/>
        <v>8.1141280685240097E-2</v>
      </c>
      <c r="W42" s="130"/>
      <c r="AE42" s="2"/>
      <c r="AI42" s="2"/>
      <c r="AM42" s="2"/>
      <c r="AN42" s="76"/>
      <c r="AO42" s="5"/>
      <c r="AP42" s="5"/>
      <c r="AQ42" s="2"/>
      <c r="AR42" s="76"/>
      <c r="AS42" s="5"/>
      <c r="AT42" s="5"/>
      <c r="AU42" s="29"/>
      <c r="AV42" s="29"/>
    </row>
    <row r="43" spans="1:49" x14ac:dyDescent="0.2">
      <c r="A43" s="2">
        <v>41760</v>
      </c>
      <c r="B43">
        <f t="shared" si="0"/>
        <v>2014</v>
      </c>
      <c r="C43">
        <f t="shared" si="1"/>
        <v>5</v>
      </c>
      <c r="D43" s="151">
        <f>Data!D42</f>
        <v>20478356.049999967</v>
      </c>
      <c r="E43" s="151">
        <f>Data!E42</f>
        <v>170537.35727284456</v>
      </c>
      <c r="F43" s="151">
        <f>Data!F42</f>
        <v>20648893.407272812</v>
      </c>
      <c r="G43" s="253">
        <f>Data!AP42</f>
        <v>81.700000000000031</v>
      </c>
      <c r="H43" s="129">
        <f>Data!AQ42</f>
        <v>23.500000000000004</v>
      </c>
      <c r="I43" s="32">
        <f>Data!BG42</f>
        <v>31</v>
      </c>
      <c r="J43" s="32">
        <f>Data!BX42</f>
        <v>1</v>
      </c>
      <c r="K43" s="32">
        <f>Data!BR42</f>
        <v>0</v>
      </c>
      <c r="L43" s="41">
        <f>Data!AA42</f>
        <v>31435</v>
      </c>
      <c r="M43" s="255">
        <f>Data!CG42</f>
        <v>0</v>
      </c>
      <c r="N43" s="78">
        <f>Data!CH42</f>
        <v>0</v>
      </c>
      <c r="O43" s="32">
        <f t="shared" si="6"/>
        <v>20395024.797596447</v>
      </c>
      <c r="P43" s="145">
        <f t="shared" si="3"/>
        <v>20224487.440323602</v>
      </c>
      <c r="Q43" s="32">
        <f t="shared" si="4"/>
        <v>-253868.60967636481</v>
      </c>
      <c r="R43" s="50">
        <f t="shared" si="5"/>
        <v>1.2294538243243046E-2</v>
      </c>
      <c r="V43" s="130"/>
      <c r="W43" s="130"/>
      <c r="AE43" s="2"/>
      <c r="AI43" s="2"/>
      <c r="AM43" s="2"/>
      <c r="AN43" s="76"/>
      <c r="AO43" s="5"/>
      <c r="AP43" s="5"/>
      <c r="AQ43" s="2"/>
      <c r="AR43" s="76"/>
      <c r="AS43" s="5"/>
      <c r="AT43" s="5"/>
      <c r="AU43" s="29"/>
      <c r="AV43" s="29"/>
    </row>
    <row r="44" spans="1:49" x14ac:dyDescent="0.2">
      <c r="A44" s="2">
        <v>41791</v>
      </c>
      <c r="B44">
        <f t="shared" si="0"/>
        <v>2014</v>
      </c>
      <c r="C44">
        <f t="shared" si="1"/>
        <v>6</v>
      </c>
      <c r="D44" s="151">
        <f>Data!D43</f>
        <v>24401887.909999993</v>
      </c>
      <c r="E44" s="151">
        <f>Data!E43</f>
        <v>170537.35727284456</v>
      </c>
      <c r="F44" s="151">
        <f>Data!F43</f>
        <v>24572425.267272837</v>
      </c>
      <c r="G44" s="253">
        <f>Data!AP43</f>
        <v>2.7999999999999989</v>
      </c>
      <c r="H44" s="129">
        <f>Data!AQ43</f>
        <v>116.8</v>
      </c>
      <c r="I44" s="32">
        <f>Data!BG43</f>
        <v>30</v>
      </c>
      <c r="J44" s="32">
        <f>Data!BX43</f>
        <v>0</v>
      </c>
      <c r="K44" s="32">
        <f>Data!BR43</f>
        <v>0</v>
      </c>
      <c r="L44" s="41">
        <f>Data!AA43</f>
        <v>31553</v>
      </c>
      <c r="M44" s="255">
        <f>Data!CG43</f>
        <v>0</v>
      </c>
      <c r="N44" s="78">
        <f>Data!CH43</f>
        <v>0</v>
      </c>
      <c r="O44" s="32">
        <f t="shared" si="6"/>
        <v>26885945.757881075</v>
      </c>
      <c r="P44" s="145">
        <f t="shared" si="3"/>
        <v>26715408.40060823</v>
      </c>
      <c r="Q44" s="32">
        <f t="shared" si="4"/>
        <v>2313520.4906082377</v>
      </c>
      <c r="R44" s="50">
        <f t="shared" si="5"/>
        <v>9.4151084617989891E-2</v>
      </c>
      <c r="AE44" s="2"/>
      <c r="AI44" s="2"/>
      <c r="AM44" s="2"/>
      <c r="AN44" s="76"/>
      <c r="AO44" s="5"/>
      <c r="AP44" s="5"/>
      <c r="AQ44" s="2"/>
      <c r="AR44" s="76"/>
      <c r="AS44" s="5"/>
      <c r="AT44" s="5"/>
      <c r="AU44" s="29"/>
      <c r="AV44" s="29"/>
    </row>
    <row r="45" spans="1:49" x14ac:dyDescent="0.2">
      <c r="A45" s="2">
        <v>41821</v>
      </c>
      <c r="B45">
        <f t="shared" si="0"/>
        <v>2014</v>
      </c>
      <c r="C45">
        <f t="shared" si="1"/>
        <v>7</v>
      </c>
      <c r="D45" s="151">
        <f>Data!D44</f>
        <v>28438794.999999996</v>
      </c>
      <c r="E45" s="151">
        <f>Data!E44</f>
        <v>170537.35727284456</v>
      </c>
      <c r="F45" s="151">
        <f>Data!F44</f>
        <v>28609332.357272841</v>
      </c>
      <c r="G45" s="253">
        <f>Data!AP44</f>
        <v>0</v>
      </c>
      <c r="H45" s="129">
        <f>Data!AQ44</f>
        <v>129</v>
      </c>
      <c r="I45" s="32">
        <f>Data!BG44</f>
        <v>31</v>
      </c>
      <c r="J45" s="32">
        <f>Data!BX44</f>
        <v>0</v>
      </c>
      <c r="K45" s="32">
        <f>Data!BR44</f>
        <v>0</v>
      </c>
      <c r="L45" s="41">
        <f>Data!AA44</f>
        <v>31756</v>
      </c>
      <c r="M45" s="255">
        <f>Data!CG44</f>
        <v>0</v>
      </c>
      <c r="N45" s="78">
        <f>Data!CH44</f>
        <v>0</v>
      </c>
      <c r="O45" s="32">
        <f t="shared" si="6"/>
        <v>28326816.043948878</v>
      </c>
      <c r="P45" s="145">
        <f t="shared" si="3"/>
        <v>28156278.686676033</v>
      </c>
      <c r="Q45" s="32">
        <f t="shared" si="4"/>
        <v>-282516.31332396343</v>
      </c>
      <c r="R45" s="50">
        <f t="shared" si="5"/>
        <v>9.8749705094793774E-3</v>
      </c>
      <c r="W45" s="130"/>
      <c r="AE45" s="2"/>
      <c r="AI45" s="2"/>
      <c r="AM45" s="2"/>
      <c r="AN45" s="76"/>
      <c r="AO45" s="5"/>
      <c r="AP45" s="5"/>
      <c r="AQ45" s="2"/>
      <c r="AR45" s="76"/>
      <c r="AS45" s="5"/>
      <c r="AT45" s="5"/>
      <c r="AU45" s="29"/>
      <c r="AV45" s="29"/>
    </row>
    <row r="46" spans="1:49" x14ac:dyDescent="0.2">
      <c r="A46" s="2">
        <v>41852</v>
      </c>
      <c r="B46">
        <f t="shared" si="0"/>
        <v>2014</v>
      </c>
      <c r="C46">
        <f t="shared" si="1"/>
        <v>8</v>
      </c>
      <c r="D46" s="151">
        <f>Data!D45</f>
        <v>26308447.180000015</v>
      </c>
      <c r="E46" s="151">
        <f>Data!E45</f>
        <v>170537.35727284456</v>
      </c>
      <c r="F46" s="151">
        <f>Data!F45</f>
        <v>26478984.537272859</v>
      </c>
      <c r="G46" s="253">
        <f>Data!AP45</f>
        <v>1</v>
      </c>
      <c r="H46" s="129">
        <f>Data!AQ45</f>
        <v>136</v>
      </c>
      <c r="I46" s="32">
        <f>Data!BG45</f>
        <v>31</v>
      </c>
      <c r="J46" s="32">
        <f>Data!BX45</f>
        <v>0</v>
      </c>
      <c r="K46" s="32">
        <f>Data!BR45</f>
        <v>0</v>
      </c>
      <c r="L46" s="41">
        <f>Data!AA45</f>
        <v>31837</v>
      </c>
      <c r="M46" s="255">
        <f>Data!CG45</f>
        <v>0</v>
      </c>
      <c r="N46" s="78">
        <f>Data!CH45</f>
        <v>0</v>
      </c>
      <c r="O46" s="32">
        <f t="shared" si="6"/>
        <v>28753747.69203506</v>
      </c>
      <c r="P46" s="145">
        <f t="shared" si="3"/>
        <v>28583210.334762216</v>
      </c>
      <c r="Q46" s="32">
        <f t="shared" si="4"/>
        <v>2274763.154762201</v>
      </c>
      <c r="R46" s="50">
        <f t="shared" si="5"/>
        <v>8.5908247408814142E-2</v>
      </c>
      <c r="W46" s="130"/>
      <c r="AE46" s="2"/>
      <c r="AI46" s="2"/>
      <c r="AM46" s="2"/>
      <c r="AN46" s="76"/>
      <c r="AO46" s="5"/>
      <c r="AP46" s="5"/>
      <c r="AQ46" s="2"/>
      <c r="AR46" s="76"/>
      <c r="AS46" s="5"/>
      <c r="AT46" s="5"/>
      <c r="AU46" s="29"/>
      <c r="AV46" s="29"/>
      <c r="AW46" s="29"/>
    </row>
    <row r="47" spans="1:49" x14ac:dyDescent="0.2">
      <c r="A47" s="2">
        <v>41883</v>
      </c>
      <c r="B47">
        <f t="shared" si="0"/>
        <v>2014</v>
      </c>
      <c r="C47">
        <f t="shared" si="1"/>
        <v>9</v>
      </c>
      <c r="D47" s="151">
        <f>Data!D46</f>
        <v>21592645.629999999</v>
      </c>
      <c r="E47" s="151">
        <f>Data!E46</f>
        <v>170537.35727284456</v>
      </c>
      <c r="F47" s="151">
        <f>Data!F46</f>
        <v>21763182.987272844</v>
      </c>
      <c r="G47" s="253">
        <f>Data!AP46</f>
        <v>39.299999999999997</v>
      </c>
      <c r="H47" s="129">
        <f>Data!AQ46</f>
        <v>59.70000000000001</v>
      </c>
      <c r="I47" s="32">
        <f>Data!BG46</f>
        <v>30</v>
      </c>
      <c r="J47" s="32">
        <f>Data!BX46</f>
        <v>1</v>
      </c>
      <c r="K47" s="32">
        <f>Data!BR46</f>
        <v>1</v>
      </c>
      <c r="L47" s="41">
        <f>Data!AA46</f>
        <v>31970</v>
      </c>
      <c r="M47" s="255">
        <f>Data!CG46</f>
        <v>0</v>
      </c>
      <c r="N47" s="78">
        <f>Data!CH46</f>
        <v>0</v>
      </c>
      <c r="O47" s="32">
        <f t="shared" si="6"/>
        <v>23262015.189817682</v>
      </c>
      <c r="P47" s="145">
        <f t="shared" si="3"/>
        <v>23091477.832544837</v>
      </c>
      <c r="Q47" s="32">
        <f t="shared" si="4"/>
        <v>1498832.2025448382</v>
      </c>
      <c r="R47" s="50">
        <f t="shared" si="5"/>
        <v>6.8870082258709969E-2</v>
      </c>
      <c r="AE47" s="2"/>
      <c r="AI47" s="2"/>
      <c r="AM47" s="2"/>
      <c r="AN47" s="76"/>
      <c r="AO47" s="5"/>
      <c r="AP47" s="5"/>
      <c r="AQ47" s="2"/>
      <c r="AR47" s="76"/>
      <c r="AS47" s="5"/>
      <c r="AT47" s="5"/>
      <c r="AU47" s="29"/>
      <c r="AV47" s="29"/>
    </row>
    <row r="48" spans="1:49" x14ac:dyDescent="0.2">
      <c r="A48" s="2">
        <v>41913</v>
      </c>
      <c r="B48">
        <f t="shared" si="0"/>
        <v>2014</v>
      </c>
      <c r="C48">
        <f t="shared" si="1"/>
        <v>10</v>
      </c>
      <c r="D48" s="151">
        <f>Data!D47</f>
        <v>21211727.290000003</v>
      </c>
      <c r="E48" s="151">
        <f>Data!E47</f>
        <v>170537.35727284456</v>
      </c>
      <c r="F48" s="151">
        <f>Data!F47</f>
        <v>21382264.647272848</v>
      </c>
      <c r="G48" s="253">
        <f>Data!AP47</f>
        <v>167.3</v>
      </c>
      <c r="H48" s="129">
        <f>Data!AQ47</f>
        <v>6.3000000000000007</v>
      </c>
      <c r="I48" s="32">
        <f>Data!BG47</f>
        <v>31</v>
      </c>
      <c r="J48" s="32">
        <f>Data!BX47</f>
        <v>1</v>
      </c>
      <c r="K48" s="32">
        <f>Data!BR47</f>
        <v>0</v>
      </c>
      <c r="L48" s="41">
        <f>Data!AA47</f>
        <v>32106</v>
      </c>
      <c r="M48" s="255">
        <f>Data!CG47</f>
        <v>0</v>
      </c>
      <c r="N48" s="78">
        <f>Data!CH47</f>
        <v>0</v>
      </c>
      <c r="O48" s="32">
        <f t="shared" si="6"/>
        <v>20627206.391094096</v>
      </c>
      <c r="P48" s="145">
        <f t="shared" si="3"/>
        <v>20456669.033821251</v>
      </c>
      <c r="Q48" s="32">
        <f t="shared" si="4"/>
        <v>-755058.25617875159</v>
      </c>
      <c r="R48" s="50">
        <f t="shared" si="5"/>
        <v>3.5312361372117511E-2</v>
      </c>
      <c r="W48" s="130"/>
      <c r="AE48" s="2"/>
      <c r="AI48" s="2"/>
      <c r="AM48" s="2"/>
      <c r="AN48" s="76"/>
      <c r="AO48" s="5"/>
      <c r="AP48" s="5"/>
      <c r="AQ48" s="2"/>
      <c r="AR48" s="76"/>
      <c r="AS48" s="5"/>
      <c r="AT48" s="5"/>
      <c r="AU48" s="29"/>
      <c r="AV48" s="29"/>
    </row>
    <row r="49" spans="1:48" x14ac:dyDescent="0.2">
      <c r="A49" s="2">
        <v>41944</v>
      </c>
      <c r="B49">
        <f t="shared" si="0"/>
        <v>2014</v>
      </c>
      <c r="C49">
        <f t="shared" si="1"/>
        <v>11</v>
      </c>
      <c r="D49" s="151">
        <f>Data!D48</f>
        <v>22391892.130000006</v>
      </c>
      <c r="E49" s="151">
        <f>Data!E48</f>
        <v>170537.35727284456</v>
      </c>
      <c r="F49" s="151">
        <f>Data!F48</f>
        <v>22562429.487272851</v>
      </c>
      <c r="G49" s="253">
        <f>Data!AP48</f>
        <v>422.10000000000008</v>
      </c>
      <c r="H49" s="129">
        <f>Data!AQ48</f>
        <v>0</v>
      </c>
      <c r="I49" s="32">
        <f>Data!BG48</f>
        <v>30</v>
      </c>
      <c r="J49" s="32">
        <f>Data!BX48</f>
        <v>1</v>
      </c>
      <c r="K49" s="32">
        <f>Data!BR48</f>
        <v>0</v>
      </c>
      <c r="L49" s="41">
        <f>Data!AA48</f>
        <v>32208</v>
      </c>
      <c r="M49" s="255">
        <f>Data!CG48</f>
        <v>0</v>
      </c>
      <c r="N49" s="78">
        <f>Data!CH48</f>
        <v>0</v>
      </c>
      <c r="O49" s="32">
        <f t="shared" si="6"/>
        <v>21879401.451632485</v>
      </c>
      <c r="P49" s="145">
        <f t="shared" si="3"/>
        <v>21708864.09435964</v>
      </c>
      <c r="Q49" s="32">
        <f t="shared" si="4"/>
        <v>-683028.03564036638</v>
      </c>
      <c r="R49" s="50">
        <f t="shared" si="5"/>
        <v>3.0272805330013457E-2</v>
      </c>
      <c r="AE49" s="2"/>
      <c r="AI49" s="2"/>
      <c r="AM49" s="2"/>
      <c r="AN49" s="76"/>
      <c r="AO49" s="5"/>
      <c r="AP49" s="5"/>
      <c r="AQ49" s="2"/>
      <c r="AR49" s="76"/>
      <c r="AS49" s="5"/>
      <c r="AT49" s="5"/>
      <c r="AU49" s="29"/>
      <c r="AV49" s="29"/>
    </row>
    <row r="50" spans="1:48" x14ac:dyDescent="0.2">
      <c r="A50" s="2">
        <v>41974</v>
      </c>
      <c r="B50">
        <f t="shared" si="0"/>
        <v>2014</v>
      </c>
      <c r="C50">
        <f t="shared" si="1"/>
        <v>12</v>
      </c>
      <c r="D50" s="151">
        <f>Data!D49</f>
        <v>27503240.840000004</v>
      </c>
      <c r="E50" s="151">
        <f>Data!E49</f>
        <v>170537.35727284456</v>
      </c>
      <c r="F50" s="151">
        <f>Data!F49</f>
        <v>27673778.197272848</v>
      </c>
      <c r="G50" s="253">
        <f>Data!AP49</f>
        <v>495.30000000000007</v>
      </c>
      <c r="H50" s="129">
        <f>Data!AQ49</f>
        <v>0</v>
      </c>
      <c r="I50" s="32">
        <f>Data!BG49</f>
        <v>31</v>
      </c>
      <c r="J50" s="32">
        <f>Data!BX49</f>
        <v>0</v>
      </c>
      <c r="K50" s="32">
        <f>Data!BR49</f>
        <v>0</v>
      </c>
      <c r="L50" s="41">
        <f>Data!AA49</f>
        <v>32268</v>
      </c>
      <c r="M50" s="255">
        <f>Data!CG49</f>
        <v>0</v>
      </c>
      <c r="N50" s="78">
        <f>Data!CH49</f>
        <v>0</v>
      </c>
      <c r="O50" s="32">
        <f t="shared" si="6"/>
        <v>26126382.086362801</v>
      </c>
      <c r="P50" s="145">
        <f t="shared" si="3"/>
        <v>25955844.729089957</v>
      </c>
      <c r="Q50" s="32">
        <f t="shared" si="4"/>
        <v>-1547396.1109100468</v>
      </c>
      <c r="R50" s="50">
        <f t="shared" si="5"/>
        <v>5.5915607181622105E-2</v>
      </c>
      <c r="AE50" s="2"/>
      <c r="AI50" s="2"/>
      <c r="AM50" s="2"/>
      <c r="AN50" s="76"/>
      <c r="AO50" s="5"/>
      <c r="AP50" s="5"/>
      <c r="AQ50" s="2"/>
      <c r="AR50" s="76"/>
      <c r="AS50" s="5"/>
      <c r="AT50" s="5"/>
      <c r="AU50" s="29"/>
      <c r="AV50" s="29"/>
    </row>
    <row r="51" spans="1:48" x14ac:dyDescent="0.2">
      <c r="A51" s="2">
        <v>42005</v>
      </c>
      <c r="B51">
        <f t="shared" si="0"/>
        <v>2015</v>
      </c>
      <c r="C51">
        <f t="shared" si="1"/>
        <v>1</v>
      </c>
      <c r="D51" s="151">
        <f>Data!D50</f>
        <v>27752175.363855418</v>
      </c>
      <c r="E51" s="151">
        <f>Data!E50</f>
        <v>317002.07740110968</v>
      </c>
      <c r="F51" s="151">
        <f>Data!F50</f>
        <v>28069177.441256527</v>
      </c>
      <c r="G51" s="253">
        <f>Data!AP50</f>
        <v>730.39999999999975</v>
      </c>
      <c r="H51" s="129">
        <f>Data!AQ50</f>
        <v>0</v>
      </c>
      <c r="I51" s="32">
        <f>Data!BG50</f>
        <v>31</v>
      </c>
      <c r="J51" s="32">
        <f>Data!BX50</f>
        <v>0</v>
      </c>
      <c r="K51" s="32">
        <f>Data!BR50</f>
        <v>0</v>
      </c>
      <c r="L51" s="41">
        <f>Data!AA50</f>
        <v>32346</v>
      </c>
      <c r="M51" s="255">
        <f>Data!CG50</f>
        <v>0</v>
      </c>
      <c r="N51" s="78">
        <f>Data!CH50</f>
        <v>0</v>
      </c>
      <c r="O51" s="32">
        <f t="shared" si="6"/>
        <v>28225929.99946193</v>
      </c>
      <c r="P51" s="145">
        <f t="shared" si="3"/>
        <v>27908927.922060821</v>
      </c>
      <c r="Q51" s="32">
        <f t="shared" si="4"/>
        <v>156752.55820540339</v>
      </c>
      <c r="R51" s="50">
        <f t="shared" si="5"/>
        <v>5.5845084357550841E-3</v>
      </c>
      <c r="AE51" s="2"/>
      <c r="AI51" s="2"/>
      <c r="AM51" s="2"/>
      <c r="AN51" s="76"/>
      <c r="AO51" s="5"/>
      <c r="AP51" s="5"/>
      <c r="AQ51" s="2"/>
      <c r="AR51" s="76"/>
      <c r="AS51" s="5"/>
      <c r="AT51" s="5"/>
      <c r="AU51" s="29"/>
      <c r="AV51" s="29"/>
    </row>
    <row r="52" spans="1:48" x14ac:dyDescent="0.2">
      <c r="A52" s="2">
        <v>42036</v>
      </c>
      <c r="B52">
        <f t="shared" si="0"/>
        <v>2015</v>
      </c>
      <c r="C52">
        <f t="shared" si="1"/>
        <v>2</v>
      </c>
      <c r="D52" s="151">
        <f>Data!D51</f>
        <v>26390163.306024112</v>
      </c>
      <c r="E52" s="151">
        <f>Data!E51</f>
        <v>317002.07740110968</v>
      </c>
      <c r="F52" s="151">
        <f>Data!F51</f>
        <v>26707165.383425221</v>
      </c>
      <c r="G52" s="253">
        <f>Data!AP51</f>
        <v>800.8</v>
      </c>
      <c r="H52" s="129">
        <f>Data!AQ51</f>
        <v>0</v>
      </c>
      <c r="I52" s="32">
        <f>Data!BG51</f>
        <v>28</v>
      </c>
      <c r="J52" s="32">
        <f>Data!BX51</f>
        <v>0</v>
      </c>
      <c r="K52" s="32">
        <f>Data!BR51</f>
        <v>0</v>
      </c>
      <c r="L52" s="41">
        <f>Data!AA51</f>
        <v>32433</v>
      </c>
      <c r="M52" s="255">
        <f>Data!CG51</f>
        <v>0</v>
      </c>
      <c r="N52" s="78">
        <f>Data!CH51</f>
        <v>0</v>
      </c>
      <c r="O52" s="32">
        <f t="shared" si="6"/>
        <v>26791830.83697173</v>
      </c>
      <c r="P52" s="145">
        <f t="shared" si="3"/>
        <v>26474828.759570621</v>
      </c>
      <c r="Q52" s="32">
        <f t="shared" si="4"/>
        <v>84665.453546509147</v>
      </c>
      <c r="R52" s="50">
        <f t="shared" si="5"/>
        <v>3.1701400104053542E-3</v>
      </c>
      <c r="AE52" s="2"/>
      <c r="AI52" s="2"/>
      <c r="AM52" s="2"/>
      <c r="AN52" s="76"/>
      <c r="AO52" s="5"/>
      <c r="AP52" s="5"/>
      <c r="AQ52" s="2"/>
      <c r="AR52" s="76"/>
      <c r="AS52" s="5"/>
      <c r="AT52" s="5"/>
      <c r="AU52" s="29"/>
      <c r="AV52" s="29"/>
    </row>
    <row r="53" spans="1:48" x14ac:dyDescent="0.2">
      <c r="A53" s="2">
        <v>42064</v>
      </c>
      <c r="B53">
        <f t="shared" si="0"/>
        <v>2015</v>
      </c>
      <c r="C53">
        <f t="shared" si="1"/>
        <v>3</v>
      </c>
      <c r="D53" s="151">
        <f>Data!D52</f>
        <v>24161080.125301201</v>
      </c>
      <c r="E53" s="151">
        <f>Data!E52</f>
        <v>317002.07740110968</v>
      </c>
      <c r="F53" s="151">
        <f>Data!F52</f>
        <v>24478082.20270231</v>
      </c>
      <c r="G53" s="253">
        <f>Data!AP52</f>
        <v>553.5</v>
      </c>
      <c r="H53" s="129">
        <f>Data!AQ52</f>
        <v>0</v>
      </c>
      <c r="I53" s="32">
        <f>Data!BG52</f>
        <v>31</v>
      </c>
      <c r="J53" s="32">
        <f>Data!BX52</f>
        <v>1</v>
      </c>
      <c r="K53" s="32">
        <f>Data!BR52</f>
        <v>0</v>
      </c>
      <c r="L53" s="41">
        <f>Data!AA52</f>
        <v>32524</v>
      </c>
      <c r="M53" s="255">
        <f>Data!CG52</f>
        <v>0</v>
      </c>
      <c r="N53" s="78">
        <f>Data!CH52</f>
        <v>0</v>
      </c>
      <c r="O53" s="32">
        <f t="shared" si="6"/>
        <v>23913259.764123648</v>
      </c>
      <c r="P53" s="145">
        <f t="shared" si="3"/>
        <v>23596257.686722539</v>
      </c>
      <c r="Q53" s="32">
        <f t="shared" si="4"/>
        <v>-564822.43857866153</v>
      </c>
      <c r="R53" s="50">
        <f t="shared" si="5"/>
        <v>2.3074619731291969E-2</v>
      </c>
      <c r="AE53" s="2"/>
      <c r="AI53" s="2"/>
      <c r="AM53" s="2"/>
      <c r="AN53" s="76"/>
      <c r="AO53" s="5"/>
      <c r="AP53" s="5"/>
      <c r="AQ53" s="2"/>
      <c r="AR53" s="76"/>
      <c r="AS53" s="5"/>
      <c r="AT53" s="5"/>
      <c r="AU53" s="29"/>
      <c r="AV53" s="29"/>
    </row>
    <row r="54" spans="1:48" x14ac:dyDescent="0.2">
      <c r="A54" s="2">
        <v>42095</v>
      </c>
      <c r="B54">
        <f t="shared" si="0"/>
        <v>2015</v>
      </c>
      <c r="C54">
        <f t="shared" si="1"/>
        <v>4</v>
      </c>
      <c r="D54" s="151">
        <f>Data!D53</f>
        <v>20359667.007228933</v>
      </c>
      <c r="E54" s="151">
        <f>Data!E53</f>
        <v>317002.07740110968</v>
      </c>
      <c r="F54" s="151">
        <f>Data!F53</f>
        <v>20676669.084630042</v>
      </c>
      <c r="G54" s="253">
        <f>Data!AP53</f>
        <v>253.70000000000002</v>
      </c>
      <c r="H54" s="129">
        <f>Data!AQ53</f>
        <v>0</v>
      </c>
      <c r="I54" s="32">
        <f>Data!BG53</f>
        <v>30</v>
      </c>
      <c r="J54" s="32">
        <f>Data!BX53</f>
        <v>1</v>
      </c>
      <c r="K54" s="32">
        <f>Data!BR53</f>
        <v>0</v>
      </c>
      <c r="L54" s="41">
        <f>Data!AA53</f>
        <v>32605</v>
      </c>
      <c r="M54" s="255">
        <f>Data!CG53</f>
        <v>0</v>
      </c>
      <c r="N54" s="78">
        <f>Data!CH53</f>
        <v>0</v>
      </c>
      <c r="O54" s="32">
        <f t="shared" si="6"/>
        <v>20642031.56196693</v>
      </c>
      <c r="P54" s="145">
        <f t="shared" si="3"/>
        <v>20325029.484565821</v>
      </c>
      <c r="Q54" s="32">
        <f t="shared" si="4"/>
        <v>-34637.52266311273</v>
      </c>
      <c r="R54" s="50">
        <f t="shared" si="5"/>
        <v>1.6751983852592803E-3</v>
      </c>
      <c r="V54" s="130"/>
      <c r="AE54" s="2"/>
      <c r="AI54" s="2"/>
      <c r="AM54" s="2"/>
      <c r="AN54" s="76"/>
      <c r="AO54" s="5"/>
      <c r="AP54" s="5"/>
      <c r="AQ54" s="2"/>
      <c r="AR54" s="76"/>
      <c r="AS54" s="5"/>
      <c r="AT54" s="5"/>
      <c r="AU54" s="29"/>
      <c r="AV54" s="29"/>
    </row>
    <row r="55" spans="1:48" x14ac:dyDescent="0.2">
      <c r="A55" s="2">
        <v>42125</v>
      </c>
      <c r="B55">
        <f t="shared" si="0"/>
        <v>2015</v>
      </c>
      <c r="C55">
        <f t="shared" si="1"/>
        <v>5</v>
      </c>
      <c r="D55" s="151">
        <f>Data!D54</f>
        <v>21429091.180722896</v>
      </c>
      <c r="E55" s="151">
        <f>Data!E54</f>
        <v>317002.07740110968</v>
      </c>
      <c r="F55" s="151">
        <f>Data!F54</f>
        <v>21746093.258124005</v>
      </c>
      <c r="G55" s="253">
        <f>Data!AP54</f>
        <v>56.900000000000006</v>
      </c>
      <c r="H55" s="129">
        <f>Data!AQ54</f>
        <v>63.7</v>
      </c>
      <c r="I55" s="32">
        <f>Data!BG54</f>
        <v>31</v>
      </c>
      <c r="J55" s="32">
        <f>Data!BX54</f>
        <v>1</v>
      </c>
      <c r="K55" s="32">
        <f>Data!BR54</f>
        <v>0</v>
      </c>
      <c r="L55" s="41">
        <f>Data!AA54</f>
        <v>32646</v>
      </c>
      <c r="M55" s="255">
        <f>Data!CG54</f>
        <v>0</v>
      </c>
      <c r="N55" s="78">
        <f>Data!CH54</f>
        <v>0</v>
      </c>
      <c r="O55" s="32">
        <f t="shared" si="6"/>
        <v>23018959.256522119</v>
      </c>
      <c r="P55" s="145">
        <f t="shared" si="3"/>
        <v>22701957.17912101</v>
      </c>
      <c r="Q55" s="32">
        <f t="shared" si="4"/>
        <v>1272865.998398114</v>
      </c>
      <c r="R55" s="50">
        <f t="shared" si="5"/>
        <v>5.8533088370831432E-2</v>
      </c>
      <c r="AE55" s="2"/>
      <c r="AI55" s="2"/>
      <c r="AM55" s="2"/>
      <c r="AN55" s="76"/>
      <c r="AO55" s="5"/>
      <c r="AP55" s="5"/>
      <c r="AQ55" s="2"/>
      <c r="AR55" s="76"/>
      <c r="AS55" s="5"/>
      <c r="AT55" s="5"/>
      <c r="AU55" s="29"/>
      <c r="AV55" s="29"/>
    </row>
    <row r="56" spans="1:48" x14ac:dyDescent="0.2">
      <c r="A56" s="2">
        <v>42156</v>
      </c>
      <c r="B56">
        <f t="shared" si="0"/>
        <v>2015</v>
      </c>
      <c r="C56">
        <f t="shared" si="1"/>
        <v>6</v>
      </c>
      <c r="D56" s="151">
        <f>Data!D55</f>
        <v>24790300.809638564</v>
      </c>
      <c r="E56" s="151">
        <f>Data!E55</f>
        <v>317002.07740110968</v>
      </c>
      <c r="F56" s="151">
        <f>Data!F55</f>
        <v>25107302.887039673</v>
      </c>
      <c r="G56" s="253">
        <f>Data!AP55</f>
        <v>14.299999999999999</v>
      </c>
      <c r="H56" s="129">
        <f>Data!AQ55</f>
        <v>72.800000000000011</v>
      </c>
      <c r="I56" s="32">
        <f>Data!BG55</f>
        <v>30</v>
      </c>
      <c r="J56" s="32">
        <f>Data!BX55</f>
        <v>0</v>
      </c>
      <c r="K56" s="32">
        <f>Data!BR55</f>
        <v>0</v>
      </c>
      <c r="L56" s="41">
        <f>Data!AA55</f>
        <v>32729</v>
      </c>
      <c r="M56" s="255">
        <f>Data!CG55</f>
        <v>0</v>
      </c>
      <c r="N56" s="78">
        <f>Data!CH55</f>
        <v>0</v>
      </c>
      <c r="O56" s="32">
        <f t="shared" si="6"/>
        <v>25349454.284037784</v>
      </c>
      <c r="P56" s="145">
        <f t="shared" si="3"/>
        <v>25032452.206636675</v>
      </c>
      <c r="Q56" s="32">
        <f t="shared" si="4"/>
        <v>242151.39699811116</v>
      </c>
      <c r="R56" s="50">
        <f t="shared" si="5"/>
        <v>9.6446598859134761E-3</v>
      </c>
      <c r="AE56" s="2"/>
      <c r="AI56" s="2"/>
      <c r="AM56" s="2"/>
      <c r="AN56" s="76"/>
      <c r="AO56" s="5"/>
      <c r="AP56" s="5"/>
      <c r="AQ56" s="2"/>
      <c r="AR56" s="76"/>
      <c r="AS56" s="5"/>
      <c r="AT56" s="5"/>
      <c r="AU56" s="29"/>
      <c r="AV56" s="29"/>
    </row>
    <row r="57" spans="1:48" x14ac:dyDescent="0.2">
      <c r="A57" s="2">
        <v>42186</v>
      </c>
      <c r="B57">
        <f t="shared" si="0"/>
        <v>2015</v>
      </c>
      <c r="C57">
        <f t="shared" si="1"/>
        <v>7</v>
      </c>
      <c r="D57" s="151">
        <f>Data!D56</f>
        <v>31635963.15180723</v>
      </c>
      <c r="E57" s="151">
        <f>Data!E56</f>
        <v>317002.07740110968</v>
      </c>
      <c r="F57" s="151">
        <f>Data!F56</f>
        <v>31952965.229208339</v>
      </c>
      <c r="G57" s="253">
        <f>Data!AP56</f>
        <v>0</v>
      </c>
      <c r="H57" s="129">
        <f>Data!AQ56</f>
        <v>172.30000000000004</v>
      </c>
      <c r="I57" s="32">
        <f>Data!BG56</f>
        <v>31</v>
      </c>
      <c r="J57" s="32">
        <f>Data!BX56</f>
        <v>0</v>
      </c>
      <c r="K57" s="32">
        <f>Data!BR56</f>
        <v>0</v>
      </c>
      <c r="L57" s="41">
        <f>Data!AA56</f>
        <v>32779</v>
      </c>
      <c r="M57" s="255">
        <f>Data!CG56</f>
        <v>0</v>
      </c>
      <c r="N57" s="78">
        <f>Data!CH56</f>
        <v>0</v>
      </c>
      <c r="O57" s="32">
        <f t="shared" si="6"/>
        <v>31220834.885838509</v>
      </c>
      <c r="P57" s="145">
        <f t="shared" si="3"/>
        <v>30903832.8084374</v>
      </c>
      <c r="Q57" s="32">
        <f t="shared" si="4"/>
        <v>-732130.3433698304</v>
      </c>
      <c r="R57" s="50">
        <f t="shared" si="5"/>
        <v>2.2912751230379926E-2</v>
      </c>
      <c r="AE57" s="2"/>
      <c r="AI57" s="2"/>
      <c r="AM57" s="2"/>
      <c r="AN57" s="76"/>
      <c r="AO57" s="5"/>
      <c r="AP57" s="5"/>
      <c r="AQ57" s="2"/>
      <c r="AR57" s="76"/>
      <c r="AS57" s="5"/>
      <c r="AT57" s="5"/>
      <c r="AU57" s="29"/>
      <c r="AV57" s="29"/>
    </row>
    <row r="58" spans="1:48" x14ac:dyDescent="0.2">
      <c r="A58" s="2">
        <v>42217</v>
      </c>
      <c r="B58">
        <f t="shared" si="0"/>
        <v>2015</v>
      </c>
      <c r="C58">
        <f t="shared" si="1"/>
        <v>8</v>
      </c>
      <c r="D58" s="151">
        <f>Data!D57</f>
        <v>29263075.190361433</v>
      </c>
      <c r="E58" s="151">
        <f>Data!E57</f>
        <v>317002.07740110968</v>
      </c>
      <c r="F58" s="151">
        <f>Data!F57</f>
        <v>29580077.267762542</v>
      </c>
      <c r="G58" s="253">
        <f>Data!AP57</f>
        <v>0</v>
      </c>
      <c r="H58" s="129">
        <f>Data!AQ57</f>
        <v>146.20000000000002</v>
      </c>
      <c r="I58" s="32">
        <f>Data!BG57</f>
        <v>31</v>
      </c>
      <c r="J58" s="32">
        <f>Data!BX57</f>
        <v>0</v>
      </c>
      <c r="K58" s="32">
        <f>Data!BR57</f>
        <v>0</v>
      </c>
      <c r="L58" s="41">
        <f>Data!AA57</f>
        <v>32817</v>
      </c>
      <c r="M58" s="255">
        <f>Data!CG57</f>
        <v>0</v>
      </c>
      <c r="N58" s="78">
        <f>Data!CH57</f>
        <v>0</v>
      </c>
      <c r="O58" s="32">
        <f t="shared" si="6"/>
        <v>29861660.091682378</v>
      </c>
      <c r="P58" s="145">
        <f t="shared" si="3"/>
        <v>29544658.014281269</v>
      </c>
      <c r="Q58" s="32">
        <f t="shared" si="4"/>
        <v>281582.82391983643</v>
      </c>
      <c r="R58" s="50">
        <f t="shared" si="5"/>
        <v>9.5193403780157049E-3</v>
      </c>
      <c r="AE58" s="2"/>
      <c r="AI58" s="2"/>
      <c r="AM58" s="2"/>
      <c r="AN58" s="76"/>
      <c r="AO58" s="5"/>
      <c r="AP58" s="5"/>
      <c r="AQ58" s="2"/>
      <c r="AR58" s="76"/>
      <c r="AS58" s="5"/>
      <c r="AT58" s="5"/>
      <c r="AU58" s="29"/>
      <c r="AV58" s="29"/>
    </row>
    <row r="59" spans="1:48" x14ac:dyDescent="0.2">
      <c r="A59" s="2">
        <v>42248</v>
      </c>
      <c r="B59">
        <f t="shared" si="0"/>
        <v>2015</v>
      </c>
      <c r="C59">
        <f t="shared" si="1"/>
        <v>9</v>
      </c>
      <c r="D59" s="151">
        <f>Data!D58</f>
        <v>26291769.465060253</v>
      </c>
      <c r="E59" s="151">
        <f>Data!E58</f>
        <v>317002.07740110968</v>
      </c>
      <c r="F59" s="151">
        <f>Data!F58</f>
        <v>26608771.542461362</v>
      </c>
      <c r="G59" s="253">
        <f>Data!AP58</f>
        <v>12.9</v>
      </c>
      <c r="H59" s="129">
        <f>Data!AQ58</f>
        <v>123.69999999999999</v>
      </c>
      <c r="I59" s="32">
        <f>Data!BG58</f>
        <v>30</v>
      </c>
      <c r="J59" s="32">
        <f>Data!BX58</f>
        <v>1</v>
      </c>
      <c r="K59" s="32">
        <f>Data!BR58</f>
        <v>1</v>
      </c>
      <c r="L59" s="41">
        <f>Data!AA58</f>
        <v>32876</v>
      </c>
      <c r="M59" s="255">
        <f>Data!CG58</f>
        <v>0</v>
      </c>
      <c r="N59" s="78">
        <f>Data!CH58</f>
        <v>0</v>
      </c>
      <c r="O59" s="32">
        <f t="shared" si="6"/>
        <v>26952272.215839446</v>
      </c>
      <c r="P59" s="145">
        <f t="shared" si="3"/>
        <v>26635270.138438337</v>
      </c>
      <c r="Q59" s="32">
        <f t="shared" si="4"/>
        <v>343500.67337808385</v>
      </c>
      <c r="R59" s="50">
        <f t="shared" si="5"/>
        <v>1.2909302213743213E-2</v>
      </c>
      <c r="AE59" s="2"/>
      <c r="AI59" s="2"/>
      <c r="AM59" s="2"/>
      <c r="AN59" s="76"/>
      <c r="AO59" s="5"/>
      <c r="AP59" s="5"/>
      <c r="AQ59" s="2"/>
      <c r="AR59" s="76"/>
      <c r="AS59" s="5"/>
      <c r="AT59" s="5"/>
      <c r="AU59" s="29"/>
      <c r="AV59" s="29"/>
    </row>
    <row r="60" spans="1:48" x14ac:dyDescent="0.2">
      <c r="A60" s="2">
        <v>42278</v>
      </c>
      <c r="B60">
        <f t="shared" si="0"/>
        <v>2015</v>
      </c>
      <c r="C60">
        <f t="shared" si="1"/>
        <v>10</v>
      </c>
      <c r="D60" s="151">
        <f>Data!D59</f>
        <v>21166911.199999988</v>
      </c>
      <c r="E60" s="151">
        <f>Data!E59</f>
        <v>317002.07740110968</v>
      </c>
      <c r="F60" s="151">
        <f>Data!F59</f>
        <v>21483913.277401097</v>
      </c>
      <c r="G60" s="253">
        <f>Data!AP59</f>
        <v>190.60000000000002</v>
      </c>
      <c r="H60" s="129">
        <f>Data!AQ59</f>
        <v>2.7999999999999972</v>
      </c>
      <c r="I60" s="32">
        <f>Data!BG59</f>
        <v>31</v>
      </c>
      <c r="J60" s="32">
        <f>Data!BX59</f>
        <v>1</v>
      </c>
      <c r="K60" s="32">
        <f>Data!BR59</f>
        <v>0</v>
      </c>
      <c r="L60" s="41">
        <f>Data!AA59</f>
        <v>32908</v>
      </c>
      <c r="M60" s="255">
        <f>Data!CG59</f>
        <v>0</v>
      </c>
      <c r="N60" s="78">
        <f>Data!CH59</f>
        <v>0</v>
      </c>
      <c r="O60" s="32">
        <f t="shared" si="6"/>
        <v>21117454.778281473</v>
      </c>
      <c r="P60" s="145">
        <f t="shared" si="3"/>
        <v>20800452.700880364</v>
      </c>
      <c r="Q60" s="32">
        <f t="shared" si="4"/>
        <v>-366458.4991196245</v>
      </c>
      <c r="R60" s="50">
        <f t="shared" si="5"/>
        <v>1.7057343994452898E-2</v>
      </c>
      <c r="AE60" s="2"/>
      <c r="AI60" s="2"/>
      <c r="AM60" s="2"/>
      <c r="AN60" s="76"/>
      <c r="AO60" s="5"/>
      <c r="AP60" s="5"/>
      <c r="AQ60" s="2"/>
      <c r="AR60" s="76"/>
      <c r="AS60" s="5"/>
      <c r="AT60" s="5"/>
      <c r="AU60" s="29"/>
      <c r="AV60" s="29"/>
    </row>
    <row r="61" spans="1:48" x14ac:dyDescent="0.2">
      <c r="A61" s="2">
        <v>42309</v>
      </c>
      <c r="B61">
        <f t="shared" si="0"/>
        <v>2015</v>
      </c>
      <c r="C61">
        <f t="shared" si="1"/>
        <v>11</v>
      </c>
      <c r="D61" s="151">
        <f>Data!D60</f>
        <v>19417085.089156609</v>
      </c>
      <c r="E61" s="151">
        <f>Data!E60</f>
        <v>317002.07740110968</v>
      </c>
      <c r="F61" s="151">
        <f>Data!F60</f>
        <v>19734087.166557718</v>
      </c>
      <c r="G61" s="253">
        <f>Data!AP60</f>
        <v>285</v>
      </c>
      <c r="H61" s="129">
        <f>Data!AQ60</f>
        <v>0</v>
      </c>
      <c r="I61" s="32">
        <f>Data!BG60</f>
        <v>30</v>
      </c>
      <c r="J61" s="32">
        <f>Data!BX60</f>
        <v>1</v>
      </c>
      <c r="K61" s="32">
        <f>Data!BR60</f>
        <v>0</v>
      </c>
      <c r="L61" s="41">
        <f>Data!AA60</f>
        <v>32947</v>
      </c>
      <c r="M61" s="255">
        <f>Data!CG60</f>
        <v>0</v>
      </c>
      <c r="N61" s="78">
        <f>Data!CH60</f>
        <v>0</v>
      </c>
      <c r="O61" s="32">
        <f t="shared" si="6"/>
        <v>21116712.332198516</v>
      </c>
      <c r="P61" s="145">
        <f t="shared" si="3"/>
        <v>20799710.254797406</v>
      </c>
      <c r="Q61" s="32">
        <f t="shared" si="4"/>
        <v>1382625.1656407975</v>
      </c>
      <c r="R61" s="50">
        <f t="shared" si="5"/>
        <v>7.0062788005915824E-2</v>
      </c>
      <c r="AE61" s="2"/>
      <c r="AN61" s="5"/>
      <c r="AO61" s="5"/>
      <c r="AP61" s="5"/>
      <c r="AQ61" s="5"/>
      <c r="AR61" s="5"/>
      <c r="AS61" s="5"/>
      <c r="AU61" s="29"/>
      <c r="AV61" s="29"/>
    </row>
    <row r="62" spans="1:48" x14ac:dyDescent="0.2">
      <c r="A62" s="2">
        <v>42339</v>
      </c>
      <c r="B62">
        <f t="shared" si="0"/>
        <v>2015</v>
      </c>
      <c r="C62">
        <f t="shared" si="1"/>
        <v>12</v>
      </c>
      <c r="D62" s="151">
        <f>Data!D61</f>
        <v>23283597.985542178</v>
      </c>
      <c r="E62" s="151">
        <f>Data!E61</f>
        <v>317002.07740110968</v>
      </c>
      <c r="F62" s="151">
        <f>Data!F61</f>
        <v>23600600.062943287</v>
      </c>
      <c r="G62" s="253">
        <f>Data!AP61</f>
        <v>367.70000000000005</v>
      </c>
      <c r="H62" s="129">
        <f>Data!AQ61</f>
        <v>0</v>
      </c>
      <c r="I62" s="32">
        <f>Data!BG61</f>
        <v>31</v>
      </c>
      <c r="J62" s="32">
        <f>Data!BX61</f>
        <v>0</v>
      </c>
      <c r="K62" s="32">
        <f>Data!BR61</f>
        <v>0</v>
      </c>
      <c r="L62" s="41">
        <f>Data!AA61</f>
        <v>33001</v>
      </c>
      <c r="M62" s="255">
        <f>Data!CG61</f>
        <v>0</v>
      </c>
      <c r="N62" s="78">
        <f>Data!CH61</f>
        <v>0</v>
      </c>
      <c r="O62" s="32">
        <f t="shared" si="6"/>
        <v>25443146.28469716</v>
      </c>
      <c r="P62" s="145">
        <f t="shared" si="3"/>
        <v>25126144.207296051</v>
      </c>
      <c r="Q62" s="32">
        <f t="shared" si="4"/>
        <v>1842546.2217538729</v>
      </c>
      <c r="R62" s="50">
        <f t="shared" si="5"/>
        <v>7.807200735743007E-2</v>
      </c>
      <c r="AE62" s="2"/>
      <c r="AN62" s="5"/>
      <c r="AO62" s="5"/>
      <c r="AP62" s="5"/>
      <c r="AQ62" s="5"/>
      <c r="AR62" s="5"/>
    </row>
    <row r="63" spans="1:48" x14ac:dyDescent="0.2">
      <c r="A63" s="2">
        <v>42370</v>
      </c>
      <c r="B63">
        <f t="shared" si="0"/>
        <v>2016</v>
      </c>
      <c r="C63">
        <f t="shared" si="1"/>
        <v>1</v>
      </c>
      <c r="D63" s="151">
        <f>Data!D62</f>
        <v>25985111.093975894</v>
      </c>
      <c r="E63" s="151">
        <f>Data!E62</f>
        <v>503439.62575630058</v>
      </c>
      <c r="F63" s="151">
        <f>Data!F62</f>
        <v>26488550.719732195</v>
      </c>
      <c r="G63" s="253">
        <f>Data!AP62</f>
        <v>608.4</v>
      </c>
      <c r="H63" s="129">
        <f>Data!AQ62</f>
        <v>0</v>
      </c>
      <c r="I63" s="32">
        <f>Data!BG62</f>
        <v>31</v>
      </c>
      <c r="J63" s="32">
        <f>Data!BX62</f>
        <v>0</v>
      </c>
      <c r="K63" s="32">
        <f>Data!BR62</f>
        <v>0</v>
      </c>
      <c r="L63" s="41">
        <f>Data!AA62</f>
        <v>33068</v>
      </c>
      <c r="M63" s="255">
        <f>Data!CG62</f>
        <v>0</v>
      </c>
      <c r="N63" s="78">
        <f>Data!CH62</f>
        <v>0</v>
      </c>
      <c r="O63" s="32">
        <f t="shared" si="6"/>
        <v>27585137.722263277</v>
      </c>
      <c r="P63" s="145">
        <f t="shared" si="3"/>
        <v>27081698.096506976</v>
      </c>
      <c r="Q63" s="32">
        <f t="shared" si="4"/>
        <v>1096587.0025310814</v>
      </c>
      <c r="R63" s="50">
        <f t="shared" si="5"/>
        <v>4.1398527768988044E-2</v>
      </c>
    </row>
    <row r="64" spans="1:48" x14ac:dyDescent="0.2">
      <c r="A64" s="2">
        <v>42401</v>
      </c>
      <c r="B64">
        <f t="shared" si="0"/>
        <v>2016</v>
      </c>
      <c r="C64">
        <f t="shared" si="1"/>
        <v>2</v>
      </c>
      <c r="D64" s="151">
        <f>Data!D63</f>
        <v>24520177.522891562</v>
      </c>
      <c r="E64" s="151">
        <f>Data!E63</f>
        <v>503439.62575630058</v>
      </c>
      <c r="F64" s="151">
        <f>Data!F63</f>
        <v>25023617.148647863</v>
      </c>
      <c r="G64" s="253">
        <f>Data!AP63</f>
        <v>530.40000000000009</v>
      </c>
      <c r="H64" s="129">
        <f>Data!AQ63</f>
        <v>0</v>
      </c>
      <c r="I64" s="32">
        <f>Data!BG63</f>
        <v>29</v>
      </c>
      <c r="J64" s="32">
        <f>Data!BX63</f>
        <v>0</v>
      </c>
      <c r="K64" s="32">
        <f>Data!BR63</f>
        <v>0</v>
      </c>
      <c r="L64" s="41">
        <f>Data!AA63</f>
        <v>33176</v>
      </c>
      <c r="M64" s="255">
        <f>Data!CG63</f>
        <v>0</v>
      </c>
      <c r="N64" s="78">
        <f>Data!CH63</f>
        <v>0</v>
      </c>
      <c r="O64" s="32">
        <f t="shared" si="6"/>
        <v>25567179.859756988</v>
      </c>
      <c r="P64" s="145">
        <f t="shared" si="3"/>
        <v>25063740.234000687</v>
      </c>
      <c r="Q64" s="32">
        <f t="shared" si="4"/>
        <v>543562.71110912412</v>
      </c>
      <c r="R64" s="50">
        <f t="shared" si="5"/>
        <v>2.172198798759576E-2</v>
      </c>
    </row>
    <row r="65" spans="1:32" x14ac:dyDescent="0.2">
      <c r="A65" s="2">
        <v>42430</v>
      </c>
      <c r="B65">
        <f t="shared" si="0"/>
        <v>2016</v>
      </c>
      <c r="C65">
        <f t="shared" si="1"/>
        <v>3</v>
      </c>
      <c r="D65" s="151">
        <f>Data!D64</f>
        <v>22958336.693975914</v>
      </c>
      <c r="E65" s="151">
        <f>Data!E64</f>
        <v>503439.62575630058</v>
      </c>
      <c r="F65" s="151">
        <f>Data!F64</f>
        <v>23461776.319732215</v>
      </c>
      <c r="G65" s="253">
        <f>Data!AP64</f>
        <v>414.0999999999998</v>
      </c>
      <c r="H65" s="129">
        <f>Data!AQ64</f>
        <v>0</v>
      </c>
      <c r="I65" s="32">
        <f>Data!BG64</f>
        <v>31</v>
      </c>
      <c r="J65" s="32">
        <f>Data!BX64</f>
        <v>1</v>
      </c>
      <c r="K65" s="32">
        <f>Data!BR64</f>
        <v>0</v>
      </c>
      <c r="L65" s="41">
        <f>Data!AA64</f>
        <v>33263</v>
      </c>
      <c r="M65" s="255">
        <f>Data!CG64</f>
        <v>0</v>
      </c>
      <c r="N65" s="78">
        <f>Data!CH64</f>
        <v>0</v>
      </c>
      <c r="O65" s="32">
        <f t="shared" si="6"/>
        <v>23130479.695438702</v>
      </c>
      <c r="P65" s="145">
        <f t="shared" si="3"/>
        <v>22627040.069682401</v>
      </c>
      <c r="Q65" s="32">
        <f t="shared" si="4"/>
        <v>-331296.6242935136</v>
      </c>
      <c r="R65" s="50">
        <f t="shared" si="5"/>
        <v>1.4120696565284401E-2</v>
      </c>
    </row>
    <row r="66" spans="1:32" x14ac:dyDescent="0.2">
      <c r="A66" s="2">
        <v>42461</v>
      </c>
      <c r="B66">
        <f t="shared" si="0"/>
        <v>2016</v>
      </c>
      <c r="C66">
        <f t="shared" si="1"/>
        <v>4</v>
      </c>
      <c r="D66" s="151">
        <f>Data!D65</f>
        <v>21632719.643373489</v>
      </c>
      <c r="E66" s="151">
        <f>Data!E65</f>
        <v>503439.62575630058</v>
      </c>
      <c r="F66" s="151">
        <f>Data!F65</f>
        <v>22136159.26912979</v>
      </c>
      <c r="G66" s="253">
        <f>Data!AP65</f>
        <v>335.1</v>
      </c>
      <c r="H66" s="129">
        <f>Data!AQ65</f>
        <v>0.30000000000000071</v>
      </c>
      <c r="I66" s="32">
        <f>Data!BG65</f>
        <v>30</v>
      </c>
      <c r="J66" s="32">
        <f>Data!BX65</f>
        <v>1</v>
      </c>
      <c r="K66" s="32">
        <f>Data!BR65</f>
        <v>0</v>
      </c>
      <c r="L66" s="41">
        <f>Data!AA65</f>
        <v>33437</v>
      </c>
      <c r="M66" s="255">
        <f>Data!CG65</f>
        <v>0</v>
      </c>
      <c r="N66" s="78">
        <f>Data!CH65</f>
        <v>0</v>
      </c>
      <c r="O66" s="32">
        <f t="shared" si="6"/>
        <v>21858593.455310419</v>
      </c>
      <c r="P66" s="145">
        <f t="shared" si="3"/>
        <v>21355153.829554118</v>
      </c>
      <c r="Q66" s="32">
        <f t="shared" si="4"/>
        <v>-277565.81381937116</v>
      </c>
      <c r="R66" s="50">
        <f t="shared" si="5"/>
        <v>1.2539023163175983E-2</v>
      </c>
    </row>
    <row r="67" spans="1:32" x14ac:dyDescent="0.2">
      <c r="A67" s="2">
        <v>42491</v>
      </c>
      <c r="B67">
        <f t="shared" si="0"/>
        <v>2016</v>
      </c>
      <c r="C67">
        <f t="shared" si="1"/>
        <v>5</v>
      </c>
      <c r="D67" s="151">
        <f>Data!D66</f>
        <v>20564699.585542157</v>
      </c>
      <c r="E67" s="151">
        <f>Data!E66</f>
        <v>503439.62575630058</v>
      </c>
      <c r="F67" s="151">
        <f>Data!F66</f>
        <v>21068139.211298458</v>
      </c>
      <c r="G67" s="253">
        <f>Data!AP66</f>
        <v>102.19999999999999</v>
      </c>
      <c r="H67" s="129">
        <f>Data!AQ66</f>
        <v>58.6</v>
      </c>
      <c r="I67" s="32">
        <f>Data!BG66</f>
        <v>31</v>
      </c>
      <c r="J67" s="32">
        <f>Data!BX66</f>
        <v>1</v>
      </c>
      <c r="K67" s="32">
        <f>Data!BR66</f>
        <v>0</v>
      </c>
      <c r="L67" s="41">
        <f>Data!AA66</f>
        <v>33518</v>
      </c>
      <c r="M67" s="255">
        <f>Data!CG66</f>
        <v>0</v>
      </c>
      <c r="N67" s="78">
        <f>Data!CH66</f>
        <v>0</v>
      </c>
      <c r="O67" s="32">
        <f t="shared" si="6"/>
        <v>23657885.395539638</v>
      </c>
      <c r="P67" s="145">
        <f t="shared" si="3"/>
        <v>23154445.769783337</v>
      </c>
      <c r="Q67" s="32">
        <f t="shared" si="4"/>
        <v>2589746.1842411794</v>
      </c>
      <c r="R67" s="50">
        <f t="shared" si="5"/>
        <v>0.12292239757236585</v>
      </c>
    </row>
    <row r="68" spans="1:32" x14ac:dyDescent="0.2">
      <c r="A68" s="2">
        <v>42522</v>
      </c>
      <c r="B68">
        <f t="shared" ref="B68:B127" si="7">YEAR(A68)</f>
        <v>2016</v>
      </c>
      <c r="C68">
        <f t="shared" ref="C68:C127" si="8">MONTH(A68)</f>
        <v>6</v>
      </c>
      <c r="D68" s="151">
        <f>Data!D67</f>
        <v>29990486.101204813</v>
      </c>
      <c r="E68" s="151">
        <f>Data!E67</f>
        <v>503439.62575630058</v>
      </c>
      <c r="F68" s="151">
        <f>Data!F67</f>
        <v>30493925.726961114</v>
      </c>
      <c r="G68" s="253">
        <f>Data!AP67</f>
        <v>9.1999999999999993</v>
      </c>
      <c r="H68" s="129">
        <f>Data!AQ67</f>
        <v>128.70000000000002</v>
      </c>
      <c r="I68" s="32">
        <f>Data!BG67</f>
        <v>30</v>
      </c>
      <c r="J68" s="32">
        <f>Data!BX67</f>
        <v>0</v>
      </c>
      <c r="K68" s="32">
        <f>Data!BR67</f>
        <v>0</v>
      </c>
      <c r="L68" s="41">
        <f>Data!AA67</f>
        <v>33555</v>
      </c>
      <c r="M68" s="255">
        <f>Data!CG67</f>
        <v>0</v>
      </c>
      <c r="N68" s="78">
        <f>Data!CH67</f>
        <v>0</v>
      </c>
      <c r="O68" s="32">
        <f t="shared" si="6"/>
        <v>28749937.283173397</v>
      </c>
      <c r="P68" s="145">
        <f t="shared" ref="P68:P127" si="9">O68-E68</f>
        <v>28246497.657417096</v>
      </c>
      <c r="Q68" s="32">
        <f t="shared" ref="Q68:Q127" si="10">+O68-F68</f>
        <v>-1743988.4437877163</v>
      </c>
      <c r="R68" s="50">
        <f t="shared" ref="R68:R127" si="11">ABS(Q68/F68)</f>
        <v>5.7191339003156753E-2</v>
      </c>
      <c r="AE68"/>
      <c r="AF68"/>
    </row>
    <row r="69" spans="1:32" x14ac:dyDescent="0.2">
      <c r="A69" s="2">
        <v>42552</v>
      </c>
      <c r="B69">
        <f t="shared" si="7"/>
        <v>2016</v>
      </c>
      <c r="C69">
        <f t="shared" si="8"/>
        <v>7</v>
      </c>
      <c r="D69" s="151">
        <f>Data!D68</f>
        <v>35728630.342168637</v>
      </c>
      <c r="E69" s="151">
        <f>Data!E68</f>
        <v>503439.62575630058</v>
      </c>
      <c r="F69" s="151">
        <f>Data!F68</f>
        <v>36232069.967924938</v>
      </c>
      <c r="G69" s="253">
        <f>Data!AP68</f>
        <v>0</v>
      </c>
      <c r="H69" s="129">
        <f>Data!AQ68</f>
        <v>238.9</v>
      </c>
      <c r="I69" s="32">
        <f>Data!BG68</f>
        <v>31</v>
      </c>
      <c r="J69" s="32">
        <f>Data!BX68</f>
        <v>0</v>
      </c>
      <c r="K69" s="32">
        <f>Data!BR68</f>
        <v>0</v>
      </c>
      <c r="L69" s="41">
        <f>Data!AA68</f>
        <v>33585</v>
      </c>
      <c r="M69" s="255">
        <f>Data!CG68</f>
        <v>0</v>
      </c>
      <c r="N69" s="78">
        <f>Data!CH68</f>
        <v>0</v>
      </c>
      <c r="O69" s="32">
        <f t="shared" si="6"/>
        <v>35220474.91638092</v>
      </c>
      <c r="P69" s="145">
        <f t="shared" si="9"/>
        <v>34717035.290624619</v>
      </c>
      <c r="Q69" s="32">
        <f t="shared" si="10"/>
        <v>-1011595.0515440181</v>
      </c>
      <c r="R69" s="50">
        <f t="shared" si="11"/>
        <v>2.7919880162506586E-2</v>
      </c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</row>
    <row r="70" spans="1:32" x14ac:dyDescent="0.2">
      <c r="A70" s="2">
        <v>42583</v>
      </c>
      <c r="B70">
        <f t="shared" si="7"/>
        <v>2016</v>
      </c>
      <c r="C70">
        <f t="shared" si="8"/>
        <v>8</v>
      </c>
      <c r="D70" s="151">
        <f>Data!D69</f>
        <v>36163152.231325291</v>
      </c>
      <c r="E70" s="151">
        <f>Data!E69</f>
        <v>503439.62575630058</v>
      </c>
      <c r="F70" s="151">
        <f>Data!F69</f>
        <v>36666591.857081592</v>
      </c>
      <c r="G70" s="253">
        <f>Data!AP69</f>
        <v>0</v>
      </c>
      <c r="H70" s="129">
        <f>Data!AQ69</f>
        <v>257.40000000000003</v>
      </c>
      <c r="I70" s="32">
        <f>Data!BG69</f>
        <v>31</v>
      </c>
      <c r="J70" s="32">
        <f>Data!BX69</f>
        <v>0</v>
      </c>
      <c r="K70" s="32">
        <f>Data!BR69</f>
        <v>0</v>
      </c>
      <c r="L70" s="41">
        <f>Data!AA69</f>
        <v>33654</v>
      </c>
      <c r="M70" s="255">
        <f>Data!CG69</f>
        <v>0</v>
      </c>
      <c r="N70" s="78">
        <f>Data!CH69</f>
        <v>0</v>
      </c>
      <c r="O70" s="32">
        <f t="shared" ref="O70:O133" si="12">$T$19+G70*$T$20+H70*$T$21+I70*$T$22+J70*$T$23+K70*$T$24+L70*$T$25+M70*$T$26+N70*$T$27</f>
        <v>36240332.948199116</v>
      </c>
      <c r="P70" s="145">
        <f t="shared" si="9"/>
        <v>35736893.322442815</v>
      </c>
      <c r="Q70" s="32">
        <f t="shared" si="10"/>
        <v>-426258.90888247639</v>
      </c>
      <c r="R70" s="50">
        <f t="shared" si="11"/>
        <v>1.1625266688105101E-2</v>
      </c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</row>
    <row r="71" spans="1:32" x14ac:dyDescent="0.2">
      <c r="A71" s="2">
        <v>42614</v>
      </c>
      <c r="B71">
        <f t="shared" si="7"/>
        <v>2016</v>
      </c>
      <c r="C71">
        <f t="shared" si="8"/>
        <v>9</v>
      </c>
      <c r="D71" s="151">
        <f>Data!D70</f>
        <v>26948392.906024113</v>
      </c>
      <c r="E71" s="151">
        <f>Data!E70</f>
        <v>503439.62575630058</v>
      </c>
      <c r="F71" s="151">
        <f>Data!F70</f>
        <v>27451832.531780414</v>
      </c>
      <c r="G71" s="253">
        <f>Data!AP70</f>
        <v>8.3999999999999986</v>
      </c>
      <c r="H71" s="129">
        <f>Data!AQ70</f>
        <v>111.89999999999999</v>
      </c>
      <c r="I71" s="32">
        <f>Data!BG70</f>
        <v>30</v>
      </c>
      <c r="J71" s="32">
        <f>Data!BX70</f>
        <v>1</v>
      </c>
      <c r="K71" s="32">
        <f>Data!BR70</f>
        <v>1</v>
      </c>
      <c r="L71" s="41">
        <f>Data!AA70</f>
        <v>33716</v>
      </c>
      <c r="M71" s="255">
        <f>Data!CG70</f>
        <v>0</v>
      </c>
      <c r="N71" s="78">
        <f>Data!CH70</f>
        <v>0</v>
      </c>
      <c r="O71" s="32">
        <f t="shared" si="12"/>
        <v>26782705.731325448</v>
      </c>
      <c r="P71" s="145">
        <f t="shared" si="9"/>
        <v>26279266.105569147</v>
      </c>
      <c r="Q71" s="32">
        <f t="shared" si="10"/>
        <v>-669126.80045496672</v>
      </c>
      <c r="R71" s="50">
        <f t="shared" si="11"/>
        <v>2.437457680394679E-2</v>
      </c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</row>
    <row r="72" spans="1:32" x14ac:dyDescent="0.2">
      <c r="A72" s="2">
        <v>42644</v>
      </c>
      <c r="B72">
        <f t="shared" si="7"/>
        <v>2016</v>
      </c>
      <c r="C72">
        <f t="shared" si="8"/>
        <v>10</v>
      </c>
      <c r="D72" s="151">
        <f>Data!D71</f>
        <v>19412813.638554234</v>
      </c>
      <c r="E72" s="151">
        <f>Data!E71</f>
        <v>503439.62575630058</v>
      </c>
      <c r="F72" s="151">
        <f>Data!F71</f>
        <v>19916253.264310535</v>
      </c>
      <c r="G72" s="253">
        <f>Data!AP71</f>
        <v>144.70000000000002</v>
      </c>
      <c r="H72" s="129">
        <f>Data!AQ71</f>
        <v>16.600000000000005</v>
      </c>
      <c r="I72" s="32">
        <f>Data!BG71</f>
        <v>31</v>
      </c>
      <c r="J72" s="32">
        <f>Data!BX71</f>
        <v>1</v>
      </c>
      <c r="K72" s="32">
        <f>Data!BR71</f>
        <v>0</v>
      </c>
      <c r="L72" s="41">
        <f>Data!AA71</f>
        <v>33751</v>
      </c>
      <c r="M72" s="255">
        <f>Data!CG71</f>
        <v>0</v>
      </c>
      <c r="N72" s="78">
        <f>Data!CH71</f>
        <v>0</v>
      </c>
      <c r="O72" s="32">
        <f t="shared" si="12"/>
        <v>21943088.514077529</v>
      </c>
      <c r="P72" s="145">
        <f t="shared" si="9"/>
        <v>21439648.888321228</v>
      </c>
      <c r="Q72" s="32">
        <f t="shared" si="10"/>
        <v>2026835.2497669943</v>
      </c>
      <c r="R72" s="50">
        <f t="shared" si="11"/>
        <v>0.10176789895512306</v>
      </c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</row>
    <row r="73" spans="1:32" x14ac:dyDescent="0.2">
      <c r="A73" s="2">
        <v>42675</v>
      </c>
      <c r="B73">
        <f t="shared" si="7"/>
        <v>2016</v>
      </c>
      <c r="C73">
        <f t="shared" si="8"/>
        <v>11</v>
      </c>
      <c r="D73" s="151">
        <f>Data!D72</f>
        <v>19369741.908433728</v>
      </c>
      <c r="E73" s="151">
        <f>Data!E72</f>
        <v>503439.62575630058</v>
      </c>
      <c r="F73" s="151">
        <f>Data!F72</f>
        <v>19873181.534190029</v>
      </c>
      <c r="G73" s="253">
        <f>Data!AP72</f>
        <v>277.79999999999995</v>
      </c>
      <c r="H73" s="129">
        <f>Data!AQ72</f>
        <v>0</v>
      </c>
      <c r="I73" s="32">
        <f>Data!BG72</f>
        <v>30</v>
      </c>
      <c r="J73" s="32">
        <f>Data!BX72</f>
        <v>1</v>
      </c>
      <c r="K73" s="32">
        <f>Data!BR72</f>
        <v>0</v>
      </c>
      <c r="L73" s="41">
        <f>Data!AA72</f>
        <v>33815</v>
      </c>
      <c r="M73" s="255">
        <f>Data!CG72</f>
        <v>0</v>
      </c>
      <c r="N73" s="78">
        <f>Data!CH72</f>
        <v>0</v>
      </c>
      <c r="O73" s="32">
        <f t="shared" si="12"/>
        <v>21564642.399099633</v>
      </c>
      <c r="P73" s="145">
        <f t="shared" si="9"/>
        <v>21061202.773343332</v>
      </c>
      <c r="Q73" s="32">
        <f t="shared" si="10"/>
        <v>1691460.8649096042</v>
      </c>
      <c r="R73" s="50">
        <f t="shared" si="11"/>
        <v>8.5112736579173162E-2</v>
      </c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</row>
    <row r="74" spans="1:32" x14ac:dyDescent="0.2">
      <c r="A74" s="2">
        <v>42705</v>
      </c>
      <c r="B74">
        <f t="shared" si="7"/>
        <v>2016</v>
      </c>
      <c r="C74">
        <f t="shared" si="8"/>
        <v>12</v>
      </c>
      <c r="D74" s="151">
        <f>Data!D73</f>
        <v>27474754.322891567</v>
      </c>
      <c r="E74" s="151">
        <f>Data!E73</f>
        <v>503439.62575630058</v>
      </c>
      <c r="F74" s="151">
        <f>Data!F73</f>
        <v>27978193.948647868</v>
      </c>
      <c r="G74" s="253">
        <f>Data!AP73</f>
        <v>545.99999999999989</v>
      </c>
      <c r="H74" s="129">
        <f>Data!AQ73</f>
        <v>0</v>
      </c>
      <c r="I74" s="32">
        <f>Data!BG73</f>
        <v>31</v>
      </c>
      <c r="J74" s="32">
        <f>Data!BX73</f>
        <v>0</v>
      </c>
      <c r="K74" s="32">
        <f>Data!BR73</f>
        <v>0</v>
      </c>
      <c r="L74" s="41">
        <f>Data!AA73</f>
        <v>33857</v>
      </c>
      <c r="M74" s="255">
        <f>Data!CG73</f>
        <v>0</v>
      </c>
      <c r="N74" s="78">
        <f>Data!CH73</f>
        <v>0</v>
      </c>
      <c r="O74" s="32">
        <f t="shared" si="12"/>
        <v>27504393.008999296</v>
      </c>
      <c r="P74" s="145">
        <f t="shared" si="9"/>
        <v>27000953.383242995</v>
      </c>
      <c r="Q74" s="32">
        <f t="shared" si="10"/>
        <v>-473800.93964857236</v>
      </c>
      <c r="R74" s="50">
        <f t="shared" si="11"/>
        <v>1.6934650625347825E-2</v>
      </c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</row>
    <row r="75" spans="1:32" x14ac:dyDescent="0.2">
      <c r="A75" s="2">
        <v>42736</v>
      </c>
      <c r="B75">
        <f t="shared" si="7"/>
        <v>2017</v>
      </c>
      <c r="C75">
        <f t="shared" si="8"/>
        <v>1</v>
      </c>
      <c r="D75" s="151">
        <f>Data!D74</f>
        <v>26135142.110843364</v>
      </c>
      <c r="E75" s="151">
        <f>Data!E74</f>
        <v>958479.98780037428</v>
      </c>
      <c r="F75" s="151">
        <f>Data!F74</f>
        <v>27093622.098643739</v>
      </c>
      <c r="G75" s="253">
        <f>Data!AP74</f>
        <v>546.9</v>
      </c>
      <c r="H75" s="129">
        <f>Data!AQ74</f>
        <v>0</v>
      </c>
      <c r="I75" s="32">
        <f>Data!BG74</f>
        <v>31</v>
      </c>
      <c r="J75" s="32">
        <f>Data!BX74</f>
        <v>0</v>
      </c>
      <c r="K75" s="32">
        <f>Data!BR74</f>
        <v>0</v>
      </c>
      <c r="L75" s="41">
        <f>Data!AA74</f>
        <v>33886</v>
      </c>
      <c r="M75" s="255">
        <f>Data!CG74</f>
        <v>0</v>
      </c>
      <c r="N75" s="78">
        <f>Data!CH74</f>
        <v>0</v>
      </c>
      <c r="O75" s="32">
        <f t="shared" si="12"/>
        <v>27529321.367655262</v>
      </c>
      <c r="P75" s="145">
        <f t="shared" si="9"/>
        <v>26570841.379854888</v>
      </c>
      <c r="Q75" s="32">
        <f t="shared" si="10"/>
        <v>435699.26901152357</v>
      </c>
      <c r="R75" s="50">
        <f t="shared" si="11"/>
        <v>1.6081248473356905E-2</v>
      </c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</row>
    <row r="76" spans="1:32" x14ac:dyDescent="0.2">
      <c r="A76" s="2">
        <v>42767</v>
      </c>
      <c r="B76">
        <f t="shared" si="7"/>
        <v>2017</v>
      </c>
      <c r="C76">
        <f t="shared" si="8"/>
        <v>2</v>
      </c>
      <c r="D76" s="151">
        <f>Data!D75</f>
        <v>22110279.383132529</v>
      </c>
      <c r="E76" s="151">
        <f>Data!E75</f>
        <v>958479.98780037428</v>
      </c>
      <c r="F76" s="151">
        <f>Data!F75</f>
        <v>23068759.370932903</v>
      </c>
      <c r="G76" s="253">
        <f>Data!AP75</f>
        <v>454.4</v>
      </c>
      <c r="H76" s="129">
        <f>Data!AQ75</f>
        <v>0</v>
      </c>
      <c r="I76" s="32">
        <f>Data!BG75</f>
        <v>28</v>
      </c>
      <c r="J76" s="32">
        <f>Data!BX75</f>
        <v>0</v>
      </c>
      <c r="K76" s="32">
        <f>Data!BR75</f>
        <v>0</v>
      </c>
      <c r="L76" s="41">
        <f>Data!AA75</f>
        <v>33938</v>
      </c>
      <c r="M76" s="255">
        <f>Data!CG75</f>
        <v>0</v>
      </c>
      <c r="N76" s="78">
        <f>Data!CH75</f>
        <v>0</v>
      </c>
      <c r="O76" s="32">
        <f t="shared" si="12"/>
        <v>24651661.165780503</v>
      </c>
      <c r="P76" s="145">
        <f t="shared" si="9"/>
        <v>23693181.177980129</v>
      </c>
      <c r="Q76" s="32">
        <f t="shared" si="10"/>
        <v>1582901.7948476002</v>
      </c>
      <c r="R76" s="50">
        <f t="shared" si="11"/>
        <v>6.8616684989227808E-2</v>
      </c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</row>
    <row r="77" spans="1:32" x14ac:dyDescent="0.2">
      <c r="A77" s="2">
        <v>42795</v>
      </c>
      <c r="B77">
        <f t="shared" si="7"/>
        <v>2017</v>
      </c>
      <c r="C77">
        <f t="shared" si="8"/>
        <v>3</v>
      </c>
      <c r="D77" s="151">
        <f>Data!D76</f>
        <v>24430975.248192772</v>
      </c>
      <c r="E77" s="151">
        <f>Data!E76</f>
        <v>958479.98780037428</v>
      </c>
      <c r="F77" s="151">
        <f>Data!F76</f>
        <v>25389455.235993147</v>
      </c>
      <c r="G77" s="253">
        <f>Data!AP76</f>
        <v>512</v>
      </c>
      <c r="H77" s="129">
        <f>Data!AQ76</f>
        <v>0</v>
      </c>
      <c r="I77" s="32">
        <f>Data!BG76</f>
        <v>31</v>
      </c>
      <c r="J77" s="32">
        <f>Data!BX76</f>
        <v>1</v>
      </c>
      <c r="K77" s="32">
        <f>Data!BR76</f>
        <v>0</v>
      </c>
      <c r="L77" s="41">
        <f>Data!AA76</f>
        <v>33998</v>
      </c>
      <c r="M77" s="255">
        <f>Data!CG76</f>
        <v>0</v>
      </c>
      <c r="N77" s="78">
        <f>Data!CH76</f>
        <v>0</v>
      </c>
      <c r="O77" s="32">
        <f t="shared" si="12"/>
        <v>24418207.452512845</v>
      </c>
      <c r="P77" s="145">
        <f t="shared" si="9"/>
        <v>23459727.464712471</v>
      </c>
      <c r="Q77" s="32">
        <f t="shared" si="10"/>
        <v>-971247.7834803015</v>
      </c>
      <c r="R77" s="50">
        <f t="shared" si="11"/>
        <v>3.8253982783506918E-2</v>
      </c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</row>
    <row r="78" spans="1:32" x14ac:dyDescent="0.2">
      <c r="A78" s="2">
        <v>42826</v>
      </c>
      <c r="B78">
        <f t="shared" si="7"/>
        <v>2017</v>
      </c>
      <c r="C78">
        <f t="shared" si="8"/>
        <v>4</v>
      </c>
      <c r="D78" s="151">
        <f>Data!D77</f>
        <v>19400096.75180722</v>
      </c>
      <c r="E78" s="151">
        <f>Data!E77</f>
        <v>958479.98780037428</v>
      </c>
      <c r="F78" s="151">
        <f>Data!F77</f>
        <v>20358576.739607595</v>
      </c>
      <c r="G78" s="253">
        <f>Data!AP77</f>
        <v>199.7</v>
      </c>
      <c r="H78" s="129">
        <f>Data!AQ77</f>
        <v>2.1999999999999993</v>
      </c>
      <c r="I78" s="32">
        <f>Data!BG77</f>
        <v>30</v>
      </c>
      <c r="J78" s="32">
        <f>Data!BX77</f>
        <v>1</v>
      </c>
      <c r="K78" s="32">
        <f>Data!BR77</f>
        <v>0</v>
      </c>
      <c r="L78" s="41">
        <f>Data!AA77</f>
        <v>34086</v>
      </c>
      <c r="M78" s="255">
        <f>Data!CG77</f>
        <v>0</v>
      </c>
      <c r="N78" s="78">
        <f>Data!CH77</f>
        <v>0</v>
      </c>
      <c r="O78" s="32">
        <f t="shared" si="12"/>
        <v>21158360.334687442</v>
      </c>
      <c r="P78" s="145">
        <f t="shared" si="9"/>
        <v>20199880.346887067</v>
      </c>
      <c r="Q78" s="32">
        <f t="shared" si="10"/>
        <v>799783.59507984668</v>
      </c>
      <c r="R78" s="50">
        <f t="shared" si="11"/>
        <v>3.9284848116315926E-2</v>
      </c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</row>
    <row r="79" spans="1:32" x14ac:dyDescent="0.2">
      <c r="A79" s="2">
        <v>42856</v>
      </c>
      <c r="B79">
        <f t="shared" si="7"/>
        <v>2017</v>
      </c>
      <c r="C79">
        <f t="shared" si="8"/>
        <v>5</v>
      </c>
      <c r="D79" s="151">
        <f>Data!D78</f>
        <v>20438887.527710862</v>
      </c>
      <c r="E79" s="151">
        <f>Data!E78</f>
        <v>958479.98780037428</v>
      </c>
      <c r="F79" s="151">
        <f>Data!F78</f>
        <v>21397367.515511237</v>
      </c>
      <c r="G79" s="253">
        <f>Data!AP78</f>
        <v>125.89999999999998</v>
      </c>
      <c r="H79" s="129">
        <f>Data!AQ78</f>
        <v>19.900000000000002</v>
      </c>
      <c r="I79" s="32">
        <f>Data!BG78</f>
        <v>31</v>
      </c>
      <c r="J79" s="32">
        <f>Data!BX78</f>
        <v>1</v>
      </c>
      <c r="K79" s="32">
        <f>Data!BR78</f>
        <v>0</v>
      </c>
      <c r="L79" s="41">
        <f>Data!AA78</f>
        <v>34202</v>
      </c>
      <c r="M79" s="255">
        <f>Data!CG78</f>
        <v>0</v>
      </c>
      <c r="N79" s="78">
        <f>Data!CH78</f>
        <v>0</v>
      </c>
      <c r="O79" s="32">
        <f t="shared" si="12"/>
        <v>22218960.408420514</v>
      </c>
      <c r="P79" s="145">
        <f t="shared" si="9"/>
        <v>21260480.42062014</v>
      </c>
      <c r="Q79" s="32">
        <f t="shared" si="10"/>
        <v>821592.89290927723</v>
      </c>
      <c r="R79" s="50">
        <f t="shared" si="11"/>
        <v>3.8396914588380723E-2</v>
      </c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</row>
    <row r="80" spans="1:32" x14ac:dyDescent="0.2">
      <c r="A80" s="2">
        <v>42887</v>
      </c>
      <c r="B80">
        <f t="shared" si="7"/>
        <v>2017</v>
      </c>
      <c r="C80">
        <f t="shared" si="8"/>
        <v>6</v>
      </c>
      <c r="D80" s="151">
        <f>Data!D79</f>
        <v>27578153.118072305</v>
      </c>
      <c r="E80" s="151">
        <f>Data!E79</f>
        <v>958479.98780037428</v>
      </c>
      <c r="F80" s="151">
        <f>Data!F79</f>
        <v>28536633.10587268</v>
      </c>
      <c r="G80" s="253">
        <f>Data!AP79</f>
        <v>8.8000000000000007</v>
      </c>
      <c r="H80" s="129">
        <f>Data!AQ79</f>
        <v>110.30000000000001</v>
      </c>
      <c r="I80" s="32">
        <f>Data!BG79</f>
        <v>30</v>
      </c>
      <c r="J80" s="32">
        <f>Data!BX79</f>
        <v>0</v>
      </c>
      <c r="K80" s="32">
        <f>Data!BR79</f>
        <v>0</v>
      </c>
      <c r="L80" s="41">
        <f>Data!AA79</f>
        <v>34272</v>
      </c>
      <c r="M80" s="255">
        <f>Data!CG79</f>
        <v>0</v>
      </c>
      <c r="N80" s="78">
        <f>Data!CH79</f>
        <v>0</v>
      </c>
      <c r="O80" s="32">
        <f t="shared" si="12"/>
        <v>28194444.378589761</v>
      </c>
      <c r="P80" s="145">
        <f t="shared" si="9"/>
        <v>27235964.390789386</v>
      </c>
      <c r="Q80" s="32">
        <f t="shared" si="10"/>
        <v>-342188.72728291899</v>
      </c>
      <c r="R80" s="50">
        <f t="shared" si="11"/>
        <v>1.1991208844203084E-2</v>
      </c>
    </row>
    <row r="81" spans="1:32" x14ac:dyDescent="0.2">
      <c r="A81" s="2">
        <v>42917</v>
      </c>
      <c r="B81">
        <f t="shared" si="7"/>
        <v>2017</v>
      </c>
      <c r="C81">
        <f t="shared" si="8"/>
        <v>7</v>
      </c>
      <c r="D81" s="151">
        <f>Data!D80</f>
        <v>28972066.226506032</v>
      </c>
      <c r="E81" s="151">
        <f>Data!E80</f>
        <v>958479.98780037428</v>
      </c>
      <c r="F81" s="151">
        <f>Data!F80</f>
        <v>29930546.214306407</v>
      </c>
      <c r="G81" s="253">
        <f>Data!AP80</f>
        <v>0</v>
      </c>
      <c r="H81" s="129">
        <f>Data!AQ80</f>
        <v>178.50000000000003</v>
      </c>
      <c r="I81" s="32">
        <f>Data!BG80</f>
        <v>31</v>
      </c>
      <c r="J81" s="32">
        <f>Data!BX80</f>
        <v>0</v>
      </c>
      <c r="K81" s="32">
        <f>Data!BR80</f>
        <v>0</v>
      </c>
      <c r="L81" s="41">
        <f>Data!AA80</f>
        <v>34382</v>
      </c>
      <c r="M81" s="255">
        <f>Data!CG80</f>
        <v>0</v>
      </c>
      <c r="N81" s="78">
        <f>Data!CH80</f>
        <v>0</v>
      </c>
      <c r="O81" s="32">
        <f t="shared" si="12"/>
        <v>32492391.942333747</v>
      </c>
      <c r="P81" s="145">
        <f t="shared" si="9"/>
        <v>31533911.954533372</v>
      </c>
      <c r="Q81" s="32">
        <f t="shared" si="10"/>
        <v>2561845.72802734</v>
      </c>
      <c r="R81" s="50">
        <f t="shared" si="11"/>
        <v>8.5593016234458544E-2</v>
      </c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</row>
    <row r="82" spans="1:32" x14ac:dyDescent="0.2">
      <c r="A82" s="2">
        <v>42948</v>
      </c>
      <c r="B82">
        <f t="shared" si="7"/>
        <v>2017</v>
      </c>
      <c r="C82">
        <f t="shared" si="8"/>
        <v>8</v>
      </c>
      <c r="D82" s="151">
        <f>Data!D81</f>
        <v>29587012.925301205</v>
      </c>
      <c r="E82" s="151">
        <f>Data!E81</f>
        <v>958479.98780037428</v>
      </c>
      <c r="F82" s="151">
        <f>Data!F81</f>
        <v>30545492.91310158</v>
      </c>
      <c r="G82" s="253">
        <f>Data!AP81</f>
        <v>1.9000000000000004</v>
      </c>
      <c r="H82" s="129">
        <f>Data!AQ81</f>
        <v>127.49999999999999</v>
      </c>
      <c r="I82" s="32">
        <f>Data!BG81</f>
        <v>31</v>
      </c>
      <c r="J82" s="32">
        <f>Data!BX81</f>
        <v>0</v>
      </c>
      <c r="K82" s="32">
        <f>Data!BR81</f>
        <v>0</v>
      </c>
      <c r="L82" s="41">
        <f>Data!AA81</f>
        <v>34485</v>
      </c>
      <c r="M82" s="255">
        <f>Data!CG81</f>
        <v>0</v>
      </c>
      <c r="N82" s="78">
        <f>Data!CH81</f>
        <v>0</v>
      </c>
      <c r="O82" s="32">
        <f t="shared" si="12"/>
        <v>29870047.885451112</v>
      </c>
      <c r="P82" s="145">
        <f t="shared" si="9"/>
        <v>28911567.897650737</v>
      </c>
      <c r="Q82" s="32">
        <f t="shared" si="10"/>
        <v>-675445.02765046805</v>
      </c>
      <c r="R82" s="50">
        <f t="shared" si="11"/>
        <v>2.211275586784707E-2</v>
      </c>
    </row>
    <row r="83" spans="1:32" x14ac:dyDescent="0.2">
      <c r="A83" s="2">
        <v>42979</v>
      </c>
      <c r="B83">
        <f t="shared" si="7"/>
        <v>2017</v>
      </c>
      <c r="C83">
        <f t="shared" si="8"/>
        <v>9</v>
      </c>
      <c r="D83" s="151">
        <f>Data!D82</f>
        <v>25857618.775903624</v>
      </c>
      <c r="E83" s="151">
        <f>Data!E82</f>
        <v>958479.98780037428</v>
      </c>
      <c r="F83" s="151">
        <f>Data!F82</f>
        <v>26816098.763703998</v>
      </c>
      <c r="G83" s="253">
        <f>Data!AP82</f>
        <v>25.2</v>
      </c>
      <c r="H83" s="129">
        <f>Data!AQ82</f>
        <v>107.6</v>
      </c>
      <c r="I83" s="32">
        <f>Data!BG82</f>
        <v>30</v>
      </c>
      <c r="J83" s="32">
        <f>Data!BX82</f>
        <v>1</v>
      </c>
      <c r="K83" s="32">
        <f>Data!BR82</f>
        <v>1</v>
      </c>
      <c r="L83" s="41">
        <f>Data!AA82</f>
        <v>34561</v>
      </c>
      <c r="M83" s="255">
        <f>Data!CG82</f>
        <v>0</v>
      </c>
      <c r="N83" s="78">
        <f>Data!CH82</f>
        <v>0</v>
      </c>
      <c r="O83" s="32">
        <f t="shared" si="12"/>
        <v>27199135.126658645</v>
      </c>
      <c r="P83" s="145">
        <f t="shared" si="9"/>
        <v>26240655.13885827</v>
      </c>
      <c r="Q83" s="32">
        <f t="shared" si="10"/>
        <v>383036.36295464635</v>
      </c>
      <c r="R83" s="50">
        <f t="shared" si="11"/>
        <v>1.4283821309350634E-2</v>
      </c>
    </row>
    <row r="84" spans="1:32" x14ac:dyDescent="0.2">
      <c r="A84" s="2">
        <v>43009</v>
      </c>
      <c r="B84">
        <f t="shared" si="7"/>
        <v>2017</v>
      </c>
      <c r="C84">
        <f t="shared" si="8"/>
        <v>10</v>
      </c>
      <c r="D84" s="151">
        <f>Data!D83</f>
        <v>20602579.845783144</v>
      </c>
      <c r="E84" s="151">
        <f>Data!E83</f>
        <v>958479.98780037428</v>
      </c>
      <c r="F84" s="151">
        <f>Data!F83</f>
        <v>21561059.833583519</v>
      </c>
      <c r="G84" s="253">
        <f>Data!AP83</f>
        <v>103.3</v>
      </c>
      <c r="H84" s="129">
        <f>Data!AQ83</f>
        <v>19.399999999999999</v>
      </c>
      <c r="I84" s="32">
        <f>Data!BG83</f>
        <v>31</v>
      </c>
      <c r="J84" s="32">
        <f>Data!BX83</f>
        <v>1</v>
      </c>
      <c r="K84" s="32">
        <f>Data!BR83</f>
        <v>0</v>
      </c>
      <c r="L84" s="41">
        <f>Data!AA83</f>
        <v>34637</v>
      </c>
      <c r="M84" s="255">
        <f>Data!CG83</f>
        <v>0</v>
      </c>
      <c r="N84" s="78">
        <f>Data!CH83</f>
        <v>0</v>
      </c>
      <c r="O84" s="32">
        <f t="shared" si="12"/>
        <v>22251078.991115287</v>
      </c>
      <c r="P84" s="145">
        <f t="shared" si="9"/>
        <v>21292599.003314912</v>
      </c>
      <c r="Q84" s="32">
        <f t="shared" si="10"/>
        <v>690019.15753176808</v>
      </c>
      <c r="R84" s="50">
        <f t="shared" si="11"/>
        <v>3.2003025957796097E-2</v>
      </c>
    </row>
    <row r="85" spans="1:32" x14ac:dyDescent="0.2">
      <c r="A85" s="2">
        <v>43040</v>
      </c>
      <c r="B85">
        <f t="shared" si="7"/>
        <v>2017</v>
      </c>
      <c r="C85">
        <f t="shared" si="8"/>
        <v>11</v>
      </c>
      <c r="D85" s="151">
        <f>Data!D84</f>
        <v>22620692.693975899</v>
      </c>
      <c r="E85" s="151">
        <f>Data!E84</f>
        <v>958479.98780037428</v>
      </c>
      <c r="F85" s="151">
        <f>Data!F84</f>
        <v>23579172.681776274</v>
      </c>
      <c r="G85" s="253">
        <f>Data!AP84</f>
        <v>369.4</v>
      </c>
      <c r="H85" s="129">
        <f>Data!AQ84</f>
        <v>0</v>
      </c>
      <c r="I85" s="32">
        <f>Data!BG84</f>
        <v>30</v>
      </c>
      <c r="J85" s="32">
        <f>Data!BX84</f>
        <v>1</v>
      </c>
      <c r="K85" s="32">
        <f>Data!BR84</f>
        <v>0</v>
      </c>
      <c r="L85" s="41">
        <f>Data!AA84</f>
        <v>34794</v>
      </c>
      <c r="M85" s="255">
        <f>Data!CG84</f>
        <v>0</v>
      </c>
      <c r="N85" s="78">
        <f>Data!CH84</f>
        <v>0</v>
      </c>
      <c r="O85" s="32">
        <f t="shared" si="12"/>
        <v>22940933.964180678</v>
      </c>
      <c r="P85" s="145">
        <f t="shared" si="9"/>
        <v>21982453.976380304</v>
      </c>
      <c r="Q85" s="32">
        <f t="shared" si="10"/>
        <v>-638238.71759559587</v>
      </c>
      <c r="R85" s="50">
        <f t="shared" si="11"/>
        <v>2.7067901245274559E-2</v>
      </c>
    </row>
    <row r="86" spans="1:32" x14ac:dyDescent="0.2">
      <c r="A86" s="2">
        <v>43070</v>
      </c>
      <c r="B86">
        <f t="shared" si="7"/>
        <v>2017</v>
      </c>
      <c r="C86">
        <f t="shared" si="8"/>
        <v>12</v>
      </c>
      <c r="D86" s="151">
        <f>Data!D85</f>
        <v>26519901.040963847</v>
      </c>
      <c r="E86" s="151">
        <f>Data!E85</f>
        <v>958479.98780037428</v>
      </c>
      <c r="F86" s="151">
        <f>Data!F85</f>
        <v>27478381.028764222</v>
      </c>
      <c r="G86" s="253">
        <f>Data!AP85</f>
        <v>656.49999999999989</v>
      </c>
      <c r="H86" s="129">
        <f>Data!AQ85</f>
        <v>0</v>
      </c>
      <c r="I86" s="32">
        <f>Data!BG85</f>
        <v>31</v>
      </c>
      <c r="J86" s="32">
        <f>Data!BX85</f>
        <v>0</v>
      </c>
      <c r="K86" s="32">
        <f>Data!BR85</f>
        <v>0</v>
      </c>
      <c r="L86" s="41">
        <f>Data!AA85</f>
        <v>34878</v>
      </c>
      <c r="M86" s="255">
        <f>Data!CG85</f>
        <v>0</v>
      </c>
      <c r="N86" s="78">
        <f>Data!CH85</f>
        <v>0</v>
      </c>
      <c r="O86" s="32">
        <f t="shared" si="12"/>
        <v>29070497.030586205</v>
      </c>
      <c r="P86" s="145">
        <f t="shared" si="9"/>
        <v>28112017.042785831</v>
      </c>
      <c r="Q86" s="32">
        <f t="shared" si="10"/>
        <v>1592116.0018219836</v>
      </c>
      <c r="R86" s="50">
        <f t="shared" si="11"/>
        <v>5.7940677078295304E-2</v>
      </c>
    </row>
    <row r="87" spans="1:32" x14ac:dyDescent="0.2">
      <c r="A87" s="2">
        <v>43101</v>
      </c>
      <c r="B87">
        <f t="shared" si="7"/>
        <v>2018</v>
      </c>
      <c r="C87">
        <f t="shared" si="8"/>
        <v>1</v>
      </c>
      <c r="D87" s="151">
        <f>Data!D86</f>
        <v>28325353.78313252</v>
      </c>
      <c r="E87" s="151">
        <f>Data!E86</f>
        <v>1281849.6400688274</v>
      </c>
      <c r="F87" s="151">
        <f>Data!F86</f>
        <v>29607203.423201349</v>
      </c>
      <c r="G87" s="253">
        <f>Data!AP86</f>
        <v>670.29999999999984</v>
      </c>
      <c r="H87" s="129">
        <f>Data!AQ86</f>
        <v>0</v>
      </c>
      <c r="I87" s="32">
        <f>Data!BG86</f>
        <v>31</v>
      </c>
      <c r="J87" s="32">
        <f>Data!BX86</f>
        <v>0</v>
      </c>
      <c r="K87" s="32">
        <f>Data!BR86</f>
        <v>0</v>
      </c>
      <c r="L87" s="41">
        <f>Data!AA86</f>
        <v>34927</v>
      </c>
      <c r="M87" s="255">
        <f>Data!CG86</f>
        <v>0</v>
      </c>
      <c r="N87" s="78">
        <f>Data!CH86</f>
        <v>0</v>
      </c>
      <c r="O87" s="32">
        <f t="shared" si="12"/>
        <v>29219879.535065986</v>
      </c>
      <c r="P87" s="145">
        <f t="shared" si="9"/>
        <v>27938029.894997157</v>
      </c>
      <c r="Q87" s="32">
        <f t="shared" si="10"/>
        <v>-387323.88813536242</v>
      </c>
      <c r="R87" s="50">
        <f t="shared" si="11"/>
        <v>1.3082082849872962E-2</v>
      </c>
    </row>
    <row r="88" spans="1:32" x14ac:dyDescent="0.2">
      <c r="A88" s="2">
        <v>43132</v>
      </c>
      <c r="B88">
        <f t="shared" si="7"/>
        <v>2018</v>
      </c>
      <c r="C88">
        <f t="shared" si="8"/>
        <v>2</v>
      </c>
      <c r="D88" s="151">
        <f>Data!D87</f>
        <v>22897439.132530119</v>
      </c>
      <c r="E88" s="151">
        <f>Data!E87</f>
        <v>1281849.6400688274</v>
      </c>
      <c r="F88" s="151">
        <f>Data!F87</f>
        <v>24179288.772598948</v>
      </c>
      <c r="G88" s="253">
        <f>Data!AP87</f>
        <v>499.00000000000011</v>
      </c>
      <c r="H88" s="129">
        <f>Data!AQ87</f>
        <v>0</v>
      </c>
      <c r="I88" s="32">
        <f>Data!BG87</f>
        <v>28</v>
      </c>
      <c r="J88" s="32">
        <f>Data!BX87</f>
        <v>0</v>
      </c>
      <c r="K88" s="32">
        <f>Data!BR87</f>
        <v>0</v>
      </c>
      <c r="L88" s="41">
        <f>Data!AA87</f>
        <v>35069</v>
      </c>
      <c r="M88" s="255">
        <f>Data!CG87</f>
        <v>0</v>
      </c>
      <c r="N88" s="78">
        <f>Data!CH87</f>
        <v>0</v>
      </c>
      <c r="O88" s="32">
        <f t="shared" si="12"/>
        <v>25706851.508965116</v>
      </c>
      <c r="P88" s="145">
        <f t="shared" si="9"/>
        <v>24425001.868896287</v>
      </c>
      <c r="Q88" s="32">
        <f t="shared" si="10"/>
        <v>1527562.7363661677</v>
      </c>
      <c r="R88" s="50">
        <f t="shared" si="11"/>
        <v>6.3176495832138371E-2</v>
      </c>
    </row>
    <row r="89" spans="1:32" x14ac:dyDescent="0.2">
      <c r="A89" s="2">
        <v>43160</v>
      </c>
      <c r="B89">
        <f t="shared" si="7"/>
        <v>2018</v>
      </c>
      <c r="C89">
        <f t="shared" si="8"/>
        <v>3</v>
      </c>
      <c r="D89" s="151">
        <f>Data!D88</f>
        <v>24842177.96626506</v>
      </c>
      <c r="E89" s="151">
        <f>Data!E88</f>
        <v>1281849.6400688274</v>
      </c>
      <c r="F89" s="151">
        <f>Data!F88</f>
        <v>26124027.606333889</v>
      </c>
      <c r="G89" s="253">
        <f>Data!AP88</f>
        <v>492</v>
      </c>
      <c r="H89" s="129">
        <f>Data!AQ88</f>
        <v>0</v>
      </c>
      <c r="I89" s="32">
        <f>Data!BG88</f>
        <v>31</v>
      </c>
      <c r="J89" s="32">
        <f>Data!BX88</f>
        <v>1</v>
      </c>
      <c r="K89" s="32">
        <f>Data!BR88</f>
        <v>0</v>
      </c>
      <c r="L89" s="41">
        <f>Data!AA88</f>
        <v>35293</v>
      </c>
      <c r="M89" s="255">
        <f>Data!CG88</f>
        <v>0</v>
      </c>
      <c r="N89" s="78">
        <f>Data!CH88</f>
        <v>0</v>
      </c>
      <c r="O89" s="32">
        <f t="shared" si="12"/>
        <v>25005619.21172148</v>
      </c>
      <c r="P89" s="145">
        <f t="shared" si="9"/>
        <v>23723769.571652651</v>
      </c>
      <c r="Q89" s="32">
        <f t="shared" si="10"/>
        <v>-1118408.3946124092</v>
      </c>
      <c r="R89" s="50">
        <f t="shared" si="11"/>
        <v>4.2811484180993821E-2</v>
      </c>
    </row>
    <row r="90" spans="1:32" x14ac:dyDescent="0.2">
      <c r="A90" s="2">
        <v>43191</v>
      </c>
      <c r="B90">
        <f t="shared" si="7"/>
        <v>2018</v>
      </c>
      <c r="C90">
        <f t="shared" si="8"/>
        <v>4</v>
      </c>
      <c r="D90" s="151">
        <f>Data!D89</f>
        <v>21016838.76626505</v>
      </c>
      <c r="E90" s="151">
        <f>Data!E89</f>
        <v>1281849.6400688274</v>
      </c>
      <c r="F90" s="151">
        <f>Data!F89</f>
        <v>22298688.406333879</v>
      </c>
      <c r="G90" s="253">
        <f>Data!AP89</f>
        <v>377.2</v>
      </c>
      <c r="H90" s="129">
        <f>Data!AQ89</f>
        <v>0</v>
      </c>
      <c r="I90" s="32">
        <f>Data!BG89</f>
        <v>30</v>
      </c>
      <c r="J90" s="32">
        <f>Data!BX89</f>
        <v>1</v>
      </c>
      <c r="K90" s="32">
        <f>Data!BR89</f>
        <v>0</v>
      </c>
      <c r="L90" s="41">
        <f>Data!AA89</f>
        <v>35464</v>
      </c>
      <c r="M90" s="255">
        <f>Data!CG89</f>
        <v>0</v>
      </c>
      <c r="N90" s="78">
        <f>Data!CH89</f>
        <v>0</v>
      </c>
      <c r="O90" s="32">
        <f t="shared" si="12"/>
        <v>23403367.712472692</v>
      </c>
      <c r="P90" s="145">
        <f t="shared" si="9"/>
        <v>22121518.072403863</v>
      </c>
      <c r="Q90" s="32">
        <f t="shared" si="10"/>
        <v>1104679.3061388135</v>
      </c>
      <c r="R90" s="50">
        <f t="shared" si="11"/>
        <v>4.9540102359788681E-2</v>
      </c>
      <c r="AE90"/>
      <c r="AF90"/>
    </row>
    <row r="91" spans="1:32" x14ac:dyDescent="0.2">
      <c r="A91" s="2">
        <v>43221</v>
      </c>
      <c r="B91">
        <f t="shared" si="7"/>
        <v>2018</v>
      </c>
      <c r="C91">
        <f t="shared" si="8"/>
        <v>5</v>
      </c>
      <c r="D91" s="151">
        <f>Data!D90</f>
        <v>23626890.708433751</v>
      </c>
      <c r="E91" s="151">
        <f>Data!E90</f>
        <v>1281849.6400688274</v>
      </c>
      <c r="F91" s="151">
        <f>Data!F90</f>
        <v>24908740.34850258</v>
      </c>
      <c r="G91" s="253">
        <f>Data!AP90</f>
        <v>39.300000000000004</v>
      </c>
      <c r="H91" s="129">
        <f>Data!AQ90</f>
        <v>69.399999999999991</v>
      </c>
      <c r="I91" s="32">
        <f>Data!BG90</f>
        <v>31</v>
      </c>
      <c r="J91" s="32">
        <f>Data!BX90</f>
        <v>1</v>
      </c>
      <c r="K91" s="32">
        <f>Data!BR90</f>
        <v>0</v>
      </c>
      <c r="L91" s="41">
        <f>Data!AA90</f>
        <v>35588</v>
      </c>
      <c r="M91" s="255">
        <f>Data!CG90</f>
        <v>0</v>
      </c>
      <c r="N91" s="78">
        <f>Data!CH90</f>
        <v>0</v>
      </c>
      <c r="O91" s="32">
        <f t="shared" si="12"/>
        <v>24898320.572597943</v>
      </c>
      <c r="P91" s="145">
        <f t="shared" si="9"/>
        <v>23616470.932529114</v>
      </c>
      <c r="Q91" s="32">
        <f t="shared" si="10"/>
        <v>-10419.77590463683</v>
      </c>
      <c r="R91" s="50">
        <f t="shared" si="11"/>
        <v>4.1831805859517211E-4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</row>
    <row r="92" spans="1:32" x14ac:dyDescent="0.2">
      <c r="A92" s="2">
        <v>43252</v>
      </c>
      <c r="B92">
        <f t="shared" si="7"/>
        <v>2018</v>
      </c>
      <c r="C92">
        <f t="shared" si="8"/>
        <v>6</v>
      </c>
      <c r="D92" s="151">
        <f>Data!D91</f>
        <v>32759189.532530148</v>
      </c>
      <c r="E92" s="151">
        <f>Data!E91</f>
        <v>1281849.6400688274</v>
      </c>
      <c r="F92" s="151">
        <f>Data!F91</f>
        <v>34041039.172598973</v>
      </c>
      <c r="G92" s="253">
        <f>Data!AP91</f>
        <v>5.6999999999999993</v>
      </c>
      <c r="H92" s="129">
        <f>Data!AQ91</f>
        <v>111.39999999999998</v>
      </c>
      <c r="I92" s="32">
        <f>Data!BG91</f>
        <v>30</v>
      </c>
      <c r="J92" s="32">
        <f>Data!BX91</f>
        <v>0</v>
      </c>
      <c r="K92" s="32">
        <f>Data!BR91</f>
        <v>0</v>
      </c>
      <c r="L92" s="41">
        <f>Data!AA91</f>
        <v>35766</v>
      </c>
      <c r="M92" s="255">
        <f>Data!CG91</f>
        <v>0</v>
      </c>
      <c r="N92" s="78">
        <f>Data!CH91</f>
        <v>0</v>
      </c>
      <c r="O92" s="32">
        <f t="shared" si="12"/>
        <v>29104819.43451564</v>
      </c>
      <c r="P92" s="145">
        <f t="shared" si="9"/>
        <v>27822969.794446811</v>
      </c>
      <c r="Q92" s="32">
        <f t="shared" si="10"/>
        <v>-4936219.7380833328</v>
      </c>
      <c r="R92" s="50">
        <f t="shared" si="11"/>
        <v>0.14500790393193103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spans="1:32" x14ac:dyDescent="0.2">
      <c r="A93" s="2">
        <v>43282</v>
      </c>
      <c r="B93">
        <f t="shared" si="7"/>
        <v>2018</v>
      </c>
      <c r="C93">
        <f t="shared" si="8"/>
        <v>7</v>
      </c>
      <c r="D93" s="151">
        <f>Data!D92</f>
        <v>33985677.465060242</v>
      </c>
      <c r="E93" s="151">
        <f>Data!E92</f>
        <v>1281849.6400688274</v>
      </c>
      <c r="F93" s="151">
        <f>Data!F92</f>
        <v>35267527.105129071</v>
      </c>
      <c r="G93" s="253">
        <f>Data!AP92</f>
        <v>0</v>
      </c>
      <c r="H93" s="129">
        <f>Data!AQ92</f>
        <v>229.79999999999998</v>
      </c>
      <c r="I93" s="32">
        <f>Data!BG92</f>
        <v>31</v>
      </c>
      <c r="J93" s="32">
        <f>Data!BX92</f>
        <v>0</v>
      </c>
      <c r="K93" s="32">
        <f>Data!BR92</f>
        <v>0</v>
      </c>
      <c r="L93" s="41">
        <f>Data!AA92</f>
        <v>35939</v>
      </c>
      <c r="M93" s="255">
        <f>Data!CG92</f>
        <v>0</v>
      </c>
      <c r="N93" s="78">
        <f>Data!CH92</f>
        <v>0</v>
      </c>
      <c r="O93" s="32">
        <f t="shared" si="12"/>
        <v>36124133.08513052</v>
      </c>
      <c r="P93" s="145">
        <f t="shared" si="9"/>
        <v>34842283.445061691</v>
      </c>
      <c r="Q93" s="32">
        <f t="shared" si="10"/>
        <v>856605.98000144958</v>
      </c>
      <c r="R93" s="50">
        <f t="shared" si="11"/>
        <v>2.4288801918206242E-2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 x14ac:dyDescent="0.2">
      <c r="A94" s="2">
        <v>43313</v>
      </c>
      <c r="B94">
        <f t="shared" si="7"/>
        <v>2018</v>
      </c>
      <c r="C94">
        <f t="shared" si="8"/>
        <v>8</v>
      </c>
      <c r="D94" s="151">
        <f>Data!D93</f>
        <v>36600647.12289153</v>
      </c>
      <c r="E94" s="151">
        <f>Data!E93</f>
        <v>1281849.6400688274</v>
      </c>
      <c r="F94" s="151">
        <f>Data!F93</f>
        <v>37882496.762960359</v>
      </c>
      <c r="G94" s="253">
        <f>Data!AP93</f>
        <v>0</v>
      </c>
      <c r="H94" s="129">
        <f>Data!AQ93</f>
        <v>223.20000000000002</v>
      </c>
      <c r="I94" s="32">
        <f>Data!BG93</f>
        <v>31</v>
      </c>
      <c r="J94" s="32">
        <f>Data!BX93</f>
        <v>0</v>
      </c>
      <c r="K94" s="32">
        <f>Data!BR93</f>
        <v>0</v>
      </c>
      <c r="L94" s="41">
        <f>Data!AA93</f>
        <v>36069</v>
      </c>
      <c r="M94" s="255">
        <f>Data!CG93</f>
        <v>0</v>
      </c>
      <c r="N94" s="78">
        <f>Data!CH93</f>
        <v>0</v>
      </c>
      <c r="O94" s="32">
        <f t="shared" si="12"/>
        <v>35851284.459536426</v>
      </c>
      <c r="P94" s="145">
        <f t="shared" si="9"/>
        <v>34569434.819467597</v>
      </c>
      <c r="Q94" s="32">
        <f t="shared" si="10"/>
        <v>-2031212.3034239337</v>
      </c>
      <c r="R94" s="50">
        <f t="shared" si="11"/>
        <v>5.3618754754569217E-2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</row>
    <row r="95" spans="1:32" x14ac:dyDescent="0.2">
      <c r="A95" s="2">
        <v>43344</v>
      </c>
      <c r="B95">
        <f t="shared" si="7"/>
        <v>2018</v>
      </c>
      <c r="C95">
        <f t="shared" si="8"/>
        <v>9</v>
      </c>
      <c r="D95" s="151">
        <f>Data!D94</f>
        <v>27341665.600000009</v>
      </c>
      <c r="E95" s="151">
        <f>Data!E94</f>
        <v>1281849.6400688274</v>
      </c>
      <c r="F95" s="151">
        <f>Data!F94</f>
        <v>28623515.240068838</v>
      </c>
      <c r="G95" s="253">
        <f>Data!AP94</f>
        <v>25.1</v>
      </c>
      <c r="H95" s="129">
        <f>Data!AQ94</f>
        <v>114.89999999999998</v>
      </c>
      <c r="I95" s="32">
        <f>Data!BG94</f>
        <v>30</v>
      </c>
      <c r="J95" s="32">
        <f>Data!BX94</f>
        <v>1</v>
      </c>
      <c r="K95" s="32">
        <f>Data!BR94</f>
        <v>1</v>
      </c>
      <c r="L95" s="41">
        <f>Data!AA94</f>
        <v>36128</v>
      </c>
      <c r="M95" s="255">
        <f>Data!CG94</f>
        <v>0</v>
      </c>
      <c r="N95" s="78">
        <f>Data!CH94</f>
        <v>0</v>
      </c>
      <c r="O95" s="32">
        <f t="shared" si="12"/>
        <v>28506858.177506793</v>
      </c>
      <c r="P95" s="145">
        <f t="shared" si="9"/>
        <v>27225008.537437964</v>
      </c>
      <c r="Q95" s="32">
        <f t="shared" si="10"/>
        <v>-116657.06256204471</v>
      </c>
      <c r="R95" s="50">
        <f t="shared" si="11"/>
        <v>4.075567294360179E-3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</row>
    <row r="96" spans="1:32" x14ac:dyDescent="0.2">
      <c r="A96" s="2">
        <v>43374</v>
      </c>
      <c r="B96">
        <f t="shared" si="7"/>
        <v>2018</v>
      </c>
      <c r="C96">
        <f t="shared" si="8"/>
        <v>10</v>
      </c>
      <c r="D96" s="151">
        <f>Data!D95</f>
        <v>21787579.980722882</v>
      </c>
      <c r="E96" s="151">
        <f>Data!E95</f>
        <v>1281849.6400688274</v>
      </c>
      <c r="F96" s="151">
        <f>Data!F95</f>
        <v>23069429.620791711</v>
      </c>
      <c r="G96" s="253">
        <f>Data!AP95</f>
        <v>231.4</v>
      </c>
      <c r="H96" s="129">
        <f>Data!AQ95</f>
        <v>12.2</v>
      </c>
      <c r="I96" s="32">
        <f>Data!BG95</f>
        <v>31</v>
      </c>
      <c r="J96" s="32">
        <f>Data!BX95</f>
        <v>1</v>
      </c>
      <c r="K96" s="32">
        <f>Data!BR95</f>
        <v>0</v>
      </c>
      <c r="L96" s="41">
        <f>Data!AA95</f>
        <v>36344</v>
      </c>
      <c r="M96" s="255">
        <f>Data!CG95</f>
        <v>0</v>
      </c>
      <c r="N96" s="78">
        <f>Data!CH95</f>
        <v>0</v>
      </c>
      <c r="O96" s="32">
        <f t="shared" si="12"/>
        <v>23993523.835733533</v>
      </c>
      <c r="P96" s="145">
        <f t="shared" si="9"/>
        <v>22711674.195664704</v>
      </c>
      <c r="Q96" s="32">
        <f t="shared" si="10"/>
        <v>924094.21494182199</v>
      </c>
      <c r="R96" s="50">
        <f t="shared" si="11"/>
        <v>4.0057089842783396E-2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</row>
    <row r="97" spans="1:39" x14ac:dyDescent="0.2">
      <c r="A97" s="2">
        <v>43405</v>
      </c>
      <c r="B97">
        <f t="shared" si="7"/>
        <v>2018</v>
      </c>
      <c r="C97">
        <f t="shared" si="8"/>
        <v>11</v>
      </c>
      <c r="D97" s="151">
        <f>Data!D96</f>
        <v>20895540.250602394</v>
      </c>
      <c r="E97" s="151">
        <f>Data!E96</f>
        <v>1281849.6400688274</v>
      </c>
      <c r="F97" s="151">
        <f>Data!F96</f>
        <v>22177389.890671223</v>
      </c>
      <c r="G97" s="253">
        <f>Data!AP96</f>
        <v>434.10000000000008</v>
      </c>
      <c r="H97" s="129">
        <f>Data!AQ96</f>
        <v>0</v>
      </c>
      <c r="I97" s="32">
        <f>Data!BG96</f>
        <v>30</v>
      </c>
      <c r="J97" s="32">
        <f>Data!BX96</f>
        <v>1</v>
      </c>
      <c r="K97" s="32">
        <f>Data!BR96</f>
        <v>0</v>
      </c>
      <c r="L97" s="41">
        <f>Data!AA96</f>
        <v>36437</v>
      </c>
      <c r="M97" s="255">
        <f>Data!CG96</f>
        <v>0</v>
      </c>
      <c r="N97" s="78">
        <f>Data!CH96</f>
        <v>0</v>
      </c>
      <c r="O97" s="32">
        <f t="shared" si="12"/>
        <v>24473016.961890209</v>
      </c>
      <c r="P97" s="145">
        <f t="shared" si="9"/>
        <v>23191167.32182138</v>
      </c>
      <c r="Q97" s="32">
        <f t="shared" si="10"/>
        <v>2295627.0712189861</v>
      </c>
      <c r="R97" s="50">
        <f t="shared" si="11"/>
        <v>0.10351204909756431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</row>
    <row r="98" spans="1:39" x14ac:dyDescent="0.2">
      <c r="A98" s="2">
        <v>43435</v>
      </c>
      <c r="B98">
        <f t="shared" si="7"/>
        <v>2018</v>
      </c>
      <c r="C98">
        <f t="shared" si="8"/>
        <v>12</v>
      </c>
      <c r="D98" s="151">
        <f>Data!D97</f>
        <v>29544191.980722886</v>
      </c>
      <c r="E98" s="151">
        <f>Data!E97</f>
        <v>1281849.6400688274</v>
      </c>
      <c r="F98" s="151">
        <f>Data!F97</f>
        <v>30826041.620791715</v>
      </c>
      <c r="G98" s="253">
        <f>Data!AP97</f>
        <v>501.6</v>
      </c>
      <c r="H98" s="129">
        <f>Data!AQ97</f>
        <v>0</v>
      </c>
      <c r="I98" s="32">
        <f>Data!BG97</f>
        <v>31</v>
      </c>
      <c r="J98" s="32">
        <f>Data!BX97</f>
        <v>0</v>
      </c>
      <c r="K98" s="32">
        <f>Data!BR97</f>
        <v>0</v>
      </c>
      <c r="L98" s="41">
        <f>Data!AA97</f>
        <v>36530</v>
      </c>
      <c r="M98" s="255">
        <f>Data!CG97</f>
        <v>0</v>
      </c>
      <c r="N98" s="78">
        <f>Data!CH97</f>
        <v>0</v>
      </c>
      <c r="O98" s="32">
        <f t="shared" si="12"/>
        <v>28689627.691343866</v>
      </c>
      <c r="P98" s="145">
        <f t="shared" si="9"/>
        <v>27407778.051275037</v>
      </c>
      <c r="Q98" s="32">
        <f t="shared" si="10"/>
        <v>-2136413.9294478483</v>
      </c>
      <c r="R98" s="50">
        <f t="shared" si="11"/>
        <v>6.9305490329542294E-2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</row>
    <row r="99" spans="1:39" s="9" customFormat="1" x14ac:dyDescent="0.2">
      <c r="A99" s="2">
        <v>43466</v>
      </c>
      <c r="B99">
        <f t="shared" si="7"/>
        <v>2019</v>
      </c>
      <c r="C99">
        <f t="shared" si="8"/>
        <v>1</v>
      </c>
      <c r="D99" s="151">
        <f>Data!D98</f>
        <v>28887987.922891602</v>
      </c>
      <c r="E99" s="151">
        <f>Data!E98</f>
        <v>1408690.5797202766</v>
      </c>
      <c r="F99" s="151">
        <f>Data!F98</f>
        <v>30296678.502611879</v>
      </c>
      <c r="G99" s="253">
        <f>Data!AP98</f>
        <v>702.49999999999989</v>
      </c>
      <c r="H99" s="129">
        <f>Data!AQ98</f>
        <v>0</v>
      </c>
      <c r="I99" s="32">
        <f>Data!BG98</f>
        <v>31</v>
      </c>
      <c r="J99" s="32">
        <f>Data!BX98</f>
        <v>0</v>
      </c>
      <c r="K99" s="32">
        <f>Data!BR98</f>
        <v>0</v>
      </c>
      <c r="L99" s="41">
        <f>Data!AA98</f>
        <v>36566</v>
      </c>
      <c r="M99" s="255">
        <f>Data!CG98</f>
        <v>0</v>
      </c>
      <c r="N99" s="78">
        <f>Data!CH98</f>
        <v>0</v>
      </c>
      <c r="O99" s="32">
        <f t="shared" si="12"/>
        <v>30465714.659441493</v>
      </c>
      <c r="P99" s="145">
        <f t="shared" si="9"/>
        <v>29057024.079721216</v>
      </c>
      <c r="Q99" s="32">
        <f t="shared" si="10"/>
        <v>169036.15682961419</v>
      </c>
      <c r="R99" s="50">
        <f t="shared" si="11"/>
        <v>5.579362662314338E-3</v>
      </c>
      <c r="S99"/>
      <c r="T99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5"/>
      <c r="AH99" s="5"/>
      <c r="AI99" s="39"/>
      <c r="AJ99" s="39"/>
      <c r="AK99" s="39"/>
      <c r="AL99" s="39"/>
      <c r="AM99" s="39"/>
    </row>
    <row r="100" spans="1:39" x14ac:dyDescent="0.2">
      <c r="A100" s="2">
        <v>43497</v>
      </c>
      <c r="B100">
        <f t="shared" si="7"/>
        <v>2019</v>
      </c>
      <c r="C100">
        <f t="shared" si="8"/>
        <v>2</v>
      </c>
      <c r="D100" s="151">
        <f>Data!D99</f>
        <v>25855133.050602406</v>
      </c>
      <c r="E100" s="151">
        <f>Data!E99</f>
        <v>1408690.5797202766</v>
      </c>
      <c r="F100" s="151">
        <f>Data!F99</f>
        <v>27263823.630322684</v>
      </c>
      <c r="G100" s="253">
        <f>Data!AP99</f>
        <v>565.70000000000005</v>
      </c>
      <c r="H100" s="129">
        <f>Data!AQ99</f>
        <v>0</v>
      </c>
      <c r="I100" s="32">
        <f>Data!BG99</f>
        <v>28</v>
      </c>
      <c r="J100" s="32">
        <f>Data!BX99</f>
        <v>0</v>
      </c>
      <c r="K100" s="32">
        <f>Data!BR99</f>
        <v>0</v>
      </c>
      <c r="L100" s="41">
        <f>Data!AA99</f>
        <v>36622</v>
      </c>
      <c r="M100" s="255">
        <f>Data!CG99</f>
        <v>0</v>
      </c>
      <c r="N100" s="78">
        <f>Data!CH99</f>
        <v>0</v>
      </c>
      <c r="O100" s="32">
        <f t="shared" si="12"/>
        <v>27203439.329824582</v>
      </c>
      <c r="P100" s="145">
        <f t="shared" si="9"/>
        <v>25794748.750104304</v>
      </c>
      <c r="Q100" s="32">
        <f t="shared" si="10"/>
        <v>-60384.30049810186</v>
      </c>
      <c r="R100" s="50">
        <f t="shared" si="11"/>
        <v>2.2148140817248667E-3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</row>
    <row r="101" spans="1:39" x14ac:dyDescent="0.2">
      <c r="A101" s="2">
        <v>43525</v>
      </c>
      <c r="B101">
        <f t="shared" si="7"/>
        <v>2019</v>
      </c>
      <c r="C101">
        <f t="shared" si="8"/>
        <v>3</v>
      </c>
      <c r="D101" s="151">
        <f>Data!D100</f>
        <v>23881199.306024097</v>
      </c>
      <c r="E101" s="151">
        <f>Data!E100</f>
        <v>1408690.5797202766</v>
      </c>
      <c r="F101" s="151">
        <f>Data!F100</f>
        <v>25289889.885744374</v>
      </c>
      <c r="G101" s="253">
        <f>Data!AP100</f>
        <v>531.9</v>
      </c>
      <c r="H101" s="129">
        <f>Data!AQ100</f>
        <v>0</v>
      </c>
      <c r="I101" s="32">
        <f>Data!BG100</f>
        <v>31</v>
      </c>
      <c r="J101" s="32">
        <f>Data!BX100</f>
        <v>1</v>
      </c>
      <c r="K101" s="32">
        <f>Data!BR100</f>
        <v>0</v>
      </c>
      <c r="L101" s="41">
        <f>Data!AA100</f>
        <v>36709</v>
      </c>
      <c r="M101" s="255">
        <f>Data!CG100</f>
        <v>0</v>
      </c>
      <c r="N101" s="78">
        <f>Data!CH100</f>
        <v>0</v>
      </c>
      <c r="O101" s="32">
        <f t="shared" si="12"/>
        <v>26187478.433964595</v>
      </c>
      <c r="P101" s="145">
        <f t="shared" si="9"/>
        <v>24778787.854244318</v>
      </c>
      <c r="Q101" s="32">
        <f t="shared" si="10"/>
        <v>897588.54822022095</v>
      </c>
      <c r="R101" s="50">
        <f t="shared" si="11"/>
        <v>3.5491991158339585E-2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</row>
    <row r="102" spans="1:39" x14ac:dyDescent="0.2">
      <c r="A102" s="2">
        <v>43556</v>
      </c>
      <c r="B102">
        <f t="shared" si="7"/>
        <v>2019</v>
      </c>
      <c r="C102">
        <f t="shared" si="8"/>
        <v>4</v>
      </c>
      <c r="D102" s="151">
        <f>Data!D101</f>
        <v>22676737.503614482</v>
      </c>
      <c r="E102" s="151">
        <f>Data!E101</f>
        <v>1408690.5797202766</v>
      </c>
      <c r="F102" s="151">
        <f>Data!F101</f>
        <v>24085428.083334759</v>
      </c>
      <c r="G102" s="253">
        <f>Data!AP101</f>
        <v>286.80000000000007</v>
      </c>
      <c r="H102" s="129">
        <f>Data!AQ101</f>
        <v>0</v>
      </c>
      <c r="I102" s="32">
        <f>Data!BG101</f>
        <v>30</v>
      </c>
      <c r="J102" s="32">
        <f>Data!BX101</f>
        <v>1</v>
      </c>
      <c r="K102" s="32">
        <f>Data!BR101</f>
        <v>0</v>
      </c>
      <c r="L102" s="41">
        <f>Data!AA101</f>
        <v>36807</v>
      </c>
      <c r="M102" s="255">
        <f>Data!CG101</f>
        <v>0</v>
      </c>
      <c r="N102" s="78">
        <f>Data!CH101</f>
        <v>0</v>
      </c>
      <c r="O102" s="32">
        <f t="shared" si="12"/>
        <v>23404070.023363147</v>
      </c>
      <c r="P102" s="145">
        <f t="shared" si="9"/>
        <v>21995379.44364287</v>
      </c>
      <c r="Q102" s="32">
        <f t="shared" si="10"/>
        <v>-681358.05997161195</v>
      </c>
      <c r="R102" s="50">
        <f t="shared" si="11"/>
        <v>2.8289223575937134E-2</v>
      </c>
    </row>
    <row r="103" spans="1:39" x14ac:dyDescent="0.2">
      <c r="A103" s="2">
        <v>43586</v>
      </c>
      <c r="B103">
        <f t="shared" si="7"/>
        <v>2019</v>
      </c>
      <c r="C103">
        <f t="shared" si="8"/>
        <v>5</v>
      </c>
      <c r="D103" s="151">
        <f>Data!D102</f>
        <v>22100464.308433745</v>
      </c>
      <c r="E103" s="151">
        <f>Data!E102</f>
        <v>1408690.5797202766</v>
      </c>
      <c r="F103" s="151">
        <f>Data!F102</f>
        <v>23509154.888154022</v>
      </c>
      <c r="G103" s="253">
        <f>Data!AP102</f>
        <v>135.6</v>
      </c>
      <c r="H103" s="129">
        <f>Data!AQ102</f>
        <v>4.6000000000000014</v>
      </c>
      <c r="I103" s="32">
        <f>Data!BG102</f>
        <v>31</v>
      </c>
      <c r="J103" s="32">
        <f>Data!BX102</f>
        <v>1</v>
      </c>
      <c r="K103" s="32">
        <f>Data!BR102</f>
        <v>0</v>
      </c>
      <c r="L103" s="41">
        <f>Data!AA102</f>
        <v>36908</v>
      </c>
      <c r="M103" s="255">
        <f>Data!CG102</f>
        <v>0</v>
      </c>
      <c r="N103" s="78">
        <f>Data!CH102</f>
        <v>0</v>
      </c>
      <c r="O103" s="32">
        <f t="shared" si="12"/>
        <v>23086322.742770258</v>
      </c>
      <c r="P103" s="145">
        <f t="shared" si="9"/>
        <v>21677632.163049981</v>
      </c>
      <c r="Q103" s="32">
        <f t="shared" si="10"/>
        <v>-422832.14538376406</v>
      </c>
      <c r="R103" s="50">
        <f t="shared" si="11"/>
        <v>1.798585050783021E-2</v>
      </c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</row>
    <row r="104" spans="1:39" x14ac:dyDescent="0.2">
      <c r="A104" s="2">
        <v>43617</v>
      </c>
      <c r="B104">
        <f t="shared" si="7"/>
        <v>2019</v>
      </c>
      <c r="C104">
        <f t="shared" si="8"/>
        <v>6</v>
      </c>
      <c r="D104" s="151">
        <f>Data!D103</f>
        <v>25171611.431325283</v>
      </c>
      <c r="E104" s="151">
        <f>Data!E103</f>
        <v>1408690.5797202766</v>
      </c>
      <c r="F104" s="151">
        <f>Data!F103</f>
        <v>26580302.01104556</v>
      </c>
      <c r="G104" s="253">
        <f>Data!AP103</f>
        <v>13.800000000000002</v>
      </c>
      <c r="H104" s="129">
        <f>Data!AQ103</f>
        <v>79.600000000000009</v>
      </c>
      <c r="I104" s="32">
        <f>Data!BG103</f>
        <v>30</v>
      </c>
      <c r="J104" s="32">
        <f>Data!BX103</f>
        <v>0</v>
      </c>
      <c r="K104" s="32">
        <f>Data!BR103</f>
        <v>0</v>
      </c>
      <c r="L104" s="41">
        <f>Data!AA103</f>
        <v>37029</v>
      </c>
      <c r="M104" s="255">
        <f>Data!CG103</f>
        <v>0</v>
      </c>
      <c r="N104" s="78">
        <f>Data!CH103</f>
        <v>0</v>
      </c>
      <c r="O104" s="32">
        <f t="shared" si="12"/>
        <v>28235604.744074821</v>
      </c>
      <c r="P104" s="145">
        <f t="shared" si="9"/>
        <v>26826914.164354544</v>
      </c>
      <c r="Q104" s="32">
        <f t="shared" si="10"/>
        <v>1655302.7330292612</v>
      </c>
      <c r="R104" s="50">
        <f t="shared" si="11"/>
        <v>6.227554270607584E-2</v>
      </c>
    </row>
    <row r="105" spans="1:39" x14ac:dyDescent="0.2">
      <c r="A105" s="2">
        <v>43647</v>
      </c>
      <c r="B105">
        <f t="shared" si="7"/>
        <v>2019</v>
      </c>
      <c r="C105">
        <f t="shared" si="8"/>
        <v>7</v>
      </c>
      <c r="D105" s="151">
        <f>Data!D104</f>
        <v>37225707.074698806</v>
      </c>
      <c r="E105" s="151">
        <f>Data!E104</f>
        <v>1408690.5797202766</v>
      </c>
      <c r="F105" s="151">
        <f>Data!F104</f>
        <v>38634397.654419079</v>
      </c>
      <c r="G105" s="253">
        <f>Data!AP104</f>
        <v>0</v>
      </c>
      <c r="H105" s="129">
        <f>Data!AQ104</f>
        <v>228.9</v>
      </c>
      <c r="I105" s="32">
        <f>Data!BG104</f>
        <v>31</v>
      </c>
      <c r="J105" s="32">
        <f>Data!BX104</f>
        <v>0</v>
      </c>
      <c r="K105" s="32">
        <f>Data!BR104</f>
        <v>0</v>
      </c>
      <c r="L105" s="41">
        <f>Data!AA104</f>
        <v>37141</v>
      </c>
      <c r="M105" s="255">
        <f>Data!CG104</f>
        <v>0</v>
      </c>
      <c r="N105" s="78">
        <f>Data!CH104</f>
        <v>0</v>
      </c>
      <c r="O105" s="32">
        <f t="shared" si="12"/>
        <v>36783878.421905808</v>
      </c>
      <c r="P105" s="145">
        <f t="shared" si="9"/>
        <v>35375187.842185535</v>
      </c>
      <c r="Q105" s="32">
        <f t="shared" si="10"/>
        <v>-1850519.2325132713</v>
      </c>
      <c r="R105" s="50">
        <f t="shared" si="11"/>
        <v>4.7898229165263179E-2</v>
      </c>
    </row>
    <row r="106" spans="1:39" x14ac:dyDescent="0.2">
      <c r="A106" s="2">
        <v>43678</v>
      </c>
      <c r="B106">
        <f t="shared" si="7"/>
        <v>2019</v>
      </c>
      <c r="C106">
        <f t="shared" si="8"/>
        <v>8</v>
      </c>
      <c r="D106" s="151">
        <f>Data!D105</f>
        <v>34053660.819277115</v>
      </c>
      <c r="E106" s="151">
        <f>Data!E105</f>
        <v>1408690.5797202766</v>
      </c>
      <c r="F106" s="151">
        <f>Data!F105</f>
        <v>35462351.398997389</v>
      </c>
      <c r="G106" s="253">
        <f>Data!AP105</f>
        <v>0</v>
      </c>
      <c r="H106" s="129">
        <f>Data!AQ105</f>
        <v>164.40000000000006</v>
      </c>
      <c r="I106" s="32">
        <f>Data!BG105</f>
        <v>31</v>
      </c>
      <c r="J106" s="32">
        <f>Data!BX105</f>
        <v>0</v>
      </c>
      <c r="K106" s="32">
        <f>Data!BR105</f>
        <v>0</v>
      </c>
      <c r="L106" s="41">
        <f>Data!AA105</f>
        <v>37161</v>
      </c>
      <c r="M106" s="255">
        <f>Data!CG105</f>
        <v>0</v>
      </c>
      <c r="N106" s="78">
        <f>Data!CH105</f>
        <v>0</v>
      </c>
      <c r="O106" s="32">
        <f t="shared" si="12"/>
        <v>33381502.832382701</v>
      </c>
      <c r="P106" s="145">
        <f t="shared" si="9"/>
        <v>31972812.252662424</v>
      </c>
      <c r="Q106" s="32">
        <f t="shared" si="10"/>
        <v>-2080848.5666146874</v>
      </c>
      <c r="R106" s="50">
        <f t="shared" si="11"/>
        <v>5.867768166872088E-2</v>
      </c>
    </row>
    <row r="107" spans="1:39" x14ac:dyDescent="0.2">
      <c r="A107" s="2">
        <v>43709</v>
      </c>
      <c r="B107">
        <f t="shared" si="7"/>
        <v>2019</v>
      </c>
      <c r="C107">
        <f t="shared" si="8"/>
        <v>9</v>
      </c>
      <c r="D107" s="151">
        <f>Data!D106</f>
        <v>25049312.13493976</v>
      </c>
      <c r="E107" s="151">
        <f>Data!E106</f>
        <v>1408690.5797202766</v>
      </c>
      <c r="F107" s="151">
        <f>Data!F106</f>
        <v>26458002.714660037</v>
      </c>
      <c r="G107" s="253">
        <f>Data!AP106</f>
        <v>11.699999999999998</v>
      </c>
      <c r="H107" s="129">
        <f>Data!AQ106</f>
        <v>58.7</v>
      </c>
      <c r="I107" s="32">
        <f>Data!BG106</f>
        <v>30</v>
      </c>
      <c r="J107" s="32">
        <f>Data!BX106</f>
        <v>1</v>
      </c>
      <c r="K107" s="32">
        <f>Data!BR106</f>
        <v>1</v>
      </c>
      <c r="L107" s="41">
        <f>Data!AA106</f>
        <v>37192</v>
      </c>
      <c r="M107" s="255">
        <f>Data!CG106</f>
        <v>0</v>
      </c>
      <c r="N107" s="78">
        <f>Data!CH106</f>
        <v>0</v>
      </c>
      <c r="O107" s="32">
        <f t="shared" si="12"/>
        <v>26041171.23488098</v>
      </c>
      <c r="P107" s="145">
        <f t="shared" si="9"/>
        <v>24632480.655160703</v>
      </c>
      <c r="Q107" s="32">
        <f t="shared" si="10"/>
        <v>-416831.4797790572</v>
      </c>
      <c r="R107" s="50">
        <f t="shared" si="11"/>
        <v>1.5754457517993082E-2</v>
      </c>
    </row>
    <row r="108" spans="1:39" x14ac:dyDescent="0.2">
      <c r="A108" s="2">
        <v>43739</v>
      </c>
      <c r="B108">
        <f t="shared" si="7"/>
        <v>2019</v>
      </c>
      <c r="C108">
        <f t="shared" si="8"/>
        <v>10</v>
      </c>
      <c r="D108" s="151">
        <f>Data!D107</f>
        <v>22049631.412048209</v>
      </c>
      <c r="E108" s="151">
        <f>Data!E107</f>
        <v>1408690.5797202766</v>
      </c>
      <c r="F108" s="151">
        <f>Data!F107</f>
        <v>23458321.991768487</v>
      </c>
      <c r="G108" s="253">
        <f>Data!AP107</f>
        <v>177.10000000000002</v>
      </c>
      <c r="H108" s="129">
        <f>Data!AQ107</f>
        <v>7.7000000000000028</v>
      </c>
      <c r="I108" s="32">
        <f>Data!BG107</f>
        <v>31</v>
      </c>
      <c r="J108" s="32">
        <f>Data!BX107</f>
        <v>1</v>
      </c>
      <c r="K108" s="32">
        <f>Data!BR107</f>
        <v>0</v>
      </c>
      <c r="L108" s="41">
        <f>Data!AA107</f>
        <v>37260</v>
      </c>
      <c r="M108" s="255">
        <f>Data!CG107</f>
        <v>0</v>
      </c>
      <c r="N108" s="78">
        <f>Data!CH107</f>
        <v>0</v>
      </c>
      <c r="O108" s="32">
        <f t="shared" si="12"/>
        <v>23820078.292705502</v>
      </c>
      <c r="P108" s="145">
        <f t="shared" si="9"/>
        <v>22411387.712985225</v>
      </c>
      <c r="Q108" s="32">
        <f t="shared" si="10"/>
        <v>361756.30093701556</v>
      </c>
      <c r="R108" s="50">
        <f t="shared" si="11"/>
        <v>1.5421235204459878E-2</v>
      </c>
    </row>
    <row r="109" spans="1:39" x14ac:dyDescent="0.2">
      <c r="A109" s="2">
        <v>43770</v>
      </c>
      <c r="B109">
        <f t="shared" si="7"/>
        <v>2019</v>
      </c>
      <c r="C109">
        <f t="shared" si="8"/>
        <v>11</v>
      </c>
      <c r="D109" s="151">
        <f>Data!D108</f>
        <v>21315185.031325318</v>
      </c>
      <c r="E109" s="151">
        <f>Data!E108</f>
        <v>1408690.5797202766</v>
      </c>
      <c r="F109" s="151">
        <f>Data!F108</f>
        <v>22723875.611045595</v>
      </c>
      <c r="G109" s="253">
        <f>Data!AP108</f>
        <v>453.3</v>
      </c>
      <c r="H109" s="129">
        <f>Data!AQ108</f>
        <v>0</v>
      </c>
      <c r="I109" s="32">
        <f>Data!BG108</f>
        <v>30</v>
      </c>
      <c r="J109" s="32">
        <f>Data!BX108</f>
        <v>1</v>
      </c>
      <c r="K109" s="32">
        <f>Data!BR108</f>
        <v>0</v>
      </c>
      <c r="L109" s="41">
        <f>Data!AA108</f>
        <v>37298</v>
      </c>
      <c r="M109" s="255">
        <f>Data!CG108</f>
        <v>0</v>
      </c>
      <c r="N109" s="78">
        <f>Data!CH108</f>
        <v>0</v>
      </c>
      <c r="O109" s="32">
        <f t="shared" si="12"/>
        <v>25147436.641272135</v>
      </c>
      <c r="P109" s="145">
        <f t="shared" si="9"/>
        <v>23738746.061551858</v>
      </c>
      <c r="Q109" s="32">
        <f t="shared" si="10"/>
        <v>2423561.0302265398</v>
      </c>
      <c r="R109" s="50">
        <f t="shared" si="11"/>
        <v>0.10665262703024558</v>
      </c>
    </row>
    <row r="110" spans="1:39" x14ac:dyDescent="0.2">
      <c r="A110" s="2">
        <v>43800</v>
      </c>
      <c r="B110">
        <f t="shared" si="7"/>
        <v>2019</v>
      </c>
      <c r="C110">
        <f t="shared" si="8"/>
        <v>12</v>
      </c>
      <c r="D110" s="151">
        <f>Data!D109</f>
        <v>28146546.1686747</v>
      </c>
      <c r="E110" s="151">
        <f>Data!E109</f>
        <v>1408690.5797202766</v>
      </c>
      <c r="F110" s="151">
        <f>Data!F109</f>
        <v>29555236.748394977</v>
      </c>
      <c r="G110" s="253">
        <f>Data!AP109</f>
        <v>520.4</v>
      </c>
      <c r="H110" s="129">
        <f>Data!AQ109</f>
        <v>0</v>
      </c>
      <c r="I110" s="32">
        <f>Data!BG109</f>
        <v>31</v>
      </c>
      <c r="J110" s="32">
        <f>Data!BX109</f>
        <v>0</v>
      </c>
      <c r="K110" s="32">
        <f>Data!BR109</f>
        <v>0</v>
      </c>
      <c r="L110" s="41">
        <f>Data!AA109</f>
        <v>37321</v>
      </c>
      <c r="M110" s="255">
        <f>Data!CG109</f>
        <v>0</v>
      </c>
      <c r="N110" s="78">
        <f>Data!CH109</f>
        <v>0</v>
      </c>
      <c r="O110" s="32">
        <f t="shared" si="12"/>
        <v>29319357.851203892</v>
      </c>
      <c r="P110" s="145">
        <f t="shared" si="9"/>
        <v>27910667.271483615</v>
      </c>
      <c r="Q110" s="32">
        <f t="shared" si="10"/>
        <v>-235878.89719108492</v>
      </c>
      <c r="R110" s="50">
        <f t="shared" si="11"/>
        <v>7.9809510307473526E-3</v>
      </c>
    </row>
    <row r="111" spans="1:39" x14ac:dyDescent="0.2">
      <c r="A111" s="2">
        <v>43831</v>
      </c>
      <c r="B111">
        <f t="shared" si="7"/>
        <v>2020</v>
      </c>
      <c r="C111">
        <f t="shared" si="8"/>
        <v>1</v>
      </c>
      <c r="D111" s="151">
        <f>Data!D110</f>
        <v>29703689.253012061</v>
      </c>
      <c r="E111" s="151">
        <f>Data!E110</f>
        <v>1392643.6565677822</v>
      </c>
      <c r="F111" s="151">
        <f>Data!F110</f>
        <v>31096332.909579843</v>
      </c>
      <c r="G111" s="253">
        <f>Data!AP110</f>
        <v>543</v>
      </c>
      <c r="H111" s="129">
        <f>Data!AQ110</f>
        <v>0</v>
      </c>
      <c r="I111" s="32">
        <f>Data!BG110</f>
        <v>31</v>
      </c>
      <c r="J111" s="32">
        <f>Data!BX110</f>
        <v>0</v>
      </c>
      <c r="K111" s="32">
        <f>Data!BR110</f>
        <v>0</v>
      </c>
      <c r="L111" s="41">
        <f>Data!AA110</f>
        <v>37330</v>
      </c>
      <c r="M111" s="255">
        <f>Data!CG110</f>
        <v>0</v>
      </c>
      <c r="N111" s="78">
        <f>Data!CH110</f>
        <v>0</v>
      </c>
      <c r="O111" s="32">
        <f t="shared" si="12"/>
        <v>29522069.822333388</v>
      </c>
      <c r="P111" s="145">
        <f t="shared" si="9"/>
        <v>28129426.165765606</v>
      </c>
      <c r="Q111" s="32">
        <f t="shared" si="10"/>
        <v>-1574263.0872464553</v>
      </c>
      <c r="R111" s="50">
        <f t="shared" si="11"/>
        <v>5.06253612547823E-2</v>
      </c>
      <c r="S111" s="12"/>
      <c r="AE111" s="39"/>
      <c r="AF111" s="39"/>
      <c r="AG111" s="39"/>
    </row>
    <row r="112" spans="1:39" x14ac:dyDescent="0.2">
      <c r="A112" s="2">
        <v>43862</v>
      </c>
      <c r="B112">
        <f t="shared" si="7"/>
        <v>2020</v>
      </c>
      <c r="C112">
        <f t="shared" si="8"/>
        <v>2</v>
      </c>
      <c r="D112" s="151">
        <f>Data!D111</f>
        <v>25536377.551807232</v>
      </c>
      <c r="E112" s="151">
        <f>Data!E111</f>
        <v>1392643.6565677822</v>
      </c>
      <c r="F112" s="151">
        <f>Data!F111</f>
        <v>26929021.208375014</v>
      </c>
      <c r="G112" s="253">
        <f>Data!AP111</f>
        <v>553.80000000000007</v>
      </c>
      <c r="H112" s="129">
        <f>Data!AQ111</f>
        <v>0</v>
      </c>
      <c r="I112" s="32">
        <f>Data!BG111</f>
        <v>29</v>
      </c>
      <c r="J112" s="32">
        <f>Data!BX111</f>
        <v>0</v>
      </c>
      <c r="K112" s="32">
        <f>Data!BR111</f>
        <v>0</v>
      </c>
      <c r="L112" s="41">
        <f>Data!AA111</f>
        <v>37362</v>
      </c>
      <c r="M112" s="255">
        <f>Data!CG111</f>
        <v>0</v>
      </c>
      <c r="N112" s="78">
        <f>Data!CH111</f>
        <v>0</v>
      </c>
      <c r="O112" s="32">
        <f t="shared" si="12"/>
        <v>28235070.825596593</v>
      </c>
      <c r="P112" s="145">
        <f t="shared" si="9"/>
        <v>26842427.169028811</v>
      </c>
      <c r="Q112" s="32">
        <f t="shared" si="10"/>
        <v>1306049.617221579</v>
      </c>
      <c r="R112" s="50">
        <f t="shared" si="11"/>
        <v>4.8499706213436126E-2</v>
      </c>
    </row>
    <row r="113" spans="1:18" x14ac:dyDescent="0.2">
      <c r="A113" s="2">
        <v>43891</v>
      </c>
      <c r="B113">
        <f t="shared" si="7"/>
        <v>2020</v>
      </c>
      <c r="C113">
        <f t="shared" si="8"/>
        <v>3</v>
      </c>
      <c r="D113" s="151">
        <f>Data!D112</f>
        <v>24945910.043373495</v>
      </c>
      <c r="E113" s="151">
        <f>Data!E112</f>
        <v>1392643.6565677822</v>
      </c>
      <c r="F113" s="151">
        <f>Data!F112</f>
        <v>26338553.699941278</v>
      </c>
      <c r="G113" s="253">
        <f>Data!AP112</f>
        <v>396.7</v>
      </c>
      <c r="H113" s="129">
        <f>Data!AQ112</f>
        <v>0</v>
      </c>
      <c r="I113" s="32">
        <f>Data!BG112</f>
        <v>31</v>
      </c>
      <c r="J113" s="32">
        <f>Data!BX112</f>
        <v>1</v>
      </c>
      <c r="K113" s="32">
        <f>Data!BR112</f>
        <v>0</v>
      </c>
      <c r="L113" s="41">
        <f>Data!AA112</f>
        <v>37440</v>
      </c>
      <c r="M113" s="255">
        <f>Data!CG112</f>
        <v>396.7</v>
      </c>
      <c r="N113" s="78">
        <f>Data!CH112</f>
        <v>0</v>
      </c>
      <c r="O113" s="32">
        <f t="shared" si="12"/>
        <v>26858112.509586338</v>
      </c>
      <c r="P113" s="145">
        <f t="shared" si="9"/>
        <v>25465468.853018556</v>
      </c>
      <c r="Q113" s="32">
        <f t="shared" si="10"/>
        <v>519558.80964506045</v>
      </c>
      <c r="R113" s="50">
        <f t="shared" si="11"/>
        <v>1.9726170827907639E-2</v>
      </c>
    </row>
    <row r="114" spans="1:18" x14ac:dyDescent="0.2">
      <c r="A114" s="2">
        <v>43922</v>
      </c>
      <c r="B114">
        <f t="shared" si="7"/>
        <v>2020</v>
      </c>
      <c r="C114">
        <f t="shared" si="8"/>
        <v>4</v>
      </c>
      <c r="D114" s="151">
        <f>Data!D113</f>
        <v>25646430.178313266</v>
      </c>
      <c r="E114" s="151">
        <f>Data!E113</f>
        <v>1392643.6565677822</v>
      </c>
      <c r="F114" s="151">
        <f>Data!F113</f>
        <v>27039073.834881049</v>
      </c>
      <c r="G114" s="253">
        <f>Data!AP113</f>
        <v>302.29999999999995</v>
      </c>
      <c r="H114" s="129">
        <f>Data!AQ113</f>
        <v>0</v>
      </c>
      <c r="I114" s="32">
        <f>Data!BG113</f>
        <v>30</v>
      </c>
      <c r="J114" s="32">
        <f>Data!BX113</f>
        <v>1</v>
      </c>
      <c r="K114" s="32">
        <f>Data!BR113</f>
        <v>0</v>
      </c>
      <c r="L114" s="41">
        <f>Data!AA113</f>
        <v>37485</v>
      </c>
      <c r="M114" s="255">
        <f>Data!CG113</f>
        <v>302.29999999999995</v>
      </c>
      <c r="N114" s="78">
        <f>Data!CH113</f>
        <v>0</v>
      </c>
      <c r="O114" s="32">
        <f t="shared" si="12"/>
        <v>25021658.133336339</v>
      </c>
      <c r="P114" s="145">
        <f t="shared" si="9"/>
        <v>23629014.476768557</v>
      </c>
      <c r="Q114" s="32">
        <f t="shared" si="10"/>
        <v>-2017415.7015447095</v>
      </c>
      <c r="R114" s="50">
        <f t="shared" si="11"/>
        <v>7.4611124399615911E-2</v>
      </c>
    </row>
    <row r="115" spans="1:18" x14ac:dyDescent="0.2">
      <c r="A115" s="2">
        <v>43952</v>
      </c>
      <c r="B115">
        <f t="shared" si="7"/>
        <v>2020</v>
      </c>
      <c r="C115">
        <f t="shared" si="8"/>
        <v>5</v>
      </c>
      <c r="D115" s="151">
        <f>Data!D114</f>
        <v>25915345.012048189</v>
      </c>
      <c r="E115" s="151">
        <f>Data!E114</f>
        <v>1392643.6565677822</v>
      </c>
      <c r="F115" s="151">
        <f>Data!F114</f>
        <v>27307988.668615971</v>
      </c>
      <c r="G115" s="253">
        <f>Data!AP114</f>
        <v>160.9</v>
      </c>
      <c r="H115" s="129">
        <f>Data!AQ114</f>
        <v>39</v>
      </c>
      <c r="I115" s="32">
        <f>Data!BG114</f>
        <v>31</v>
      </c>
      <c r="J115" s="32">
        <f>Data!BX114</f>
        <v>1</v>
      </c>
      <c r="K115" s="32">
        <f>Data!BR114</f>
        <v>0</v>
      </c>
      <c r="L115" s="41">
        <f>Data!AA114</f>
        <v>37545</v>
      </c>
      <c r="M115" s="255">
        <f>Data!CG114</f>
        <v>160.9</v>
      </c>
      <c r="N115" s="78">
        <f>Data!CH114</f>
        <v>39</v>
      </c>
      <c r="O115" s="32">
        <f t="shared" si="12"/>
        <v>27036960.158086222</v>
      </c>
      <c r="P115" s="145">
        <f t="shared" si="9"/>
        <v>25644316.50151844</v>
      </c>
      <c r="Q115" s="32">
        <f t="shared" si="10"/>
        <v>-271028.5105297491</v>
      </c>
      <c r="R115" s="50">
        <f t="shared" si="11"/>
        <v>9.9248799982560344E-3</v>
      </c>
    </row>
    <row r="116" spans="1:18" x14ac:dyDescent="0.2">
      <c r="A116" s="2">
        <v>43983</v>
      </c>
      <c r="B116">
        <f t="shared" si="7"/>
        <v>2020</v>
      </c>
      <c r="C116">
        <f t="shared" si="8"/>
        <v>6</v>
      </c>
      <c r="D116" s="151">
        <f>Data!D115</f>
        <v>37641354.804819241</v>
      </c>
      <c r="E116" s="151">
        <f>Data!E115</f>
        <v>1392643.6565677822</v>
      </c>
      <c r="F116" s="151">
        <f>Data!F115</f>
        <v>39033998.461387023</v>
      </c>
      <c r="G116" s="253">
        <f>Data!AP115</f>
        <v>9.2999999999999989</v>
      </c>
      <c r="H116" s="129">
        <f>Data!AQ115</f>
        <v>143.20000000000002</v>
      </c>
      <c r="I116" s="32">
        <f>Data!BG115</f>
        <v>30</v>
      </c>
      <c r="J116" s="32">
        <f>Data!BX115</f>
        <v>0</v>
      </c>
      <c r="K116" s="32">
        <f>Data!BR115</f>
        <v>0</v>
      </c>
      <c r="L116" s="41">
        <f>Data!AA115</f>
        <v>37663</v>
      </c>
      <c r="M116" s="255">
        <f>Data!CG115</f>
        <v>9.2999999999999989</v>
      </c>
      <c r="N116" s="78">
        <f>Data!CH115</f>
        <v>143.20000000000002</v>
      </c>
      <c r="O116" s="32">
        <f t="shared" si="12"/>
        <v>35484440.757029772</v>
      </c>
      <c r="P116" s="145">
        <f t="shared" si="9"/>
        <v>34091797.10046199</v>
      </c>
      <c r="Q116" s="32">
        <f t="shared" si="10"/>
        <v>-3549557.7043572515</v>
      </c>
      <c r="R116" s="50">
        <f t="shared" si="11"/>
        <v>9.0935027009045044E-2</v>
      </c>
    </row>
    <row r="117" spans="1:18" x14ac:dyDescent="0.2">
      <c r="A117" s="2">
        <v>44013</v>
      </c>
      <c r="B117">
        <f t="shared" si="7"/>
        <v>2020</v>
      </c>
      <c r="C117">
        <f t="shared" si="8"/>
        <v>7</v>
      </c>
      <c r="D117" s="151">
        <f>Data!D116</f>
        <v>44487853.166265093</v>
      </c>
      <c r="E117" s="151">
        <f>Data!E116</f>
        <v>1392643.6565677822</v>
      </c>
      <c r="F117" s="151">
        <f>Data!F116</f>
        <v>45880496.822832875</v>
      </c>
      <c r="G117" s="253">
        <f>Data!AP116</f>
        <v>0</v>
      </c>
      <c r="H117" s="129">
        <f>Data!AQ116</f>
        <v>277.7</v>
      </c>
      <c r="I117" s="32">
        <f>Data!BG116</f>
        <v>31</v>
      </c>
      <c r="J117" s="32">
        <f>Data!BX116</f>
        <v>0</v>
      </c>
      <c r="K117" s="32">
        <f>Data!BR116</f>
        <v>0</v>
      </c>
      <c r="L117" s="41">
        <f>Data!AA116</f>
        <v>37791</v>
      </c>
      <c r="M117" s="255">
        <f>Data!CG116</f>
        <v>0</v>
      </c>
      <c r="N117" s="78">
        <f>Data!CH116</f>
        <v>277.7</v>
      </c>
      <c r="O117" s="32">
        <f t="shared" si="12"/>
        <v>46566353.197086364</v>
      </c>
      <c r="P117" s="145">
        <f t="shared" si="9"/>
        <v>45173709.540518582</v>
      </c>
      <c r="Q117" s="32">
        <f t="shared" si="10"/>
        <v>685856.37425348908</v>
      </c>
      <c r="R117" s="50">
        <f t="shared" si="11"/>
        <v>1.4948756481472232E-2</v>
      </c>
    </row>
    <row r="118" spans="1:18" x14ac:dyDescent="0.2">
      <c r="A118" s="2">
        <v>44044</v>
      </c>
      <c r="B118">
        <f t="shared" si="7"/>
        <v>2020</v>
      </c>
      <c r="C118">
        <f t="shared" si="8"/>
        <v>8</v>
      </c>
      <c r="D118" s="151">
        <f>Data!D117</f>
        <v>38799720.212048218</v>
      </c>
      <c r="E118" s="151">
        <f>Data!E117</f>
        <v>1392643.6565677822</v>
      </c>
      <c r="F118" s="151">
        <f>Data!F117</f>
        <v>40192363.868616</v>
      </c>
      <c r="G118" s="253">
        <f>Data!AP117</f>
        <v>0</v>
      </c>
      <c r="H118" s="129">
        <f>Data!AQ117</f>
        <v>187.89999999999998</v>
      </c>
      <c r="I118" s="32">
        <f>Data!BG117</f>
        <v>31</v>
      </c>
      <c r="J118" s="32">
        <f>Data!BX117</f>
        <v>0</v>
      </c>
      <c r="K118" s="32">
        <f>Data!BR117</f>
        <v>0</v>
      </c>
      <c r="L118" s="41">
        <f>Data!AA117</f>
        <v>37841</v>
      </c>
      <c r="M118" s="255">
        <f>Data!CG117</f>
        <v>0</v>
      </c>
      <c r="N118" s="78">
        <f>Data!CH117</f>
        <v>187.89999999999998</v>
      </c>
      <c r="O118" s="32">
        <f t="shared" si="12"/>
        <v>39638075.472720623</v>
      </c>
      <c r="P118" s="145">
        <f t="shared" si="9"/>
        <v>38245431.816152841</v>
      </c>
      <c r="Q118" s="32">
        <f t="shared" si="10"/>
        <v>-554288.3958953768</v>
      </c>
      <c r="R118" s="50">
        <f t="shared" si="11"/>
        <v>1.3790888182324355E-2</v>
      </c>
    </row>
    <row r="119" spans="1:18" x14ac:dyDescent="0.2">
      <c r="A119" s="2">
        <v>44075</v>
      </c>
      <c r="B119">
        <f t="shared" si="7"/>
        <v>2020</v>
      </c>
      <c r="C119">
        <f t="shared" si="8"/>
        <v>9</v>
      </c>
      <c r="D119" s="151">
        <f>Data!D118</f>
        <v>27206302.631325286</v>
      </c>
      <c r="E119" s="151">
        <f>Data!E118</f>
        <v>1392643.6565677822</v>
      </c>
      <c r="F119" s="151">
        <f>Data!F118</f>
        <v>28598946.287893068</v>
      </c>
      <c r="G119" s="253">
        <f>Data!AP118</f>
        <v>35.6</v>
      </c>
      <c r="H119" s="129">
        <f>Data!AQ118</f>
        <v>59.8</v>
      </c>
      <c r="I119" s="32">
        <f>Data!BG118</f>
        <v>30</v>
      </c>
      <c r="J119" s="32">
        <f>Data!BX118</f>
        <v>1</v>
      </c>
      <c r="K119" s="32">
        <f>Data!BR118</f>
        <v>1</v>
      </c>
      <c r="L119" s="41">
        <f>Data!AA118</f>
        <v>37918</v>
      </c>
      <c r="M119" s="255">
        <f>Data!CG118</f>
        <v>35.6</v>
      </c>
      <c r="N119" s="78">
        <f>Data!CH118</f>
        <v>59.8</v>
      </c>
      <c r="O119" s="32">
        <f t="shared" si="12"/>
        <v>28330924.107396714</v>
      </c>
      <c r="P119" s="145">
        <f t="shared" si="9"/>
        <v>26938280.450828932</v>
      </c>
      <c r="Q119" s="32">
        <f t="shared" si="10"/>
        <v>-268022.18049635366</v>
      </c>
      <c r="R119" s="50">
        <f t="shared" si="11"/>
        <v>9.3717501966083562E-3</v>
      </c>
    </row>
    <row r="120" spans="1:18" x14ac:dyDescent="0.2">
      <c r="A120" s="2">
        <v>44105</v>
      </c>
      <c r="B120">
        <f t="shared" si="7"/>
        <v>2020</v>
      </c>
      <c r="C120">
        <f t="shared" si="8"/>
        <v>10</v>
      </c>
      <c r="D120" s="151">
        <f>Data!D119</f>
        <v>24001107.065060236</v>
      </c>
      <c r="E120" s="151">
        <f>Data!E119</f>
        <v>1392643.6565677822</v>
      </c>
      <c r="F120" s="151">
        <f>Data!F119</f>
        <v>25393750.721628018</v>
      </c>
      <c r="G120" s="253">
        <f>Data!AP119</f>
        <v>208.8</v>
      </c>
      <c r="H120" s="129">
        <f>Data!AQ119</f>
        <v>0.5</v>
      </c>
      <c r="I120" s="32">
        <f>Data!BG119</f>
        <v>31</v>
      </c>
      <c r="J120" s="32">
        <f>Data!BX119</f>
        <v>1</v>
      </c>
      <c r="K120" s="32">
        <f>Data!BR119</f>
        <v>0</v>
      </c>
      <c r="L120" s="41">
        <f>Data!AA119</f>
        <v>37985</v>
      </c>
      <c r="M120" s="255">
        <f>Data!CG119</f>
        <v>208.8</v>
      </c>
      <c r="N120" s="78">
        <f>Data!CH119</f>
        <v>0.5</v>
      </c>
      <c r="O120" s="32">
        <f t="shared" si="12"/>
        <v>24902971.936826479</v>
      </c>
      <c r="P120" s="145">
        <f t="shared" si="9"/>
        <v>23510328.280258697</v>
      </c>
      <c r="Q120" s="32">
        <f t="shared" si="10"/>
        <v>-490778.78480153903</v>
      </c>
      <c r="R120" s="50">
        <f t="shared" si="11"/>
        <v>1.9326754451580073E-2</v>
      </c>
    </row>
    <row r="121" spans="1:18" x14ac:dyDescent="0.2">
      <c r="A121" s="2">
        <v>44136</v>
      </c>
      <c r="B121">
        <f t="shared" si="7"/>
        <v>2020</v>
      </c>
      <c r="C121">
        <f t="shared" si="8"/>
        <v>11</v>
      </c>
      <c r="D121" s="151">
        <f>Data!D120</f>
        <v>21906254.004819274</v>
      </c>
      <c r="E121" s="151">
        <f>Data!E120</f>
        <v>1392643.6565677822</v>
      </c>
      <c r="F121" s="151">
        <f>Data!F120</f>
        <v>23298897.661387056</v>
      </c>
      <c r="G121" s="253">
        <f>Data!AP120</f>
        <v>274.89999999999998</v>
      </c>
      <c r="H121" s="129">
        <f>Data!AQ120</f>
        <v>0.10000000000000142</v>
      </c>
      <c r="I121" s="32">
        <f>Data!BG120</f>
        <v>30</v>
      </c>
      <c r="J121" s="32">
        <f>Data!BX120</f>
        <v>1</v>
      </c>
      <c r="K121" s="32">
        <f>Data!BR120</f>
        <v>0</v>
      </c>
      <c r="L121" s="41">
        <f>Data!AA120</f>
        <v>38048</v>
      </c>
      <c r="M121" s="255">
        <f>Data!CG120</f>
        <v>274.89999999999998</v>
      </c>
      <c r="N121" s="78">
        <f>Data!CH120</f>
        <v>0.10000000000000142</v>
      </c>
      <c r="O121" s="32">
        <f t="shared" si="12"/>
        <v>25023212.605366264</v>
      </c>
      <c r="P121" s="145">
        <f t="shared" si="9"/>
        <v>23630568.948798481</v>
      </c>
      <c r="Q121" s="32">
        <f t="shared" si="10"/>
        <v>1724314.9439792074</v>
      </c>
      <c r="R121" s="50">
        <f t="shared" si="11"/>
        <v>7.4008434606624804E-2</v>
      </c>
    </row>
    <row r="122" spans="1:18" x14ac:dyDescent="0.2">
      <c r="A122" s="2">
        <v>44166</v>
      </c>
      <c r="B122">
        <f t="shared" si="7"/>
        <v>2020</v>
      </c>
      <c r="C122">
        <f t="shared" si="8"/>
        <v>12</v>
      </c>
      <c r="D122" s="151">
        <f>Data!D121</f>
        <v>28015587.036144584</v>
      </c>
      <c r="E122" s="151">
        <f>Data!E121</f>
        <v>1392643.6565677822</v>
      </c>
      <c r="F122" s="151">
        <f>Data!F121</f>
        <v>29408230.692712367</v>
      </c>
      <c r="G122" s="253">
        <f>Data!AP121</f>
        <v>505.3</v>
      </c>
      <c r="H122" s="129">
        <f>Data!AQ121</f>
        <v>0</v>
      </c>
      <c r="I122" s="32">
        <f>Data!BG121</f>
        <v>31</v>
      </c>
      <c r="J122" s="32">
        <f>Data!BX121</f>
        <v>0</v>
      </c>
      <c r="K122" s="32">
        <f>Data!BR121</f>
        <v>0</v>
      </c>
      <c r="L122" s="41">
        <f>Data!AA121</f>
        <v>38063</v>
      </c>
      <c r="M122" s="255">
        <f>Data!CG121</f>
        <v>505.3</v>
      </c>
      <c r="N122" s="78">
        <f>Data!CH121</f>
        <v>0</v>
      </c>
      <c r="O122" s="32">
        <f t="shared" si="12"/>
        <v>31434692.20800861</v>
      </c>
      <c r="P122" s="145">
        <f t="shared" si="9"/>
        <v>30042048.551440828</v>
      </c>
      <c r="Q122" s="32">
        <f t="shared" si="10"/>
        <v>2026461.5152962431</v>
      </c>
      <c r="R122" s="50">
        <f t="shared" si="11"/>
        <v>6.8907971257122211E-2</v>
      </c>
    </row>
    <row r="123" spans="1:18" x14ac:dyDescent="0.2">
      <c r="A123" s="2">
        <v>44197</v>
      </c>
      <c r="B123">
        <f t="shared" si="7"/>
        <v>2021</v>
      </c>
      <c r="C123">
        <f t="shared" si="8"/>
        <v>1</v>
      </c>
      <c r="D123" s="151">
        <f>Data!D122</f>
        <v>32091025.21445784</v>
      </c>
      <c r="E123" s="151">
        <f>Data!E122</f>
        <v>1386307.1922259934</v>
      </c>
      <c r="F123" s="151">
        <f>Data!F122</f>
        <v>33477332.406683832</v>
      </c>
      <c r="G123" s="253">
        <f>Data!AP122</f>
        <v>577.99999999999989</v>
      </c>
      <c r="H123" s="129">
        <f>Data!AQ122</f>
        <v>0</v>
      </c>
      <c r="I123" s="32">
        <f>Data!BG122</f>
        <v>31</v>
      </c>
      <c r="J123" s="32">
        <f>Data!BX122</f>
        <v>0</v>
      </c>
      <c r="K123" s="32">
        <f>Data!BR122</f>
        <v>0</v>
      </c>
      <c r="L123" s="41">
        <f>Data!AA122</f>
        <v>38101</v>
      </c>
      <c r="M123" s="255">
        <f>Data!CG122</f>
        <v>577.99999999999989</v>
      </c>
      <c r="N123" s="78">
        <f>Data!CH122</f>
        <v>0</v>
      </c>
      <c r="O123" s="32">
        <f t="shared" si="12"/>
        <v>32352598.927332737</v>
      </c>
      <c r="P123" s="145">
        <f t="shared" si="9"/>
        <v>30966291.735106744</v>
      </c>
      <c r="Q123" s="32">
        <f t="shared" si="10"/>
        <v>-1124733.4793510959</v>
      </c>
      <c r="R123" s="50">
        <f t="shared" si="11"/>
        <v>3.3596866849717695E-2</v>
      </c>
    </row>
    <row r="124" spans="1:18" x14ac:dyDescent="0.2">
      <c r="A124" s="2">
        <v>44228</v>
      </c>
      <c r="B124">
        <f t="shared" si="7"/>
        <v>2021</v>
      </c>
      <c r="C124">
        <f t="shared" si="8"/>
        <v>2</v>
      </c>
      <c r="D124" s="151">
        <f>Data!D123</f>
        <v>30522858.187951799</v>
      </c>
      <c r="E124" s="151">
        <f>Data!E123</f>
        <v>1386307.1922259934</v>
      </c>
      <c r="F124" s="151">
        <f>Data!F123</f>
        <v>31909165.380177792</v>
      </c>
      <c r="G124" s="253">
        <f>Data!AP123</f>
        <v>597.70000000000005</v>
      </c>
      <c r="H124" s="129">
        <f>Data!AQ123</f>
        <v>0</v>
      </c>
      <c r="I124" s="32">
        <f>Data!BG123</f>
        <v>28</v>
      </c>
      <c r="J124" s="32">
        <f>Data!BX123</f>
        <v>0</v>
      </c>
      <c r="K124" s="32">
        <f>Data!BR123</f>
        <v>0</v>
      </c>
      <c r="L124" s="41">
        <f>Data!AA123</f>
        <v>38138</v>
      </c>
      <c r="M124" s="255">
        <f>Data!CG123</f>
        <v>597.70000000000005</v>
      </c>
      <c r="N124" s="78">
        <f>Data!CH123</f>
        <v>0</v>
      </c>
      <c r="O124" s="32">
        <f t="shared" si="12"/>
        <v>30516788.040396638</v>
      </c>
      <c r="P124" s="145">
        <f t="shared" si="9"/>
        <v>29130480.848170646</v>
      </c>
      <c r="Q124" s="32">
        <f t="shared" si="10"/>
        <v>-1392377.3397811539</v>
      </c>
      <c r="R124" s="50">
        <f t="shared" si="11"/>
        <v>4.3635655248009372E-2</v>
      </c>
    </row>
    <row r="125" spans="1:18" x14ac:dyDescent="0.2">
      <c r="A125" s="2">
        <v>44256</v>
      </c>
      <c r="B125">
        <f t="shared" si="7"/>
        <v>2021</v>
      </c>
      <c r="C125">
        <f t="shared" si="8"/>
        <v>3</v>
      </c>
      <c r="D125" s="151">
        <f>Data!D124</f>
        <v>26534307.575903594</v>
      </c>
      <c r="E125" s="151">
        <f>Data!E124</f>
        <v>1386307.1922259934</v>
      </c>
      <c r="F125" s="151">
        <f>Data!F124</f>
        <v>27920614.768129587</v>
      </c>
      <c r="G125" s="253">
        <f>Data!AP124</f>
        <v>398.70000000000005</v>
      </c>
      <c r="H125" s="129">
        <f>Data!AQ124</f>
        <v>0</v>
      </c>
      <c r="I125" s="32">
        <f>Data!BG124</f>
        <v>31</v>
      </c>
      <c r="J125" s="32">
        <f>Data!BX124</f>
        <v>1</v>
      </c>
      <c r="K125" s="32">
        <f>Data!BR124</f>
        <v>0</v>
      </c>
      <c r="L125" s="41">
        <f>Data!AA124</f>
        <v>38255</v>
      </c>
      <c r="M125" s="255">
        <f>Data!CG124</f>
        <v>398.70000000000005</v>
      </c>
      <c r="N125" s="78">
        <f>Data!CH124</f>
        <v>0</v>
      </c>
      <c r="O125" s="32">
        <f t="shared" si="12"/>
        <v>27362381.833090819</v>
      </c>
      <c r="P125" s="145">
        <f t="shared" si="9"/>
        <v>25976074.640864827</v>
      </c>
      <c r="Q125" s="32">
        <f t="shared" si="10"/>
        <v>-558232.93503876776</v>
      </c>
      <c r="R125" s="50">
        <f t="shared" si="11"/>
        <v>1.9993576061081982E-2</v>
      </c>
    </row>
    <row r="126" spans="1:18" x14ac:dyDescent="0.2">
      <c r="A126" s="2">
        <v>44287</v>
      </c>
      <c r="B126">
        <f t="shared" si="7"/>
        <v>2021</v>
      </c>
      <c r="C126">
        <f t="shared" si="8"/>
        <v>4</v>
      </c>
      <c r="D126" s="151">
        <f>Data!D125</f>
        <v>24380831.836144578</v>
      </c>
      <c r="E126" s="151">
        <f>Data!E125</f>
        <v>1386307.1922259934</v>
      </c>
      <c r="F126" s="151">
        <f>Data!F125</f>
        <v>25767139.02837057</v>
      </c>
      <c r="G126" s="253">
        <f>Data!AP125</f>
        <v>242.4</v>
      </c>
      <c r="H126" s="129">
        <f>Data!AQ125</f>
        <v>0</v>
      </c>
      <c r="I126" s="32">
        <f t="shared" ref="I126:I158" si="13">I78</f>
        <v>30</v>
      </c>
      <c r="J126" s="32">
        <f>Data!BX125</f>
        <v>1</v>
      </c>
      <c r="K126" s="32">
        <f>Data!BR125</f>
        <v>0</v>
      </c>
      <c r="L126" s="41">
        <f>Data!AA125</f>
        <v>38336</v>
      </c>
      <c r="M126" s="255">
        <f>Data!CG125</f>
        <v>242.4</v>
      </c>
      <c r="N126" s="78">
        <f>Data!CH125</f>
        <v>0</v>
      </c>
      <c r="O126" s="32">
        <f t="shared" si="12"/>
        <v>24784608.30015355</v>
      </c>
      <c r="P126" s="145">
        <f t="shared" si="9"/>
        <v>23398301.107927557</v>
      </c>
      <c r="Q126" s="32">
        <f t="shared" si="10"/>
        <v>-982530.72821702063</v>
      </c>
      <c r="R126" s="50">
        <f t="shared" si="11"/>
        <v>3.8131153293162197E-2</v>
      </c>
    </row>
    <row r="127" spans="1:18" x14ac:dyDescent="0.2">
      <c r="A127" s="2">
        <v>44317</v>
      </c>
      <c r="B127">
        <f t="shared" si="7"/>
        <v>2021</v>
      </c>
      <c r="C127">
        <f t="shared" si="8"/>
        <v>5</v>
      </c>
      <c r="D127" s="151">
        <f>Data!D126</f>
        <v>26420547.893975921</v>
      </c>
      <c r="E127" s="151">
        <f>Data!E126</f>
        <v>1386307.1922259934</v>
      </c>
      <c r="F127" s="151">
        <f>Data!F126</f>
        <v>27806855.086201914</v>
      </c>
      <c r="G127" s="253">
        <f>Data!AP126</f>
        <v>118.79999999999998</v>
      </c>
      <c r="H127" s="129">
        <f>Data!AQ126</f>
        <v>44.499999999999986</v>
      </c>
      <c r="I127" s="32">
        <f t="shared" si="13"/>
        <v>31</v>
      </c>
      <c r="J127" s="32">
        <f>Data!BX126</f>
        <v>1</v>
      </c>
      <c r="K127" s="32">
        <f>Data!BR126</f>
        <v>0</v>
      </c>
      <c r="L127" s="41">
        <f>Data!AA126</f>
        <v>38428</v>
      </c>
      <c r="M127" s="255">
        <f>Data!CG126</f>
        <v>118.79999999999998</v>
      </c>
      <c r="N127" s="78">
        <f>Data!CH126</f>
        <v>44.499999999999986</v>
      </c>
      <c r="O127" s="32">
        <f t="shared" si="12"/>
        <v>27464148.959457047</v>
      </c>
      <c r="P127" s="145">
        <f t="shared" si="9"/>
        <v>26077841.767231055</v>
      </c>
      <c r="Q127" s="32">
        <f t="shared" si="10"/>
        <v>-342706.12674486637</v>
      </c>
      <c r="R127" s="50">
        <f t="shared" si="11"/>
        <v>1.2324519464084277E-2</v>
      </c>
    </row>
    <row r="128" spans="1:18" x14ac:dyDescent="0.2">
      <c r="A128" s="2">
        <v>44348</v>
      </c>
      <c r="B128">
        <f t="shared" ref="B128:B134" si="14">YEAR(A128)</f>
        <v>2021</v>
      </c>
      <c r="C128">
        <f t="shared" ref="C128:C134" si="15">MONTH(A128)</f>
        <v>6</v>
      </c>
      <c r="D128" s="151">
        <f>Data!D127</f>
        <v>35429511.624096349</v>
      </c>
      <c r="E128" s="151">
        <f>Data!E127</f>
        <v>1386307.1922259934</v>
      </c>
      <c r="F128" s="151">
        <f>Data!F127</f>
        <v>36815818.816322342</v>
      </c>
      <c r="G128" s="253">
        <f>Data!AP127</f>
        <v>1.1999999999999993</v>
      </c>
      <c r="H128" s="129">
        <f>Data!AQ127</f>
        <v>176.20000000000005</v>
      </c>
      <c r="I128" s="32">
        <f>Data!BG127</f>
        <v>30</v>
      </c>
      <c r="J128" s="32">
        <f>Data!BX127</f>
        <v>0</v>
      </c>
      <c r="K128" s="32">
        <f>Data!BR127</f>
        <v>0</v>
      </c>
      <c r="L128" s="41">
        <f>Data!AA127</f>
        <v>38487</v>
      </c>
      <c r="M128" s="255">
        <f>Data!CG127</f>
        <v>1.1999999999999993</v>
      </c>
      <c r="N128" s="78">
        <f>Data!CH127</f>
        <v>176.20000000000005</v>
      </c>
      <c r="O128" s="32">
        <f t="shared" si="12"/>
        <v>38426431.027904101</v>
      </c>
      <c r="P128" s="145">
        <f t="shared" ref="P128:P134" si="16">O128-E128</f>
        <v>37040123.835678108</v>
      </c>
      <c r="Q128" s="32">
        <f t="shared" ref="Q128:Q134" si="17">+O128-F128</f>
        <v>1610612.2115817592</v>
      </c>
      <c r="R128" s="50">
        <f t="shared" ref="R128:R134" si="18">ABS(Q128/F128)</f>
        <v>4.3747830779406492E-2</v>
      </c>
    </row>
    <row r="129" spans="1:21" x14ac:dyDescent="0.2">
      <c r="A129" s="2">
        <v>44378</v>
      </c>
      <c r="B129">
        <f t="shared" si="14"/>
        <v>2021</v>
      </c>
      <c r="C129">
        <f t="shared" si="15"/>
        <v>7</v>
      </c>
      <c r="D129" s="151">
        <f>Data!D128</f>
        <v>37354488.337349385</v>
      </c>
      <c r="E129" s="151">
        <f>Data!E128</f>
        <v>1386307.1922259934</v>
      </c>
      <c r="F129" s="151">
        <f>Data!F128</f>
        <v>38740795.529575378</v>
      </c>
      <c r="G129" s="253">
        <f>Data!AP128</f>
        <v>0</v>
      </c>
      <c r="H129" s="129">
        <f>Data!AQ128</f>
        <v>166.3</v>
      </c>
      <c r="I129" s="32">
        <f>Data!BG128</f>
        <v>31</v>
      </c>
      <c r="J129" s="32">
        <f>Data!BX128</f>
        <v>0</v>
      </c>
      <c r="K129" s="32">
        <f>Data!BR128</f>
        <v>0</v>
      </c>
      <c r="L129" s="41">
        <f>Data!AA128</f>
        <v>38553</v>
      </c>
      <c r="M129" s="255">
        <f>Data!CG128</f>
        <v>0</v>
      </c>
      <c r="N129" s="78">
        <f>Data!CH128</f>
        <v>166.3</v>
      </c>
      <c r="O129" s="32">
        <f t="shared" si="12"/>
        <v>38383524.193299085</v>
      </c>
      <c r="P129" s="145">
        <f t="shared" si="16"/>
        <v>36997217.001073092</v>
      </c>
      <c r="Q129" s="32">
        <f t="shared" si="17"/>
        <v>-357271.3362762928</v>
      </c>
      <c r="R129" s="50">
        <f t="shared" si="18"/>
        <v>9.22209602029328E-3</v>
      </c>
    </row>
    <row r="130" spans="1:21" x14ac:dyDescent="0.2">
      <c r="A130" s="2">
        <v>44409</v>
      </c>
      <c r="B130">
        <f t="shared" si="14"/>
        <v>2021</v>
      </c>
      <c r="C130">
        <f t="shared" si="15"/>
        <v>8</v>
      </c>
      <c r="D130" s="151">
        <f>Data!D129</f>
        <v>40364094.120481901</v>
      </c>
      <c r="E130" s="151">
        <f>Data!E129</f>
        <v>1386307.1922259934</v>
      </c>
      <c r="F130" s="151">
        <f>Data!F129</f>
        <v>41750401.312707894</v>
      </c>
      <c r="G130" s="253">
        <f>Data!AP129</f>
        <v>0</v>
      </c>
      <c r="H130" s="129">
        <f>Data!AQ129</f>
        <v>241.4</v>
      </c>
      <c r="I130" s="32">
        <f>Data!BG129</f>
        <v>31</v>
      </c>
      <c r="J130" s="32">
        <f>Data!BX129</f>
        <v>0</v>
      </c>
      <c r="K130" s="32">
        <f>Data!BR129</f>
        <v>0</v>
      </c>
      <c r="L130" s="41">
        <f>Data!AA129</f>
        <v>38570</v>
      </c>
      <c r="M130" s="255">
        <f>Data!CG129</f>
        <v>0</v>
      </c>
      <c r="N130" s="78">
        <f>Data!CH129</f>
        <v>241.4</v>
      </c>
      <c r="O130" s="32">
        <f t="shared" si="12"/>
        <v>44212275.997346647</v>
      </c>
      <c r="P130" s="145">
        <f t="shared" si="16"/>
        <v>42825968.805120654</v>
      </c>
      <c r="Q130" s="32">
        <f t="shared" si="17"/>
        <v>2461874.6846387535</v>
      </c>
      <c r="R130" s="50">
        <f t="shared" si="18"/>
        <v>5.8966491512248378E-2</v>
      </c>
    </row>
    <row r="131" spans="1:21" x14ac:dyDescent="0.2">
      <c r="A131" s="2">
        <v>44440</v>
      </c>
      <c r="B131">
        <f t="shared" si="14"/>
        <v>2021</v>
      </c>
      <c r="C131">
        <f t="shared" si="15"/>
        <v>9</v>
      </c>
      <c r="D131" s="151">
        <f>Data!D130</f>
        <v>30965429.060240969</v>
      </c>
      <c r="E131" s="151">
        <f>Data!E130</f>
        <v>1386307.1922259934</v>
      </c>
      <c r="F131" s="151">
        <f>Data!F130</f>
        <v>32351736.252466962</v>
      </c>
      <c r="G131" s="253">
        <f>Data!AP130</f>
        <v>14.3</v>
      </c>
      <c r="H131" s="129">
        <f>Data!AQ130</f>
        <v>63.599999999999994</v>
      </c>
      <c r="I131" s="32">
        <f>Data!BG130</f>
        <v>30</v>
      </c>
      <c r="J131" s="32">
        <f>Data!BX130</f>
        <v>1</v>
      </c>
      <c r="K131" s="32">
        <f>Data!BR130</f>
        <v>1</v>
      </c>
      <c r="L131" s="41">
        <f>Data!AA130</f>
        <v>38649</v>
      </c>
      <c r="M131" s="255">
        <f>Data!CG130</f>
        <v>14.3</v>
      </c>
      <c r="N131" s="78">
        <f>Data!CH130</f>
        <v>63.599999999999994</v>
      </c>
      <c r="O131" s="32">
        <f t="shared" si="12"/>
        <v>28793165.486765206</v>
      </c>
      <c r="P131" s="145">
        <f>O131-E131</f>
        <v>27406858.294539213</v>
      </c>
      <c r="Q131" s="32">
        <f>+O131-F131</f>
        <v>-3558570.7657017559</v>
      </c>
      <c r="R131" s="50">
        <f t="shared" si="18"/>
        <v>0.10999628390672229</v>
      </c>
    </row>
    <row r="132" spans="1:21" x14ac:dyDescent="0.2">
      <c r="A132" s="2">
        <v>44470</v>
      </c>
      <c r="B132">
        <f t="shared" si="14"/>
        <v>2021</v>
      </c>
      <c r="C132">
        <f t="shared" si="15"/>
        <v>10</v>
      </c>
      <c r="D132" s="151">
        <f>Data!D131</f>
        <v>24701351.469879605</v>
      </c>
      <c r="E132" s="151">
        <f>Data!E131</f>
        <v>1386307.1922259934</v>
      </c>
      <c r="F132" s="151">
        <f>Data!F131</f>
        <v>26087658.662105598</v>
      </c>
      <c r="G132" s="253">
        <f>Data!AP131</f>
        <v>102.60000000000001</v>
      </c>
      <c r="H132" s="129">
        <f>Data!AQ131</f>
        <v>24.999999999999993</v>
      </c>
      <c r="I132" s="32">
        <f t="shared" si="13"/>
        <v>31</v>
      </c>
      <c r="J132" s="32">
        <f>Data!BX131</f>
        <v>1</v>
      </c>
      <c r="K132" s="32">
        <f>Data!BR131</f>
        <v>0</v>
      </c>
      <c r="L132" s="41">
        <f>Data!AA131</f>
        <v>38774</v>
      </c>
      <c r="M132" s="255">
        <f>Data!CG131</f>
        <v>102.60000000000001</v>
      </c>
      <c r="N132" s="78">
        <f>Data!CH131</f>
        <v>24.999999999999993</v>
      </c>
      <c r="O132" s="32">
        <f t="shared" si="12"/>
        <v>25957355.205696635</v>
      </c>
      <c r="P132" s="145">
        <f t="shared" si="16"/>
        <v>24571048.013470642</v>
      </c>
      <c r="Q132" s="32">
        <f>+O132-F132</f>
        <v>-130303.45640896261</v>
      </c>
      <c r="R132" s="50">
        <f t="shared" si="18"/>
        <v>4.9948313912217338E-3</v>
      </c>
    </row>
    <row r="133" spans="1:21" x14ac:dyDescent="0.2">
      <c r="A133" s="2">
        <v>44501</v>
      </c>
      <c r="B133">
        <f t="shared" si="14"/>
        <v>2021</v>
      </c>
      <c r="C133">
        <f t="shared" si="15"/>
        <v>11</v>
      </c>
      <c r="D133" s="151">
        <f>Data!D132</f>
        <v>23015449.214457814</v>
      </c>
      <c r="E133" s="151">
        <f>Data!E132</f>
        <v>1386307.1922259934</v>
      </c>
      <c r="F133" s="151">
        <f>Data!F132</f>
        <v>24401756.406683806</v>
      </c>
      <c r="G133" s="253">
        <f>Data!AP132</f>
        <v>353.7</v>
      </c>
      <c r="H133" s="129">
        <f>Data!AQ132</f>
        <v>0</v>
      </c>
      <c r="I133" s="32">
        <f t="shared" si="13"/>
        <v>30</v>
      </c>
      <c r="J133" s="32">
        <f>Data!BX132</f>
        <v>1</v>
      </c>
      <c r="K133" s="32">
        <f>Data!BR132</f>
        <v>0</v>
      </c>
      <c r="L133" s="41">
        <f>Data!AA132</f>
        <v>38781</v>
      </c>
      <c r="M133" s="255">
        <f>Data!CG132</f>
        <v>353.7</v>
      </c>
      <c r="N133" s="78">
        <f>Data!CH132</f>
        <v>0</v>
      </c>
      <c r="O133" s="32">
        <f t="shared" si="12"/>
        <v>26417525.095713437</v>
      </c>
      <c r="P133" s="145">
        <f t="shared" si="16"/>
        <v>25031217.903487444</v>
      </c>
      <c r="Q133" s="32">
        <f t="shared" si="17"/>
        <v>2015768.6890296303</v>
      </c>
      <c r="R133" s="50">
        <f t="shared" si="18"/>
        <v>8.2607524451702899E-2</v>
      </c>
    </row>
    <row r="134" spans="1:21" x14ac:dyDescent="0.2">
      <c r="A134" s="2">
        <v>44531</v>
      </c>
      <c r="B134">
        <f t="shared" si="14"/>
        <v>2021</v>
      </c>
      <c r="C134">
        <f t="shared" si="15"/>
        <v>12</v>
      </c>
      <c r="D134" s="151">
        <f>Data!D133</f>
        <v>28628265.918072276</v>
      </c>
      <c r="E134" s="151">
        <f>Data!E133</f>
        <v>1386307.1922259934</v>
      </c>
      <c r="F134" s="151">
        <f>Data!F133</f>
        <v>30014573.110298268</v>
      </c>
      <c r="G134" s="253">
        <f>Data!AP133</f>
        <v>443.4</v>
      </c>
      <c r="H134" s="129">
        <f>Data!AQ133</f>
        <v>0</v>
      </c>
      <c r="I134" s="32">
        <f>Data!BG133</f>
        <v>31</v>
      </c>
      <c r="J134" s="32">
        <f>Data!BX133</f>
        <v>0</v>
      </c>
      <c r="K134" s="32">
        <f>Data!BR133</f>
        <v>0</v>
      </c>
      <c r="L134" s="41">
        <f>Data!AA133</f>
        <v>38823</v>
      </c>
      <c r="M134" s="255">
        <f>Data!CG133</f>
        <v>443.4</v>
      </c>
      <c r="N134" s="78">
        <f>Data!CH133</f>
        <v>0</v>
      </c>
      <c r="O134" s="32">
        <f t="shared" ref="O134:O158" si="19">$T$19+G134*$T$20+H134*$T$21+I134*$T$22+J134*$T$23+K134*$T$24+L134*$T$25+M134*$T$26+N134*$T$27</f>
        <v>31119451.616568409</v>
      </c>
      <c r="P134" s="145">
        <f t="shared" si="16"/>
        <v>29733144.424342416</v>
      </c>
      <c r="Q134" s="32">
        <f t="shared" si="17"/>
        <v>1104878.5062701404</v>
      </c>
      <c r="R134" s="50">
        <f t="shared" si="18"/>
        <v>3.6811401655119549E-2</v>
      </c>
      <c r="S134" s="28" t="s">
        <v>52</v>
      </c>
    </row>
    <row r="135" spans="1:21" x14ac:dyDescent="0.2">
      <c r="A135" s="2">
        <v>44562</v>
      </c>
      <c r="B135">
        <f t="shared" ref="B135:B158" si="20">YEAR(A135)</f>
        <v>2022</v>
      </c>
      <c r="C135">
        <f t="shared" ref="C135:C158" si="21">MONTH(A135)</f>
        <v>1</v>
      </c>
      <c r="D135" s="151"/>
      <c r="E135" s="151">
        <f>'Historic CDM'!M16/12</f>
        <v>1388122.4911311602</v>
      </c>
      <c r="F135" s="151"/>
      <c r="G135" s="146">
        <f ca="1">Weather!BP61</f>
        <v>625.5</v>
      </c>
      <c r="H135" s="146">
        <f ca="1">Weather!BQ61</f>
        <v>0</v>
      </c>
      <c r="I135" s="32">
        <f t="shared" si="13"/>
        <v>31</v>
      </c>
      <c r="J135" s="32">
        <f t="shared" ref="J135:J158" si="22">J87</f>
        <v>0</v>
      </c>
      <c r="K135" s="32">
        <f>K123</f>
        <v>0</v>
      </c>
      <c r="L135" s="147">
        <f>'Rate Class Customer Model'!B60</f>
        <v>38885.5</v>
      </c>
      <c r="M135" s="32">
        <f ca="1">G135*S135</f>
        <v>469.125</v>
      </c>
      <c r="N135" s="61">
        <f ca="1">H135*S135</f>
        <v>0</v>
      </c>
      <c r="O135" s="32">
        <f t="shared" ca="1" si="19"/>
        <v>32839088.783573113</v>
      </c>
      <c r="P135" s="145">
        <f t="shared" ref="P135:P158" ca="1" si="23">O135-E135</f>
        <v>31450966.292441953</v>
      </c>
      <c r="Q135" s="32"/>
      <c r="R135" s="50"/>
      <c r="S135">
        <v>0.75</v>
      </c>
    </row>
    <row r="136" spans="1:21" x14ac:dyDescent="0.2">
      <c r="A136" s="2">
        <v>44593</v>
      </c>
      <c r="B136">
        <f t="shared" si="20"/>
        <v>2022</v>
      </c>
      <c r="C136">
        <f t="shared" si="21"/>
        <v>2</v>
      </c>
      <c r="D136" s="151"/>
      <c r="E136" s="151">
        <f>E135</f>
        <v>1388122.4911311602</v>
      </c>
      <c r="F136" s="151"/>
      <c r="G136" s="146">
        <f ca="1">Weather!BP62</f>
        <v>573.20999999999992</v>
      </c>
      <c r="H136" s="146">
        <f ca="1">Weather!BQ62</f>
        <v>0</v>
      </c>
      <c r="I136" s="32">
        <f t="shared" si="13"/>
        <v>28</v>
      </c>
      <c r="J136" s="32">
        <f t="shared" si="22"/>
        <v>0</v>
      </c>
      <c r="K136" s="32">
        <f t="shared" ref="K136:K158" si="24">K124</f>
        <v>0</v>
      </c>
      <c r="L136" s="147">
        <f>'Rate Class Customer Model'!B61</f>
        <v>38948</v>
      </c>
      <c r="M136" s="32">
        <f t="shared" ref="M136:M158" ca="1" si="25">G136*S136</f>
        <v>429.90749999999991</v>
      </c>
      <c r="N136" s="61">
        <f t="shared" ref="N136:N158" ca="1" si="26">H136*S136</f>
        <v>0</v>
      </c>
      <c r="O136" s="32">
        <f t="shared" ca="1" si="19"/>
        <v>30178328.03851939</v>
      </c>
      <c r="P136" s="145">
        <f t="shared" ca="1" si="23"/>
        <v>28790205.54738823</v>
      </c>
      <c r="Q136" s="32"/>
      <c r="R136" s="50"/>
      <c r="S136">
        <f>S135</f>
        <v>0.75</v>
      </c>
    </row>
    <row r="137" spans="1:21" x14ac:dyDescent="0.2">
      <c r="A137" s="2">
        <v>44621</v>
      </c>
      <c r="B137">
        <f t="shared" si="20"/>
        <v>2022</v>
      </c>
      <c r="C137">
        <f t="shared" si="21"/>
        <v>3</v>
      </c>
      <c r="D137" s="151"/>
      <c r="E137" s="151">
        <f t="shared" ref="E137:E146" si="27">E136</f>
        <v>1388122.4911311602</v>
      </c>
      <c r="F137" s="151"/>
      <c r="G137" s="146">
        <f ca="1">Weather!BP63</f>
        <v>471.05</v>
      </c>
      <c r="H137" s="146">
        <f ca="1">Weather!BQ63</f>
        <v>0.3</v>
      </c>
      <c r="I137" s="32">
        <f t="shared" si="13"/>
        <v>31</v>
      </c>
      <c r="J137" s="32">
        <f t="shared" si="22"/>
        <v>1</v>
      </c>
      <c r="K137" s="32">
        <f t="shared" si="24"/>
        <v>0</v>
      </c>
      <c r="L137" s="147">
        <f>'Rate Class Customer Model'!B62</f>
        <v>39010.5</v>
      </c>
      <c r="M137" s="32">
        <f t="shared" ca="1" si="25"/>
        <v>353.28750000000002</v>
      </c>
      <c r="N137" s="61">
        <f ca="1">H137*S137</f>
        <v>0.22499999999999998</v>
      </c>
      <c r="O137" s="32">
        <f t="shared" ca="1" si="19"/>
        <v>28297673.004810624</v>
      </c>
      <c r="P137" s="145">
        <f t="shared" ca="1" si="23"/>
        <v>26909550.513679463</v>
      </c>
      <c r="Q137" s="32"/>
      <c r="R137" s="50"/>
      <c r="S137">
        <f t="shared" ref="S137:S158" si="28">S136</f>
        <v>0.75</v>
      </c>
    </row>
    <row r="138" spans="1:21" x14ac:dyDescent="0.2">
      <c r="A138" s="2">
        <v>44652</v>
      </c>
      <c r="B138">
        <f t="shared" si="20"/>
        <v>2022</v>
      </c>
      <c r="C138">
        <f t="shared" si="21"/>
        <v>4</v>
      </c>
      <c r="D138" s="151"/>
      <c r="E138" s="151">
        <f t="shared" si="27"/>
        <v>1388122.4911311602</v>
      </c>
      <c r="F138" s="151"/>
      <c r="G138" s="146">
        <f ca="1">Weather!BP64</f>
        <v>285.58000000000004</v>
      </c>
      <c r="H138" s="146">
        <f ca="1">Weather!BQ64</f>
        <v>0.38999999999999985</v>
      </c>
      <c r="I138" s="32">
        <f t="shared" si="13"/>
        <v>30</v>
      </c>
      <c r="J138" s="32">
        <f t="shared" si="22"/>
        <v>1</v>
      </c>
      <c r="K138" s="32">
        <f t="shared" si="24"/>
        <v>0</v>
      </c>
      <c r="L138" s="147">
        <f>'Rate Class Customer Model'!B63</f>
        <v>39073</v>
      </c>
      <c r="M138" s="32">
        <f t="shared" ca="1" si="25"/>
        <v>214.18500000000003</v>
      </c>
      <c r="N138" s="61">
        <f t="shared" ca="1" si="26"/>
        <v>0.29249999999999987</v>
      </c>
      <c r="O138" s="32">
        <f t="shared" ca="1" si="19"/>
        <v>25522248.506663192</v>
      </c>
      <c r="P138" s="145">
        <f t="shared" ca="1" si="23"/>
        <v>24134126.015532032</v>
      </c>
      <c r="Q138" s="32"/>
      <c r="R138" s="50"/>
      <c r="S138">
        <f t="shared" si="28"/>
        <v>0.75</v>
      </c>
    </row>
    <row r="139" spans="1:21" x14ac:dyDescent="0.2">
      <c r="A139" s="2">
        <v>44682</v>
      </c>
      <c r="B139">
        <f t="shared" si="20"/>
        <v>2022</v>
      </c>
      <c r="C139">
        <f t="shared" si="21"/>
        <v>5</v>
      </c>
      <c r="D139" s="151"/>
      <c r="E139" s="151">
        <f t="shared" si="27"/>
        <v>1388122.4911311602</v>
      </c>
      <c r="F139" s="151"/>
      <c r="G139" s="146">
        <f ca="1">Weather!BP65</f>
        <v>93.759999999999991</v>
      </c>
      <c r="H139" s="146">
        <f ca="1">Weather!BQ65</f>
        <v>43.35</v>
      </c>
      <c r="I139" s="32">
        <f t="shared" si="13"/>
        <v>31</v>
      </c>
      <c r="J139" s="32">
        <f t="shared" si="22"/>
        <v>1</v>
      </c>
      <c r="K139" s="32">
        <f t="shared" si="24"/>
        <v>0</v>
      </c>
      <c r="L139" s="147">
        <f>'Rate Class Customer Model'!B64</f>
        <v>39135.5</v>
      </c>
      <c r="M139" s="32">
        <f t="shared" ca="1" si="25"/>
        <v>70.319999999999993</v>
      </c>
      <c r="N139" s="61">
        <f t="shared" ca="1" si="26"/>
        <v>32.512500000000003</v>
      </c>
      <c r="O139" s="32">
        <f t="shared" ca="1" si="19"/>
        <v>27132941.425240915</v>
      </c>
      <c r="P139" s="145">
        <f t="shared" ca="1" si="23"/>
        <v>25744818.934109755</v>
      </c>
      <c r="Q139" s="32"/>
      <c r="R139" s="50"/>
      <c r="S139">
        <f t="shared" si="28"/>
        <v>0.75</v>
      </c>
    </row>
    <row r="140" spans="1:21" x14ac:dyDescent="0.2">
      <c r="A140" s="2">
        <v>44713</v>
      </c>
      <c r="B140">
        <f t="shared" si="20"/>
        <v>2022</v>
      </c>
      <c r="C140">
        <f t="shared" si="21"/>
        <v>6</v>
      </c>
      <c r="D140" s="151"/>
      <c r="E140" s="151">
        <f t="shared" si="27"/>
        <v>1388122.4911311602</v>
      </c>
      <c r="F140" s="151"/>
      <c r="G140" s="146">
        <f ca="1">Weather!BP66</f>
        <v>8.7399999999999984</v>
      </c>
      <c r="H140" s="146">
        <f ca="1">Weather!BQ66</f>
        <v>118.63000000000002</v>
      </c>
      <c r="I140" s="32">
        <f t="shared" si="13"/>
        <v>30</v>
      </c>
      <c r="J140" s="32">
        <f t="shared" si="22"/>
        <v>0</v>
      </c>
      <c r="K140" s="32">
        <f t="shared" si="24"/>
        <v>0</v>
      </c>
      <c r="L140" s="147">
        <f>'Rate Class Customer Model'!B65</f>
        <v>39198</v>
      </c>
      <c r="M140" s="32">
        <f t="shared" ca="1" si="25"/>
        <v>6.5549999999999988</v>
      </c>
      <c r="N140" s="61">
        <f t="shared" ca="1" si="26"/>
        <v>88.972500000000025</v>
      </c>
      <c r="O140" s="32">
        <f t="shared" ca="1" si="19"/>
        <v>33741369.741467528</v>
      </c>
      <c r="P140" s="145">
        <f t="shared" ca="1" si="23"/>
        <v>32353247.250336368</v>
      </c>
      <c r="Q140" s="32"/>
      <c r="R140" s="50"/>
      <c r="S140">
        <f t="shared" si="28"/>
        <v>0.75</v>
      </c>
    </row>
    <row r="141" spans="1:21" x14ac:dyDescent="0.2">
      <c r="A141" s="2">
        <v>44743</v>
      </c>
      <c r="B141">
        <f t="shared" si="20"/>
        <v>2022</v>
      </c>
      <c r="C141">
        <f t="shared" si="21"/>
        <v>7</v>
      </c>
      <c r="D141" s="151"/>
      <c r="E141" s="151">
        <f t="shared" si="27"/>
        <v>1388122.4911311602</v>
      </c>
      <c r="F141" s="151"/>
      <c r="G141" s="146">
        <f ca="1">Weather!BP67</f>
        <v>0</v>
      </c>
      <c r="H141" s="146">
        <f ca="1">Weather!BQ67</f>
        <v>207.41000000000003</v>
      </c>
      <c r="I141" s="32">
        <f t="shared" si="13"/>
        <v>31</v>
      </c>
      <c r="J141" s="32">
        <f t="shared" si="22"/>
        <v>0</v>
      </c>
      <c r="K141" s="32">
        <f t="shared" si="24"/>
        <v>0</v>
      </c>
      <c r="L141" s="147">
        <f>'Rate Class Customer Model'!B66</f>
        <v>39260.5</v>
      </c>
      <c r="M141" s="32">
        <f t="shared" ca="1" si="25"/>
        <v>0</v>
      </c>
      <c r="N141" s="61">
        <f t="shared" ca="1" si="26"/>
        <v>155.5575</v>
      </c>
      <c r="O141" s="32">
        <f t="shared" ca="1" si="19"/>
        <v>40712245.64605426</v>
      </c>
      <c r="P141" s="145">
        <f t="shared" ca="1" si="23"/>
        <v>39324123.154923104</v>
      </c>
      <c r="Q141" s="32"/>
      <c r="R141" s="50"/>
      <c r="S141">
        <f t="shared" si="28"/>
        <v>0.75</v>
      </c>
    </row>
    <row r="142" spans="1:21" x14ac:dyDescent="0.2">
      <c r="A142" s="2">
        <v>44774</v>
      </c>
      <c r="B142">
        <f t="shared" si="20"/>
        <v>2022</v>
      </c>
      <c r="C142">
        <f t="shared" si="21"/>
        <v>8</v>
      </c>
      <c r="D142" s="151"/>
      <c r="E142" s="151">
        <f t="shared" si="27"/>
        <v>1388122.4911311602</v>
      </c>
      <c r="F142" s="151"/>
      <c r="G142" s="146">
        <f ca="1">Weather!BP68</f>
        <v>0.29000000000000004</v>
      </c>
      <c r="H142" s="146">
        <f ca="1">Weather!BQ68</f>
        <v>180.75000000000006</v>
      </c>
      <c r="I142" s="32">
        <f t="shared" si="13"/>
        <v>31</v>
      </c>
      <c r="J142" s="32">
        <f t="shared" si="22"/>
        <v>0</v>
      </c>
      <c r="K142" s="32">
        <f t="shared" si="24"/>
        <v>0</v>
      </c>
      <c r="L142" s="147">
        <f>'Rate Class Customer Model'!B67</f>
        <v>39323</v>
      </c>
      <c r="M142" s="32">
        <f t="shared" ca="1" si="25"/>
        <v>0.21750000000000003</v>
      </c>
      <c r="N142" s="61">
        <f t="shared" ca="1" si="26"/>
        <v>135.56250000000006</v>
      </c>
      <c r="O142" s="32">
        <f t="shared" ca="1" si="19"/>
        <v>38850332.387800328</v>
      </c>
      <c r="P142" s="145">
        <f t="shared" ca="1" si="23"/>
        <v>37462209.896669172</v>
      </c>
      <c r="Q142" s="32"/>
      <c r="R142" s="50"/>
      <c r="S142">
        <f t="shared" si="28"/>
        <v>0.75</v>
      </c>
    </row>
    <row r="143" spans="1:21" x14ac:dyDescent="0.2">
      <c r="A143" s="2">
        <v>44805</v>
      </c>
      <c r="B143">
        <f t="shared" si="20"/>
        <v>2022</v>
      </c>
      <c r="C143">
        <f t="shared" si="21"/>
        <v>9</v>
      </c>
      <c r="D143" s="151"/>
      <c r="E143" s="151">
        <f t="shared" si="27"/>
        <v>1388122.4911311602</v>
      </c>
      <c r="F143" s="151"/>
      <c r="G143" s="146">
        <f ca="1">Weather!BP69</f>
        <v>27</v>
      </c>
      <c r="H143" s="146">
        <f ca="1">Weather!BQ69</f>
        <v>80.61</v>
      </c>
      <c r="I143" s="32">
        <f t="shared" si="13"/>
        <v>30</v>
      </c>
      <c r="J143" s="32">
        <f t="shared" si="22"/>
        <v>1</v>
      </c>
      <c r="K143" s="32">
        <f t="shared" si="24"/>
        <v>1</v>
      </c>
      <c r="L143" s="147">
        <f>'Rate Class Customer Model'!B68</f>
        <v>39385.5</v>
      </c>
      <c r="M143" s="32">
        <f t="shared" ca="1" si="25"/>
        <v>20.25</v>
      </c>
      <c r="N143" s="61">
        <f t="shared" ca="1" si="26"/>
        <v>60.457499999999996</v>
      </c>
      <c r="O143" s="32">
        <f t="shared" ca="1" si="19"/>
        <v>30182098.258420158</v>
      </c>
      <c r="P143" s="145">
        <f t="shared" ca="1" si="23"/>
        <v>28793975.767288998</v>
      </c>
      <c r="Q143" s="32"/>
      <c r="R143" s="50"/>
      <c r="S143">
        <f t="shared" si="28"/>
        <v>0.75</v>
      </c>
    </row>
    <row r="144" spans="1:21" x14ac:dyDescent="0.2">
      <c r="A144" s="2">
        <v>44835</v>
      </c>
      <c r="B144">
        <f t="shared" si="20"/>
        <v>2022</v>
      </c>
      <c r="C144">
        <f t="shared" si="21"/>
        <v>10</v>
      </c>
      <c r="D144" s="151"/>
      <c r="E144" s="151">
        <f t="shared" si="27"/>
        <v>1388122.4911311602</v>
      </c>
      <c r="F144" s="151"/>
      <c r="G144" s="146">
        <f ca="1">Weather!BP70</f>
        <v>167.57</v>
      </c>
      <c r="H144" s="146">
        <f ca="1">Weather!BQ70</f>
        <v>9.9699999999999989</v>
      </c>
      <c r="I144" s="32">
        <f t="shared" si="13"/>
        <v>31</v>
      </c>
      <c r="J144" s="32">
        <f t="shared" si="22"/>
        <v>1</v>
      </c>
      <c r="K144" s="32">
        <f t="shared" si="24"/>
        <v>0</v>
      </c>
      <c r="L144" s="147">
        <f>'Rate Class Customer Model'!B69</f>
        <v>39448</v>
      </c>
      <c r="M144" s="32">
        <f t="shared" ca="1" si="25"/>
        <v>125.67749999999999</v>
      </c>
      <c r="N144" s="61">
        <f t="shared" ca="1" si="26"/>
        <v>7.4774999999999991</v>
      </c>
      <c r="O144" s="32">
        <f t="shared" ca="1" si="19"/>
        <v>25778515.291555516</v>
      </c>
      <c r="P144" s="145">
        <f ca="1">O144-E144</f>
        <v>24390392.800424356</v>
      </c>
      <c r="Q144" s="32"/>
      <c r="R144" s="50"/>
      <c r="S144">
        <f t="shared" si="28"/>
        <v>0.75</v>
      </c>
      <c r="T144" s="197"/>
      <c r="U144" s="100"/>
    </row>
    <row r="145" spans="1:21" x14ac:dyDescent="0.2">
      <c r="A145" s="2">
        <v>44866</v>
      </c>
      <c r="B145">
        <f t="shared" si="20"/>
        <v>2022</v>
      </c>
      <c r="C145">
        <f t="shared" si="21"/>
        <v>11</v>
      </c>
      <c r="D145" s="151"/>
      <c r="E145" s="151">
        <f t="shared" si="27"/>
        <v>1388122.4911311602</v>
      </c>
      <c r="F145" s="151"/>
      <c r="G145" s="146">
        <f ca="1">Weather!BP71</f>
        <v>366.25</v>
      </c>
      <c r="H145" s="146">
        <f ca="1">Weather!BQ71</f>
        <v>1.0000000000000142E-2</v>
      </c>
      <c r="I145" s="32">
        <f t="shared" si="13"/>
        <v>30</v>
      </c>
      <c r="J145" s="32">
        <f t="shared" si="22"/>
        <v>1</v>
      </c>
      <c r="K145" s="32">
        <f t="shared" si="24"/>
        <v>0</v>
      </c>
      <c r="L145" s="147">
        <f>'Rate Class Customer Model'!B70</f>
        <v>39510.5</v>
      </c>
      <c r="M145" s="32">
        <f t="shared" ca="1" si="25"/>
        <v>274.6875</v>
      </c>
      <c r="N145" s="61">
        <f t="shared" ca="1" si="26"/>
        <v>7.5000000000001073E-3</v>
      </c>
      <c r="O145" s="32">
        <f t="shared" ca="1" si="19"/>
        <v>26674067.183871105</v>
      </c>
      <c r="P145" s="145">
        <f t="shared" ca="1" si="23"/>
        <v>25285944.692739945</v>
      </c>
      <c r="Q145" s="32"/>
      <c r="R145" s="50"/>
      <c r="S145">
        <f t="shared" si="28"/>
        <v>0.75</v>
      </c>
      <c r="T145" s="197"/>
      <c r="U145" s="100"/>
    </row>
    <row r="146" spans="1:21" x14ac:dyDescent="0.2">
      <c r="A146" s="2">
        <v>44896</v>
      </c>
      <c r="B146">
        <f t="shared" si="20"/>
        <v>2022</v>
      </c>
      <c r="C146">
        <f t="shared" si="21"/>
        <v>12</v>
      </c>
      <c r="D146" s="151"/>
      <c r="E146" s="151">
        <f t="shared" si="27"/>
        <v>1388122.4911311602</v>
      </c>
      <c r="F146" s="151"/>
      <c r="G146" s="146">
        <f ca="1">Weather!BP72</f>
        <v>513.3599999999999</v>
      </c>
      <c r="H146" s="146">
        <f ca="1">Weather!BQ72</f>
        <v>0</v>
      </c>
      <c r="I146" s="32">
        <f t="shared" si="13"/>
        <v>31</v>
      </c>
      <c r="J146" s="32">
        <f t="shared" si="22"/>
        <v>0</v>
      </c>
      <c r="K146" s="32">
        <f t="shared" si="24"/>
        <v>0</v>
      </c>
      <c r="L146" s="147">
        <f>'Rate Class Customer Model'!B71</f>
        <v>39573</v>
      </c>
      <c r="M146" s="32">
        <f t="shared" ca="1" si="25"/>
        <v>385.01999999999992</v>
      </c>
      <c r="N146" s="61">
        <f t="shared" ca="1" si="26"/>
        <v>0</v>
      </c>
      <c r="O146" s="32">
        <f t="shared" ca="1" si="19"/>
        <v>31962761.494906716</v>
      </c>
      <c r="P146" s="145">
        <f t="shared" ca="1" si="23"/>
        <v>30574639.003775556</v>
      </c>
      <c r="Q146" s="32"/>
      <c r="R146" s="50"/>
      <c r="S146">
        <f t="shared" si="28"/>
        <v>0.75</v>
      </c>
      <c r="T146" s="197"/>
      <c r="U146" s="100"/>
    </row>
    <row r="147" spans="1:21" ht="12.75" customHeight="1" x14ac:dyDescent="0.2">
      <c r="A147" s="2">
        <v>44927</v>
      </c>
      <c r="B147">
        <f t="shared" si="20"/>
        <v>2023</v>
      </c>
      <c r="C147">
        <f t="shared" si="21"/>
        <v>1</v>
      </c>
      <c r="D147" s="151"/>
      <c r="E147" s="151">
        <f>'Historic CDM'!M17/12</f>
        <v>1381601.9762917485</v>
      </c>
      <c r="G147" s="146">
        <f t="shared" ref="G147:H158" ca="1" si="29">G135</f>
        <v>625.5</v>
      </c>
      <c r="H147" s="146">
        <f t="shared" ca="1" si="29"/>
        <v>0</v>
      </c>
      <c r="I147" s="32">
        <f t="shared" si="13"/>
        <v>31</v>
      </c>
      <c r="J147" s="32">
        <f t="shared" si="22"/>
        <v>0</v>
      </c>
      <c r="K147" s="32">
        <f t="shared" si="24"/>
        <v>0</v>
      </c>
      <c r="L147" s="147">
        <f>'Rate Class Customer Model'!B72</f>
        <v>39652.166666666664</v>
      </c>
      <c r="M147" s="32">
        <f t="shared" ca="1" si="25"/>
        <v>312.75</v>
      </c>
      <c r="N147" s="61">
        <f t="shared" ca="1" si="26"/>
        <v>0</v>
      </c>
      <c r="O147" s="32">
        <f t="shared" ca="1" si="19"/>
        <v>32729962.355039552</v>
      </c>
      <c r="P147" s="145">
        <f t="shared" ca="1" si="23"/>
        <v>31348360.378747802</v>
      </c>
      <c r="Q147" s="32"/>
      <c r="R147" s="50"/>
      <c r="S147">
        <v>0.5</v>
      </c>
      <c r="T147" s="29"/>
      <c r="U147" s="41"/>
    </row>
    <row r="148" spans="1:21" x14ac:dyDescent="0.2">
      <c r="A148" s="2">
        <v>44958</v>
      </c>
      <c r="B148">
        <f t="shared" si="20"/>
        <v>2023</v>
      </c>
      <c r="C148">
        <f t="shared" si="21"/>
        <v>2</v>
      </c>
      <c r="D148" s="151"/>
      <c r="E148" s="151">
        <f>E147</f>
        <v>1381601.9762917485</v>
      </c>
      <c r="G148" s="146">
        <f t="shared" ca="1" si="29"/>
        <v>573.20999999999992</v>
      </c>
      <c r="H148" s="146">
        <f t="shared" ca="1" si="29"/>
        <v>0</v>
      </c>
      <c r="I148" s="32">
        <f t="shared" si="13"/>
        <v>28</v>
      </c>
      <c r="J148" s="32">
        <f t="shared" si="22"/>
        <v>0</v>
      </c>
      <c r="K148" s="32">
        <f t="shared" si="24"/>
        <v>0</v>
      </c>
      <c r="L148" s="147">
        <f>'Rate Class Customer Model'!B73</f>
        <v>39731.333333333328</v>
      </c>
      <c r="M148" s="32">
        <f t="shared" ca="1" si="25"/>
        <v>286.60499999999996</v>
      </c>
      <c r="N148" s="61">
        <f t="shared" ca="1" si="26"/>
        <v>0</v>
      </c>
      <c r="O148" s="32">
        <f t="shared" ca="1" si="19"/>
        <v>30125850.736234572</v>
      </c>
      <c r="P148" s="145">
        <f t="shared" ca="1" si="23"/>
        <v>28744248.759942822</v>
      </c>
      <c r="Q148" s="32"/>
      <c r="R148" s="50"/>
      <c r="S148">
        <f t="shared" si="28"/>
        <v>0.5</v>
      </c>
      <c r="T148" s="29"/>
      <c r="U148" s="41"/>
    </row>
    <row r="149" spans="1:21" x14ac:dyDescent="0.2">
      <c r="A149" s="2">
        <v>44986</v>
      </c>
      <c r="B149">
        <f t="shared" si="20"/>
        <v>2023</v>
      </c>
      <c r="C149">
        <f t="shared" si="21"/>
        <v>3</v>
      </c>
      <c r="D149" s="151"/>
      <c r="E149" s="151">
        <f t="shared" ref="E149:E158" si="30">E148</f>
        <v>1381601.9762917485</v>
      </c>
      <c r="G149" s="146">
        <f t="shared" ca="1" si="29"/>
        <v>471.05</v>
      </c>
      <c r="H149" s="146">
        <f t="shared" ca="1" si="29"/>
        <v>0.3</v>
      </c>
      <c r="I149" s="32">
        <f t="shared" si="13"/>
        <v>31</v>
      </c>
      <c r="J149" s="32">
        <f t="shared" si="22"/>
        <v>1</v>
      </c>
      <c r="K149" s="32">
        <f t="shared" si="24"/>
        <v>0</v>
      </c>
      <c r="L149" s="147">
        <f>'Rate Class Customer Model'!B74</f>
        <v>39810.499999999993</v>
      </c>
      <c r="M149" s="32">
        <f t="shared" ca="1" si="25"/>
        <v>235.52500000000001</v>
      </c>
      <c r="N149" s="61">
        <f t="shared" ca="1" si="26"/>
        <v>0.15</v>
      </c>
      <c r="O149" s="32">
        <f t="shared" ca="1" si="19"/>
        <v>28344676.650404304</v>
      </c>
      <c r="P149" s="145">
        <f t="shared" ca="1" si="23"/>
        <v>26963074.674112555</v>
      </c>
      <c r="Q149" s="32"/>
      <c r="R149" s="50"/>
      <c r="S149">
        <f t="shared" si="28"/>
        <v>0.5</v>
      </c>
      <c r="T149" s="29"/>
      <c r="U149" s="41"/>
    </row>
    <row r="150" spans="1:21" x14ac:dyDescent="0.2">
      <c r="A150" s="2">
        <v>45017</v>
      </c>
      <c r="B150">
        <f t="shared" si="20"/>
        <v>2023</v>
      </c>
      <c r="C150">
        <f t="shared" si="21"/>
        <v>4</v>
      </c>
      <c r="D150" s="151"/>
      <c r="E150" s="151">
        <f t="shared" si="30"/>
        <v>1381601.9762917485</v>
      </c>
      <c r="G150" s="146">
        <f t="shared" ca="1" si="29"/>
        <v>285.58000000000004</v>
      </c>
      <c r="H150" s="146">
        <f t="shared" ca="1" si="29"/>
        <v>0.38999999999999985</v>
      </c>
      <c r="I150" s="32">
        <f t="shared" si="13"/>
        <v>30</v>
      </c>
      <c r="J150" s="32">
        <f t="shared" si="22"/>
        <v>1</v>
      </c>
      <c r="K150" s="32">
        <f t="shared" si="24"/>
        <v>0</v>
      </c>
      <c r="L150" s="147">
        <f>'Rate Class Customer Model'!B75</f>
        <v>39889.666666666657</v>
      </c>
      <c r="M150" s="32">
        <f t="shared" ca="1" si="25"/>
        <v>142.79000000000002</v>
      </c>
      <c r="N150" s="61">
        <f t="shared" ca="1" si="26"/>
        <v>0.19499999999999992</v>
      </c>
      <c r="O150" s="32">
        <f t="shared" ca="1" si="19"/>
        <v>25744649.835773993</v>
      </c>
      <c r="P150" s="145">
        <f t="shared" ca="1" si="23"/>
        <v>24363047.859482244</v>
      </c>
      <c r="Q150" s="32"/>
      <c r="R150" s="50"/>
      <c r="S150">
        <f t="shared" si="28"/>
        <v>0.5</v>
      </c>
      <c r="T150" s="29"/>
      <c r="U150" s="41"/>
    </row>
    <row r="151" spans="1:21" x14ac:dyDescent="0.2">
      <c r="A151" s="2">
        <v>45047</v>
      </c>
      <c r="B151">
        <f t="shared" si="20"/>
        <v>2023</v>
      </c>
      <c r="C151">
        <f t="shared" si="21"/>
        <v>5</v>
      </c>
      <c r="D151" s="151"/>
      <c r="E151" s="151">
        <f t="shared" si="30"/>
        <v>1381601.9762917485</v>
      </c>
      <c r="G151" s="146">
        <f t="shared" ca="1" si="29"/>
        <v>93.759999999999991</v>
      </c>
      <c r="H151" s="146">
        <f t="shared" ca="1" si="29"/>
        <v>43.35</v>
      </c>
      <c r="I151" s="32">
        <f t="shared" si="13"/>
        <v>31</v>
      </c>
      <c r="J151" s="32">
        <f t="shared" si="22"/>
        <v>1</v>
      </c>
      <c r="K151" s="32">
        <f t="shared" si="24"/>
        <v>0</v>
      </c>
      <c r="L151" s="147">
        <f>'Rate Class Customer Model'!B76</f>
        <v>39968.833333333321</v>
      </c>
      <c r="M151" s="32">
        <f t="shared" ca="1" si="25"/>
        <v>46.879999999999995</v>
      </c>
      <c r="N151" s="61">
        <f t="shared" ca="1" si="26"/>
        <v>21.675000000000001</v>
      </c>
      <c r="O151" s="32">
        <f t="shared" ca="1" si="19"/>
        <v>27273340.878144536</v>
      </c>
      <c r="P151" s="145">
        <f t="shared" ca="1" si="23"/>
        <v>25891738.901852787</v>
      </c>
      <c r="Q151" s="32"/>
      <c r="R151" s="50"/>
      <c r="S151">
        <f t="shared" si="28"/>
        <v>0.5</v>
      </c>
      <c r="T151" s="29"/>
      <c r="U151" s="41"/>
    </row>
    <row r="152" spans="1:21" x14ac:dyDescent="0.2">
      <c r="A152" s="2">
        <v>45078</v>
      </c>
      <c r="B152">
        <f t="shared" si="20"/>
        <v>2023</v>
      </c>
      <c r="C152">
        <f t="shared" si="21"/>
        <v>6</v>
      </c>
      <c r="D152" s="151"/>
      <c r="E152" s="151">
        <f t="shared" si="30"/>
        <v>1381601.9762917485</v>
      </c>
      <c r="G152" s="146">
        <f t="shared" ca="1" si="29"/>
        <v>8.7399999999999984</v>
      </c>
      <c r="H152" s="146">
        <f t="shared" ca="1" si="29"/>
        <v>118.63000000000002</v>
      </c>
      <c r="I152" s="32">
        <f t="shared" si="13"/>
        <v>30</v>
      </c>
      <c r="J152" s="32">
        <f t="shared" si="22"/>
        <v>0</v>
      </c>
      <c r="K152" s="32">
        <f t="shared" si="24"/>
        <v>0</v>
      </c>
      <c r="L152" s="147">
        <f>'Rate Class Customer Model'!B77</f>
        <v>40047.999999999985</v>
      </c>
      <c r="M152" s="32">
        <f t="shared" ca="1" si="25"/>
        <v>4.3699999999999992</v>
      </c>
      <c r="N152" s="61">
        <f t="shared" ca="1" si="26"/>
        <v>59.315000000000012</v>
      </c>
      <c r="O152" s="32">
        <f t="shared" ca="1" si="19"/>
        <v>33505753.515461095</v>
      </c>
      <c r="P152" s="145">
        <f t="shared" ca="1" si="23"/>
        <v>32124151.539169345</v>
      </c>
      <c r="Q152" s="32"/>
      <c r="R152" s="50"/>
      <c r="S152">
        <f t="shared" si="28"/>
        <v>0.5</v>
      </c>
      <c r="T152" s="29"/>
      <c r="U152" s="41"/>
    </row>
    <row r="153" spans="1:21" x14ac:dyDescent="0.2">
      <c r="A153" s="2">
        <v>45108</v>
      </c>
      <c r="B153">
        <f t="shared" si="20"/>
        <v>2023</v>
      </c>
      <c r="C153">
        <f t="shared" si="21"/>
        <v>7</v>
      </c>
      <c r="D153" s="151"/>
      <c r="E153" s="151">
        <f t="shared" si="30"/>
        <v>1381601.9762917485</v>
      </c>
      <c r="G153" s="146">
        <f t="shared" ca="1" si="29"/>
        <v>0</v>
      </c>
      <c r="H153" s="146">
        <f t="shared" ca="1" si="29"/>
        <v>207.41000000000003</v>
      </c>
      <c r="I153" s="32">
        <f t="shared" si="13"/>
        <v>31</v>
      </c>
      <c r="J153" s="32">
        <f t="shared" si="22"/>
        <v>0</v>
      </c>
      <c r="K153" s="32">
        <f t="shared" si="24"/>
        <v>0</v>
      </c>
      <c r="L153" s="147">
        <f>'Rate Class Customer Model'!B78</f>
        <v>40127.16666666665</v>
      </c>
      <c r="M153" s="32">
        <f t="shared" ca="1" si="25"/>
        <v>0</v>
      </c>
      <c r="N153" s="61">
        <f t="shared" ca="1" si="26"/>
        <v>103.70500000000001</v>
      </c>
      <c r="O153" s="32">
        <f t="shared" ca="1" si="19"/>
        <v>39949435.325428188</v>
      </c>
      <c r="P153" s="145">
        <f t="shared" ca="1" si="23"/>
        <v>38567833.349136442</v>
      </c>
      <c r="Q153" s="32"/>
      <c r="R153" s="50"/>
      <c r="S153">
        <f t="shared" si="28"/>
        <v>0.5</v>
      </c>
      <c r="T153" s="29"/>
      <c r="U153" s="41"/>
    </row>
    <row r="154" spans="1:21" x14ac:dyDescent="0.2">
      <c r="A154" s="2">
        <v>45139</v>
      </c>
      <c r="B154">
        <f t="shared" si="20"/>
        <v>2023</v>
      </c>
      <c r="C154">
        <f t="shared" si="21"/>
        <v>8</v>
      </c>
      <c r="D154" s="151"/>
      <c r="E154" s="151">
        <f t="shared" si="30"/>
        <v>1381601.9762917485</v>
      </c>
      <c r="G154" s="146">
        <f t="shared" ca="1" si="29"/>
        <v>0.29000000000000004</v>
      </c>
      <c r="H154" s="146">
        <f t="shared" ca="1" si="29"/>
        <v>180.75000000000006</v>
      </c>
      <c r="I154" s="32">
        <f t="shared" si="13"/>
        <v>31</v>
      </c>
      <c r="J154" s="32">
        <f t="shared" si="22"/>
        <v>0</v>
      </c>
      <c r="K154" s="32">
        <f t="shared" si="24"/>
        <v>0</v>
      </c>
      <c r="L154" s="147">
        <f>'Rate Class Customer Model'!B79</f>
        <v>40206.333333333314</v>
      </c>
      <c r="M154" s="32">
        <f t="shared" ca="1" si="25"/>
        <v>0.14500000000000002</v>
      </c>
      <c r="N154" s="61">
        <f t="shared" ca="1" si="26"/>
        <v>90.375000000000028</v>
      </c>
      <c r="O154" s="32">
        <f t="shared" ca="1" si="19"/>
        <v>38260679.798890382</v>
      </c>
      <c r="P154" s="145">
        <f t="shared" ca="1" si="23"/>
        <v>36879077.822598636</v>
      </c>
      <c r="Q154" s="32"/>
      <c r="R154" s="50"/>
      <c r="S154">
        <f t="shared" si="28"/>
        <v>0.5</v>
      </c>
      <c r="T154" s="29"/>
      <c r="U154" s="41"/>
    </row>
    <row r="155" spans="1:21" x14ac:dyDescent="0.2">
      <c r="A155" s="2">
        <v>45170</v>
      </c>
      <c r="B155">
        <f t="shared" si="20"/>
        <v>2023</v>
      </c>
      <c r="C155">
        <f t="shared" si="21"/>
        <v>9</v>
      </c>
      <c r="D155" s="151"/>
      <c r="E155" s="151">
        <f t="shared" si="30"/>
        <v>1381601.9762917485</v>
      </c>
      <c r="G155" s="146">
        <f t="shared" ca="1" si="29"/>
        <v>27</v>
      </c>
      <c r="H155" s="146">
        <f t="shared" ca="1" si="29"/>
        <v>80.61</v>
      </c>
      <c r="I155" s="32">
        <f t="shared" si="13"/>
        <v>30</v>
      </c>
      <c r="J155" s="32">
        <f t="shared" si="22"/>
        <v>1</v>
      </c>
      <c r="K155" s="32">
        <f t="shared" si="24"/>
        <v>1</v>
      </c>
      <c r="L155" s="147">
        <f>'Rate Class Customer Model'!B80</f>
        <v>40285.499999999978</v>
      </c>
      <c r="M155" s="32">
        <f t="shared" ca="1" si="25"/>
        <v>13.5</v>
      </c>
      <c r="N155" s="61">
        <f t="shared" ca="1" si="26"/>
        <v>40.305</v>
      </c>
      <c r="O155" s="32">
        <f t="shared" ca="1" si="19"/>
        <v>30192874.246700834</v>
      </c>
      <c r="P155" s="145">
        <f t="shared" ca="1" si="23"/>
        <v>28811272.270409085</v>
      </c>
      <c r="Q155" s="32"/>
      <c r="R155" s="50"/>
      <c r="S155">
        <f t="shared" si="28"/>
        <v>0.5</v>
      </c>
      <c r="T155" s="29"/>
      <c r="U155" s="41"/>
    </row>
    <row r="156" spans="1:21" x14ac:dyDescent="0.2">
      <c r="A156" s="2">
        <v>45200</v>
      </c>
      <c r="B156">
        <f t="shared" si="20"/>
        <v>2023</v>
      </c>
      <c r="C156">
        <f t="shared" si="21"/>
        <v>10</v>
      </c>
      <c r="D156" s="151"/>
      <c r="E156" s="151">
        <f t="shared" si="30"/>
        <v>1381601.9762917485</v>
      </c>
      <c r="G156" s="146">
        <f t="shared" ca="1" si="29"/>
        <v>167.57</v>
      </c>
      <c r="H156" s="146">
        <f t="shared" ca="1" si="29"/>
        <v>9.9699999999999989</v>
      </c>
      <c r="I156" s="32">
        <f t="shared" si="13"/>
        <v>31</v>
      </c>
      <c r="J156" s="32">
        <f t="shared" si="22"/>
        <v>1</v>
      </c>
      <c r="K156" s="32">
        <f t="shared" si="24"/>
        <v>0</v>
      </c>
      <c r="L156" s="147">
        <f>'Rate Class Customer Model'!B81</f>
        <v>40364.666666666642</v>
      </c>
      <c r="M156" s="32">
        <f t="shared" ca="1" si="25"/>
        <v>83.784999999999997</v>
      </c>
      <c r="N156" s="61">
        <f t="shared" ca="1" si="26"/>
        <v>4.9849999999999994</v>
      </c>
      <c r="O156" s="32">
        <f t="shared" ca="1" si="19"/>
        <v>26106687.785850424</v>
      </c>
      <c r="P156" s="145">
        <f t="shared" ca="1" si="23"/>
        <v>24725085.809558675</v>
      </c>
      <c r="Q156" s="32"/>
      <c r="R156" s="50"/>
      <c r="S156">
        <f t="shared" si="28"/>
        <v>0.5</v>
      </c>
      <c r="T156" s="29"/>
      <c r="U156" s="41"/>
    </row>
    <row r="157" spans="1:21" x14ac:dyDescent="0.2">
      <c r="A157" s="2">
        <v>45231</v>
      </c>
      <c r="B157">
        <f t="shared" si="20"/>
        <v>2023</v>
      </c>
      <c r="C157">
        <f t="shared" si="21"/>
        <v>11</v>
      </c>
      <c r="D157" s="151"/>
      <c r="E157" s="151">
        <f t="shared" si="30"/>
        <v>1381601.9762917485</v>
      </c>
      <c r="G157" s="146">
        <f t="shared" ca="1" si="29"/>
        <v>366.25</v>
      </c>
      <c r="H157" s="146">
        <f t="shared" ca="1" si="29"/>
        <v>1.0000000000000142E-2</v>
      </c>
      <c r="I157" s="32">
        <f t="shared" si="13"/>
        <v>30</v>
      </c>
      <c r="J157" s="32">
        <f t="shared" si="22"/>
        <v>1</v>
      </c>
      <c r="K157" s="32">
        <f t="shared" si="24"/>
        <v>0</v>
      </c>
      <c r="L157" s="147">
        <f>'Rate Class Customer Model'!B82</f>
        <v>40443.833333333307</v>
      </c>
      <c r="M157" s="32">
        <f t="shared" ca="1" si="25"/>
        <v>183.125</v>
      </c>
      <c r="N157" s="61">
        <f t="shared" ca="1" si="26"/>
        <v>5.0000000000000712E-3</v>
      </c>
      <c r="O157" s="32">
        <f t="shared" ca="1" si="19"/>
        <v>26895196.479175922</v>
      </c>
      <c r="P157" s="145">
        <f t="shared" ca="1" si="23"/>
        <v>25513594.502884172</v>
      </c>
      <c r="Q157" s="32"/>
      <c r="R157" s="50"/>
      <c r="S157">
        <f t="shared" si="28"/>
        <v>0.5</v>
      </c>
      <c r="T157" s="29"/>
    </row>
    <row r="158" spans="1:21" x14ac:dyDescent="0.2">
      <c r="A158" s="2">
        <v>45261</v>
      </c>
      <c r="B158">
        <f t="shared" si="20"/>
        <v>2023</v>
      </c>
      <c r="C158">
        <f t="shared" si="21"/>
        <v>12</v>
      </c>
      <c r="D158" s="151"/>
      <c r="E158" s="151">
        <f t="shared" si="30"/>
        <v>1381601.9762917485</v>
      </c>
      <c r="G158" s="146">
        <f t="shared" ca="1" si="29"/>
        <v>513.3599999999999</v>
      </c>
      <c r="H158" s="146">
        <f t="shared" ca="1" si="29"/>
        <v>0</v>
      </c>
      <c r="I158" s="32">
        <f t="shared" si="13"/>
        <v>31</v>
      </c>
      <c r="J158" s="32">
        <f t="shared" si="22"/>
        <v>0</v>
      </c>
      <c r="K158" s="32">
        <f t="shared" si="24"/>
        <v>0</v>
      </c>
      <c r="L158" s="147">
        <f>'Rate Class Customer Model'!B83</f>
        <v>40522.999999999971</v>
      </c>
      <c r="M158" s="32">
        <f t="shared" ca="1" si="25"/>
        <v>256.67999999999995</v>
      </c>
      <c r="N158" s="61">
        <f t="shared" ca="1" si="26"/>
        <v>0</v>
      </c>
      <c r="O158" s="32">
        <f t="shared" ca="1" si="19"/>
        <v>32061981.41234605</v>
      </c>
      <c r="P158" s="145">
        <f t="shared" ca="1" si="23"/>
        <v>30680379.436054301</v>
      </c>
      <c r="Q158" s="32"/>
      <c r="R158" s="50"/>
      <c r="S158">
        <f t="shared" si="28"/>
        <v>0.5</v>
      </c>
      <c r="T158" s="29"/>
    </row>
    <row r="159" spans="1:21" x14ac:dyDescent="0.2">
      <c r="A159" s="2"/>
      <c r="B159" s="2"/>
      <c r="C159" s="2"/>
      <c r="D159" s="2"/>
      <c r="E159" s="2"/>
      <c r="G159" s="52">
        <f ca="1">SUM(G3:G158)</f>
        <v>40731.520000000011</v>
      </c>
      <c r="H159" s="52">
        <f ca="1">SUM(H3:H158)</f>
        <v>8351.24</v>
      </c>
      <c r="I159" s="32"/>
      <c r="J159" s="32"/>
      <c r="K159" s="32"/>
      <c r="L159" s="59"/>
      <c r="M159" s="32"/>
      <c r="N159" s="32"/>
      <c r="O159" s="32"/>
      <c r="P159" s="50"/>
      <c r="Q159" s="32"/>
      <c r="R159" s="50">
        <f>AVERAGE(R3:R134)</f>
        <v>4.0104368997151488E-2</v>
      </c>
    </row>
    <row r="160" spans="1:21" x14ac:dyDescent="0.2">
      <c r="A160" s="2"/>
      <c r="B160" s="2"/>
      <c r="C160" s="2"/>
      <c r="D160" s="2"/>
      <c r="E160" s="2"/>
      <c r="G160" s="52"/>
      <c r="H160" s="52"/>
      <c r="I160" s="32"/>
      <c r="J160" s="32"/>
      <c r="K160" s="32"/>
      <c r="L160" s="59"/>
      <c r="M160" s="32"/>
      <c r="N160" s="32"/>
      <c r="O160" s="32"/>
      <c r="P160" s="50"/>
      <c r="Q160" s="32"/>
      <c r="R160" s="50"/>
    </row>
    <row r="161" spans="1:33" x14ac:dyDescent="0.2">
      <c r="A161" s="2"/>
      <c r="B161" s="2"/>
      <c r="C161" s="2"/>
      <c r="D161" s="2"/>
      <c r="E161" s="2"/>
      <c r="G161" s="52"/>
      <c r="H161" s="52"/>
      <c r="I161" s="32"/>
      <c r="J161" s="32"/>
      <c r="K161" s="32"/>
      <c r="L161" s="59"/>
      <c r="M161" s="32"/>
      <c r="N161" s="32"/>
      <c r="O161" s="32"/>
      <c r="P161" s="50"/>
      <c r="Q161" s="32"/>
      <c r="R161" s="50"/>
    </row>
    <row r="162" spans="1:33" x14ac:dyDescent="0.2">
      <c r="A162" s="2"/>
      <c r="B162" s="2"/>
      <c r="C162" s="2"/>
      <c r="D162" s="2"/>
      <c r="E162" s="2"/>
      <c r="G162" s="52"/>
      <c r="H162" s="52"/>
      <c r="I162" s="32"/>
      <c r="J162" s="32"/>
      <c r="K162" s="32"/>
      <c r="L162" s="59"/>
      <c r="M162" s="32"/>
      <c r="N162" s="32"/>
      <c r="O162" s="32"/>
      <c r="P162" s="50"/>
      <c r="Q162" s="32"/>
      <c r="R162" s="50"/>
    </row>
    <row r="163" spans="1:33" x14ac:dyDescent="0.2">
      <c r="A163" s="2"/>
      <c r="B163" s="2"/>
      <c r="C163" s="2"/>
      <c r="D163" s="2"/>
      <c r="E163" s="2"/>
      <c r="G163" s="36" t="s">
        <v>286</v>
      </c>
      <c r="H163" s="320" t="s">
        <v>287</v>
      </c>
      <c r="I163" s="320"/>
      <c r="O163" s="26"/>
    </row>
    <row r="164" spans="1:33" x14ac:dyDescent="0.2">
      <c r="A164" s="2"/>
      <c r="B164" s="2"/>
      <c r="C164" s="2"/>
      <c r="D164" s="2"/>
      <c r="E164" s="2"/>
    </row>
    <row r="165" spans="1:33" x14ac:dyDescent="0.2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O165" s="80" t="s">
        <v>289</v>
      </c>
      <c r="P165" s="80" t="s">
        <v>270</v>
      </c>
      <c r="Q165" s="80" t="s">
        <v>290</v>
      </c>
    </row>
    <row r="166" spans="1:33" x14ac:dyDescent="0.2">
      <c r="A166" s="11">
        <v>2011</v>
      </c>
      <c r="B166" s="11"/>
      <c r="C166" s="11"/>
      <c r="D166" s="41">
        <f>SUMIF(B:B,A166,D:D)</f>
        <v>268725506.51999998</v>
      </c>
      <c r="E166" s="41">
        <f>SUMIF(B:B,A166,E:E)</f>
        <v>278492.94390389865</v>
      </c>
      <c r="F166" s="5">
        <f>SUMIF(B:B,A166,F:F)</f>
        <v>269003999.46390384</v>
      </c>
      <c r="O166" s="5">
        <f t="shared" ref="O166:O177" si="31">SUMIF(B:B,A166,O:O)</f>
        <v>266936678.3909061</v>
      </c>
      <c r="P166" s="57">
        <f>'Historic CDM'!M5</f>
        <v>278492.9439038987</v>
      </c>
      <c r="Q166" s="57">
        <f t="shared" ref="Q166:Q178" si="32">SUMIF(B:B,A166,P:P)</f>
        <v>266658185.44700223</v>
      </c>
      <c r="R166" s="4"/>
    </row>
    <row r="167" spans="1:33" x14ac:dyDescent="0.2">
      <c r="A167" s="11">
        <f>A166+1</f>
        <v>2012</v>
      </c>
      <c r="B167" s="11"/>
      <c r="C167" s="11"/>
      <c r="D167" s="41">
        <f t="shared" ref="D167:D175" si="33">SUMIF(B:B,A167,D:D)</f>
        <v>281220954.64999998</v>
      </c>
      <c r="E167" s="41">
        <f t="shared" ref="E167:E176" si="34">SUMIF(B:B,A167,E:E)</f>
        <v>721831.67732693173</v>
      </c>
      <c r="F167" s="5">
        <f t="shared" ref="F167:F176" si="35">SUMIF(B:B,A167,F:F)</f>
        <v>281942786.32732689</v>
      </c>
      <c r="O167" s="5">
        <f t="shared" si="31"/>
        <v>278870798.6689375</v>
      </c>
      <c r="P167" s="57">
        <f>'Historic CDM'!M6</f>
        <v>721831.67732693185</v>
      </c>
      <c r="Q167" s="57">
        <f t="shared" si="32"/>
        <v>278148966.99161059</v>
      </c>
      <c r="R167" s="4"/>
    </row>
    <row r="168" spans="1:33" x14ac:dyDescent="0.2">
      <c r="A168" s="11">
        <f t="shared" ref="A168:A178" si="36">A167+1</f>
        <v>2013</v>
      </c>
      <c r="B168" s="11"/>
      <c r="C168" s="11"/>
      <c r="D168" s="41">
        <f t="shared" si="33"/>
        <v>287291133.52999997</v>
      </c>
      <c r="E168" s="41">
        <f t="shared" si="34"/>
        <v>1069944.6183750697</v>
      </c>
      <c r="F168" s="5">
        <f t="shared" si="35"/>
        <v>288361078.14837503</v>
      </c>
      <c r="O168" s="5">
        <f t="shared" si="31"/>
        <v>287691905.87065232</v>
      </c>
      <c r="P168" s="57">
        <f>'Historic CDM'!M7</f>
        <v>1069944.6183750697</v>
      </c>
      <c r="Q168" s="57">
        <f t="shared" si="32"/>
        <v>286621961.25227726</v>
      </c>
      <c r="R168" s="4"/>
    </row>
    <row r="169" spans="1:33" x14ac:dyDescent="0.2">
      <c r="A169" s="11">
        <f t="shared" si="36"/>
        <v>2014</v>
      </c>
      <c r="D169" s="41">
        <f t="shared" si="33"/>
        <v>290591982.63</v>
      </c>
      <c r="E169" s="41">
        <f t="shared" si="34"/>
        <v>2046448.2872741346</v>
      </c>
      <c r="F169" s="5">
        <f t="shared" si="35"/>
        <v>292638430.91727418</v>
      </c>
      <c r="O169" s="5">
        <f t="shared" si="31"/>
        <v>293427579.60199517</v>
      </c>
      <c r="P169" s="57">
        <f>'Historic CDM'!M8</f>
        <v>2046448.2872741348</v>
      </c>
      <c r="Q169" s="57">
        <f t="shared" si="32"/>
        <v>291381131.31472105</v>
      </c>
      <c r="R169" s="4"/>
    </row>
    <row r="170" spans="1:33" x14ac:dyDescent="0.2">
      <c r="A170" s="11">
        <f t="shared" si="36"/>
        <v>2015</v>
      </c>
      <c r="B170" s="11"/>
      <c r="C170" s="11"/>
      <c r="D170" s="41">
        <f t="shared" si="33"/>
        <v>295940879.87469882</v>
      </c>
      <c r="E170" s="41">
        <f t="shared" si="34"/>
        <v>3804024.9288133155</v>
      </c>
      <c r="F170" s="5">
        <f t="shared" si="35"/>
        <v>299744904.8035121</v>
      </c>
      <c r="O170" s="5">
        <f t="shared" si="31"/>
        <v>303653546.29162163</v>
      </c>
      <c r="P170" s="57">
        <f>'Historic CDM'!M9</f>
        <v>3804024.9288133159</v>
      </c>
      <c r="Q170" s="57">
        <f t="shared" si="32"/>
        <v>299849521.36280835</v>
      </c>
      <c r="R170" s="4"/>
      <c r="AE170" s="39"/>
      <c r="AF170" s="39"/>
      <c r="AG170" s="39"/>
    </row>
    <row r="171" spans="1:33" x14ac:dyDescent="0.2">
      <c r="A171" s="11">
        <f t="shared" si="36"/>
        <v>2016</v>
      </c>
      <c r="D171" s="41">
        <f t="shared" si="33"/>
        <v>310749015.99036139</v>
      </c>
      <c r="E171" s="41">
        <f t="shared" si="34"/>
        <v>6041275.5090756081</v>
      </c>
      <c r="F171" s="5">
        <f t="shared" si="35"/>
        <v>316790291.49943697</v>
      </c>
      <c r="O171" s="5">
        <f t="shared" si="31"/>
        <v>319804850.92956436</v>
      </c>
      <c r="P171" s="57">
        <f>'Historic CDM'!M10</f>
        <v>6041275.5090756072</v>
      </c>
      <c r="Q171" s="57">
        <f t="shared" si="32"/>
        <v>313763575.42048883</v>
      </c>
      <c r="R171" s="4"/>
    </row>
    <row r="172" spans="1:33" x14ac:dyDescent="0.2">
      <c r="A172" s="11">
        <f t="shared" si="36"/>
        <v>2017</v>
      </c>
      <c r="B172" s="11"/>
      <c r="C172" s="11"/>
      <c r="D172" s="41">
        <f t="shared" si="33"/>
        <v>294253405.64819276</v>
      </c>
      <c r="E172" s="41">
        <f t="shared" si="34"/>
        <v>11501759.853604494</v>
      </c>
      <c r="F172" s="5">
        <f t="shared" si="35"/>
        <v>305755165.50179738</v>
      </c>
      <c r="O172" s="5">
        <f t="shared" si="31"/>
        <v>311995040.04797202</v>
      </c>
      <c r="P172" s="57">
        <f>'Historic CDM'!M11</f>
        <v>11501759.853604492</v>
      </c>
      <c r="Q172" s="57">
        <f t="shared" si="32"/>
        <v>300493280.19436747</v>
      </c>
      <c r="R172" s="4"/>
    </row>
    <row r="173" spans="1:33" x14ac:dyDescent="0.2">
      <c r="A173" s="11">
        <f t="shared" si="36"/>
        <v>2018</v>
      </c>
      <c r="D173" s="41">
        <f t="shared" si="33"/>
        <v>323623192.28915668</v>
      </c>
      <c r="E173" s="41">
        <f t="shared" si="34"/>
        <v>15382195.680825928</v>
      </c>
      <c r="F173" s="5">
        <f t="shared" si="35"/>
        <v>339005387.96998256</v>
      </c>
      <c r="O173" s="5">
        <f t="shared" si="31"/>
        <v>334977302.18648022</v>
      </c>
      <c r="P173" s="57">
        <f>'Historic CDM'!M12</f>
        <v>15382195.680825928</v>
      </c>
      <c r="Q173" s="57">
        <f t="shared" si="32"/>
        <v>319595106.50565428</v>
      </c>
      <c r="R173" s="4"/>
    </row>
    <row r="174" spans="1:33" x14ac:dyDescent="0.2">
      <c r="A174" s="11">
        <f t="shared" si="36"/>
        <v>2019</v>
      </c>
      <c r="B174" s="11"/>
      <c r="C174" s="11"/>
      <c r="D174" s="41">
        <f t="shared" si="33"/>
        <v>316413176.16385555</v>
      </c>
      <c r="E174" s="41">
        <f t="shared" si="34"/>
        <v>16904286.956643324</v>
      </c>
      <c r="F174" s="5">
        <f t="shared" si="35"/>
        <v>333317463.12049884</v>
      </c>
      <c r="O174" s="5">
        <f t="shared" si="31"/>
        <v>333076055.20778996</v>
      </c>
      <c r="P174" s="57">
        <f>'Historic CDM'!M13</f>
        <v>16904286.956643321</v>
      </c>
      <c r="Q174" s="57">
        <f t="shared" si="32"/>
        <v>316171768.25114655</v>
      </c>
      <c r="R174" s="4"/>
    </row>
    <row r="175" spans="1:33" x14ac:dyDescent="0.2">
      <c r="A175" s="11">
        <f t="shared" si="36"/>
        <v>2020</v>
      </c>
      <c r="D175" s="41">
        <f t="shared" si="33"/>
        <v>353805930.95903623</v>
      </c>
      <c r="E175" s="41">
        <f t="shared" si="34"/>
        <v>16711723.878813386</v>
      </c>
      <c r="F175" s="5">
        <f t="shared" si="35"/>
        <v>370517654.83784956</v>
      </c>
      <c r="O175" s="5">
        <f t="shared" si="31"/>
        <v>368054541.7333737</v>
      </c>
      <c r="P175" s="57">
        <f>'Historic CDM'!M14</f>
        <v>16711723.878813386</v>
      </c>
      <c r="Q175" s="57">
        <f t="shared" si="32"/>
        <v>351342817.85456032</v>
      </c>
      <c r="R175" s="4"/>
      <c r="S175" s="5"/>
    </row>
    <row r="176" spans="1:33" x14ac:dyDescent="0.2">
      <c r="A176" s="11">
        <f t="shared" si="36"/>
        <v>2021</v>
      </c>
      <c r="B176" s="11"/>
      <c r="C176" s="11"/>
      <c r="D176" s="41">
        <f>SUMIF(B:B,A176,D:D)</f>
        <v>360408160.45301205</v>
      </c>
      <c r="E176" s="41">
        <f t="shared" si="34"/>
        <v>16635686.306711918</v>
      </c>
      <c r="F176" s="5">
        <f t="shared" si="35"/>
        <v>377043846.75972396</v>
      </c>
      <c r="O176" s="5">
        <f t="shared" si="31"/>
        <v>375790254.68372428</v>
      </c>
      <c r="P176" s="57">
        <f>'Historic CDM'!M15</f>
        <v>16635686.30671192</v>
      </c>
      <c r="Q176" s="57">
        <f t="shared" si="32"/>
        <v>359154568.37701237</v>
      </c>
      <c r="R176" s="4"/>
      <c r="S176" s="5"/>
    </row>
    <row r="177" spans="1:33" x14ac:dyDescent="0.2">
      <c r="A177" s="11">
        <f t="shared" si="36"/>
        <v>2022</v>
      </c>
      <c r="B177" s="11"/>
      <c r="C177" s="11"/>
      <c r="D177" s="41"/>
      <c r="E177" s="41"/>
      <c r="O177" s="5">
        <f t="shared" ca="1" si="31"/>
        <v>371871669.76288289</v>
      </c>
      <c r="P177" s="57">
        <f>'Historic CDM'!M16</f>
        <v>16657469.893573921</v>
      </c>
      <c r="Q177" s="57">
        <f t="shared" ca="1" si="32"/>
        <v>355214199.86930895</v>
      </c>
      <c r="R177" s="4"/>
    </row>
    <row r="178" spans="1:33" x14ac:dyDescent="0.2">
      <c r="A178" s="11">
        <f t="shared" si="36"/>
        <v>2023</v>
      </c>
      <c r="D178" s="41"/>
      <c r="E178" s="41"/>
      <c r="J178" s="43"/>
      <c r="K178" s="43"/>
      <c r="L178" s="54"/>
      <c r="M178" s="43"/>
      <c r="N178" s="43"/>
      <c r="O178" s="5">
        <f ca="1">SUMIF(B:B,A178,O:O)</f>
        <v>371191089.01944983</v>
      </c>
      <c r="P178" s="57">
        <f>'Historic CDM'!M17</f>
        <v>16579223.715500981</v>
      </c>
      <c r="Q178" s="57">
        <f t="shared" ca="1" si="32"/>
        <v>354611865.30394888</v>
      </c>
      <c r="R178" s="4"/>
      <c r="S178" s="79"/>
    </row>
    <row r="179" spans="1:33" x14ac:dyDescent="0.2">
      <c r="AE179" s="39"/>
      <c r="AF179" s="39"/>
      <c r="AG179" s="39"/>
    </row>
    <row r="190" spans="1:33" x14ac:dyDescent="0.2">
      <c r="AE190" s="39"/>
      <c r="AF190" s="39"/>
      <c r="AG190" s="39"/>
    </row>
  </sheetData>
  <mergeCells count="2">
    <mergeCell ref="H163:I163"/>
    <mergeCell ref="A1:F1"/>
  </mergeCells>
  <phoneticPr fontId="0" type="noConversion"/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18" max="1048575" man="1"/>
    <brk id="28" max="22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161E3-C625-4F8F-A832-6F52F8315AC7}">
  <sheetPr>
    <tabColor theme="6" tint="0.79998168889431442"/>
  </sheetPr>
  <dimension ref="A1:AU195"/>
  <sheetViews>
    <sheetView zoomScale="85" zoomScaleNormal="85" workbookViewId="0">
      <pane xSplit="1" ySplit="2" topLeftCell="L9" activePane="bottomRight" state="frozen"/>
      <selection activeCell="V159" sqref="V159"/>
      <selection pane="topRight" activeCell="V159" sqref="V159"/>
      <selection pane="bottomLeft" activeCell="V159" sqref="V159"/>
      <selection pane="bottomRight" activeCell="R12" sqref="R12"/>
    </sheetView>
  </sheetViews>
  <sheetFormatPr defaultRowHeight="12.75" x14ac:dyDescent="0.2"/>
  <cols>
    <col min="1" max="3" width="11.85546875" customWidth="1"/>
    <col min="4" max="4" width="14.85546875" customWidth="1"/>
    <col min="5" max="5" width="11.85546875" customWidth="1"/>
    <col min="6" max="6" width="13" style="5" bestFit="1" customWidth="1"/>
    <col min="7" max="7" width="10.85546875" style="1" customWidth="1"/>
    <col min="8" max="8" width="11.85546875" style="1" customWidth="1"/>
    <col min="9" max="9" width="8" style="1" customWidth="1"/>
    <col min="10" max="10" width="13.5703125" style="57" bestFit="1" customWidth="1"/>
    <col min="11" max="11" width="10.140625" style="1" customWidth="1"/>
    <col min="12" max="12" width="14.7109375" style="1" customWidth="1"/>
    <col min="13" max="13" width="16" style="1" bestFit="1" customWidth="1"/>
    <col min="14" max="14" width="16" style="1" customWidth="1"/>
    <col min="15" max="15" width="15.140625" style="1" bestFit="1" customWidth="1"/>
    <col min="16" max="16" width="14.42578125" style="1" customWidth="1"/>
    <col min="17" max="17" width="22.42578125" bestFit="1" customWidth="1"/>
    <col min="18" max="18" width="13" customWidth="1"/>
    <col min="19" max="19" width="18.85546875" bestFit="1" customWidth="1"/>
    <col min="20" max="20" width="13.7109375" bestFit="1" customWidth="1"/>
    <col min="21" max="21" width="13" bestFit="1" customWidth="1"/>
    <col min="22" max="22" width="14.85546875" bestFit="1" customWidth="1"/>
    <col min="23" max="25" width="13.7109375" bestFit="1" customWidth="1"/>
    <col min="26" max="27" width="13" bestFit="1" customWidth="1"/>
    <col min="28" max="28" width="12.28515625" bestFit="1" customWidth="1"/>
    <col min="29" max="30" width="12.28515625" style="5" bestFit="1" customWidth="1"/>
    <col min="31" max="37" width="12.7109375" style="5" customWidth="1"/>
    <col min="38" max="47" width="12.7109375" customWidth="1"/>
  </cols>
  <sheetData>
    <row r="1" spans="1:43" ht="20.25" customHeight="1" x14ac:dyDescent="0.25">
      <c r="A1" s="321" t="s">
        <v>217</v>
      </c>
      <c r="B1" s="321"/>
      <c r="C1" s="321"/>
      <c r="D1" s="63"/>
      <c r="E1" s="63"/>
      <c r="F1" s="63"/>
      <c r="G1" s="64"/>
      <c r="J1" s="1"/>
    </row>
    <row r="2" spans="1:43" ht="42" customHeight="1" x14ac:dyDescent="0.2">
      <c r="D2" s="151" t="str">
        <f>Data!G1</f>
        <v>GSlt50_kWh</v>
      </c>
      <c r="E2" s="151" t="str">
        <f>Data!H1</f>
        <v>GSlt50_CDM</v>
      </c>
      <c r="F2" s="151" t="str">
        <f>Data!I1</f>
        <v>GSlt50_NoCDM</v>
      </c>
      <c r="G2" s="129" t="str">
        <f>Data!AR1</f>
        <v>HDD14</v>
      </c>
      <c r="H2" s="129" t="str">
        <f>Data!AS1</f>
        <v>CDD14</v>
      </c>
      <c r="I2" s="8" t="s">
        <v>291</v>
      </c>
      <c r="J2" s="8" t="s">
        <v>274</v>
      </c>
      <c r="K2" s="8" t="s">
        <v>36</v>
      </c>
      <c r="L2" s="139" t="str">
        <f>Data!BZ1</f>
        <v>COVID_AM</v>
      </c>
      <c r="M2" s="8" t="s">
        <v>275</v>
      </c>
      <c r="N2" s="8" t="s">
        <v>290</v>
      </c>
      <c r="O2" s="8" t="s">
        <v>277</v>
      </c>
      <c r="P2" s="8" t="s">
        <v>278</v>
      </c>
      <c r="AC2" s="7"/>
      <c r="AD2" s="7"/>
      <c r="AE2" s="7"/>
    </row>
    <row r="3" spans="1:43" ht="12.75" customHeight="1" x14ac:dyDescent="0.2">
      <c r="A3" s="2">
        <v>40544</v>
      </c>
      <c r="B3">
        <f>YEAR(A3)</f>
        <v>2011</v>
      </c>
      <c r="C3">
        <f>MONTH(A3)</f>
        <v>1</v>
      </c>
      <c r="D3" s="151">
        <f>Data!G2</f>
        <v>6855369.9400000023</v>
      </c>
      <c r="E3" s="151">
        <f>Data!H2</f>
        <v>9467.620679902544</v>
      </c>
      <c r="F3" s="151">
        <f>Data!I2</f>
        <v>6864837.5606799051</v>
      </c>
      <c r="G3" s="129">
        <f>Data!AR2</f>
        <v>651.30000000000007</v>
      </c>
      <c r="H3" s="129">
        <f>Data!AS2</f>
        <v>0</v>
      </c>
      <c r="I3" s="32">
        <f>Data!BW2</f>
        <v>0</v>
      </c>
      <c r="J3" s="32">
        <f>Data!AB2</f>
        <v>2283</v>
      </c>
      <c r="K3" s="32">
        <f>Data!BI2</f>
        <v>1</v>
      </c>
      <c r="L3" s="140">
        <f>Data!BZ2</f>
        <v>0</v>
      </c>
      <c r="M3" s="32">
        <f>$R$19+G3*$R$20+H3*$R$21+I3*$R$22+J3*$R$23+K3*$R$24+L3*$R$25</f>
        <v>7939402.1714848019</v>
      </c>
      <c r="N3" s="32">
        <f t="shared" ref="N3:N34" si="0">M3-E3</f>
        <v>7929934.5508048991</v>
      </c>
      <c r="O3" s="33">
        <f t="shared" ref="O3:O34" si="1">+M3-F3</f>
        <v>1074564.6108048968</v>
      </c>
      <c r="P3" s="50">
        <f t="shared" ref="P3:P34" si="2">ABS(O3/F3)</f>
        <v>0.15653168793967356</v>
      </c>
      <c r="AA3" s="130"/>
      <c r="AC3"/>
      <c r="AD3" s="39"/>
      <c r="AE3" s="66"/>
      <c r="AF3" s="51"/>
      <c r="AG3" s="74"/>
      <c r="AH3" s="74"/>
      <c r="AI3" s="204"/>
      <c r="AJ3" s="74"/>
      <c r="AK3" s="74"/>
      <c r="AL3" s="197"/>
      <c r="AM3" s="204"/>
      <c r="AN3" s="68"/>
      <c r="AO3" s="68"/>
      <c r="AP3" s="5"/>
    </row>
    <row r="4" spans="1:43" x14ac:dyDescent="0.2">
      <c r="A4" s="2">
        <v>40575</v>
      </c>
      <c r="B4">
        <f t="shared" ref="B4:B67" si="3">YEAR(A4)</f>
        <v>2011</v>
      </c>
      <c r="C4">
        <f t="shared" ref="C4:C67" si="4">MONTH(A4)</f>
        <v>2</v>
      </c>
      <c r="D4" s="151">
        <f>Data!G3</f>
        <v>7477521.3800000027</v>
      </c>
      <c r="E4" s="151">
        <f>Data!H3</f>
        <v>9467.620679902544</v>
      </c>
      <c r="F4" s="151">
        <f>Data!I3</f>
        <v>7486989.0006799055</v>
      </c>
      <c r="G4" s="129">
        <f>Data!AR3</f>
        <v>542.20000000000016</v>
      </c>
      <c r="H4" s="129">
        <f>Data!AS3</f>
        <v>0</v>
      </c>
      <c r="I4" s="32">
        <f>Data!BW3</f>
        <v>0</v>
      </c>
      <c r="J4" s="32">
        <f>Data!AB3</f>
        <v>2302</v>
      </c>
      <c r="K4" s="32">
        <f>Data!BI3</f>
        <v>2</v>
      </c>
      <c r="L4" s="140">
        <f>Data!BZ3</f>
        <v>0</v>
      </c>
      <c r="M4" s="32">
        <f t="shared" ref="M4:M67" si="5">$R$19+G4*$R$20+H4*$R$21+I4*$R$22+J4*$R$23+K4*$R$24+L4*$R$25</f>
        <v>7649401.8756099707</v>
      </c>
      <c r="N4" s="32">
        <f t="shared" si="0"/>
        <v>7639934.2549300678</v>
      </c>
      <c r="O4" s="33">
        <f t="shared" si="1"/>
        <v>162412.87493006513</v>
      </c>
      <c r="P4" s="50">
        <f t="shared" si="2"/>
        <v>2.1692682454230418E-2</v>
      </c>
      <c r="AA4" s="130"/>
      <c r="AC4"/>
      <c r="AD4" s="39"/>
      <c r="AE4" s="51"/>
      <c r="AF4" s="74"/>
      <c r="AG4" s="74"/>
      <c r="AH4" s="74"/>
      <c r="AI4" s="197"/>
      <c r="AJ4" s="208"/>
      <c r="AK4" s="74"/>
      <c r="AL4" s="197"/>
      <c r="AM4" s="197"/>
      <c r="AN4" s="68"/>
      <c r="AO4" s="68"/>
      <c r="AP4" s="5"/>
    </row>
    <row r="5" spans="1:43" x14ac:dyDescent="0.2">
      <c r="A5" s="2">
        <v>40603</v>
      </c>
      <c r="B5">
        <f t="shared" si="3"/>
        <v>2011</v>
      </c>
      <c r="C5">
        <f t="shared" si="4"/>
        <v>3</v>
      </c>
      <c r="D5" s="151">
        <f>Data!G4</f>
        <v>7152568.5900000026</v>
      </c>
      <c r="E5" s="151">
        <f>Data!H4</f>
        <v>9467.620679902544</v>
      </c>
      <c r="F5" s="151">
        <f>Data!I4</f>
        <v>7162036.2106799055</v>
      </c>
      <c r="G5" s="129">
        <f>Data!AR4</f>
        <v>448.8</v>
      </c>
      <c r="H5" s="129">
        <f>Data!AS4</f>
        <v>0</v>
      </c>
      <c r="I5" s="32">
        <f>Data!BW4</f>
        <v>0</v>
      </c>
      <c r="J5" s="32">
        <f>Data!AB4</f>
        <v>2305</v>
      </c>
      <c r="K5" s="32">
        <f>Data!BI4</f>
        <v>3</v>
      </c>
      <c r="L5" s="140">
        <f>Data!BZ4</f>
        <v>0</v>
      </c>
      <c r="M5" s="32">
        <f t="shared" si="5"/>
        <v>7330641.1525834771</v>
      </c>
      <c r="N5" s="32">
        <f t="shared" si="0"/>
        <v>7321173.5319035742</v>
      </c>
      <c r="O5" s="33">
        <f t="shared" si="1"/>
        <v>168604.9419035716</v>
      </c>
      <c r="P5" s="50">
        <f t="shared" si="2"/>
        <v>2.3541481353047448E-2</v>
      </c>
      <c r="AC5"/>
      <c r="AD5" s="51"/>
      <c r="AE5" s="51"/>
      <c r="AF5" s="74"/>
      <c r="AG5" s="74"/>
      <c r="AH5" s="74"/>
      <c r="AI5" s="197"/>
      <c r="AJ5" s="208"/>
      <c r="AK5" s="74"/>
      <c r="AL5" s="197"/>
      <c r="AM5" s="197"/>
      <c r="AN5" s="67"/>
      <c r="AO5" s="68"/>
      <c r="AP5" s="5"/>
    </row>
    <row r="6" spans="1:43" ht="12.75" customHeight="1" x14ac:dyDescent="0.2">
      <c r="A6" s="2">
        <v>40634</v>
      </c>
      <c r="B6">
        <f t="shared" si="3"/>
        <v>2011</v>
      </c>
      <c r="C6">
        <f t="shared" si="4"/>
        <v>4</v>
      </c>
      <c r="D6" s="151">
        <f>Data!G5</f>
        <v>6467080.2400000058</v>
      </c>
      <c r="E6" s="151">
        <f>Data!H5</f>
        <v>9467.620679902544</v>
      </c>
      <c r="F6" s="151">
        <f>Data!I5</f>
        <v>6476547.8606799087</v>
      </c>
      <c r="G6" s="129">
        <f>Data!AR5</f>
        <v>213.6</v>
      </c>
      <c r="H6" s="129">
        <f>Data!AS5</f>
        <v>1.3000000000000007</v>
      </c>
      <c r="I6" s="32">
        <f>Data!BW5</f>
        <v>0</v>
      </c>
      <c r="J6" s="32">
        <f>Data!AB5</f>
        <v>2308</v>
      </c>
      <c r="K6" s="32">
        <f>Data!BI5</f>
        <v>4</v>
      </c>
      <c r="L6" s="140">
        <f>Data!BZ5</f>
        <v>0</v>
      </c>
      <c r="M6" s="32">
        <f t="shared" si="5"/>
        <v>6530497.7319060341</v>
      </c>
      <c r="N6" s="32">
        <f t="shared" si="0"/>
        <v>6521030.1112261312</v>
      </c>
      <c r="O6" s="33">
        <f t="shared" si="1"/>
        <v>53949.871226125397</v>
      </c>
      <c r="P6" s="50">
        <f t="shared" si="2"/>
        <v>8.3300351339427505E-3</v>
      </c>
      <c r="AC6"/>
      <c r="AE6" s="74"/>
      <c r="AF6" s="69"/>
      <c r="AH6" s="39"/>
      <c r="AJ6" s="209"/>
      <c r="AK6" s="209"/>
      <c r="AL6" s="5"/>
      <c r="AM6" s="5"/>
      <c r="AN6" s="5"/>
      <c r="AO6" s="5"/>
      <c r="AP6" s="5"/>
      <c r="AQ6" s="28"/>
    </row>
    <row r="7" spans="1:43" x14ac:dyDescent="0.2">
      <c r="A7" s="2">
        <v>40664</v>
      </c>
      <c r="B7">
        <f t="shared" si="3"/>
        <v>2011</v>
      </c>
      <c r="C7">
        <f t="shared" si="4"/>
        <v>5</v>
      </c>
      <c r="D7" s="151">
        <f>Data!G6</f>
        <v>6394046.8700000048</v>
      </c>
      <c r="E7" s="151">
        <f>Data!H6</f>
        <v>9467.620679902544</v>
      </c>
      <c r="F7" s="151">
        <f>Data!I6</f>
        <v>6403514.4906799076</v>
      </c>
      <c r="G7" s="129">
        <f>Data!AR6</f>
        <v>50.8</v>
      </c>
      <c r="H7" s="129">
        <f>Data!AS6</f>
        <v>53.7</v>
      </c>
      <c r="I7" s="32">
        <f>Data!BW6</f>
        <v>0</v>
      </c>
      <c r="J7" s="32">
        <f>Data!AB6</f>
        <v>2306</v>
      </c>
      <c r="K7" s="32">
        <f>Data!BI6</f>
        <v>5</v>
      </c>
      <c r="L7" s="140">
        <f>Data!BZ6</f>
        <v>0</v>
      </c>
      <c r="M7" s="32">
        <f t="shared" si="5"/>
        <v>6207325.6891227197</v>
      </c>
      <c r="N7" s="32">
        <f t="shared" si="0"/>
        <v>6197858.0684428168</v>
      </c>
      <c r="O7" s="33">
        <f t="shared" si="1"/>
        <v>-196188.80155718792</v>
      </c>
      <c r="P7" s="50">
        <f t="shared" si="2"/>
        <v>3.0637675895437404E-2</v>
      </c>
      <c r="AC7"/>
      <c r="AE7" s="74"/>
      <c r="AF7" s="69"/>
      <c r="AG7" s="39"/>
      <c r="AH7" s="39"/>
      <c r="AJ7" s="209"/>
      <c r="AK7" s="209"/>
      <c r="AL7" s="5"/>
      <c r="AM7" s="5"/>
      <c r="AN7" s="5"/>
      <c r="AO7" s="5"/>
      <c r="AP7" s="5"/>
      <c r="AQ7" s="28"/>
    </row>
    <row r="8" spans="1:43" x14ac:dyDescent="0.2">
      <c r="A8" s="2">
        <v>40695</v>
      </c>
      <c r="B8">
        <f t="shared" si="3"/>
        <v>2011</v>
      </c>
      <c r="C8">
        <f t="shared" si="4"/>
        <v>6</v>
      </c>
      <c r="D8" s="151">
        <f>Data!G7</f>
        <v>6868428.5200000014</v>
      </c>
      <c r="E8" s="151">
        <f>Data!H7</f>
        <v>9467.620679902544</v>
      </c>
      <c r="F8" s="151">
        <f>Data!I7</f>
        <v>6877896.1406799043</v>
      </c>
      <c r="G8" s="129">
        <f>Data!AR7</f>
        <v>0</v>
      </c>
      <c r="H8" s="129">
        <f>Data!AS7</f>
        <v>153.20000000000002</v>
      </c>
      <c r="I8" s="32">
        <f>Data!BW7</f>
        <v>0</v>
      </c>
      <c r="J8" s="32">
        <f>Data!AB7</f>
        <v>2316</v>
      </c>
      <c r="K8" s="32">
        <f>Data!BI7</f>
        <v>6</v>
      </c>
      <c r="L8" s="140">
        <f>Data!BZ7</f>
        <v>0</v>
      </c>
      <c r="M8" s="32">
        <f t="shared" si="5"/>
        <v>6565445.2175851371</v>
      </c>
      <c r="N8" s="32">
        <f t="shared" si="0"/>
        <v>6555977.5969052343</v>
      </c>
      <c r="O8" s="33">
        <f t="shared" si="1"/>
        <v>-312450.92309476715</v>
      </c>
      <c r="P8" s="50">
        <f t="shared" si="2"/>
        <v>4.5428270026752725E-2</v>
      </c>
      <c r="AC8"/>
      <c r="AE8" s="74"/>
      <c r="AF8" s="69"/>
      <c r="AG8" s="39"/>
      <c r="AH8" s="39"/>
      <c r="AJ8" s="209"/>
      <c r="AK8" s="209"/>
      <c r="AL8" s="5"/>
      <c r="AM8" s="5"/>
      <c r="AN8" s="5"/>
      <c r="AO8" s="5"/>
      <c r="AP8" s="5"/>
      <c r="AQ8" s="28"/>
    </row>
    <row r="9" spans="1:43" x14ac:dyDescent="0.2">
      <c r="A9" s="2">
        <v>40725</v>
      </c>
      <c r="B9">
        <f t="shared" si="3"/>
        <v>2011</v>
      </c>
      <c r="C9">
        <f t="shared" si="4"/>
        <v>7</v>
      </c>
      <c r="D9" s="151">
        <f>Data!G8</f>
        <v>7225446.5600000024</v>
      </c>
      <c r="E9" s="151">
        <f>Data!H8</f>
        <v>9467.620679902544</v>
      </c>
      <c r="F9" s="151">
        <f>Data!I8</f>
        <v>7234914.1806799052</v>
      </c>
      <c r="G9" s="129">
        <f>Data!AR8</f>
        <v>0</v>
      </c>
      <c r="H9" s="129">
        <f>Data!AS8</f>
        <v>322.29999999999995</v>
      </c>
      <c r="I9" s="32">
        <f>Data!BW8</f>
        <v>0</v>
      </c>
      <c r="J9" s="32">
        <f>Data!AB8</f>
        <v>2335</v>
      </c>
      <c r="K9" s="32">
        <f>Data!BI8</f>
        <v>7</v>
      </c>
      <c r="L9" s="140">
        <f>Data!BZ8</f>
        <v>0</v>
      </c>
      <c r="M9" s="32">
        <f t="shared" si="5"/>
        <v>7490521.415698804</v>
      </c>
      <c r="N9" s="32">
        <f t="shared" si="0"/>
        <v>7481053.7950189011</v>
      </c>
      <c r="O9" s="33">
        <f t="shared" si="1"/>
        <v>255607.23501889873</v>
      </c>
      <c r="P9" s="50">
        <f t="shared" si="2"/>
        <v>3.5329684448983732E-2</v>
      </c>
      <c r="AC9"/>
      <c r="AE9" s="74"/>
      <c r="AF9" s="69"/>
      <c r="AG9" s="39"/>
      <c r="AH9" s="39"/>
      <c r="AJ9" s="209"/>
      <c r="AK9" s="209"/>
      <c r="AL9" s="5"/>
      <c r="AM9" s="5"/>
      <c r="AN9" s="5"/>
      <c r="AO9" s="5"/>
      <c r="AP9" s="5"/>
      <c r="AQ9" s="28"/>
    </row>
    <row r="10" spans="1:43" x14ac:dyDescent="0.2">
      <c r="A10" s="2">
        <v>40756</v>
      </c>
      <c r="B10">
        <f t="shared" si="3"/>
        <v>2011</v>
      </c>
      <c r="C10">
        <f t="shared" si="4"/>
        <v>8</v>
      </c>
      <c r="D10" s="151">
        <f>Data!G9</f>
        <v>7335384.9100000048</v>
      </c>
      <c r="E10" s="151">
        <f>Data!H9</f>
        <v>9467.620679902544</v>
      </c>
      <c r="F10" s="151">
        <f>Data!I9</f>
        <v>7344852.5306799076</v>
      </c>
      <c r="G10" s="129">
        <f>Data!AR9</f>
        <v>0</v>
      </c>
      <c r="H10" s="129">
        <f>Data!AS9</f>
        <v>246.19999999999996</v>
      </c>
      <c r="I10" s="32">
        <f>Data!BW9</f>
        <v>0</v>
      </c>
      <c r="J10" s="32">
        <f>Data!AB9</f>
        <v>2354</v>
      </c>
      <c r="K10" s="32">
        <f>Data!BI9</f>
        <v>8</v>
      </c>
      <c r="L10" s="140">
        <f>Data!BZ9</f>
        <v>0</v>
      </c>
      <c r="M10" s="32">
        <f t="shared" si="5"/>
        <v>7197954.4233220071</v>
      </c>
      <c r="N10" s="32">
        <f t="shared" si="0"/>
        <v>7188486.8026421042</v>
      </c>
      <c r="O10" s="33">
        <f t="shared" si="1"/>
        <v>-146898.10735790059</v>
      </c>
      <c r="P10" s="50">
        <f t="shared" si="2"/>
        <v>2.0000143875496208E-2</v>
      </c>
      <c r="AC10"/>
      <c r="AE10" s="74"/>
      <c r="AF10" s="69"/>
      <c r="AG10" s="39"/>
      <c r="AH10" s="39"/>
      <c r="AJ10" s="209"/>
      <c r="AK10" s="209"/>
      <c r="AL10" s="5"/>
      <c r="AM10" s="5"/>
      <c r="AN10" s="5"/>
      <c r="AO10" s="5"/>
      <c r="AP10" s="5"/>
      <c r="AQ10" s="28"/>
    </row>
    <row r="11" spans="1:43" x14ac:dyDescent="0.2">
      <c r="A11" s="2">
        <v>40787</v>
      </c>
      <c r="B11">
        <f t="shared" si="3"/>
        <v>2011</v>
      </c>
      <c r="C11">
        <f t="shared" si="4"/>
        <v>9</v>
      </c>
      <c r="D11" s="151">
        <f>Data!G10</f>
        <v>6365381.4099999992</v>
      </c>
      <c r="E11" s="151">
        <f>Data!H10</f>
        <v>9467.620679902544</v>
      </c>
      <c r="F11" s="151">
        <f>Data!I10</f>
        <v>6374849.0306799021</v>
      </c>
      <c r="G11" s="129">
        <f>Data!AR10</f>
        <v>9</v>
      </c>
      <c r="H11" s="129">
        <f>Data!AS10</f>
        <v>120.3</v>
      </c>
      <c r="I11" s="32">
        <f>Data!BW10</f>
        <v>1</v>
      </c>
      <c r="J11" s="32">
        <f>Data!AB10</f>
        <v>2360</v>
      </c>
      <c r="K11" s="32">
        <f>Data!BI10</f>
        <v>9</v>
      </c>
      <c r="L11" s="140">
        <f>Data!BZ10</f>
        <v>0</v>
      </c>
      <c r="M11" s="32">
        <f t="shared" si="5"/>
        <v>6334552.2047129748</v>
      </c>
      <c r="N11" s="32">
        <f t="shared" si="0"/>
        <v>6325084.584033072</v>
      </c>
      <c r="O11" s="33">
        <f t="shared" si="1"/>
        <v>-40296.825966927223</v>
      </c>
      <c r="P11" s="50">
        <f t="shared" si="2"/>
        <v>6.3212204356515424E-3</v>
      </c>
      <c r="AC11"/>
      <c r="AE11" s="74"/>
      <c r="AF11" s="69"/>
      <c r="AG11" s="39"/>
      <c r="AH11" s="39"/>
      <c r="AJ11" s="209"/>
      <c r="AK11" s="209"/>
      <c r="AL11" s="5"/>
      <c r="AM11" s="5"/>
      <c r="AN11" s="5"/>
      <c r="AO11" s="5"/>
      <c r="AP11" s="5"/>
      <c r="AQ11" s="28"/>
    </row>
    <row r="12" spans="1:43" ht="13.5" customHeight="1" x14ac:dyDescent="0.2">
      <c r="A12" s="2">
        <v>40817</v>
      </c>
      <c r="B12">
        <f t="shared" si="3"/>
        <v>2011</v>
      </c>
      <c r="C12">
        <f t="shared" si="4"/>
        <v>10</v>
      </c>
      <c r="D12" s="151">
        <f>Data!G11</f>
        <v>6187538.6099999947</v>
      </c>
      <c r="E12" s="151">
        <f>Data!H11</f>
        <v>9467.620679902544</v>
      </c>
      <c r="F12" s="151">
        <f>Data!I11</f>
        <v>6197006.2306798976</v>
      </c>
      <c r="G12" s="129">
        <f>Data!AR11</f>
        <v>131.60000000000002</v>
      </c>
      <c r="H12" s="129">
        <f>Data!AS11</f>
        <v>22.599999999999994</v>
      </c>
      <c r="I12" s="32">
        <f>Data!BW11</f>
        <v>1</v>
      </c>
      <c r="J12" s="32">
        <f>Data!AB11</f>
        <v>2364</v>
      </c>
      <c r="K12" s="32">
        <f>Data!BI11</f>
        <v>10</v>
      </c>
      <c r="L12" s="140">
        <f>Data!BZ11</f>
        <v>0</v>
      </c>
      <c r="M12" s="32">
        <f t="shared" si="5"/>
        <v>6278905.2691865033</v>
      </c>
      <c r="N12" s="32">
        <f t="shared" si="0"/>
        <v>6269437.6485066004</v>
      </c>
      <c r="O12" s="33">
        <f t="shared" si="1"/>
        <v>81899.038506605662</v>
      </c>
      <c r="P12" s="50">
        <f t="shared" si="2"/>
        <v>1.321590385065987E-2</v>
      </c>
      <c r="R12" t="s">
        <v>356</v>
      </c>
      <c r="W12" s="315" t="s">
        <v>349</v>
      </c>
      <c r="AC12"/>
      <c r="AE12" s="74"/>
      <c r="AF12" s="69"/>
      <c r="AG12" s="39"/>
      <c r="AH12" s="39"/>
      <c r="AJ12" s="209"/>
      <c r="AK12" s="209"/>
      <c r="AL12" s="5"/>
      <c r="AM12" s="5"/>
      <c r="AN12" s="5"/>
      <c r="AO12" s="5"/>
      <c r="AP12" s="5"/>
      <c r="AQ12" s="28"/>
    </row>
    <row r="13" spans="1:43" x14ac:dyDescent="0.2">
      <c r="A13" s="2">
        <v>40848</v>
      </c>
      <c r="B13">
        <f t="shared" si="3"/>
        <v>2011</v>
      </c>
      <c r="C13">
        <f t="shared" si="4"/>
        <v>11</v>
      </c>
      <c r="D13" s="151">
        <f>Data!G12</f>
        <v>6503187.4399999985</v>
      </c>
      <c r="E13" s="151">
        <f>Data!H12</f>
        <v>9467.620679902544</v>
      </c>
      <c r="F13" s="151">
        <f>Data!I12</f>
        <v>6512655.0606799014</v>
      </c>
      <c r="G13" s="129">
        <f>Data!AR12</f>
        <v>221.90000000000003</v>
      </c>
      <c r="H13" s="129">
        <f>Data!AS12</f>
        <v>0</v>
      </c>
      <c r="I13" s="32">
        <f>Data!BW12</f>
        <v>1</v>
      </c>
      <c r="J13" s="32">
        <f>Data!AB12</f>
        <v>2368</v>
      </c>
      <c r="K13" s="32">
        <f>Data!BI12</f>
        <v>11</v>
      </c>
      <c r="L13" s="140">
        <f>Data!BZ12</f>
        <v>0</v>
      </c>
      <c r="M13" s="32">
        <f t="shared" si="5"/>
        <v>6485076.2378046857</v>
      </c>
      <c r="N13" s="32">
        <f t="shared" si="0"/>
        <v>6475608.6171247829</v>
      </c>
      <c r="O13" s="33">
        <f t="shared" si="1"/>
        <v>-27578.822875215672</v>
      </c>
      <c r="P13" s="50">
        <f t="shared" si="2"/>
        <v>4.2346512471883513E-3</v>
      </c>
      <c r="Q13" s="149"/>
      <c r="R13" s="149"/>
      <c r="S13" s="149"/>
      <c r="T13" s="149"/>
      <c r="U13" s="149"/>
      <c r="V13" s="149"/>
      <c r="AC13"/>
      <c r="AE13" s="74"/>
      <c r="AF13" s="69"/>
      <c r="AG13" s="39"/>
      <c r="AH13" s="39"/>
      <c r="AJ13" s="209"/>
      <c r="AK13" s="209"/>
      <c r="AL13" s="5"/>
      <c r="AM13" s="5"/>
      <c r="AN13" s="5"/>
      <c r="AO13" s="5"/>
      <c r="AP13" s="5"/>
      <c r="AQ13" s="28"/>
    </row>
    <row r="14" spans="1:43" ht="13.5" customHeight="1" x14ac:dyDescent="0.2">
      <c r="A14" s="2">
        <v>40878</v>
      </c>
      <c r="B14">
        <f t="shared" si="3"/>
        <v>2011</v>
      </c>
      <c r="C14">
        <f t="shared" si="4"/>
        <v>12</v>
      </c>
      <c r="D14" s="151">
        <f>Data!G13</f>
        <v>8506879.0700000003</v>
      </c>
      <c r="E14" s="151">
        <f>Data!H13</f>
        <v>9467.620679902544</v>
      </c>
      <c r="F14" s="151">
        <f>Data!I13</f>
        <v>8516346.6906799022</v>
      </c>
      <c r="G14" s="129">
        <f>Data!AR13</f>
        <v>410</v>
      </c>
      <c r="H14" s="129">
        <f>Data!AS13</f>
        <v>0</v>
      </c>
      <c r="I14" s="32">
        <f>Data!BW13</f>
        <v>0</v>
      </c>
      <c r="J14" s="32">
        <f>Data!AB13</f>
        <v>2374</v>
      </c>
      <c r="K14" s="32">
        <f>Data!BI13</f>
        <v>12</v>
      </c>
      <c r="L14" s="140">
        <f>Data!BZ13</f>
        <v>0</v>
      </c>
      <c r="M14" s="32">
        <f t="shared" si="5"/>
        <v>7437529.5682323426</v>
      </c>
      <c r="N14" s="32">
        <f t="shared" si="0"/>
        <v>7428061.9475524398</v>
      </c>
      <c r="O14" s="33">
        <f t="shared" si="1"/>
        <v>-1078817.1224475596</v>
      </c>
      <c r="P14" s="50">
        <f t="shared" si="2"/>
        <v>0.12667604568378982</v>
      </c>
      <c r="Q14" t="s">
        <v>352</v>
      </c>
      <c r="W14" s="315" t="s">
        <v>292</v>
      </c>
      <c r="X14" s="315"/>
      <c r="Y14" s="315"/>
      <c r="Z14" s="315"/>
      <c r="AA14" s="315"/>
      <c r="AC14"/>
      <c r="AE14" s="74"/>
      <c r="AF14" s="69"/>
      <c r="AG14" s="39"/>
      <c r="AH14" s="39"/>
      <c r="AJ14" s="209"/>
      <c r="AK14" s="209"/>
      <c r="AL14" s="5"/>
      <c r="AM14" s="5"/>
      <c r="AN14" s="5"/>
      <c r="AO14" s="5"/>
      <c r="AP14" s="5"/>
      <c r="AQ14" s="28"/>
    </row>
    <row r="15" spans="1:43" x14ac:dyDescent="0.2">
      <c r="A15" s="2">
        <v>40909</v>
      </c>
      <c r="B15">
        <f t="shared" si="3"/>
        <v>2012</v>
      </c>
      <c r="C15">
        <f t="shared" si="4"/>
        <v>1</v>
      </c>
      <c r="D15" s="151">
        <f>Data!G14</f>
        <v>6542070.0699999975</v>
      </c>
      <c r="E15" s="151">
        <f>Data!H14</f>
        <v>32139.174490377161</v>
      </c>
      <c r="F15" s="151">
        <f>Data!I14</f>
        <v>6574209.2444903748</v>
      </c>
      <c r="G15" s="129">
        <f>Data!AR14</f>
        <v>487.1</v>
      </c>
      <c r="H15" s="129">
        <f>Data!AS14</f>
        <v>0</v>
      </c>
      <c r="I15" s="32">
        <f>Data!BW14</f>
        <v>0</v>
      </c>
      <c r="J15" s="32">
        <f>Data!AB14</f>
        <v>2381</v>
      </c>
      <c r="K15" s="32">
        <f>Data!BI14</f>
        <v>13</v>
      </c>
      <c r="L15" s="140">
        <f>Data!BZ14</f>
        <v>0</v>
      </c>
      <c r="M15" s="32">
        <f t="shared" si="5"/>
        <v>7726038.0172170615</v>
      </c>
      <c r="N15" s="32">
        <f t="shared" si="0"/>
        <v>7693898.8427266842</v>
      </c>
      <c r="O15" s="33">
        <f t="shared" si="1"/>
        <v>1151828.7727266867</v>
      </c>
      <c r="P15" s="50">
        <f t="shared" si="2"/>
        <v>0.17520415458208846</v>
      </c>
      <c r="Q15" t="s">
        <v>293</v>
      </c>
      <c r="W15" s="315" t="s">
        <v>293</v>
      </c>
      <c r="X15" s="315"/>
      <c r="Y15" s="315"/>
      <c r="Z15" s="315"/>
      <c r="AA15" s="315"/>
      <c r="AC15"/>
      <c r="AE15" s="74"/>
      <c r="AF15" s="69"/>
      <c r="AG15" s="39"/>
      <c r="AH15" s="39"/>
      <c r="AJ15" s="209"/>
      <c r="AK15" s="209"/>
      <c r="AL15" s="5"/>
      <c r="AM15" s="5"/>
      <c r="AN15" s="5"/>
      <c r="AO15" s="5"/>
      <c r="AP15" s="5"/>
      <c r="AQ15" s="28"/>
    </row>
    <row r="16" spans="1:43" x14ac:dyDescent="0.2">
      <c r="A16" s="2">
        <v>40940</v>
      </c>
      <c r="B16">
        <f t="shared" si="3"/>
        <v>2012</v>
      </c>
      <c r="C16">
        <f t="shared" si="4"/>
        <v>2</v>
      </c>
      <c r="D16" s="151">
        <f>Data!G15</f>
        <v>7307980.3799999999</v>
      </c>
      <c r="E16" s="151">
        <f>Data!H15</f>
        <v>32139.174490377161</v>
      </c>
      <c r="F16" s="151">
        <f>Data!I15</f>
        <v>7340119.5544903772</v>
      </c>
      <c r="G16" s="129">
        <f>Data!AR15</f>
        <v>415.70000000000005</v>
      </c>
      <c r="H16" s="129">
        <f>Data!AS15</f>
        <v>0</v>
      </c>
      <c r="I16" s="32">
        <f>Data!BW15</f>
        <v>0</v>
      </c>
      <c r="J16" s="32">
        <f>Data!AB15</f>
        <v>2385</v>
      </c>
      <c r="K16" s="32">
        <f>Data!BI15</f>
        <v>14</v>
      </c>
      <c r="L16" s="140">
        <f>Data!BZ15</f>
        <v>0</v>
      </c>
      <c r="M16" s="32">
        <f t="shared" si="5"/>
        <v>7488137.8394781351</v>
      </c>
      <c r="N16" s="32">
        <f t="shared" si="0"/>
        <v>7455998.6649877578</v>
      </c>
      <c r="O16" s="33">
        <f t="shared" si="1"/>
        <v>148018.28498775791</v>
      </c>
      <c r="P16" s="50">
        <f t="shared" si="2"/>
        <v>2.016565042148483E-2</v>
      </c>
      <c r="Q16" t="s">
        <v>353</v>
      </c>
      <c r="W16" s="315" t="s">
        <v>294</v>
      </c>
      <c r="X16" s="315"/>
      <c r="Y16" s="315"/>
      <c r="Z16" s="315"/>
      <c r="AA16" s="315"/>
      <c r="AC16"/>
      <c r="AE16" s="74"/>
      <c r="AF16" s="69"/>
      <c r="AG16" s="39"/>
      <c r="AH16" s="39"/>
      <c r="AJ16" s="209"/>
      <c r="AK16" s="209"/>
      <c r="AL16" s="5"/>
      <c r="AM16" s="5"/>
      <c r="AN16" s="5"/>
      <c r="AO16" s="5"/>
      <c r="AP16" s="35"/>
      <c r="AQ16" s="28"/>
    </row>
    <row r="17" spans="1:44" x14ac:dyDescent="0.2">
      <c r="A17" s="2">
        <v>40969</v>
      </c>
      <c r="B17">
        <f t="shared" si="3"/>
        <v>2012</v>
      </c>
      <c r="C17">
        <f t="shared" si="4"/>
        <v>3</v>
      </c>
      <c r="D17" s="151">
        <f>Data!G16</f>
        <v>6926363.8199999947</v>
      </c>
      <c r="E17" s="151">
        <f>Data!H16</f>
        <v>32139.174490377161</v>
      </c>
      <c r="F17" s="151">
        <f>Data!I16</f>
        <v>6958502.994490372</v>
      </c>
      <c r="G17" s="129">
        <f>Data!AR16</f>
        <v>236.3</v>
      </c>
      <c r="H17" s="129">
        <f>Data!AS16</f>
        <v>11.1</v>
      </c>
      <c r="I17" s="32">
        <f>Data!BW16</f>
        <v>0</v>
      </c>
      <c r="J17" s="32">
        <f>Data!AB16</f>
        <v>2391</v>
      </c>
      <c r="K17" s="32">
        <f>Data!BI16</f>
        <v>15</v>
      </c>
      <c r="L17" s="140">
        <f>Data!BZ16</f>
        <v>0</v>
      </c>
      <c r="M17" s="32">
        <f t="shared" si="5"/>
        <v>6944150.7178839399</v>
      </c>
      <c r="N17" s="32">
        <f t="shared" si="0"/>
        <v>6912011.5433935625</v>
      </c>
      <c r="O17" s="33">
        <f t="shared" si="1"/>
        <v>-14352.276606432162</v>
      </c>
      <c r="P17" s="50">
        <f t="shared" si="2"/>
        <v>2.0625523360119349E-3</v>
      </c>
      <c r="W17" s="315"/>
      <c r="X17" s="315"/>
      <c r="Y17" s="315"/>
      <c r="Z17" s="315"/>
      <c r="AA17" s="315"/>
      <c r="AC17"/>
      <c r="AE17" s="74"/>
      <c r="AF17" s="69"/>
      <c r="AG17" s="39"/>
      <c r="AH17" s="39"/>
      <c r="AJ17" s="209"/>
      <c r="AK17" s="209"/>
      <c r="AL17" s="5"/>
      <c r="AM17" s="5"/>
      <c r="AN17" s="5"/>
      <c r="AO17" s="5"/>
      <c r="AP17" s="5"/>
      <c r="AQ17" s="28"/>
    </row>
    <row r="18" spans="1:44" x14ac:dyDescent="0.2">
      <c r="A18" s="2">
        <v>41000</v>
      </c>
      <c r="B18">
        <f t="shared" si="3"/>
        <v>2012</v>
      </c>
      <c r="C18">
        <f t="shared" si="4"/>
        <v>4</v>
      </c>
      <c r="D18" s="151">
        <f>Data!G17</f>
        <v>6496796.9000000078</v>
      </c>
      <c r="E18" s="151">
        <f>Data!H17</f>
        <v>32139.174490377161</v>
      </c>
      <c r="F18" s="151">
        <f>Data!I17</f>
        <v>6528936.0744903851</v>
      </c>
      <c r="G18" s="129">
        <f>Data!AR17</f>
        <v>206.9</v>
      </c>
      <c r="H18" s="129">
        <f>Data!AS17</f>
        <v>5.1999999999999975</v>
      </c>
      <c r="I18" s="32">
        <f>Data!BW17</f>
        <v>0</v>
      </c>
      <c r="J18" s="32">
        <f>Data!AB17</f>
        <v>2398</v>
      </c>
      <c r="K18" s="32">
        <f>Data!BI17</f>
        <v>16</v>
      </c>
      <c r="L18" s="140">
        <f>Data!BZ17</f>
        <v>0</v>
      </c>
      <c r="M18" s="32">
        <f t="shared" si="5"/>
        <v>6836965.4055895032</v>
      </c>
      <c r="N18" s="32">
        <f t="shared" si="0"/>
        <v>6804826.2310991259</v>
      </c>
      <c r="O18" s="33">
        <f t="shared" si="1"/>
        <v>308029.33109911811</v>
      </c>
      <c r="P18" s="50">
        <f t="shared" si="2"/>
        <v>4.7179100482027815E-2</v>
      </c>
      <c r="Q18" s="149"/>
      <c r="R18" s="149" t="s">
        <v>135</v>
      </c>
      <c r="S18" s="149" t="s">
        <v>136</v>
      </c>
      <c r="T18" t="s">
        <v>137</v>
      </c>
      <c r="U18" t="s">
        <v>138</v>
      </c>
      <c r="V18" s="149"/>
      <c r="W18" s="149"/>
      <c r="X18" s="149" t="s">
        <v>135</v>
      </c>
      <c r="Y18" s="149" t="s">
        <v>136</v>
      </c>
      <c r="Z18" s="315" t="s">
        <v>137</v>
      </c>
      <c r="AA18" s="315" t="s">
        <v>138</v>
      </c>
      <c r="AC18"/>
      <c r="AD18" s="51"/>
      <c r="AE18" s="69"/>
      <c r="AF18" s="70"/>
      <c r="AG18" s="39"/>
      <c r="AJ18" s="60"/>
      <c r="AK18" s="71"/>
      <c r="AL18" s="71"/>
      <c r="AM18" s="71"/>
      <c r="AN18" s="5"/>
      <c r="AO18" s="5"/>
      <c r="AQ18" s="28"/>
    </row>
    <row r="19" spans="1:44" x14ac:dyDescent="0.2">
      <c r="A19" s="2">
        <v>41030</v>
      </c>
      <c r="B19">
        <f t="shared" si="3"/>
        <v>2012</v>
      </c>
      <c r="C19">
        <f t="shared" si="4"/>
        <v>5</v>
      </c>
      <c r="D19" s="151">
        <f>Data!G18</f>
        <v>6393894.2299999967</v>
      </c>
      <c r="E19" s="151">
        <f>Data!H18</f>
        <v>32139.174490377161</v>
      </c>
      <c r="F19" s="151">
        <f>Data!I18</f>
        <v>6426033.404490374</v>
      </c>
      <c r="G19" s="129">
        <f>Data!AR18</f>
        <v>21.499999999999996</v>
      </c>
      <c r="H19" s="129">
        <f>Data!AS18</f>
        <v>101.5</v>
      </c>
      <c r="I19" s="32">
        <f>Data!BW18</f>
        <v>0</v>
      </c>
      <c r="J19" s="32">
        <f>Data!AB18</f>
        <v>2400</v>
      </c>
      <c r="K19" s="32">
        <f>Data!BI18</f>
        <v>17</v>
      </c>
      <c r="L19" s="140">
        <f>Data!BZ18</f>
        <v>0</v>
      </c>
      <c r="M19" s="32">
        <f t="shared" si="5"/>
        <v>6674739.1773917004</v>
      </c>
      <c r="N19" s="32">
        <f t="shared" si="0"/>
        <v>6642600.0029013231</v>
      </c>
      <c r="O19" s="33">
        <f t="shared" si="1"/>
        <v>248705.77290132642</v>
      </c>
      <c r="P19" s="50">
        <f t="shared" si="2"/>
        <v>3.8702844701606461E-2</v>
      </c>
      <c r="Q19" t="s">
        <v>139</v>
      </c>
      <c r="R19">
        <v>-6099081.5551802199</v>
      </c>
      <c r="S19">
        <v>2782470.7393203801</v>
      </c>
      <c r="T19">
        <v>-2.1919661073129202</v>
      </c>
      <c r="U19" s="130">
        <v>3.02344359271896E-2</v>
      </c>
      <c r="W19" s="315" t="s">
        <v>139</v>
      </c>
      <c r="X19" s="315">
        <v>-5916373.9028787296</v>
      </c>
      <c r="Y19" s="315">
        <v>2782065.71442588</v>
      </c>
      <c r="Z19" s="315">
        <v>-2.1266118453638501</v>
      </c>
      <c r="AA19" s="316">
        <v>3.54180658453924E-2</v>
      </c>
      <c r="AC19"/>
      <c r="AD19" s="74"/>
      <c r="AE19" s="69"/>
      <c r="AF19" s="51"/>
      <c r="AG19" s="77"/>
      <c r="AH19" s="77"/>
      <c r="AI19" s="1"/>
      <c r="AL19" s="5"/>
      <c r="AM19" s="5"/>
      <c r="AN19" s="5"/>
      <c r="AO19" s="5"/>
    </row>
    <row r="20" spans="1:44" ht="16.5" customHeight="1" x14ac:dyDescent="0.2">
      <c r="A20" s="2">
        <v>41061</v>
      </c>
      <c r="B20">
        <f t="shared" si="3"/>
        <v>2012</v>
      </c>
      <c r="C20">
        <f t="shared" si="4"/>
        <v>6</v>
      </c>
      <c r="D20" s="151">
        <f>Data!G19</f>
        <v>6938947.9299999932</v>
      </c>
      <c r="E20" s="151">
        <f>Data!H19</f>
        <v>32139.174490377161</v>
      </c>
      <c r="F20" s="151">
        <f>Data!I19</f>
        <v>6971087.1044903705</v>
      </c>
      <c r="G20" s="129">
        <f>Data!AR19</f>
        <v>1.0999999999999996</v>
      </c>
      <c r="H20" s="129">
        <f>Data!AS19</f>
        <v>199.5</v>
      </c>
      <c r="I20" s="32">
        <f>Data!BW19</f>
        <v>0</v>
      </c>
      <c r="J20" s="32">
        <f>Data!AB19</f>
        <v>2403</v>
      </c>
      <c r="K20" s="32">
        <f>Data!BI19</f>
        <v>18</v>
      </c>
      <c r="L20" s="140">
        <f>Data!BZ19</f>
        <v>0</v>
      </c>
      <c r="M20" s="32">
        <f t="shared" si="5"/>
        <v>7093782.3399122022</v>
      </c>
      <c r="N20" s="32">
        <f t="shared" si="0"/>
        <v>7061643.1654218249</v>
      </c>
      <c r="O20" s="33">
        <f t="shared" si="1"/>
        <v>122695.23542183172</v>
      </c>
      <c r="P20" s="50">
        <f t="shared" si="2"/>
        <v>1.7600588485373905E-2</v>
      </c>
      <c r="Q20" t="s">
        <v>115</v>
      </c>
      <c r="R20">
        <v>3440.3271619509601</v>
      </c>
      <c r="S20">
        <v>284.828163773168</v>
      </c>
      <c r="T20">
        <v>12.0786059790449</v>
      </c>
      <c r="U20" s="130">
        <v>9.7984551684840799E-23</v>
      </c>
      <c r="W20" s="315" t="s">
        <v>115</v>
      </c>
      <c r="X20" s="315">
        <v>3439.9854526525301</v>
      </c>
      <c r="Y20" s="315">
        <v>284.78100360020699</v>
      </c>
      <c r="Z20" s="315">
        <v>12.0794063127953</v>
      </c>
      <c r="AA20" s="316">
        <v>9.7545551048802706E-23</v>
      </c>
      <c r="AC20"/>
      <c r="AD20" s="74"/>
      <c r="AE20" s="212"/>
      <c r="AF20" s="212"/>
      <c r="AG20" s="39"/>
      <c r="AI20" s="1"/>
      <c r="AL20" s="5"/>
      <c r="AM20" s="5"/>
      <c r="AN20" s="5"/>
      <c r="AO20" s="5"/>
    </row>
    <row r="21" spans="1:44" x14ac:dyDescent="0.2">
      <c r="A21" s="2">
        <v>41091</v>
      </c>
      <c r="B21">
        <f t="shared" si="3"/>
        <v>2012</v>
      </c>
      <c r="C21">
        <f t="shared" si="4"/>
        <v>7</v>
      </c>
      <c r="D21" s="151">
        <f>Data!G20</f>
        <v>7684381.6799999978</v>
      </c>
      <c r="E21" s="151">
        <f>Data!H20</f>
        <v>32139.174490377161</v>
      </c>
      <c r="F21" s="151">
        <f>Data!I20</f>
        <v>7716520.8544903751</v>
      </c>
      <c r="G21" s="129">
        <f>Data!AR20</f>
        <v>0</v>
      </c>
      <c r="H21" s="129">
        <f>Data!AS20</f>
        <v>319.39999999999998</v>
      </c>
      <c r="I21" s="32">
        <f>Data!BW20</f>
        <v>0</v>
      </c>
      <c r="J21" s="32">
        <f>Data!AB20</f>
        <v>2401</v>
      </c>
      <c r="K21" s="32">
        <f>Data!BI20</f>
        <v>19</v>
      </c>
      <c r="L21" s="140">
        <f>Data!BZ20</f>
        <v>0</v>
      </c>
      <c r="M21" s="32">
        <f t="shared" si="5"/>
        <v>7662110.6908888966</v>
      </c>
      <c r="N21" s="32">
        <f t="shared" si="0"/>
        <v>7629971.5163985193</v>
      </c>
      <c r="O21" s="33">
        <f t="shared" si="1"/>
        <v>-54410.163601478562</v>
      </c>
      <c r="P21" s="50">
        <f t="shared" si="2"/>
        <v>7.0511263595971962E-3</v>
      </c>
      <c r="Q21" t="s">
        <v>116</v>
      </c>
      <c r="R21">
        <v>4965.9183951487103</v>
      </c>
      <c r="S21">
        <v>609.19005431629603</v>
      </c>
      <c r="T21">
        <v>8.1516734555393402</v>
      </c>
      <c r="U21" s="130">
        <v>3.19616687257932E-13</v>
      </c>
      <c r="W21" s="315" t="s">
        <v>116</v>
      </c>
      <c r="X21" s="315">
        <v>4964.6694516031102</v>
      </c>
      <c r="Y21" s="315">
        <v>609.08805613857805</v>
      </c>
      <c r="Z21" s="315">
        <v>8.1509880247488606</v>
      </c>
      <c r="AA21" s="316">
        <v>3.2080165827579198E-13</v>
      </c>
      <c r="AC21"/>
      <c r="AD21" s="51"/>
      <c r="AE21" s="69"/>
      <c r="AF21" s="51"/>
      <c r="AG21" s="39"/>
      <c r="AI21" s="1"/>
      <c r="AL21" s="5"/>
      <c r="AM21" s="5"/>
      <c r="AN21" s="5"/>
      <c r="AO21" s="5"/>
    </row>
    <row r="22" spans="1:44" x14ac:dyDescent="0.2">
      <c r="A22" s="2">
        <v>41122</v>
      </c>
      <c r="B22">
        <f t="shared" si="3"/>
        <v>2012</v>
      </c>
      <c r="C22">
        <f t="shared" si="4"/>
        <v>8</v>
      </c>
      <c r="D22" s="151">
        <f>Data!G21</f>
        <v>7811739.2400000021</v>
      </c>
      <c r="E22" s="151">
        <f>Data!H21</f>
        <v>32139.174490377161</v>
      </c>
      <c r="F22" s="151">
        <f>Data!I21</f>
        <v>7843878.4144903794</v>
      </c>
      <c r="G22" s="129">
        <f>Data!AR21</f>
        <v>0</v>
      </c>
      <c r="H22" s="129">
        <f>Data!AS21</f>
        <v>234.09999999999997</v>
      </c>
      <c r="I22" s="32">
        <f>Data!BW21</f>
        <v>0</v>
      </c>
      <c r="J22" s="32">
        <f>Data!AB21</f>
        <v>2402</v>
      </c>
      <c r="K22" s="32">
        <f>Data!BI21</f>
        <v>20</v>
      </c>
      <c r="L22" s="140">
        <f>Data!BZ21</f>
        <v>0</v>
      </c>
      <c r="M22" s="32">
        <f t="shared" si="5"/>
        <v>7230736.9902331531</v>
      </c>
      <c r="N22" s="32">
        <f t="shared" si="0"/>
        <v>7198597.8157427758</v>
      </c>
      <c r="O22" s="33">
        <f t="shared" si="1"/>
        <v>-613141.42425722629</v>
      </c>
      <c r="P22" s="50">
        <f t="shared" si="2"/>
        <v>7.8168144871361117E-2</v>
      </c>
      <c r="Q22" t="s">
        <v>50</v>
      </c>
      <c r="R22">
        <v>-287241.91419102502</v>
      </c>
      <c r="S22">
        <v>97613.616855249202</v>
      </c>
      <c r="T22">
        <v>-2.9426418510541801</v>
      </c>
      <c r="U22">
        <v>3.8799705432143298E-3</v>
      </c>
      <c r="W22" s="315" t="s">
        <v>50</v>
      </c>
      <c r="X22" s="315">
        <v>-287027.88525663299</v>
      </c>
      <c r="Y22" s="315">
        <v>97597.718799890194</v>
      </c>
      <c r="Z22" s="315">
        <v>-2.9409282182623699</v>
      </c>
      <c r="AA22" s="315">
        <v>3.9000816786556101E-3</v>
      </c>
      <c r="AC22"/>
      <c r="AD22" s="51"/>
      <c r="AE22" s="69"/>
      <c r="AF22" s="51"/>
      <c r="AG22" s="39"/>
      <c r="AI22" s="72"/>
      <c r="AJ22" s="72"/>
      <c r="AK22" s="72"/>
      <c r="AL22" s="72"/>
      <c r="AM22" s="72"/>
      <c r="AN22" s="72"/>
      <c r="AO22" s="5"/>
    </row>
    <row r="23" spans="1:44" x14ac:dyDescent="0.2">
      <c r="A23" s="2">
        <v>41153</v>
      </c>
      <c r="B23">
        <f t="shared" si="3"/>
        <v>2012</v>
      </c>
      <c r="C23">
        <f t="shared" si="4"/>
        <v>9</v>
      </c>
      <c r="D23" s="151">
        <f>Data!G22</f>
        <v>6409326.7700000005</v>
      </c>
      <c r="E23" s="151">
        <f>Data!H22</f>
        <v>32139.174490377161</v>
      </c>
      <c r="F23" s="151">
        <f>Data!I22</f>
        <v>6441465.9444903778</v>
      </c>
      <c r="G23" s="129">
        <f>Data!AR22</f>
        <v>21.500000000000004</v>
      </c>
      <c r="H23" s="129">
        <f>Data!AS22</f>
        <v>92.09999999999998</v>
      </c>
      <c r="I23" s="32">
        <f>Data!BW22</f>
        <v>1</v>
      </c>
      <c r="J23" s="32">
        <f>Data!AB22</f>
        <v>2404</v>
      </c>
      <c r="K23" s="32">
        <f>Data!BI22</f>
        <v>21</v>
      </c>
      <c r="L23" s="140">
        <f>Data!BZ22</f>
        <v>0</v>
      </c>
      <c r="M23" s="32">
        <f t="shared" si="5"/>
        <v>6309694.1840880392</v>
      </c>
      <c r="N23" s="32">
        <f t="shared" si="0"/>
        <v>6277555.0095976619</v>
      </c>
      <c r="O23" s="33">
        <f t="shared" si="1"/>
        <v>-131771.76040233858</v>
      </c>
      <c r="P23" s="50">
        <f t="shared" si="2"/>
        <v>2.0456796874793355E-2</v>
      </c>
      <c r="Q23" t="s">
        <v>27</v>
      </c>
      <c r="R23">
        <v>5173.3477246432603</v>
      </c>
      <c r="S23">
        <v>1194.64060921499</v>
      </c>
      <c r="T23">
        <v>4.3304636429886099</v>
      </c>
      <c r="U23" s="130">
        <v>3.02214640267163E-5</v>
      </c>
      <c r="W23" s="315" t="s">
        <v>27</v>
      </c>
      <c r="X23" s="315">
        <v>5095.3693580959898</v>
      </c>
      <c r="Y23" s="315">
        <v>1194.4667212147699</v>
      </c>
      <c r="Z23" s="315">
        <v>4.2658110666440399</v>
      </c>
      <c r="AA23" s="316">
        <v>3.89573467034949E-5</v>
      </c>
      <c r="AC23"/>
      <c r="AD23" s="51"/>
      <c r="AE23" s="69"/>
      <c r="AF23" s="51"/>
      <c r="AG23" s="39"/>
      <c r="AI23" s="72"/>
      <c r="AJ23" s="72"/>
      <c r="AK23" s="72"/>
      <c r="AL23" s="72"/>
      <c r="AM23" s="72"/>
      <c r="AN23" s="72"/>
      <c r="AO23" s="5"/>
    </row>
    <row r="24" spans="1:44" x14ac:dyDescent="0.2">
      <c r="A24" s="2">
        <v>41183</v>
      </c>
      <c r="B24">
        <f t="shared" si="3"/>
        <v>2012</v>
      </c>
      <c r="C24">
        <f t="shared" si="4"/>
        <v>10</v>
      </c>
      <c r="D24" s="151">
        <f>Data!G23</f>
        <v>6318161.7399999937</v>
      </c>
      <c r="E24" s="151">
        <f>Data!H23</f>
        <v>32139.174490377161</v>
      </c>
      <c r="F24" s="151">
        <f>Data!I23</f>
        <v>6350300.914490371</v>
      </c>
      <c r="G24" s="129">
        <f>Data!AR23</f>
        <v>130.50000000000003</v>
      </c>
      <c r="H24" s="129">
        <f>Data!AS23</f>
        <v>13.1</v>
      </c>
      <c r="I24" s="32">
        <f>Data!BW23</f>
        <v>1</v>
      </c>
      <c r="J24" s="32">
        <f>Data!AB23</f>
        <v>2413</v>
      </c>
      <c r="K24" s="32">
        <f>Data!BI23</f>
        <v>22</v>
      </c>
      <c r="L24" s="140">
        <f>Data!BZ23</f>
        <v>0</v>
      </c>
      <c r="M24" s="32">
        <f t="shared" si="5"/>
        <v>6325988.2117715329</v>
      </c>
      <c r="N24" s="32">
        <f t="shared" si="0"/>
        <v>6293849.0372811556</v>
      </c>
      <c r="O24" s="33">
        <f t="shared" si="1"/>
        <v>-24312.702718838118</v>
      </c>
      <c r="P24" s="50">
        <f t="shared" si="2"/>
        <v>3.8285906520367278E-3</v>
      </c>
      <c r="Q24" t="s">
        <v>36</v>
      </c>
      <c r="R24">
        <v>-12954.2092742026</v>
      </c>
      <c r="S24">
        <v>4812.4176390859202</v>
      </c>
      <c r="T24">
        <v>-2.6918298131463101</v>
      </c>
      <c r="U24" s="130">
        <v>8.0796885829575796E-3</v>
      </c>
      <c r="W24" s="315" t="s">
        <v>36</v>
      </c>
      <c r="X24" s="315">
        <v>-12670.260980515101</v>
      </c>
      <c r="Y24" s="315">
        <v>4811.7199068321797</v>
      </c>
      <c r="Z24" s="315">
        <v>-2.63320833835829</v>
      </c>
      <c r="AA24" s="316">
        <v>9.5258154177304492E-3</v>
      </c>
      <c r="AC24"/>
      <c r="AD24" s="51"/>
      <c r="AE24" s="69"/>
      <c r="AF24" s="51"/>
      <c r="AG24" s="39"/>
      <c r="AI24" s="204"/>
      <c r="AJ24" s="204"/>
      <c r="AK24" s="204"/>
      <c r="AL24" s="67"/>
      <c r="AM24" s="67"/>
      <c r="AN24" s="67"/>
      <c r="AO24" s="5"/>
    </row>
    <row r="25" spans="1:44" x14ac:dyDescent="0.2">
      <c r="A25" s="2">
        <v>41214</v>
      </c>
      <c r="B25">
        <f t="shared" si="3"/>
        <v>2012</v>
      </c>
      <c r="C25">
        <f t="shared" si="4"/>
        <v>11</v>
      </c>
      <c r="D25" s="151">
        <f>Data!G24</f>
        <v>6992291.2000000067</v>
      </c>
      <c r="E25" s="151">
        <f>Data!H24</f>
        <v>32139.174490377161</v>
      </c>
      <c r="F25" s="151">
        <f>Data!I24</f>
        <v>7024430.374490384</v>
      </c>
      <c r="G25" s="129">
        <f>Data!AR24</f>
        <v>313.99999999999994</v>
      </c>
      <c r="H25" s="129">
        <f>Data!AS24</f>
        <v>0</v>
      </c>
      <c r="I25" s="32">
        <f>Data!BW24</f>
        <v>1</v>
      </c>
      <c r="J25" s="32">
        <f>Data!AB24</f>
        <v>2417</v>
      </c>
      <c r="K25" s="32">
        <f>Data!BI24</f>
        <v>23</v>
      </c>
      <c r="L25" s="140">
        <f>Data!BZ24</f>
        <v>0</v>
      </c>
      <c r="M25" s="32">
        <f t="shared" si="5"/>
        <v>6899973.8966374574</v>
      </c>
      <c r="N25" s="32">
        <f t="shared" si="0"/>
        <v>6867834.7221470801</v>
      </c>
      <c r="O25" s="33">
        <f t="shared" si="1"/>
        <v>-124456.47785292659</v>
      </c>
      <c r="P25" s="50">
        <f t="shared" si="2"/>
        <v>1.7717661250497594E-2</v>
      </c>
      <c r="Q25" t="s">
        <v>53</v>
      </c>
      <c r="R25">
        <v>-668163.50917892903</v>
      </c>
      <c r="S25">
        <v>213311.81132094099</v>
      </c>
      <c r="T25">
        <v>-3.1323324528599801</v>
      </c>
      <c r="U25">
        <v>2.16039676437865E-3</v>
      </c>
      <c r="W25" s="315" t="s">
        <v>53</v>
      </c>
      <c r="X25" s="315">
        <v>-677886.28139511496</v>
      </c>
      <c r="Y25" s="315">
        <v>213280.44147183499</v>
      </c>
      <c r="Z25" s="315">
        <v>-3.1783799616929902</v>
      </c>
      <c r="AA25" s="315">
        <v>1.86680283319016E-3</v>
      </c>
      <c r="AC25" s="2"/>
      <c r="AD25" s="51"/>
      <c r="AE25" s="69"/>
      <c r="AF25" s="73"/>
      <c r="AG25" s="2"/>
      <c r="AH25" s="39"/>
      <c r="AK25" s="2"/>
      <c r="AL25" s="74"/>
      <c r="AM25" s="74"/>
      <c r="AN25" s="74"/>
      <c r="AO25" s="2"/>
      <c r="AP25" s="74"/>
      <c r="AQ25" s="74"/>
      <c r="AR25" s="5"/>
    </row>
    <row r="26" spans="1:44" x14ac:dyDescent="0.2">
      <c r="A26" s="2">
        <v>41244</v>
      </c>
      <c r="B26">
        <f t="shared" si="3"/>
        <v>2012</v>
      </c>
      <c r="C26">
        <f t="shared" si="4"/>
        <v>12</v>
      </c>
      <c r="D26" s="151">
        <f>Data!G25</f>
        <v>8346319.1100000069</v>
      </c>
      <c r="E26" s="151">
        <f>Data!H25</f>
        <v>32139.174490377161</v>
      </c>
      <c r="F26" s="151">
        <f>Data!I25</f>
        <v>8378458.2844903842</v>
      </c>
      <c r="G26" s="129">
        <f>Data!AR25</f>
        <v>409.50000000000006</v>
      </c>
      <c r="H26" s="129">
        <f>Data!AS25</f>
        <v>0</v>
      </c>
      <c r="I26" s="32">
        <f>Data!BW25</f>
        <v>0</v>
      </c>
      <c r="J26" s="32">
        <f>Data!AB25</f>
        <v>2425</v>
      </c>
      <c r="K26" s="32">
        <f>Data!BI25</f>
        <v>24</v>
      </c>
      <c r="L26" s="140">
        <f>Data!BZ25</f>
        <v>0</v>
      </c>
      <c r="M26" s="32">
        <f t="shared" si="5"/>
        <v>7544199.6273177434</v>
      </c>
      <c r="N26" s="32">
        <f t="shared" si="0"/>
        <v>7512060.4528273661</v>
      </c>
      <c r="O26" s="32">
        <f t="shared" si="1"/>
        <v>-834258.65717264079</v>
      </c>
      <c r="P26" s="50">
        <f t="shared" si="2"/>
        <v>9.9571857834150956E-2</v>
      </c>
      <c r="W26" s="315"/>
      <c r="X26" s="315"/>
      <c r="Y26" s="315"/>
      <c r="Z26" s="315"/>
      <c r="AA26" s="315"/>
      <c r="AC26" s="2"/>
      <c r="AD26" s="51"/>
      <c r="AE26" s="69"/>
      <c r="AF26" s="73"/>
      <c r="AG26" s="2"/>
      <c r="AH26" s="39"/>
      <c r="AK26" s="2"/>
      <c r="AL26" s="74"/>
      <c r="AM26" s="74"/>
      <c r="AN26" s="74"/>
      <c r="AO26" s="2"/>
      <c r="AP26" s="74"/>
      <c r="AQ26" s="74"/>
      <c r="AR26" s="5"/>
    </row>
    <row r="27" spans="1:44" x14ac:dyDescent="0.2">
      <c r="A27" s="2">
        <v>41275</v>
      </c>
      <c r="B27">
        <f t="shared" si="3"/>
        <v>2013</v>
      </c>
      <c r="C27">
        <f t="shared" si="4"/>
        <v>1</v>
      </c>
      <c r="D27" s="151">
        <f>Data!G26</f>
        <v>6992984.0799999973</v>
      </c>
      <c r="E27" s="151">
        <f>Data!H26</f>
        <v>64448.148935414909</v>
      </c>
      <c r="F27" s="151">
        <f>Data!I26</f>
        <v>7057432.2289354121</v>
      </c>
      <c r="G27" s="129">
        <f>Data!AR26</f>
        <v>500.50000000000006</v>
      </c>
      <c r="H27" s="129">
        <f>Data!AS26</f>
        <v>0</v>
      </c>
      <c r="I27" s="32">
        <f>Data!BW26</f>
        <v>0</v>
      </c>
      <c r="J27" s="32">
        <f>Data!AB26</f>
        <v>2432</v>
      </c>
      <c r="K27" s="32">
        <f>Data!BI26</f>
        <v>25</v>
      </c>
      <c r="L27" s="140">
        <f>Data!BZ26</f>
        <v>0</v>
      </c>
      <c r="M27" s="32">
        <f t="shared" si="5"/>
        <v>7880528.6238535801</v>
      </c>
      <c r="N27" s="32">
        <f t="shared" si="0"/>
        <v>7816080.4749181652</v>
      </c>
      <c r="O27" s="32">
        <f t="shared" si="1"/>
        <v>823096.39491816796</v>
      </c>
      <c r="P27" s="50">
        <f t="shared" si="2"/>
        <v>0.11662831015840007</v>
      </c>
      <c r="Q27" t="s">
        <v>140</v>
      </c>
      <c r="W27" s="315" t="s">
        <v>140</v>
      </c>
      <c r="X27" s="315"/>
      <c r="Y27" s="315"/>
      <c r="Z27" s="315"/>
      <c r="AA27" s="315"/>
      <c r="AC27" s="2"/>
      <c r="AD27" s="51"/>
      <c r="AE27" s="213"/>
      <c r="AF27" s="73"/>
      <c r="AG27" s="2"/>
      <c r="AH27" s="39"/>
      <c r="AK27" s="2"/>
      <c r="AL27" s="74"/>
      <c r="AM27" s="5"/>
      <c r="AN27" s="5"/>
      <c r="AO27" s="2"/>
      <c r="AP27" s="74"/>
      <c r="AQ27" s="5"/>
      <c r="AR27" s="5"/>
    </row>
    <row r="28" spans="1:44" x14ac:dyDescent="0.2">
      <c r="A28" s="2">
        <v>41306</v>
      </c>
      <c r="B28">
        <f t="shared" si="3"/>
        <v>2013</v>
      </c>
      <c r="C28">
        <f t="shared" si="4"/>
        <v>2</v>
      </c>
      <c r="D28" s="151">
        <f>Data!G27</f>
        <v>7528794.9500000002</v>
      </c>
      <c r="E28" s="151">
        <f>Data!H27</f>
        <v>64448.148935414909</v>
      </c>
      <c r="F28" s="151">
        <f>Data!I27</f>
        <v>7593243.098935415</v>
      </c>
      <c r="G28" s="129">
        <f>Data!AR27</f>
        <v>519.49999999999989</v>
      </c>
      <c r="H28" s="129">
        <f>Data!AS27</f>
        <v>0</v>
      </c>
      <c r="I28" s="32">
        <f>Data!BW27</f>
        <v>0</v>
      </c>
      <c r="J28" s="32">
        <f>Data!AB27</f>
        <v>2441</v>
      </c>
      <c r="K28" s="32">
        <f>Data!BI27</f>
        <v>26</v>
      </c>
      <c r="L28" s="140">
        <f>Data!BZ27</f>
        <v>0</v>
      </c>
      <c r="M28" s="32">
        <f t="shared" si="5"/>
        <v>7979500.7601782344</v>
      </c>
      <c r="N28" s="32">
        <f t="shared" si="0"/>
        <v>7915052.6112428196</v>
      </c>
      <c r="O28" s="32">
        <f t="shared" si="1"/>
        <v>386257.66124281939</v>
      </c>
      <c r="P28" s="50">
        <f t="shared" si="2"/>
        <v>5.0868602020258426E-2</v>
      </c>
      <c r="Q28" t="s">
        <v>141</v>
      </c>
      <c r="R28">
        <v>7441081.56000668</v>
      </c>
      <c r="S28" t="s">
        <v>142</v>
      </c>
      <c r="T28">
        <v>773534.21791930497</v>
      </c>
      <c r="W28" s="315" t="s">
        <v>141</v>
      </c>
      <c r="X28" s="315">
        <v>7439770.1888907803</v>
      </c>
      <c r="Y28" s="315" t="s">
        <v>142</v>
      </c>
      <c r="Z28" s="315">
        <v>772806.71759679995</v>
      </c>
      <c r="AA28" s="315"/>
      <c r="AC28" s="2"/>
      <c r="AD28" s="51"/>
      <c r="AE28" s="69"/>
      <c r="AF28" s="73"/>
      <c r="AG28" s="2"/>
      <c r="AH28" s="39"/>
      <c r="AK28" s="2"/>
      <c r="AL28" s="74"/>
      <c r="AM28" s="5"/>
      <c r="AN28" s="5"/>
      <c r="AO28" s="2"/>
      <c r="AP28" s="74"/>
      <c r="AQ28" s="5"/>
      <c r="AR28" s="5"/>
    </row>
    <row r="29" spans="1:44" x14ac:dyDescent="0.2">
      <c r="A29" s="2">
        <v>41334</v>
      </c>
      <c r="B29">
        <f t="shared" si="3"/>
        <v>2013</v>
      </c>
      <c r="C29">
        <f t="shared" si="4"/>
        <v>3</v>
      </c>
      <c r="D29" s="151">
        <f>Data!G28</f>
        <v>7671019.2299999977</v>
      </c>
      <c r="E29" s="151">
        <f>Data!H28</f>
        <v>64448.148935414909</v>
      </c>
      <c r="F29" s="151">
        <f>Data!I28</f>
        <v>7735467.3789354125</v>
      </c>
      <c r="G29" s="129">
        <f>Data!AR28</f>
        <v>430.8</v>
      </c>
      <c r="H29" s="129">
        <f>Data!AS28</f>
        <v>0</v>
      </c>
      <c r="I29" s="32">
        <f>Data!BW28</f>
        <v>0</v>
      </c>
      <c r="J29" s="32">
        <f>Data!AB28</f>
        <v>2459</v>
      </c>
      <c r="K29" s="32">
        <f>Data!BI28</f>
        <v>27</v>
      </c>
      <c r="L29" s="140">
        <f>Data!BZ28</f>
        <v>0</v>
      </c>
      <c r="M29" s="32">
        <f t="shared" si="5"/>
        <v>7754509.7906825617</v>
      </c>
      <c r="N29" s="32">
        <f t="shared" si="0"/>
        <v>7690061.6417471468</v>
      </c>
      <c r="O29" s="32">
        <f t="shared" si="1"/>
        <v>19042.411747149192</v>
      </c>
      <c r="P29" s="50">
        <f t="shared" si="2"/>
        <v>2.4617015125684479E-3</v>
      </c>
      <c r="Q29" t="s">
        <v>143</v>
      </c>
      <c r="R29">
        <v>24391432500431</v>
      </c>
      <c r="S29" t="s">
        <v>144</v>
      </c>
      <c r="T29">
        <v>441736.867380852</v>
      </c>
      <c r="W29" s="315" t="s">
        <v>143</v>
      </c>
      <c r="X29" s="315">
        <v>24381832010483</v>
      </c>
      <c r="Y29" s="315" t="s">
        <v>144</v>
      </c>
      <c r="Z29" s="315">
        <v>441649.92480907799</v>
      </c>
      <c r="AA29" s="315"/>
      <c r="AC29" s="2"/>
      <c r="AD29" s="51"/>
      <c r="AE29" s="69"/>
      <c r="AF29" s="73"/>
      <c r="AG29" s="2"/>
      <c r="AH29" s="39"/>
      <c r="AK29" s="2"/>
      <c r="AL29" s="74"/>
      <c r="AM29" s="5"/>
      <c r="AN29" s="5"/>
      <c r="AO29" s="2"/>
      <c r="AP29" s="74"/>
      <c r="AQ29" s="5"/>
      <c r="AR29" s="5"/>
    </row>
    <row r="30" spans="1:44" x14ac:dyDescent="0.2">
      <c r="A30" s="2">
        <v>41365</v>
      </c>
      <c r="B30">
        <f t="shared" si="3"/>
        <v>2013</v>
      </c>
      <c r="C30">
        <f t="shared" si="4"/>
        <v>4</v>
      </c>
      <c r="D30" s="151">
        <f>Data!G29</f>
        <v>6871568.5999999996</v>
      </c>
      <c r="E30" s="151">
        <f>Data!H29</f>
        <v>64448.148935414909</v>
      </c>
      <c r="F30" s="151">
        <f>Data!I29</f>
        <v>6936016.7489354145</v>
      </c>
      <c r="G30" s="129">
        <f>Data!AR29</f>
        <v>239.99999999999997</v>
      </c>
      <c r="H30" s="129">
        <f>Data!AS29</f>
        <v>1.4000000000000004</v>
      </c>
      <c r="I30" s="32">
        <f>Data!BW29</f>
        <v>0</v>
      </c>
      <c r="J30" s="32">
        <f>Data!AB29</f>
        <v>2464</v>
      </c>
      <c r="K30" s="32">
        <f>Data!BI29</f>
        <v>28</v>
      </c>
      <c r="L30" s="140">
        <f>Data!BZ29</f>
        <v>0</v>
      </c>
      <c r="M30" s="32">
        <f t="shared" si="5"/>
        <v>7117960.1832845388</v>
      </c>
      <c r="N30" s="32">
        <f t="shared" si="0"/>
        <v>7053512.0343491239</v>
      </c>
      <c r="O30" s="32">
        <f t="shared" si="1"/>
        <v>181943.43434912432</v>
      </c>
      <c r="P30" s="50">
        <f t="shared" si="2"/>
        <v>2.6231689013301501E-2</v>
      </c>
      <c r="Q30" t="s">
        <v>145</v>
      </c>
      <c r="R30">
        <v>0.68886490704106995</v>
      </c>
      <c r="S30" t="s">
        <v>146</v>
      </c>
      <c r="T30" s="130">
        <v>0.67393042257904101</v>
      </c>
      <c r="W30" s="315" t="s">
        <v>145</v>
      </c>
      <c r="X30" s="315">
        <v>0.688401738845417</v>
      </c>
      <c r="Y30" s="315" t="s">
        <v>146</v>
      </c>
      <c r="Z30" s="316">
        <v>0.67344502230999703</v>
      </c>
      <c r="AA30" s="315"/>
      <c r="AC30" s="2"/>
      <c r="AD30" s="51"/>
      <c r="AE30" s="213"/>
      <c r="AF30" s="73"/>
      <c r="AG30" s="2"/>
      <c r="AH30" s="39"/>
      <c r="AK30" s="2"/>
      <c r="AL30" s="74"/>
      <c r="AM30" s="5"/>
      <c r="AN30" s="5"/>
      <c r="AO30" s="2"/>
      <c r="AP30" s="74"/>
      <c r="AQ30" s="5"/>
      <c r="AR30" s="5"/>
    </row>
    <row r="31" spans="1:44" x14ac:dyDescent="0.2">
      <c r="A31" s="2">
        <v>41395</v>
      </c>
      <c r="B31">
        <f t="shared" si="3"/>
        <v>2013</v>
      </c>
      <c r="C31">
        <f t="shared" si="4"/>
        <v>5</v>
      </c>
      <c r="D31" s="151">
        <f>Data!G30</f>
        <v>6873417.9000000032</v>
      </c>
      <c r="E31" s="151">
        <f>Data!H30</f>
        <v>64448.148935414909</v>
      </c>
      <c r="F31" s="151">
        <f>Data!I30</f>
        <v>6937866.048935418</v>
      </c>
      <c r="G31" s="129">
        <f>Data!AR30</f>
        <v>45.1</v>
      </c>
      <c r="H31" s="129">
        <f>Data!AS30</f>
        <v>83.1</v>
      </c>
      <c r="I31" s="32">
        <f>Data!BW30</f>
        <v>0</v>
      </c>
      <c r="J31" s="32">
        <f>Data!AB30</f>
        <v>2462</v>
      </c>
      <c r="K31" s="32">
        <f>Data!BI30</f>
        <v>29</v>
      </c>
      <c r="L31" s="140">
        <f>Data!BZ30</f>
        <v>0</v>
      </c>
      <c r="M31" s="32">
        <f t="shared" si="5"/>
        <v>6829855.0475804592</v>
      </c>
      <c r="N31" s="32">
        <f t="shared" si="0"/>
        <v>6765406.8986450443</v>
      </c>
      <c r="O31" s="32">
        <f t="shared" si="1"/>
        <v>-108011.00135495886</v>
      </c>
      <c r="P31" s="50">
        <f t="shared" si="2"/>
        <v>1.5568331903947991E-2</v>
      </c>
      <c r="Q31" t="s">
        <v>295</v>
      </c>
      <c r="R31">
        <v>53.341621055279397</v>
      </c>
      <c r="S31" t="s">
        <v>148</v>
      </c>
      <c r="T31" s="130">
        <v>3.6442249671427301E-32</v>
      </c>
      <c r="W31" s="315" t="s">
        <v>295</v>
      </c>
      <c r="X31" s="315">
        <v>53.218325624543901</v>
      </c>
      <c r="Y31" s="315" t="s">
        <v>148</v>
      </c>
      <c r="Z31" s="316">
        <v>4.0383923664712798E-32</v>
      </c>
      <c r="AA31" s="315"/>
      <c r="AC31" s="2"/>
      <c r="AD31" s="51"/>
      <c r="AE31" s="69"/>
      <c r="AF31" s="73"/>
      <c r="AG31" s="2"/>
      <c r="AH31" s="39"/>
      <c r="AK31" s="2"/>
      <c r="AL31" s="74"/>
      <c r="AM31" s="5"/>
      <c r="AN31" s="5"/>
      <c r="AO31" s="2"/>
      <c r="AP31" s="74"/>
      <c r="AQ31" s="5"/>
      <c r="AR31" s="5"/>
    </row>
    <row r="32" spans="1:44" x14ac:dyDescent="0.2">
      <c r="A32" s="2">
        <v>41426</v>
      </c>
      <c r="B32">
        <f t="shared" si="3"/>
        <v>2013</v>
      </c>
      <c r="C32">
        <f t="shared" si="4"/>
        <v>6</v>
      </c>
      <c r="D32" s="151">
        <f>Data!G31</f>
        <v>6715915.2699999977</v>
      </c>
      <c r="E32" s="151">
        <f>Data!H31</f>
        <v>64448.148935414909</v>
      </c>
      <c r="F32" s="151">
        <f>Data!I31</f>
        <v>6780363.4189354125</v>
      </c>
      <c r="G32" s="129">
        <f>Data!AR31</f>
        <v>2.5999999999999996</v>
      </c>
      <c r="H32" s="129">
        <f>Data!AS31</f>
        <v>149.19999999999999</v>
      </c>
      <c r="I32" s="32">
        <f>Data!BW31</f>
        <v>0</v>
      </c>
      <c r="J32" s="32">
        <f>Data!AB31</f>
        <v>2453</v>
      </c>
      <c r="K32" s="32">
        <f>Data!BI31</f>
        <v>30</v>
      </c>
      <c r="L32" s="140">
        <f>Data!BZ31</f>
        <v>0</v>
      </c>
      <c r="M32" s="32">
        <f t="shared" si="5"/>
        <v>6952374.0103208814</v>
      </c>
      <c r="N32" s="32">
        <f t="shared" si="0"/>
        <v>6887925.8613854665</v>
      </c>
      <c r="O32" s="32">
        <f t="shared" si="1"/>
        <v>172010.59138546884</v>
      </c>
      <c r="P32" s="50">
        <f t="shared" si="2"/>
        <v>2.5368933898896572E-2</v>
      </c>
      <c r="Q32" t="s">
        <v>149</v>
      </c>
      <c r="R32">
        <v>-2.53867192764826E-3</v>
      </c>
      <c r="S32" t="s">
        <v>150</v>
      </c>
      <c r="T32">
        <v>1.9581784596908201</v>
      </c>
      <c r="W32" s="315" t="s">
        <v>149</v>
      </c>
      <c r="X32" s="315">
        <v>-2.50123868159357E-3</v>
      </c>
      <c r="Y32" s="315" t="s">
        <v>150</v>
      </c>
      <c r="Z32" s="315">
        <v>1.9576675850104199</v>
      </c>
      <c r="AA32" s="315"/>
      <c r="AC32" s="2"/>
      <c r="AD32" s="51"/>
      <c r="AE32" s="69"/>
      <c r="AF32" s="73"/>
      <c r="AG32" s="2"/>
      <c r="AH32" s="39"/>
      <c r="AK32" s="2"/>
      <c r="AL32" s="74"/>
      <c r="AM32" s="5"/>
      <c r="AN32" s="5"/>
      <c r="AO32" s="2"/>
      <c r="AP32" s="74"/>
      <c r="AQ32" s="5"/>
      <c r="AR32" s="5"/>
    </row>
    <row r="33" spans="1:47" x14ac:dyDescent="0.2">
      <c r="A33" s="2">
        <v>41456</v>
      </c>
      <c r="B33">
        <f t="shared" si="3"/>
        <v>2013</v>
      </c>
      <c r="C33">
        <f t="shared" si="4"/>
        <v>7</v>
      </c>
      <c r="D33" s="151">
        <f>Data!G32</f>
        <v>7529495.0199999996</v>
      </c>
      <c r="E33" s="151">
        <f>Data!H32</f>
        <v>64448.148935414909</v>
      </c>
      <c r="F33" s="151">
        <f>Data!I32</f>
        <v>7593943.1689354144</v>
      </c>
      <c r="G33" s="129">
        <f>Data!AR32</f>
        <v>0</v>
      </c>
      <c r="H33" s="129">
        <f>Data!AS32</f>
        <v>257.30000000000007</v>
      </c>
      <c r="I33" s="32">
        <f>Data!BW32</f>
        <v>0</v>
      </c>
      <c r="J33" s="32">
        <f>Data!AB32</f>
        <v>2456</v>
      </c>
      <c r="K33" s="32">
        <f>Data!BI32</f>
        <v>31</v>
      </c>
      <c r="L33" s="140">
        <f>Data!BZ32</f>
        <v>0</v>
      </c>
      <c r="M33" s="32">
        <f t="shared" si="5"/>
        <v>7482810.7721151114</v>
      </c>
      <c r="N33" s="32">
        <f t="shared" si="0"/>
        <v>7418362.6231796965</v>
      </c>
      <c r="O33" s="32">
        <f t="shared" si="1"/>
        <v>-111132.39682030305</v>
      </c>
      <c r="P33" s="50">
        <f t="shared" si="2"/>
        <v>1.4634346656018309E-2</v>
      </c>
      <c r="U33" s="130"/>
      <c r="AA33" s="130"/>
      <c r="AC33" s="2"/>
      <c r="AD33" s="51"/>
      <c r="AE33" s="213"/>
      <c r="AF33" s="73"/>
      <c r="AG33" s="2"/>
      <c r="AH33" s="39"/>
      <c r="AK33" s="2"/>
      <c r="AL33" s="74"/>
      <c r="AM33" s="5"/>
      <c r="AN33" s="5"/>
      <c r="AO33" s="2"/>
      <c r="AP33" s="74"/>
      <c r="AQ33" s="5"/>
      <c r="AR33" s="5"/>
    </row>
    <row r="34" spans="1:47" x14ac:dyDescent="0.2">
      <c r="A34" s="2">
        <v>41487</v>
      </c>
      <c r="B34">
        <f t="shared" si="3"/>
        <v>2013</v>
      </c>
      <c r="C34">
        <f t="shared" si="4"/>
        <v>8</v>
      </c>
      <c r="D34" s="151">
        <f>Data!G33</f>
        <v>7547300.5200000023</v>
      </c>
      <c r="E34" s="151">
        <f>Data!H33</f>
        <v>64448.148935414909</v>
      </c>
      <c r="F34" s="151">
        <f>Data!I33</f>
        <v>7611748.6689354172</v>
      </c>
      <c r="G34" s="129">
        <f>Data!AR33</f>
        <v>0</v>
      </c>
      <c r="H34" s="129">
        <f>Data!AS33</f>
        <v>213.4</v>
      </c>
      <c r="I34" s="32">
        <f>Data!BW33</f>
        <v>0</v>
      </c>
      <c r="J34" s="32">
        <f>Data!AB33</f>
        <v>2459</v>
      </c>
      <c r="K34" s="32">
        <f>Data!BI33</f>
        <v>32</v>
      </c>
      <c r="L34" s="140">
        <f>Data!BZ33</f>
        <v>0</v>
      </c>
      <c r="M34" s="32">
        <f t="shared" si="5"/>
        <v>7267372.7884678096</v>
      </c>
      <c r="N34" s="32">
        <f t="shared" si="0"/>
        <v>7202924.6395323947</v>
      </c>
      <c r="O34" s="32">
        <f t="shared" si="1"/>
        <v>-344375.88046760764</v>
      </c>
      <c r="P34" s="50">
        <f t="shared" si="2"/>
        <v>4.5242676216183081E-2</v>
      </c>
      <c r="U34" s="130"/>
      <c r="AA34" s="130"/>
      <c r="AC34" s="2"/>
      <c r="AD34" s="51"/>
      <c r="AE34" s="69"/>
      <c r="AF34" s="73"/>
      <c r="AG34" s="2"/>
      <c r="AH34" s="39"/>
      <c r="AK34" s="2"/>
      <c r="AL34" s="74"/>
      <c r="AM34" s="5"/>
      <c r="AN34" s="5"/>
      <c r="AO34" s="2"/>
      <c r="AP34" s="74"/>
      <c r="AQ34" s="5"/>
      <c r="AR34" s="5"/>
    </row>
    <row r="35" spans="1:47" x14ac:dyDescent="0.2">
      <c r="A35" s="2">
        <v>41518</v>
      </c>
      <c r="B35">
        <f t="shared" si="3"/>
        <v>2013</v>
      </c>
      <c r="C35">
        <f t="shared" si="4"/>
        <v>9</v>
      </c>
      <c r="D35" s="151">
        <f>Data!G34</f>
        <v>6186232.4199999981</v>
      </c>
      <c r="E35" s="151">
        <f>Data!H34</f>
        <v>64448.148935414909</v>
      </c>
      <c r="F35" s="151">
        <f>Data!I34</f>
        <v>6250680.5689354129</v>
      </c>
      <c r="G35" s="129">
        <f>Data!AR34</f>
        <v>22.099999999999998</v>
      </c>
      <c r="H35" s="129">
        <f>Data!AS34</f>
        <v>80.200000000000017</v>
      </c>
      <c r="I35" s="32">
        <f>Data!BW34</f>
        <v>1</v>
      </c>
      <c r="J35" s="32">
        <f>Data!AB34</f>
        <v>2460</v>
      </c>
      <c r="K35" s="32">
        <f>Data!BI34</f>
        <v>33</v>
      </c>
      <c r="L35" s="140">
        <f>Data!BZ34</f>
        <v>0</v>
      </c>
      <c r="M35" s="32">
        <f t="shared" si="5"/>
        <v>6386920.9127725326</v>
      </c>
      <c r="N35" s="32">
        <f t="shared" ref="N35:N66" si="6">M35-E35</f>
        <v>6322472.7638371177</v>
      </c>
      <c r="O35" s="32">
        <f t="shared" ref="O35:O66" si="7">+M35-F35</f>
        <v>136240.34383711964</v>
      </c>
      <c r="P35" s="50">
        <f t="shared" ref="P35:P66" si="8">ABS(O35/F35)</f>
        <v>2.179608161616927E-2</v>
      </c>
      <c r="U35" s="130"/>
      <c r="AA35" s="130"/>
      <c r="AC35" s="2"/>
      <c r="AD35" s="51"/>
      <c r="AE35" s="69"/>
      <c r="AF35" s="73"/>
      <c r="AG35" s="2"/>
      <c r="AH35" s="39"/>
      <c r="AK35" s="2"/>
      <c r="AL35" s="74"/>
      <c r="AM35" s="5"/>
      <c r="AN35" s="5"/>
      <c r="AO35" s="2"/>
      <c r="AP35" s="74"/>
      <c r="AQ35" s="39"/>
      <c r="AR35" s="5"/>
    </row>
    <row r="36" spans="1:47" x14ac:dyDescent="0.2">
      <c r="A36" s="2">
        <v>41548</v>
      </c>
      <c r="B36">
        <f t="shared" si="3"/>
        <v>2013</v>
      </c>
      <c r="C36">
        <f t="shared" si="4"/>
        <v>10</v>
      </c>
      <c r="D36" s="151">
        <f>Data!G35</f>
        <v>6762438.1099999994</v>
      </c>
      <c r="E36" s="151">
        <f>Data!H35</f>
        <v>64448.148935414909</v>
      </c>
      <c r="F36" s="151">
        <f>Data!I35</f>
        <v>6826886.2589354143</v>
      </c>
      <c r="G36" s="129">
        <f>Data!AR35</f>
        <v>115.4</v>
      </c>
      <c r="H36" s="129">
        <f>Data!AS35</f>
        <v>16.100000000000001</v>
      </c>
      <c r="I36" s="32">
        <f>Data!BW35</f>
        <v>1</v>
      </c>
      <c r="J36" s="32">
        <f>Data!AB35</f>
        <v>2463</v>
      </c>
      <c r="K36" s="32">
        <f>Data!BI35</f>
        <v>34</v>
      </c>
      <c r="L36" s="140">
        <f>Data!BZ35</f>
        <v>0</v>
      </c>
      <c r="M36" s="32">
        <f t="shared" si="5"/>
        <v>6392153.9017532505</v>
      </c>
      <c r="N36" s="32">
        <f t="shared" si="6"/>
        <v>6327705.7528178357</v>
      </c>
      <c r="O36" s="32">
        <f t="shared" si="7"/>
        <v>-434732.35718216375</v>
      </c>
      <c r="P36" s="50">
        <f t="shared" si="8"/>
        <v>6.3679449267689425E-2</v>
      </c>
      <c r="AC36" s="2"/>
      <c r="AD36" s="51"/>
      <c r="AF36" s="73"/>
      <c r="AG36" s="2"/>
      <c r="AH36" s="39"/>
      <c r="AK36" s="2"/>
      <c r="AL36" s="74"/>
      <c r="AM36" s="5"/>
      <c r="AN36" s="5"/>
      <c r="AO36" s="2"/>
      <c r="AP36" s="74"/>
      <c r="AQ36" s="5"/>
      <c r="AR36" s="5"/>
    </row>
    <row r="37" spans="1:47" x14ac:dyDescent="0.2">
      <c r="A37" s="2">
        <v>41579</v>
      </c>
      <c r="B37">
        <f t="shared" si="3"/>
        <v>2013</v>
      </c>
      <c r="C37">
        <f t="shared" si="4"/>
        <v>11</v>
      </c>
      <c r="D37" s="151">
        <f>Data!G36</f>
        <v>6874649.0500000017</v>
      </c>
      <c r="E37" s="151">
        <f>Data!H36</f>
        <v>64448.148935414909</v>
      </c>
      <c r="F37" s="151">
        <f>Data!I36</f>
        <v>6939097.1989354165</v>
      </c>
      <c r="G37" s="129">
        <f>Data!AR36</f>
        <v>358.20000000000005</v>
      </c>
      <c r="H37" s="129">
        <f>Data!AS36</f>
        <v>0</v>
      </c>
      <c r="I37" s="32">
        <f>Data!BW36</f>
        <v>1</v>
      </c>
      <c r="J37" s="32">
        <f>Data!AB36</f>
        <v>2472</v>
      </c>
      <c r="K37" s="32">
        <f>Data!BI36</f>
        <v>35</v>
      </c>
      <c r="L37" s="140">
        <f>Data!BZ36</f>
        <v>0</v>
      </c>
      <c r="M37" s="32">
        <f t="shared" si="5"/>
        <v>7181119.970760636</v>
      </c>
      <c r="N37" s="32">
        <f t="shared" si="6"/>
        <v>7116671.8218252212</v>
      </c>
      <c r="O37" s="32">
        <f t="shared" si="7"/>
        <v>242022.7718252195</v>
      </c>
      <c r="P37" s="50">
        <f t="shared" si="8"/>
        <v>3.4878135424064989E-2</v>
      </c>
      <c r="AC37" s="2"/>
      <c r="AG37" s="2"/>
      <c r="AK37" s="2"/>
      <c r="AL37" s="76"/>
      <c r="AM37" s="5"/>
      <c r="AN37" s="5"/>
      <c r="AO37" s="2"/>
      <c r="AP37" s="76"/>
      <c r="AQ37" s="71"/>
      <c r="AR37" s="5"/>
      <c r="AS37" s="29"/>
      <c r="AT37" s="29"/>
    </row>
    <row r="38" spans="1:47" x14ac:dyDescent="0.2">
      <c r="A38" s="2">
        <v>41609</v>
      </c>
      <c r="B38">
        <f t="shared" si="3"/>
        <v>2013</v>
      </c>
      <c r="C38">
        <f t="shared" si="4"/>
        <v>12</v>
      </c>
      <c r="D38" s="151">
        <f>Data!G37</f>
        <v>9468067.9800000042</v>
      </c>
      <c r="E38" s="151">
        <f>Data!H37</f>
        <v>64448.148935414909</v>
      </c>
      <c r="F38" s="151">
        <f>Data!I37</f>
        <v>9532516.128935419</v>
      </c>
      <c r="G38" s="129">
        <f>Data!AR37</f>
        <v>563.9</v>
      </c>
      <c r="H38" s="129">
        <f>Data!AS37</f>
        <v>0</v>
      </c>
      <c r="I38" s="32">
        <f>Data!BW37</f>
        <v>0</v>
      </c>
      <c r="J38" s="32">
        <f>Data!AB37</f>
        <v>2477</v>
      </c>
      <c r="K38" s="32">
        <f>Data!BI37</f>
        <v>36</v>
      </c>
      <c r="L38" s="140">
        <f>Data!BZ37</f>
        <v>0</v>
      </c>
      <c r="M38" s="32">
        <f t="shared" si="5"/>
        <v>8188949.7115139877</v>
      </c>
      <c r="N38" s="32">
        <f t="shared" si="6"/>
        <v>8124501.5625785729</v>
      </c>
      <c r="O38" s="32">
        <f t="shared" si="7"/>
        <v>-1343566.4174214313</v>
      </c>
      <c r="P38" s="50">
        <f t="shared" si="8"/>
        <v>0.14094562225214713</v>
      </c>
      <c r="AC38" s="2"/>
      <c r="AG38" s="2"/>
      <c r="AK38" s="2"/>
      <c r="AL38" s="76"/>
      <c r="AM38" s="5"/>
      <c r="AN38" s="5"/>
      <c r="AO38" s="2"/>
      <c r="AP38" s="76"/>
      <c r="AQ38" s="5"/>
      <c r="AR38" s="5"/>
      <c r="AS38" s="29"/>
      <c r="AT38" s="29"/>
    </row>
    <row r="39" spans="1:47" x14ac:dyDescent="0.2">
      <c r="A39" s="2">
        <v>41640</v>
      </c>
      <c r="B39">
        <f t="shared" si="3"/>
        <v>2014</v>
      </c>
      <c r="C39">
        <f t="shared" si="4"/>
        <v>1</v>
      </c>
      <c r="D39" s="151">
        <f>Data!G38</f>
        <v>7382347.2899999991</v>
      </c>
      <c r="E39" s="151">
        <f>Data!H38</f>
        <v>105551.56172052656</v>
      </c>
      <c r="F39" s="151">
        <f>Data!I38</f>
        <v>7487898.8517205259</v>
      </c>
      <c r="G39" s="129">
        <f>Data!AR38</f>
        <v>701.9000000000002</v>
      </c>
      <c r="H39" s="129">
        <f>Data!AS38</f>
        <v>0</v>
      </c>
      <c r="I39" s="32">
        <f>Data!BW38</f>
        <v>0</v>
      </c>
      <c r="J39" s="32">
        <f>Data!AB38</f>
        <v>2482</v>
      </c>
      <c r="K39" s="32">
        <f>Data!BI38</f>
        <v>37</v>
      </c>
      <c r="L39" s="140">
        <f>Data!BZ38</f>
        <v>0</v>
      </c>
      <c r="M39" s="32">
        <f t="shared" si="5"/>
        <v>8676627.3892122358</v>
      </c>
      <c r="N39" s="32">
        <f t="shared" si="6"/>
        <v>8571075.82749171</v>
      </c>
      <c r="O39" s="32">
        <f t="shared" si="7"/>
        <v>1188728.5374917099</v>
      </c>
      <c r="P39" s="50">
        <f t="shared" si="8"/>
        <v>0.15875328460380722</v>
      </c>
      <c r="U39" s="130"/>
      <c r="AA39" s="130"/>
      <c r="AC39" s="2"/>
      <c r="AG39" s="2"/>
      <c r="AK39" s="2"/>
      <c r="AL39" s="76"/>
      <c r="AM39" s="5"/>
      <c r="AN39" s="5"/>
      <c r="AO39" s="2"/>
      <c r="AP39" s="76"/>
      <c r="AQ39" s="5"/>
      <c r="AR39" s="5"/>
      <c r="AS39" s="29"/>
      <c r="AT39" s="29"/>
    </row>
    <row r="40" spans="1:47" x14ac:dyDescent="0.2">
      <c r="A40" s="2">
        <v>41671</v>
      </c>
      <c r="B40">
        <f t="shared" si="3"/>
        <v>2014</v>
      </c>
      <c r="C40">
        <f t="shared" si="4"/>
        <v>2</v>
      </c>
      <c r="D40" s="151">
        <f>Data!G39</f>
        <v>8397444.3799999971</v>
      </c>
      <c r="E40" s="151">
        <f>Data!H39</f>
        <v>105551.56172052656</v>
      </c>
      <c r="F40" s="151">
        <f>Data!I39</f>
        <v>8502995.9417205229</v>
      </c>
      <c r="G40" s="129">
        <f>Data!AR39</f>
        <v>625.09999999999991</v>
      </c>
      <c r="H40" s="129">
        <f>Data!AS39</f>
        <v>0</v>
      </c>
      <c r="I40" s="32">
        <f>Data!BW39</f>
        <v>0</v>
      </c>
      <c r="J40" s="32">
        <f>Data!AB39</f>
        <v>2488</v>
      </c>
      <c r="K40" s="32">
        <f>Data!BI39</f>
        <v>38</v>
      </c>
      <c r="L40" s="140">
        <f>Data!BZ39</f>
        <v>0</v>
      </c>
      <c r="M40" s="32">
        <f t="shared" si="5"/>
        <v>8430496.1402480584</v>
      </c>
      <c r="N40" s="32">
        <f t="shared" si="6"/>
        <v>8324944.5785275316</v>
      </c>
      <c r="O40" s="32">
        <f t="shared" si="7"/>
        <v>-72499.801472464576</v>
      </c>
      <c r="P40" s="50">
        <f t="shared" si="8"/>
        <v>8.5263831676949779E-3</v>
      </c>
      <c r="T40" s="130"/>
      <c r="U40" s="130"/>
      <c r="AC40" s="2"/>
      <c r="AG40" s="2"/>
      <c r="AK40" s="2"/>
      <c r="AL40" s="76"/>
      <c r="AM40" s="5"/>
      <c r="AN40" s="5"/>
      <c r="AO40" s="2"/>
      <c r="AP40" s="76"/>
      <c r="AQ40" s="5"/>
      <c r="AR40" s="5"/>
      <c r="AS40" s="29"/>
      <c r="AT40" s="29"/>
    </row>
    <row r="41" spans="1:47" x14ac:dyDescent="0.2">
      <c r="A41" s="2">
        <v>41699</v>
      </c>
      <c r="B41">
        <f t="shared" si="3"/>
        <v>2014</v>
      </c>
      <c r="C41">
        <f t="shared" si="4"/>
        <v>3</v>
      </c>
      <c r="D41" s="151">
        <f>Data!G40</f>
        <v>8130248.8600000041</v>
      </c>
      <c r="E41" s="151">
        <f>Data!H40</f>
        <v>105551.56172052656</v>
      </c>
      <c r="F41" s="151">
        <f>Data!I40</f>
        <v>8235800.4217205308</v>
      </c>
      <c r="G41" s="129">
        <f>Data!AR40</f>
        <v>566.6</v>
      </c>
      <c r="H41" s="129">
        <f>Data!AS40</f>
        <v>0</v>
      </c>
      <c r="I41" s="32">
        <f>Data!BW40</f>
        <v>0</v>
      </c>
      <c r="J41" s="32">
        <f>Data!AB40</f>
        <v>2489</v>
      </c>
      <c r="K41" s="32">
        <f>Data!BI40</f>
        <v>39</v>
      </c>
      <c r="L41" s="140">
        <f>Data!BZ40</f>
        <v>0</v>
      </c>
      <c r="M41" s="32">
        <f t="shared" si="5"/>
        <v>8221456.1397243673</v>
      </c>
      <c r="N41" s="32">
        <f t="shared" si="6"/>
        <v>8115904.5780038405</v>
      </c>
      <c r="O41" s="32">
        <f t="shared" si="7"/>
        <v>-14344.28199616354</v>
      </c>
      <c r="P41" s="50">
        <f t="shared" si="8"/>
        <v>1.7416985917158606E-3</v>
      </c>
      <c r="U41" s="130"/>
      <c r="AC41" s="2"/>
      <c r="AG41" s="2"/>
      <c r="AK41" s="2"/>
      <c r="AL41" s="76"/>
      <c r="AM41" s="5"/>
      <c r="AN41" s="5"/>
      <c r="AO41" s="2"/>
      <c r="AP41" s="76"/>
      <c r="AQ41" s="5"/>
      <c r="AR41" s="5"/>
      <c r="AS41" s="29"/>
      <c r="AT41" s="29"/>
    </row>
    <row r="42" spans="1:47" x14ac:dyDescent="0.2">
      <c r="A42" s="2">
        <v>41730</v>
      </c>
      <c r="B42">
        <f t="shared" si="3"/>
        <v>2014</v>
      </c>
      <c r="C42">
        <f t="shared" si="4"/>
        <v>4</v>
      </c>
      <c r="D42" s="151">
        <f>Data!G41</f>
        <v>7475909.6799999997</v>
      </c>
      <c r="E42" s="151">
        <f>Data!H41</f>
        <v>105551.56172052656</v>
      </c>
      <c r="F42" s="151">
        <f>Data!I41</f>
        <v>7581461.2417205265</v>
      </c>
      <c r="G42" s="129">
        <f>Data!AR41</f>
        <v>236.89999999999995</v>
      </c>
      <c r="H42" s="129">
        <f>Data!AS41</f>
        <v>0</v>
      </c>
      <c r="I42" s="32">
        <f>Data!BW41</f>
        <v>0</v>
      </c>
      <c r="J42" s="32">
        <f>Data!AB41</f>
        <v>2491</v>
      </c>
      <c r="K42" s="32">
        <f>Data!BI41</f>
        <v>40</v>
      </c>
      <c r="L42" s="140">
        <f>Data!BZ41</f>
        <v>0</v>
      </c>
      <c r="M42" s="32">
        <f t="shared" si="5"/>
        <v>7084572.7606042195</v>
      </c>
      <c r="N42" s="32">
        <f t="shared" si="6"/>
        <v>6979021.1988836927</v>
      </c>
      <c r="O42" s="32">
        <f t="shared" si="7"/>
        <v>-496888.48111630697</v>
      </c>
      <c r="P42" s="50">
        <f t="shared" si="8"/>
        <v>6.5539935544607991E-2</v>
      </c>
      <c r="U42" s="130"/>
      <c r="AC42" s="2"/>
      <c r="AG42" s="2"/>
      <c r="AK42" s="2"/>
      <c r="AL42" s="76"/>
      <c r="AM42" s="5"/>
      <c r="AN42" s="5"/>
      <c r="AO42" s="2"/>
      <c r="AP42" s="76"/>
      <c r="AQ42" s="5"/>
      <c r="AR42" s="5"/>
      <c r="AS42" s="29"/>
      <c r="AT42" s="29"/>
    </row>
    <row r="43" spans="1:47" x14ac:dyDescent="0.2">
      <c r="A43" s="2">
        <v>41760</v>
      </c>
      <c r="B43">
        <f t="shared" si="3"/>
        <v>2014</v>
      </c>
      <c r="C43">
        <f t="shared" si="4"/>
        <v>5</v>
      </c>
      <c r="D43" s="151">
        <f>Data!G42</f>
        <v>6796663.4799999958</v>
      </c>
      <c r="E43" s="151">
        <f>Data!H42</f>
        <v>105551.56172052656</v>
      </c>
      <c r="F43" s="151">
        <f>Data!I42</f>
        <v>6902215.0417205226</v>
      </c>
      <c r="G43" s="129">
        <f>Data!AR42</f>
        <v>46.599999999999994</v>
      </c>
      <c r="H43" s="129">
        <f>Data!AS42</f>
        <v>50.400000000000006</v>
      </c>
      <c r="I43" s="32">
        <f>Data!BW42</f>
        <v>0</v>
      </c>
      <c r="J43" s="32">
        <f>Data!AB42</f>
        <v>2495</v>
      </c>
      <c r="K43" s="32">
        <f>Data!BI42</f>
        <v>41</v>
      </c>
      <c r="L43" s="140">
        <f>Data!BZ42</f>
        <v>0</v>
      </c>
      <c r="M43" s="32">
        <f t="shared" si="5"/>
        <v>6687899.970424816</v>
      </c>
      <c r="N43" s="32">
        <f t="shared" si="6"/>
        <v>6582348.4087042892</v>
      </c>
      <c r="O43" s="32">
        <f t="shared" si="7"/>
        <v>-214315.07129570656</v>
      </c>
      <c r="P43" s="50">
        <f t="shared" si="8"/>
        <v>3.1050187512309674E-2</v>
      </c>
      <c r="X43" s="130"/>
      <c r="AC43" s="2"/>
      <c r="AG43" s="2"/>
      <c r="AK43" s="2"/>
      <c r="AL43" s="76"/>
      <c r="AM43" s="5"/>
      <c r="AN43" s="5"/>
      <c r="AO43" s="2"/>
      <c r="AP43" s="76"/>
      <c r="AQ43" s="5"/>
      <c r="AR43" s="5"/>
      <c r="AS43" s="29"/>
      <c r="AT43" s="29"/>
    </row>
    <row r="44" spans="1:47" x14ac:dyDescent="0.2">
      <c r="A44" s="2">
        <v>41791</v>
      </c>
      <c r="B44">
        <f t="shared" si="3"/>
        <v>2014</v>
      </c>
      <c r="C44">
        <f t="shared" si="4"/>
        <v>6</v>
      </c>
      <c r="D44" s="151">
        <f>Data!G43</f>
        <v>6448751.459999999</v>
      </c>
      <c r="E44" s="151">
        <f>Data!H43</f>
        <v>105551.56172052656</v>
      </c>
      <c r="F44" s="151">
        <f>Data!I43</f>
        <v>6554303.0217205258</v>
      </c>
      <c r="G44" s="129">
        <f>Data!AR43</f>
        <v>0</v>
      </c>
      <c r="H44" s="129">
        <f>Data!AS43</f>
        <v>174</v>
      </c>
      <c r="I44" s="32">
        <f>Data!BW43</f>
        <v>0</v>
      </c>
      <c r="J44" s="32">
        <f>Data!AB43</f>
        <v>2502</v>
      </c>
      <c r="K44" s="32">
        <f>Data!BI43</f>
        <v>42</v>
      </c>
      <c r="L44" s="140">
        <f>Data!BZ43</f>
        <v>0</v>
      </c>
      <c r="M44" s="32">
        <f t="shared" si="5"/>
        <v>7164627.4631165834</v>
      </c>
      <c r="N44" s="32">
        <f t="shared" si="6"/>
        <v>7059075.9013960566</v>
      </c>
      <c r="O44" s="32">
        <f t="shared" si="7"/>
        <v>610324.44139605761</v>
      </c>
      <c r="P44" s="50">
        <f t="shared" si="8"/>
        <v>9.311813008545422E-2</v>
      </c>
      <c r="U44" s="130"/>
      <c r="Z44" s="130"/>
      <c r="AC44" s="2"/>
      <c r="AG44" s="2"/>
      <c r="AK44" s="2"/>
      <c r="AL44" s="76"/>
      <c r="AM44" s="5"/>
      <c r="AN44" s="5"/>
      <c r="AO44" s="2"/>
      <c r="AP44" s="76"/>
      <c r="AQ44" s="5"/>
      <c r="AR44" s="5"/>
      <c r="AS44" s="29"/>
      <c r="AT44" s="29"/>
    </row>
    <row r="45" spans="1:47" x14ac:dyDescent="0.2">
      <c r="A45" s="2">
        <v>41821</v>
      </c>
      <c r="B45">
        <f t="shared" si="3"/>
        <v>2014</v>
      </c>
      <c r="C45">
        <f t="shared" si="4"/>
        <v>7</v>
      </c>
      <c r="D45" s="151">
        <f>Data!G44</f>
        <v>7390493.370000002</v>
      </c>
      <c r="E45" s="151">
        <f>Data!H44</f>
        <v>105551.56172052656</v>
      </c>
      <c r="F45" s="151">
        <f>Data!I44</f>
        <v>7496044.9317205288</v>
      </c>
      <c r="G45" s="129">
        <f>Data!AR44</f>
        <v>0</v>
      </c>
      <c r="H45" s="129">
        <f>Data!AS44</f>
        <v>190.99999999999997</v>
      </c>
      <c r="I45" s="32">
        <f>Data!BW44</f>
        <v>0</v>
      </c>
      <c r="J45" s="32">
        <f>Data!AB44</f>
        <v>2512</v>
      </c>
      <c r="K45" s="32">
        <f>Data!BI44</f>
        <v>43</v>
      </c>
      <c r="L45" s="140">
        <f>Data!BZ44</f>
        <v>0</v>
      </c>
      <c r="M45" s="32">
        <f t="shared" si="5"/>
        <v>7287827.3438063404</v>
      </c>
      <c r="N45" s="32">
        <f t="shared" si="6"/>
        <v>7182275.7820858136</v>
      </c>
      <c r="O45" s="32">
        <f t="shared" si="7"/>
        <v>-208217.58791418839</v>
      </c>
      <c r="P45" s="50">
        <f t="shared" si="8"/>
        <v>2.777699304243595E-2</v>
      </c>
      <c r="R45" s="130"/>
      <c r="U45" s="130"/>
      <c r="Z45" s="130"/>
      <c r="AC45" s="2"/>
      <c r="AG45" s="2"/>
      <c r="AK45" s="2"/>
      <c r="AL45" s="76"/>
      <c r="AM45" s="5"/>
      <c r="AN45" s="5"/>
      <c r="AO45" s="2"/>
      <c r="AP45" s="76"/>
      <c r="AQ45" s="5"/>
      <c r="AR45" s="5"/>
      <c r="AS45" s="29"/>
      <c r="AT45" s="29"/>
    </row>
    <row r="46" spans="1:47" x14ac:dyDescent="0.2">
      <c r="A46" s="2">
        <v>41852</v>
      </c>
      <c r="B46">
        <f t="shared" si="3"/>
        <v>2014</v>
      </c>
      <c r="C46">
        <f t="shared" si="4"/>
        <v>8</v>
      </c>
      <c r="D46" s="151">
        <f>Data!G45</f>
        <v>6944132.1800000006</v>
      </c>
      <c r="E46" s="151">
        <f>Data!H45</f>
        <v>105551.56172052656</v>
      </c>
      <c r="F46" s="151">
        <f>Data!I45</f>
        <v>7049683.7417205274</v>
      </c>
      <c r="G46" s="129">
        <f>Data!AR45</f>
        <v>0</v>
      </c>
      <c r="H46" s="129">
        <f>Data!AS45</f>
        <v>197</v>
      </c>
      <c r="I46" s="32">
        <f>Data!BW45</f>
        <v>0</v>
      </c>
      <c r="J46" s="32">
        <f>Data!AB45</f>
        <v>2521</v>
      </c>
      <c r="K46" s="32">
        <f>Data!BI45</f>
        <v>44</v>
      </c>
      <c r="L46" s="140">
        <f>Data!BZ45</f>
        <v>0</v>
      </c>
      <c r="M46" s="32">
        <f t="shared" si="5"/>
        <v>7351228.7744248211</v>
      </c>
      <c r="N46" s="32">
        <f t="shared" si="6"/>
        <v>7245677.2127042944</v>
      </c>
      <c r="O46" s="32">
        <f t="shared" si="7"/>
        <v>301545.03270429373</v>
      </c>
      <c r="P46" s="50">
        <f t="shared" si="8"/>
        <v>4.277426388927618E-2</v>
      </c>
      <c r="T46" s="130"/>
      <c r="U46" s="130"/>
      <c r="AC46" s="2"/>
      <c r="AG46" s="2"/>
      <c r="AK46" s="2"/>
      <c r="AL46" s="76"/>
      <c r="AM46" s="5"/>
      <c r="AN46" s="5"/>
      <c r="AO46" s="2"/>
      <c r="AP46" s="76"/>
      <c r="AQ46" s="5"/>
      <c r="AR46" s="5"/>
      <c r="AS46" s="29"/>
      <c r="AT46" s="29"/>
      <c r="AU46" s="29"/>
    </row>
    <row r="47" spans="1:47" x14ac:dyDescent="0.2">
      <c r="A47" s="2">
        <v>41883</v>
      </c>
      <c r="B47">
        <f t="shared" si="3"/>
        <v>2014</v>
      </c>
      <c r="C47">
        <f t="shared" si="4"/>
        <v>9</v>
      </c>
      <c r="D47" s="151">
        <f>Data!G46</f>
        <v>6510451.410000002</v>
      </c>
      <c r="E47" s="151">
        <f>Data!H46</f>
        <v>105551.56172052656</v>
      </c>
      <c r="F47" s="151">
        <f>Data!I46</f>
        <v>6616002.9717205288</v>
      </c>
      <c r="G47" s="129">
        <f>Data!AR46</f>
        <v>20.5</v>
      </c>
      <c r="H47" s="129">
        <f>Data!AS46</f>
        <v>100.89999999999998</v>
      </c>
      <c r="I47" s="32">
        <f>Data!BW46</f>
        <v>1</v>
      </c>
      <c r="J47" s="32">
        <f>Data!AB46</f>
        <v>2528</v>
      </c>
      <c r="K47" s="32">
        <f>Data!BI46</f>
        <v>45</v>
      </c>
      <c r="L47" s="140">
        <f>Data!BZ46</f>
        <v>0</v>
      </c>
      <c r="M47" s="32">
        <f t="shared" si="5"/>
        <v>6680548.0340782991</v>
      </c>
      <c r="N47" s="32">
        <f t="shared" si="6"/>
        <v>6574996.4723577723</v>
      </c>
      <c r="O47" s="32">
        <f t="shared" si="7"/>
        <v>64545.062357770279</v>
      </c>
      <c r="P47" s="50">
        <f t="shared" si="8"/>
        <v>9.7558998437065354E-3</v>
      </c>
      <c r="AC47" s="2"/>
      <c r="AG47" s="2"/>
      <c r="AK47" s="2"/>
      <c r="AL47" s="76"/>
      <c r="AM47" s="5"/>
      <c r="AN47" s="5"/>
      <c r="AO47" s="2"/>
      <c r="AP47" s="76"/>
      <c r="AQ47" s="5"/>
      <c r="AR47" s="5"/>
      <c r="AS47" s="29"/>
      <c r="AT47" s="29"/>
    </row>
    <row r="48" spans="1:47" x14ac:dyDescent="0.2">
      <c r="A48" s="2">
        <v>41913</v>
      </c>
      <c r="B48">
        <f t="shared" si="3"/>
        <v>2014</v>
      </c>
      <c r="C48">
        <f t="shared" si="4"/>
        <v>10</v>
      </c>
      <c r="D48" s="151">
        <f>Data!G47</f>
        <v>6792373.7300000032</v>
      </c>
      <c r="E48" s="151">
        <f>Data!H47</f>
        <v>105551.56172052656</v>
      </c>
      <c r="F48" s="151">
        <f>Data!I47</f>
        <v>6897925.29172053</v>
      </c>
      <c r="G48" s="129">
        <f>Data!AR47</f>
        <v>117.8</v>
      </c>
      <c r="H48" s="129">
        <f>Data!AS47</f>
        <v>18.800000000000004</v>
      </c>
      <c r="I48" s="32">
        <f>Data!BW47</f>
        <v>1</v>
      </c>
      <c r="J48" s="32">
        <f>Data!AB47</f>
        <v>2530</v>
      </c>
      <c r="K48" s="32">
        <f>Data!BI47</f>
        <v>46</v>
      </c>
      <c r="L48" s="140">
        <f>Data!BZ47</f>
        <v>0</v>
      </c>
      <c r="M48" s="32">
        <f t="shared" si="5"/>
        <v>6604982.4528695028</v>
      </c>
      <c r="N48" s="32">
        <f t="shared" si="6"/>
        <v>6499430.8911489761</v>
      </c>
      <c r="O48" s="32">
        <f t="shared" si="7"/>
        <v>-292942.83885102719</v>
      </c>
      <c r="P48" s="50">
        <f t="shared" si="8"/>
        <v>4.2468253346066506E-2</v>
      </c>
      <c r="AC48" s="2"/>
      <c r="AG48" s="2"/>
      <c r="AK48" s="2"/>
      <c r="AL48" s="76"/>
      <c r="AM48" s="5"/>
      <c r="AN48" s="5"/>
      <c r="AO48" s="2"/>
      <c r="AP48" s="76"/>
      <c r="AQ48" s="5"/>
      <c r="AR48" s="5"/>
      <c r="AS48" s="29"/>
      <c r="AT48" s="29"/>
    </row>
    <row r="49" spans="1:46" x14ac:dyDescent="0.2">
      <c r="A49" s="2">
        <v>41944</v>
      </c>
      <c r="B49">
        <f t="shared" si="3"/>
        <v>2014</v>
      </c>
      <c r="C49">
        <f t="shared" si="4"/>
        <v>11</v>
      </c>
      <c r="D49" s="151">
        <f>Data!G48</f>
        <v>7187665.7199999969</v>
      </c>
      <c r="E49" s="151">
        <f>Data!H48</f>
        <v>105551.56172052656</v>
      </c>
      <c r="F49" s="151">
        <f>Data!I48</f>
        <v>7293217.2817205237</v>
      </c>
      <c r="G49" s="129">
        <f>Data!AR48</f>
        <v>362.10000000000008</v>
      </c>
      <c r="H49" s="129">
        <f>Data!AS48</f>
        <v>0</v>
      </c>
      <c r="I49" s="32">
        <f>Data!BW48</f>
        <v>1</v>
      </c>
      <c r="J49" s="32">
        <f>Data!AB48</f>
        <v>2539</v>
      </c>
      <c r="K49" s="32">
        <f>Data!BI48</f>
        <v>47</v>
      </c>
      <c r="L49" s="140">
        <f>Data!BZ48</f>
        <v>0</v>
      </c>
      <c r="M49" s="32">
        <f t="shared" si="5"/>
        <v>7385701.032952914</v>
      </c>
      <c r="N49" s="32">
        <f t="shared" si="6"/>
        <v>7280149.4712323872</v>
      </c>
      <c r="O49" s="32">
        <f t="shared" si="7"/>
        <v>92483.751232390292</v>
      </c>
      <c r="P49" s="50">
        <f t="shared" si="8"/>
        <v>1.2680789240187383E-2</v>
      </c>
      <c r="AC49" s="2"/>
      <c r="AG49" s="2"/>
      <c r="AK49" s="2"/>
      <c r="AL49" s="76"/>
      <c r="AM49" s="5"/>
      <c r="AN49" s="5"/>
      <c r="AO49" s="2"/>
      <c r="AP49" s="76"/>
      <c r="AQ49" s="5"/>
      <c r="AR49" s="5"/>
      <c r="AS49" s="29"/>
      <c r="AT49" s="29"/>
    </row>
    <row r="50" spans="1:46" x14ac:dyDescent="0.2">
      <c r="A50" s="2">
        <v>41974</v>
      </c>
      <c r="B50">
        <f t="shared" si="3"/>
        <v>2014</v>
      </c>
      <c r="C50">
        <f t="shared" si="4"/>
        <v>12</v>
      </c>
      <c r="D50" s="151">
        <f>Data!G49</f>
        <v>8927945.1699999962</v>
      </c>
      <c r="E50" s="151">
        <f>Data!H49</f>
        <v>105551.56172052656</v>
      </c>
      <c r="F50" s="151">
        <f>Data!I49</f>
        <v>9033496.731720522</v>
      </c>
      <c r="G50" s="129">
        <f>Data!AR49</f>
        <v>433.30000000000007</v>
      </c>
      <c r="H50" s="129">
        <f>Data!AS49</f>
        <v>0</v>
      </c>
      <c r="I50" s="32">
        <f>Data!BW49</f>
        <v>0</v>
      </c>
      <c r="J50" s="32">
        <f>Data!AB49</f>
        <v>2544</v>
      </c>
      <c r="K50" s="32">
        <f>Data!BI49</f>
        <v>48</v>
      </c>
      <c r="L50" s="140">
        <f>Data!BZ49</f>
        <v>0</v>
      </c>
      <c r="M50" s="32">
        <f t="shared" si="5"/>
        <v>7930806.7704238622</v>
      </c>
      <c r="N50" s="32">
        <f t="shared" si="6"/>
        <v>7825255.2087033354</v>
      </c>
      <c r="O50" s="32">
        <f t="shared" si="7"/>
        <v>-1102689.9612966599</v>
      </c>
      <c r="P50" s="50">
        <f t="shared" si="8"/>
        <v>0.12206679141473949</v>
      </c>
      <c r="AC50" s="2"/>
      <c r="AG50" s="2"/>
      <c r="AK50" s="2"/>
      <c r="AL50" s="76"/>
      <c r="AM50" s="5"/>
      <c r="AN50" s="5"/>
      <c r="AO50" s="2"/>
      <c r="AP50" s="76"/>
      <c r="AQ50" s="5"/>
      <c r="AR50" s="5"/>
      <c r="AS50" s="29"/>
      <c r="AT50" s="29"/>
    </row>
    <row r="51" spans="1:46" x14ac:dyDescent="0.2">
      <c r="A51" s="2">
        <v>42005</v>
      </c>
      <c r="B51">
        <f t="shared" si="3"/>
        <v>2015</v>
      </c>
      <c r="C51">
        <f t="shared" si="4"/>
        <v>1</v>
      </c>
      <c r="D51" s="151">
        <f>Data!G50</f>
        <v>8967430.3132530134</v>
      </c>
      <c r="E51" s="151">
        <f>Data!H50</f>
        <v>194937.46716045527</v>
      </c>
      <c r="F51" s="151">
        <f>Data!I50</f>
        <v>9162367.7804134693</v>
      </c>
      <c r="G51" s="129">
        <f>Data!AR50</f>
        <v>668.39999999999986</v>
      </c>
      <c r="H51" s="129">
        <f>Data!AS50</f>
        <v>0</v>
      </c>
      <c r="I51" s="32">
        <f>Data!BW50</f>
        <v>0</v>
      </c>
      <c r="J51" s="32">
        <f>Data!AB50</f>
        <v>2548</v>
      </c>
      <c r="K51" s="32">
        <f>Data!BI50</f>
        <v>49</v>
      </c>
      <c r="L51" s="140">
        <f>Data!BZ50</f>
        <v>0</v>
      </c>
      <c r="M51" s="32">
        <f t="shared" si="5"/>
        <v>8747366.8678229023</v>
      </c>
      <c r="N51" s="32">
        <f t="shared" si="6"/>
        <v>8552429.4006624464</v>
      </c>
      <c r="O51" s="32">
        <f t="shared" si="7"/>
        <v>-415000.91259056702</v>
      </c>
      <c r="P51" s="50">
        <f t="shared" si="8"/>
        <v>4.5294068360552026E-2</v>
      </c>
      <c r="T51" s="130"/>
      <c r="AC51" s="2"/>
      <c r="AG51" s="2"/>
      <c r="AK51" s="2"/>
      <c r="AL51" s="76"/>
      <c r="AM51" s="5"/>
      <c r="AN51" s="5"/>
      <c r="AO51" s="2"/>
      <c r="AP51" s="76"/>
      <c r="AQ51" s="5"/>
      <c r="AR51" s="5"/>
      <c r="AS51" s="29"/>
      <c r="AT51" s="29"/>
    </row>
    <row r="52" spans="1:46" x14ac:dyDescent="0.2">
      <c r="A52" s="2">
        <v>42036</v>
      </c>
      <c r="B52">
        <f t="shared" si="3"/>
        <v>2015</v>
      </c>
      <c r="C52">
        <f t="shared" si="4"/>
        <v>2</v>
      </c>
      <c r="D52" s="151">
        <f>Data!G51</f>
        <v>8632890.5734939743</v>
      </c>
      <c r="E52" s="151">
        <f>Data!H51</f>
        <v>194937.46716045527</v>
      </c>
      <c r="F52" s="151">
        <f>Data!I51</f>
        <v>8827828.0406544302</v>
      </c>
      <c r="G52" s="129">
        <f>Data!AR51</f>
        <v>744.79999999999984</v>
      </c>
      <c r="H52" s="129">
        <f>Data!AS51</f>
        <v>0</v>
      </c>
      <c r="I52" s="32">
        <f>Data!BW51</f>
        <v>0</v>
      </c>
      <c r="J52" s="32">
        <f>Data!AB51</f>
        <v>2555</v>
      </c>
      <c r="K52" s="32">
        <f>Data!BI51</f>
        <v>50</v>
      </c>
      <c r="L52" s="140">
        <f>Data!BZ51</f>
        <v>0</v>
      </c>
      <c r="M52" s="32">
        <f t="shared" si="5"/>
        <v>9033467.0877942555</v>
      </c>
      <c r="N52" s="32">
        <f t="shared" si="6"/>
        <v>8838529.6206337996</v>
      </c>
      <c r="O52" s="32">
        <f t="shared" si="7"/>
        <v>205639.0471398253</v>
      </c>
      <c r="P52" s="50">
        <f t="shared" si="8"/>
        <v>2.3294410153075516E-2</v>
      </c>
      <c r="T52" s="130"/>
      <c r="AC52" s="2"/>
      <c r="AG52" s="2"/>
      <c r="AK52" s="2"/>
      <c r="AL52" s="76"/>
      <c r="AM52" s="5"/>
      <c r="AN52" s="5"/>
      <c r="AO52" s="2"/>
      <c r="AP52" s="76"/>
      <c r="AQ52" s="5"/>
      <c r="AR52" s="5"/>
      <c r="AS52" s="29"/>
      <c r="AT52" s="29"/>
    </row>
    <row r="53" spans="1:46" x14ac:dyDescent="0.2">
      <c r="A53" s="2">
        <v>42064</v>
      </c>
      <c r="B53">
        <f t="shared" si="3"/>
        <v>2015</v>
      </c>
      <c r="C53">
        <f t="shared" si="4"/>
        <v>3</v>
      </c>
      <c r="D53" s="151">
        <f>Data!G52</f>
        <v>8240875.3638554187</v>
      </c>
      <c r="E53" s="151">
        <f>Data!H52</f>
        <v>194937.46716045527</v>
      </c>
      <c r="F53" s="151">
        <f>Data!I52</f>
        <v>8435812.8310158737</v>
      </c>
      <c r="G53" s="129">
        <f>Data!AR52</f>
        <v>491.5</v>
      </c>
      <c r="H53" s="129">
        <f>Data!AS52</f>
        <v>0</v>
      </c>
      <c r="I53" s="32">
        <f>Data!BW52</f>
        <v>0</v>
      </c>
      <c r="J53" s="32">
        <f>Data!AB52</f>
        <v>2553</v>
      </c>
      <c r="K53" s="32">
        <f>Data!BI52</f>
        <v>51</v>
      </c>
      <c r="L53" s="140">
        <f>Data!BZ52</f>
        <v>0</v>
      </c>
      <c r="M53" s="32">
        <f t="shared" si="5"/>
        <v>8138731.3129485874</v>
      </c>
      <c r="N53" s="32">
        <f t="shared" si="6"/>
        <v>7943793.8457881324</v>
      </c>
      <c r="O53" s="32">
        <f t="shared" si="7"/>
        <v>-297081.51806728635</v>
      </c>
      <c r="P53" s="50">
        <f t="shared" si="8"/>
        <v>3.5216703359634713E-2</v>
      </c>
      <c r="AC53" s="2"/>
      <c r="AG53" s="2"/>
      <c r="AK53" s="2"/>
      <c r="AL53" s="76"/>
      <c r="AM53" s="5"/>
      <c r="AN53" s="5"/>
      <c r="AO53" s="2"/>
      <c r="AP53" s="76"/>
      <c r="AQ53" s="5"/>
      <c r="AR53" s="5"/>
      <c r="AS53" s="29"/>
      <c r="AT53" s="29"/>
    </row>
    <row r="54" spans="1:46" x14ac:dyDescent="0.2">
      <c r="A54" s="2">
        <v>42095</v>
      </c>
      <c r="B54">
        <f t="shared" si="3"/>
        <v>2015</v>
      </c>
      <c r="C54">
        <f t="shared" si="4"/>
        <v>4</v>
      </c>
      <c r="D54" s="151">
        <f>Data!G53</f>
        <v>7175293.9469879493</v>
      </c>
      <c r="E54" s="151">
        <f>Data!H53</f>
        <v>194937.46716045527</v>
      </c>
      <c r="F54" s="151">
        <f>Data!I53</f>
        <v>7370231.4141484043</v>
      </c>
      <c r="G54" s="129">
        <f>Data!AR53</f>
        <v>195.89999999999998</v>
      </c>
      <c r="H54" s="129">
        <f>Data!AS53</f>
        <v>2.1999999999999993</v>
      </c>
      <c r="I54" s="32">
        <f>Data!BW53</f>
        <v>0</v>
      </c>
      <c r="J54" s="32">
        <f>Data!AB53</f>
        <v>2549</v>
      </c>
      <c r="K54" s="32">
        <f>Data!BI53</f>
        <v>52</v>
      </c>
      <c r="L54" s="140">
        <f>Data!BZ53</f>
        <v>0</v>
      </c>
      <c r="M54" s="32">
        <f t="shared" si="5"/>
        <v>7099048.0241724346</v>
      </c>
      <c r="N54" s="32">
        <f t="shared" si="6"/>
        <v>6904110.5570119796</v>
      </c>
      <c r="O54" s="32">
        <f t="shared" si="7"/>
        <v>-271183.38997596968</v>
      </c>
      <c r="P54" s="50">
        <f t="shared" si="8"/>
        <v>3.6794419976472835E-2</v>
      </c>
      <c r="AC54" s="2"/>
      <c r="AG54" s="2"/>
      <c r="AK54" s="2"/>
      <c r="AL54" s="76"/>
      <c r="AM54" s="5"/>
      <c r="AN54" s="5"/>
      <c r="AO54" s="2"/>
      <c r="AP54" s="76"/>
      <c r="AQ54" s="5"/>
      <c r="AR54" s="5"/>
      <c r="AS54" s="29"/>
      <c r="AT54" s="29"/>
    </row>
    <row r="55" spans="1:46" x14ac:dyDescent="0.2">
      <c r="A55" s="2">
        <v>42125</v>
      </c>
      <c r="B55">
        <f t="shared" si="3"/>
        <v>2015</v>
      </c>
      <c r="C55">
        <f t="shared" si="4"/>
        <v>5</v>
      </c>
      <c r="D55" s="151">
        <f>Data!G54</f>
        <v>6882245.3012048155</v>
      </c>
      <c r="E55" s="151">
        <f>Data!H54</f>
        <v>194937.46716045527</v>
      </c>
      <c r="F55" s="151">
        <f>Data!I54</f>
        <v>7077182.7683652705</v>
      </c>
      <c r="G55" s="129">
        <f>Data!AR54</f>
        <v>31.1</v>
      </c>
      <c r="H55" s="129">
        <f>Data!AS54</f>
        <v>99.9</v>
      </c>
      <c r="I55" s="32">
        <f>Data!BW54</f>
        <v>0</v>
      </c>
      <c r="J55" s="32">
        <f>Data!AB54</f>
        <v>2546</v>
      </c>
      <c r="K55" s="32">
        <f>Data!BI54</f>
        <v>53</v>
      </c>
      <c r="L55" s="140">
        <f>Data!BZ54</f>
        <v>0</v>
      </c>
      <c r="M55" s="32">
        <f t="shared" si="5"/>
        <v>6988778.0826408137</v>
      </c>
      <c r="N55" s="32">
        <f t="shared" si="6"/>
        <v>6793840.6154803587</v>
      </c>
      <c r="O55" s="32">
        <f t="shared" si="7"/>
        <v>-88404.685724456795</v>
      </c>
      <c r="P55" s="50">
        <f t="shared" si="8"/>
        <v>1.2491508078556665E-2</v>
      </c>
      <c r="AC55" s="2"/>
      <c r="AG55" s="2"/>
      <c r="AK55" s="2"/>
      <c r="AL55" s="76"/>
      <c r="AM55" s="5"/>
      <c r="AN55" s="5"/>
      <c r="AO55" s="2"/>
      <c r="AP55" s="76"/>
      <c r="AQ55" s="5"/>
      <c r="AR55" s="5"/>
      <c r="AS55" s="29"/>
      <c r="AT55" s="29"/>
    </row>
    <row r="56" spans="1:46" x14ac:dyDescent="0.2">
      <c r="A56" s="2">
        <v>42156</v>
      </c>
      <c r="B56">
        <f t="shared" si="3"/>
        <v>2015</v>
      </c>
      <c r="C56">
        <f t="shared" si="4"/>
        <v>6</v>
      </c>
      <c r="D56" s="151">
        <f>Data!G55</f>
        <v>6719082.4385542162</v>
      </c>
      <c r="E56" s="151">
        <f>Data!H55</f>
        <v>194937.46716045527</v>
      </c>
      <c r="F56" s="151">
        <f>Data!I55</f>
        <v>6914019.9057146711</v>
      </c>
      <c r="G56" s="129">
        <f>Data!AR55</f>
        <v>2.9999999999999982</v>
      </c>
      <c r="H56" s="129">
        <f>Data!AS55</f>
        <v>121.5</v>
      </c>
      <c r="I56" s="32">
        <f>Data!BW55</f>
        <v>0</v>
      </c>
      <c r="J56" s="32">
        <f>Data!AB55</f>
        <v>2547</v>
      </c>
      <c r="K56" s="32">
        <f>Data!BI55</f>
        <v>54</v>
      </c>
      <c r="L56" s="140">
        <f>Data!BZ55</f>
        <v>0</v>
      </c>
      <c r="M56" s="32">
        <f t="shared" si="5"/>
        <v>6991587.8651756458</v>
      </c>
      <c r="N56" s="32">
        <f t="shared" si="6"/>
        <v>6796650.3980151908</v>
      </c>
      <c r="O56" s="32">
        <f t="shared" si="7"/>
        <v>77567.959460974671</v>
      </c>
      <c r="P56" s="50">
        <f t="shared" si="8"/>
        <v>1.1218937827596089E-2</v>
      </c>
      <c r="AC56" s="2"/>
      <c r="AG56" s="2"/>
      <c r="AK56" s="2"/>
      <c r="AL56" s="76"/>
      <c r="AM56" s="5"/>
      <c r="AN56" s="5"/>
      <c r="AO56" s="2"/>
      <c r="AP56" s="76"/>
      <c r="AQ56" s="5"/>
      <c r="AR56" s="5"/>
      <c r="AS56" s="29"/>
      <c r="AT56" s="29"/>
    </row>
    <row r="57" spans="1:46" x14ac:dyDescent="0.2">
      <c r="A57" s="2">
        <v>42186</v>
      </c>
      <c r="B57">
        <f t="shared" si="3"/>
        <v>2015</v>
      </c>
      <c r="C57">
        <f t="shared" si="4"/>
        <v>7</v>
      </c>
      <c r="D57" s="151">
        <f>Data!G56</f>
        <v>7642373.2048192788</v>
      </c>
      <c r="E57" s="151">
        <f>Data!H56</f>
        <v>194937.46716045527</v>
      </c>
      <c r="F57" s="151">
        <f>Data!I56</f>
        <v>7837310.6719797337</v>
      </c>
      <c r="G57" s="129">
        <f>Data!AR56</f>
        <v>0</v>
      </c>
      <c r="H57" s="129">
        <f>Data!AS56</f>
        <v>234.3</v>
      </c>
      <c r="I57" s="32">
        <f>Data!BW56</f>
        <v>0</v>
      </c>
      <c r="J57" s="32">
        <f>Data!AB56</f>
        <v>2538</v>
      </c>
      <c r="K57" s="32">
        <f>Data!BI56</f>
        <v>55</v>
      </c>
      <c r="L57" s="140">
        <f>Data!BZ56</f>
        <v>0</v>
      </c>
      <c r="M57" s="32">
        <f t="shared" si="5"/>
        <v>7481908.1398665756</v>
      </c>
      <c r="N57" s="32">
        <f t="shared" si="6"/>
        <v>7286970.6727061206</v>
      </c>
      <c r="O57" s="32">
        <f t="shared" si="7"/>
        <v>-355402.53211315814</v>
      </c>
      <c r="P57" s="50">
        <f t="shared" si="8"/>
        <v>4.5347511026174764E-2</v>
      </c>
      <c r="AC57" s="2"/>
      <c r="AG57" s="2"/>
      <c r="AK57" s="2"/>
      <c r="AL57" s="76"/>
      <c r="AM57" s="5"/>
      <c r="AN57" s="5"/>
      <c r="AO57" s="2"/>
      <c r="AP57" s="76"/>
      <c r="AQ57" s="5"/>
      <c r="AR57" s="5"/>
      <c r="AS57" s="29"/>
      <c r="AT57" s="29"/>
    </row>
    <row r="58" spans="1:46" x14ac:dyDescent="0.2">
      <c r="A58" s="2">
        <v>42217</v>
      </c>
      <c r="B58">
        <f t="shared" si="3"/>
        <v>2015</v>
      </c>
      <c r="C58">
        <f t="shared" si="4"/>
        <v>8</v>
      </c>
      <c r="D58" s="151">
        <f>Data!G57</f>
        <v>7190501.1855421662</v>
      </c>
      <c r="E58" s="151">
        <f>Data!H57</f>
        <v>194937.46716045527</v>
      </c>
      <c r="F58" s="151">
        <f>Data!I57</f>
        <v>7385438.6527026212</v>
      </c>
      <c r="G58" s="129">
        <f>Data!AR57</f>
        <v>0</v>
      </c>
      <c r="H58" s="129">
        <f>Data!AS57</f>
        <v>208.20000000000002</v>
      </c>
      <c r="I58" s="32">
        <f>Data!BW57</f>
        <v>0</v>
      </c>
      <c r="J58" s="32">
        <f>Data!AB57</f>
        <v>2537</v>
      </c>
      <c r="K58" s="32">
        <f>Data!BI57</f>
        <v>56</v>
      </c>
      <c r="L58" s="140">
        <f>Data!BZ57</f>
        <v>0</v>
      </c>
      <c r="M58" s="32">
        <f t="shared" si="5"/>
        <v>7334170.1127543468</v>
      </c>
      <c r="N58" s="32">
        <f t="shared" si="6"/>
        <v>7139232.6455938919</v>
      </c>
      <c r="O58" s="32">
        <f t="shared" si="7"/>
        <v>-51268.539948274381</v>
      </c>
      <c r="P58" s="50">
        <f t="shared" si="8"/>
        <v>6.9418408789453847E-3</v>
      </c>
      <c r="AC58" s="2"/>
      <c r="AG58" s="2"/>
      <c r="AK58" s="2"/>
      <c r="AL58" s="76"/>
      <c r="AM58" s="5"/>
      <c r="AN58" s="5"/>
      <c r="AO58" s="2"/>
      <c r="AP58" s="76"/>
      <c r="AQ58" s="5"/>
      <c r="AR58" s="5"/>
      <c r="AS58" s="29"/>
      <c r="AT58" s="29"/>
    </row>
    <row r="59" spans="1:46" x14ac:dyDescent="0.2">
      <c r="A59" s="2">
        <v>42248</v>
      </c>
      <c r="B59">
        <f t="shared" si="3"/>
        <v>2015</v>
      </c>
      <c r="C59">
        <f t="shared" si="4"/>
        <v>9</v>
      </c>
      <c r="D59" s="151">
        <f>Data!G58</f>
        <v>7066672.2313253004</v>
      </c>
      <c r="E59" s="151">
        <f>Data!H58</f>
        <v>194937.46716045527</v>
      </c>
      <c r="F59" s="151">
        <f>Data!I58</f>
        <v>7261609.6984857554</v>
      </c>
      <c r="G59" s="129">
        <f>Data!AR58</f>
        <v>3.2999999999999989</v>
      </c>
      <c r="H59" s="129">
        <f>Data!AS58</f>
        <v>174.09999999999997</v>
      </c>
      <c r="I59" s="32">
        <f>Data!BW58</f>
        <v>1</v>
      </c>
      <c r="J59" s="32">
        <f>Data!AB58</f>
        <v>2544</v>
      </c>
      <c r="K59" s="32">
        <f>Data!BI58</f>
        <v>57</v>
      </c>
      <c r="L59" s="140">
        <f>Data!BZ58</f>
        <v>0</v>
      </c>
      <c r="M59" s="32">
        <f t="shared" si="5"/>
        <v>6912202.6857214905</v>
      </c>
      <c r="N59" s="32">
        <f t="shared" si="6"/>
        <v>6717265.2185610356</v>
      </c>
      <c r="O59" s="32">
        <f t="shared" si="7"/>
        <v>-349407.01276426483</v>
      </c>
      <c r="P59" s="50">
        <f t="shared" si="8"/>
        <v>4.8117019128296822E-2</v>
      </c>
      <c r="AC59" s="2"/>
      <c r="AG59" s="2"/>
      <c r="AK59" s="2"/>
      <c r="AL59" s="76"/>
      <c r="AM59" s="5"/>
      <c r="AN59" s="5"/>
      <c r="AO59" s="2"/>
      <c r="AP59" s="76"/>
      <c r="AQ59" s="5"/>
      <c r="AR59" s="5"/>
      <c r="AS59" s="29"/>
      <c r="AT59" s="29"/>
    </row>
    <row r="60" spans="1:46" x14ac:dyDescent="0.2">
      <c r="A60" s="2">
        <v>42278</v>
      </c>
      <c r="B60">
        <f t="shared" si="3"/>
        <v>2015</v>
      </c>
      <c r="C60">
        <f t="shared" si="4"/>
        <v>10</v>
      </c>
      <c r="D60" s="151">
        <f>Data!G59</f>
        <v>6796226.5349397603</v>
      </c>
      <c r="E60" s="151">
        <f>Data!H59</f>
        <v>194937.46716045527</v>
      </c>
      <c r="F60" s="151">
        <f>Data!I59</f>
        <v>6991164.0021002153</v>
      </c>
      <c r="G60" s="129">
        <f>Data!AR59</f>
        <v>135.30000000000001</v>
      </c>
      <c r="H60" s="129">
        <f>Data!AS59</f>
        <v>9.4999999999999982</v>
      </c>
      <c r="I60" s="32">
        <f>Data!BW59</f>
        <v>1</v>
      </c>
      <c r="J60" s="32">
        <f>Data!AB59</f>
        <v>2557</v>
      </c>
      <c r="K60" s="32">
        <f>Data!BI59</f>
        <v>58</v>
      </c>
      <c r="L60" s="140">
        <f>Data!BZ59</f>
        <v>0</v>
      </c>
      <c r="M60" s="32">
        <f t="shared" si="5"/>
        <v>6603235.014403698</v>
      </c>
      <c r="N60" s="32">
        <f t="shared" si="6"/>
        <v>6408297.5472432431</v>
      </c>
      <c r="O60" s="32">
        <f t="shared" si="7"/>
        <v>-387928.98769651726</v>
      </c>
      <c r="P60" s="50">
        <f t="shared" si="8"/>
        <v>5.5488469098991175E-2</v>
      </c>
      <c r="AC60" s="2"/>
      <c r="AG60" s="2"/>
      <c r="AK60" s="2"/>
      <c r="AL60" s="76"/>
      <c r="AM60" s="5"/>
      <c r="AN60" s="5"/>
      <c r="AO60" s="2"/>
      <c r="AP60" s="76"/>
      <c r="AQ60" s="5"/>
      <c r="AR60" s="5"/>
      <c r="AS60" s="29"/>
      <c r="AT60" s="29"/>
    </row>
    <row r="61" spans="1:46" x14ac:dyDescent="0.2">
      <c r="A61" s="2">
        <v>42309</v>
      </c>
      <c r="B61">
        <f t="shared" si="3"/>
        <v>2015</v>
      </c>
      <c r="C61">
        <f t="shared" si="4"/>
        <v>11</v>
      </c>
      <c r="D61" s="151">
        <f>Data!G60</f>
        <v>6323671.9614457851</v>
      </c>
      <c r="E61" s="151">
        <f>Data!H60</f>
        <v>194937.46716045527</v>
      </c>
      <c r="F61" s="151">
        <f>Data!I60</f>
        <v>6518609.4286062401</v>
      </c>
      <c r="G61" s="129">
        <f>Data!AR60</f>
        <v>227.2</v>
      </c>
      <c r="H61" s="129">
        <f>Data!AS60</f>
        <v>2.1999999999999993</v>
      </c>
      <c r="I61" s="32">
        <f>Data!BW60</f>
        <v>1</v>
      </c>
      <c r="J61" s="32">
        <f>Data!AB60</f>
        <v>2574</v>
      </c>
      <c r="K61" s="32">
        <f>Data!BI60</f>
        <v>59</v>
      </c>
      <c r="L61" s="140">
        <f>Data!BZ60</f>
        <v>0</v>
      </c>
      <c r="M61" s="32">
        <f t="shared" si="5"/>
        <v>6958142.5783471381</v>
      </c>
      <c r="N61" s="32">
        <f t="shared" si="6"/>
        <v>6763205.1111866832</v>
      </c>
      <c r="O61" s="32">
        <f t="shared" si="7"/>
        <v>439533.14974089805</v>
      </c>
      <c r="P61" s="50">
        <f t="shared" si="8"/>
        <v>6.742744055381697E-2</v>
      </c>
      <c r="AC61" s="2"/>
      <c r="AL61" s="5"/>
      <c r="AM61" s="5"/>
      <c r="AN61" s="5"/>
      <c r="AO61" s="5"/>
      <c r="AP61" s="5"/>
      <c r="AQ61" s="5"/>
      <c r="AS61" s="29"/>
      <c r="AT61" s="29"/>
    </row>
    <row r="62" spans="1:46" x14ac:dyDescent="0.2">
      <c r="A62" s="2">
        <v>42339</v>
      </c>
      <c r="B62">
        <f t="shared" si="3"/>
        <v>2015</v>
      </c>
      <c r="C62">
        <f t="shared" si="4"/>
        <v>12</v>
      </c>
      <c r="D62" s="151">
        <f>Data!G61</f>
        <v>6695925.5710843336</v>
      </c>
      <c r="E62" s="151">
        <f>Data!H61</f>
        <v>194937.46716045527</v>
      </c>
      <c r="F62" s="151">
        <f>Data!I61</f>
        <v>6890863.0382447885</v>
      </c>
      <c r="G62" s="129">
        <f>Data!AR61</f>
        <v>305.7</v>
      </c>
      <c r="H62" s="129">
        <f>Data!AS61</f>
        <v>0</v>
      </c>
      <c r="I62" s="32">
        <f>Data!BW61</f>
        <v>0</v>
      </c>
      <c r="J62" s="32">
        <f>Data!AB61</f>
        <v>2574</v>
      </c>
      <c r="K62" s="32">
        <f>Data!BI61</f>
        <v>60</v>
      </c>
      <c r="L62" s="140">
        <f>Data!BZ61</f>
        <v>0</v>
      </c>
      <c r="M62" s="32">
        <f t="shared" si="5"/>
        <v>7491570.9450077843</v>
      </c>
      <c r="N62" s="32">
        <f t="shared" si="6"/>
        <v>7296633.4778473293</v>
      </c>
      <c r="O62" s="32">
        <f t="shared" si="7"/>
        <v>600707.90676299576</v>
      </c>
      <c r="P62" s="50">
        <f t="shared" si="8"/>
        <v>8.7174553235062638E-2</v>
      </c>
      <c r="AC62" s="2"/>
      <c r="AL62" s="5"/>
      <c r="AM62" s="5"/>
      <c r="AN62" s="5"/>
      <c r="AO62" s="5"/>
      <c r="AP62" s="5"/>
    </row>
    <row r="63" spans="1:46" x14ac:dyDescent="0.2">
      <c r="A63" s="2">
        <v>42370</v>
      </c>
      <c r="B63">
        <f t="shared" si="3"/>
        <v>2016</v>
      </c>
      <c r="C63">
        <f t="shared" si="4"/>
        <v>1</v>
      </c>
      <c r="D63" s="151">
        <f>Data!G62</f>
        <v>8357389.1277108472</v>
      </c>
      <c r="E63" s="151">
        <f>Data!H62</f>
        <v>331866.97414415696</v>
      </c>
      <c r="F63" s="151">
        <f>Data!I62</f>
        <v>8689256.1018550042</v>
      </c>
      <c r="G63" s="129">
        <f>Data!AR62</f>
        <v>546.4</v>
      </c>
      <c r="H63" s="129">
        <f>Data!AS62</f>
        <v>0</v>
      </c>
      <c r="I63" s="32">
        <f>Data!BW62</f>
        <v>0</v>
      </c>
      <c r="J63" s="32">
        <f>Data!AB62</f>
        <v>2571</v>
      </c>
      <c r="K63" s="32">
        <f>Data!BI62</f>
        <v>61</v>
      </c>
      <c r="L63" s="140">
        <f>Data!BZ62</f>
        <v>0</v>
      </c>
      <c r="M63" s="32">
        <f t="shared" si="5"/>
        <v>8291183.440441248</v>
      </c>
      <c r="N63" s="32">
        <f t="shared" si="6"/>
        <v>7959316.466297091</v>
      </c>
      <c r="O63" s="32">
        <f t="shared" si="7"/>
        <v>-398072.6614137562</v>
      </c>
      <c r="P63" s="50">
        <f t="shared" si="8"/>
        <v>4.5812053039704356E-2</v>
      </c>
    </row>
    <row r="64" spans="1:46" x14ac:dyDescent="0.2">
      <c r="A64" s="2">
        <v>42401</v>
      </c>
      <c r="B64">
        <f t="shared" si="3"/>
        <v>2016</v>
      </c>
      <c r="C64">
        <f t="shared" si="4"/>
        <v>2</v>
      </c>
      <c r="D64" s="151">
        <f>Data!G63</f>
        <v>8192805.8506024061</v>
      </c>
      <c r="E64" s="151">
        <f>Data!H63</f>
        <v>331866.97414415696</v>
      </c>
      <c r="F64" s="151">
        <f>Data!I63</f>
        <v>8524672.8247465622</v>
      </c>
      <c r="G64" s="129">
        <f>Data!AR63</f>
        <v>472.40000000000009</v>
      </c>
      <c r="H64" s="129">
        <f>Data!AS63</f>
        <v>0</v>
      </c>
      <c r="I64" s="32">
        <f>Data!BW63</f>
        <v>0</v>
      </c>
      <c r="J64" s="32">
        <f>Data!AB63</f>
        <v>2577</v>
      </c>
      <c r="K64" s="32">
        <f>Data!BI63</f>
        <v>62</v>
      </c>
      <c r="L64" s="140">
        <f>Data!BZ63</f>
        <v>0</v>
      </c>
      <c r="M64" s="32">
        <f t="shared" si="5"/>
        <v>8054685.1075305333</v>
      </c>
      <c r="N64" s="32">
        <f t="shared" si="6"/>
        <v>7722818.1333863763</v>
      </c>
      <c r="O64" s="32">
        <f t="shared" si="7"/>
        <v>-469987.71721602883</v>
      </c>
      <c r="P64" s="50">
        <f t="shared" si="8"/>
        <v>5.5132639912195282E-2</v>
      </c>
    </row>
    <row r="65" spans="1:16" x14ac:dyDescent="0.2">
      <c r="A65" s="2">
        <v>42430</v>
      </c>
      <c r="B65">
        <f t="shared" si="3"/>
        <v>2016</v>
      </c>
      <c r="C65">
        <f t="shared" si="4"/>
        <v>3</v>
      </c>
      <c r="D65" s="151">
        <f>Data!G64</f>
        <v>7702210.1783132562</v>
      </c>
      <c r="E65" s="151">
        <f>Data!H64</f>
        <v>331866.97414415696</v>
      </c>
      <c r="F65" s="151">
        <f>Data!I64</f>
        <v>8034077.1524574133</v>
      </c>
      <c r="G65" s="129">
        <f>Data!AR64</f>
        <v>352.09999999999985</v>
      </c>
      <c r="H65" s="129">
        <f>Data!AS64</f>
        <v>0</v>
      </c>
      <c r="I65" s="32">
        <f>Data!BW64</f>
        <v>0</v>
      </c>
      <c r="J65" s="32">
        <f>Data!AB64</f>
        <v>2605</v>
      </c>
      <c r="K65" s="32">
        <f>Data!BI64</f>
        <v>63</v>
      </c>
      <c r="L65" s="140">
        <f>Data!BZ64</f>
        <v>0</v>
      </c>
      <c r="M65" s="32">
        <f t="shared" si="5"/>
        <v>7772713.2769636428</v>
      </c>
      <c r="N65" s="32">
        <f t="shared" si="6"/>
        <v>7440846.3028194858</v>
      </c>
      <c r="O65" s="32">
        <f t="shared" si="7"/>
        <v>-261363.87549377047</v>
      </c>
      <c r="P65" s="50">
        <f t="shared" si="8"/>
        <v>3.253191007928348E-2</v>
      </c>
    </row>
    <row r="66" spans="1:16" x14ac:dyDescent="0.2">
      <c r="A66" s="2">
        <v>42461</v>
      </c>
      <c r="B66">
        <f t="shared" si="3"/>
        <v>2016</v>
      </c>
      <c r="C66">
        <f t="shared" si="4"/>
        <v>4</v>
      </c>
      <c r="D66" s="151">
        <f>Data!G65</f>
        <v>7574603.3349397629</v>
      </c>
      <c r="E66" s="151">
        <f>Data!H65</f>
        <v>331866.97414415696</v>
      </c>
      <c r="F66" s="151">
        <f>Data!I65</f>
        <v>7906470.30908392</v>
      </c>
      <c r="G66" s="129">
        <f>Data!AR65</f>
        <v>277.10000000000008</v>
      </c>
      <c r="H66" s="129">
        <f>Data!AS65</f>
        <v>2.3000000000000007</v>
      </c>
      <c r="I66" s="32">
        <f>Data!BW65</f>
        <v>0</v>
      </c>
      <c r="J66" s="32">
        <f>Data!AB65</f>
        <v>2601</v>
      </c>
      <c r="K66" s="32">
        <f>Data!BI65</f>
        <v>64</v>
      </c>
      <c r="L66" s="140">
        <f>Data!BZ65</f>
        <v>0</v>
      </c>
      <c r="M66" s="32">
        <f t="shared" si="5"/>
        <v>7492462.7519533876</v>
      </c>
      <c r="N66" s="32">
        <f t="shared" si="6"/>
        <v>7160595.7778092306</v>
      </c>
      <c r="O66" s="32">
        <f t="shared" si="7"/>
        <v>-414007.55713053234</v>
      </c>
      <c r="P66" s="50">
        <f t="shared" si="8"/>
        <v>5.2363133098074097E-2</v>
      </c>
    </row>
    <row r="67" spans="1:16" x14ac:dyDescent="0.2">
      <c r="A67" s="2">
        <v>42491</v>
      </c>
      <c r="B67">
        <f t="shared" si="3"/>
        <v>2016</v>
      </c>
      <c r="C67">
        <f t="shared" si="4"/>
        <v>5</v>
      </c>
      <c r="D67" s="151">
        <f>Data!G66</f>
        <v>6410930.6313253017</v>
      </c>
      <c r="E67" s="151">
        <f>Data!H66</f>
        <v>331866.97414415696</v>
      </c>
      <c r="F67" s="151">
        <f>Data!I66</f>
        <v>6742797.6054694587</v>
      </c>
      <c r="G67" s="129">
        <f>Data!AR66</f>
        <v>66.599999999999994</v>
      </c>
      <c r="H67" s="129">
        <f>Data!AS66</f>
        <v>85</v>
      </c>
      <c r="I67" s="32">
        <f>Data!BW66</f>
        <v>0</v>
      </c>
      <c r="J67" s="32">
        <f>Data!AB66</f>
        <v>2598</v>
      </c>
      <c r="K67" s="32">
        <f>Data!BI66</f>
        <v>65</v>
      </c>
      <c r="L67" s="140">
        <f>Data!BZ66</f>
        <v>0</v>
      </c>
      <c r="M67" s="32">
        <f t="shared" si="5"/>
        <v>7150481.0831933767</v>
      </c>
      <c r="N67" s="32">
        <f t="shared" ref="N67:N98" si="9">M67-E67</f>
        <v>6818614.1090492196</v>
      </c>
      <c r="O67" s="32">
        <f t="shared" ref="O67:O98" si="10">+M67-F67</f>
        <v>407683.47772391792</v>
      </c>
      <c r="P67" s="50">
        <f t="shared" ref="P67:P98" si="11">ABS(O67/F67)</f>
        <v>6.0462066575040475E-2</v>
      </c>
    </row>
    <row r="68" spans="1:16" x14ac:dyDescent="0.2">
      <c r="A68" s="2">
        <v>42522</v>
      </c>
      <c r="B68">
        <f t="shared" ref="B68:B127" si="12">YEAR(A68)</f>
        <v>2016</v>
      </c>
      <c r="C68">
        <f t="shared" ref="C68:C127" si="13">MONTH(A68)</f>
        <v>6</v>
      </c>
      <c r="D68" s="151">
        <f>Data!G67</f>
        <v>7343347.5469879536</v>
      </c>
      <c r="E68" s="151">
        <f>Data!H67</f>
        <v>331866.97414415696</v>
      </c>
      <c r="F68" s="151">
        <f>Data!I67</f>
        <v>7675214.5211321106</v>
      </c>
      <c r="G68" s="129">
        <f>Data!AR67</f>
        <v>3.0999999999999996</v>
      </c>
      <c r="H68" s="129">
        <f>Data!AS67</f>
        <v>182.6</v>
      </c>
      <c r="I68" s="32">
        <f>Data!BW67</f>
        <v>0</v>
      </c>
      <c r="J68" s="32">
        <f>Data!AB67</f>
        <v>2602</v>
      </c>
      <c r="K68" s="32">
        <f>Data!BI67</f>
        <v>66</v>
      </c>
      <c r="L68" s="140">
        <f>Data!BZ67</f>
        <v>0</v>
      </c>
      <c r="M68" s="32">
        <f t="shared" ref="M68:M127" si="14">$R$19+G68*$R$20+H68*$R$21+I68*$R$22+J68*$R$23+K68*$R$24+L68*$R$25</f>
        <v>7424433.1254003746</v>
      </c>
      <c r="N68" s="32">
        <f t="shared" si="9"/>
        <v>7092566.1512562176</v>
      </c>
      <c r="O68" s="32">
        <f t="shared" si="10"/>
        <v>-250781.39573173597</v>
      </c>
      <c r="P68" s="50">
        <f t="shared" si="11"/>
        <v>3.2674187156757822E-2</v>
      </c>
    </row>
    <row r="69" spans="1:16" x14ac:dyDescent="0.2">
      <c r="A69" s="2">
        <v>42552</v>
      </c>
      <c r="B69">
        <f t="shared" si="12"/>
        <v>2016</v>
      </c>
      <c r="C69">
        <f t="shared" si="13"/>
        <v>7</v>
      </c>
      <c r="D69" s="151">
        <f>Data!G68</f>
        <v>7871478.3710843381</v>
      </c>
      <c r="E69" s="151">
        <f>Data!H68</f>
        <v>331866.97414415696</v>
      </c>
      <c r="F69" s="151">
        <f>Data!I68</f>
        <v>8203345.3452284951</v>
      </c>
      <c r="G69" s="129">
        <f>Data!AR68</f>
        <v>0</v>
      </c>
      <c r="H69" s="129">
        <f>Data!AS68</f>
        <v>300.89999999999998</v>
      </c>
      <c r="I69" s="32">
        <f>Data!BW68</f>
        <v>0</v>
      </c>
      <c r="J69" s="32">
        <f>Data!AB68</f>
        <v>2606</v>
      </c>
      <c r="K69" s="32">
        <f>Data!BI68</f>
        <v>67</v>
      </c>
      <c r="L69" s="140">
        <f>Data!BZ68</f>
        <v>0</v>
      </c>
      <c r="M69" s="32">
        <f t="shared" si="14"/>
        <v>8008975.4389687879</v>
      </c>
      <c r="N69" s="32">
        <f t="shared" si="9"/>
        <v>7677108.4648246309</v>
      </c>
      <c r="O69" s="32">
        <f t="shared" si="10"/>
        <v>-194369.90625970718</v>
      </c>
      <c r="P69" s="50">
        <f t="shared" si="11"/>
        <v>2.3693980696882781E-2</v>
      </c>
    </row>
    <row r="70" spans="1:16" x14ac:dyDescent="0.2">
      <c r="A70" s="2">
        <v>42583</v>
      </c>
      <c r="B70">
        <f t="shared" si="12"/>
        <v>2016</v>
      </c>
      <c r="C70">
        <f t="shared" si="13"/>
        <v>8</v>
      </c>
      <c r="D70" s="151">
        <f>Data!G69</f>
        <v>7755227.0457831379</v>
      </c>
      <c r="E70" s="151">
        <f>Data!H69</f>
        <v>331866.97414415696</v>
      </c>
      <c r="F70" s="151">
        <f>Data!I69</f>
        <v>8087094.0199272949</v>
      </c>
      <c r="G70" s="129">
        <f>Data!AR69</f>
        <v>0</v>
      </c>
      <c r="H70" s="129">
        <f>Data!AS69</f>
        <v>319.40000000000003</v>
      </c>
      <c r="I70" s="32">
        <f>Data!BW69</f>
        <v>0</v>
      </c>
      <c r="J70" s="32">
        <f>Data!AB69</f>
        <v>2607</v>
      </c>
      <c r="K70" s="32">
        <f>Data!BI69</f>
        <v>68</v>
      </c>
      <c r="L70" s="140">
        <f>Data!BZ69</f>
        <v>0</v>
      </c>
      <c r="M70" s="32">
        <f t="shared" si="14"/>
        <v>8093064.0677294815</v>
      </c>
      <c r="N70" s="32">
        <f t="shared" si="9"/>
        <v>7761197.0935853245</v>
      </c>
      <c r="O70" s="32">
        <f t="shared" si="10"/>
        <v>5970.0478021865711</v>
      </c>
      <c r="P70" s="50">
        <f t="shared" si="11"/>
        <v>7.382191659297963E-4</v>
      </c>
    </row>
    <row r="71" spans="1:16" x14ac:dyDescent="0.2">
      <c r="A71" s="2">
        <v>42614</v>
      </c>
      <c r="B71">
        <f t="shared" si="12"/>
        <v>2016</v>
      </c>
      <c r="C71">
        <f t="shared" si="13"/>
        <v>9</v>
      </c>
      <c r="D71" s="151">
        <f>Data!G70</f>
        <v>7032991.7686746987</v>
      </c>
      <c r="E71" s="151">
        <f>Data!H70</f>
        <v>331866.97414415696</v>
      </c>
      <c r="F71" s="151">
        <f>Data!I70</f>
        <v>7364858.7428188557</v>
      </c>
      <c r="G71" s="129">
        <f>Data!AR70</f>
        <v>1.2999999999999989</v>
      </c>
      <c r="H71" s="129">
        <f>Data!AS70</f>
        <v>164.79999999999998</v>
      </c>
      <c r="I71" s="32">
        <f>Data!BW70</f>
        <v>1</v>
      </c>
      <c r="J71" s="32">
        <f>Data!AB70</f>
        <v>2608</v>
      </c>
      <c r="K71" s="32">
        <f>Data!BI70</f>
        <v>69</v>
      </c>
      <c r="L71" s="140">
        <f>Data!BZ70</f>
        <v>0</v>
      </c>
      <c r="M71" s="32">
        <f t="shared" si="14"/>
        <v>7034782.733409442</v>
      </c>
      <c r="N71" s="32">
        <f t="shared" si="9"/>
        <v>6702915.759265285</v>
      </c>
      <c r="O71" s="32">
        <f t="shared" si="10"/>
        <v>-330076.00940941367</v>
      </c>
      <c r="P71" s="50">
        <f t="shared" si="11"/>
        <v>4.4817697247928348E-2</v>
      </c>
    </row>
    <row r="72" spans="1:16" x14ac:dyDescent="0.2">
      <c r="A72" s="2">
        <v>42644</v>
      </c>
      <c r="B72">
        <f t="shared" si="12"/>
        <v>2016</v>
      </c>
      <c r="C72">
        <f t="shared" si="13"/>
        <v>10</v>
      </c>
      <c r="D72" s="151">
        <f>Data!G71</f>
        <v>6150053.96626506</v>
      </c>
      <c r="E72" s="151">
        <f>Data!H71</f>
        <v>331866.97414415696</v>
      </c>
      <c r="F72" s="151">
        <f>Data!I71</f>
        <v>6481920.940409217</v>
      </c>
      <c r="G72" s="129">
        <f>Data!AR71</f>
        <v>105.89999999999999</v>
      </c>
      <c r="H72" s="129">
        <f>Data!AS71</f>
        <v>39.800000000000004</v>
      </c>
      <c r="I72" s="32">
        <f>Data!BW71</f>
        <v>1</v>
      </c>
      <c r="J72" s="32">
        <f>Data!AB71</f>
        <v>2614</v>
      </c>
      <c r="K72" s="32">
        <f>Data!BI71</f>
        <v>70</v>
      </c>
      <c r="L72" s="140">
        <f>Data!BZ71</f>
        <v>0</v>
      </c>
      <c r="M72" s="32">
        <f t="shared" si="14"/>
        <v>6791987.0322295809</v>
      </c>
      <c r="N72" s="32">
        <f t="shared" si="9"/>
        <v>6460120.0580854239</v>
      </c>
      <c r="O72" s="32">
        <f t="shared" si="10"/>
        <v>310066.09182036389</v>
      </c>
      <c r="P72" s="50">
        <f t="shared" si="11"/>
        <v>4.7835525096791565E-2</v>
      </c>
    </row>
    <row r="73" spans="1:16" x14ac:dyDescent="0.2">
      <c r="A73" s="2">
        <v>42675</v>
      </c>
      <c r="B73">
        <f t="shared" si="12"/>
        <v>2016</v>
      </c>
      <c r="C73">
        <f t="shared" si="13"/>
        <v>11</v>
      </c>
      <c r="D73" s="151">
        <f>Data!G72</f>
        <v>6266723.7204819247</v>
      </c>
      <c r="E73" s="151">
        <f>Data!H72</f>
        <v>331866.97414415696</v>
      </c>
      <c r="F73" s="151">
        <f>Data!I72</f>
        <v>6598590.6946260817</v>
      </c>
      <c r="G73" s="129">
        <f>Data!AR72</f>
        <v>218.89999999999995</v>
      </c>
      <c r="H73" s="129">
        <f>Data!AS72</f>
        <v>1.0999999999999996</v>
      </c>
      <c r="I73" s="32">
        <f>Data!BW72</f>
        <v>1</v>
      </c>
      <c r="J73" s="32">
        <f>Data!AB72</f>
        <v>2621</v>
      </c>
      <c r="K73" s="32">
        <f>Data!BI72</f>
        <v>71</v>
      </c>
      <c r="L73" s="140">
        <f>Data!BZ72</f>
        <v>0</v>
      </c>
      <c r="M73" s="32">
        <f t="shared" si="14"/>
        <v>7011822.1844360847</v>
      </c>
      <c r="N73" s="32">
        <f t="shared" si="9"/>
        <v>6679955.2102919277</v>
      </c>
      <c r="O73" s="32">
        <f t="shared" si="10"/>
        <v>413231.48981000297</v>
      </c>
      <c r="P73" s="50">
        <f t="shared" si="11"/>
        <v>6.2624204005643253E-2</v>
      </c>
    </row>
    <row r="74" spans="1:16" x14ac:dyDescent="0.2">
      <c r="A74" s="2">
        <v>42705</v>
      </c>
      <c r="B74">
        <f t="shared" si="12"/>
        <v>2016</v>
      </c>
      <c r="C74">
        <f t="shared" si="13"/>
        <v>12</v>
      </c>
      <c r="D74" s="151">
        <f>Data!G73</f>
        <v>8092166.8722891547</v>
      </c>
      <c r="E74" s="151">
        <f>Data!H73</f>
        <v>331866.97414415696</v>
      </c>
      <c r="F74" s="151">
        <f>Data!I73</f>
        <v>8424033.8464333117</v>
      </c>
      <c r="G74" s="129">
        <f>Data!AR73</f>
        <v>483.99999999999989</v>
      </c>
      <c r="H74" s="129">
        <f>Data!AS73</f>
        <v>0</v>
      </c>
      <c r="I74" s="32">
        <f>Data!BW73</f>
        <v>0</v>
      </c>
      <c r="J74" s="32">
        <f>Data!AB73</f>
        <v>2625</v>
      </c>
      <c r="K74" s="32">
        <f>Data!BI73</f>
        <v>72</v>
      </c>
      <c r="L74" s="140">
        <f>Data!BZ73</f>
        <v>0</v>
      </c>
      <c r="M74" s="32">
        <f t="shared" si="14"/>
        <v>8213371.5006500157</v>
      </c>
      <c r="N74" s="32">
        <f t="shared" si="9"/>
        <v>7881504.5265058586</v>
      </c>
      <c r="O74" s="32">
        <f t="shared" si="10"/>
        <v>-210662.34578329604</v>
      </c>
      <c r="P74" s="50">
        <f t="shared" si="11"/>
        <v>2.5007300495651415E-2</v>
      </c>
    </row>
    <row r="75" spans="1:16" x14ac:dyDescent="0.2">
      <c r="A75" s="2">
        <v>42736</v>
      </c>
      <c r="B75">
        <f t="shared" si="12"/>
        <v>2017</v>
      </c>
      <c r="C75">
        <f t="shared" si="13"/>
        <v>1</v>
      </c>
      <c r="D75" s="151">
        <f>Data!G74</f>
        <v>8536456.1253012065</v>
      </c>
      <c r="E75" s="151">
        <f>Data!H74</f>
        <v>425326.81217228295</v>
      </c>
      <c r="F75" s="151">
        <f>Data!I74</f>
        <v>8961782.937473489</v>
      </c>
      <c r="G75" s="129">
        <f>Data!AR74</f>
        <v>484.9</v>
      </c>
      <c r="H75" s="129">
        <f>Data!AS74</f>
        <v>0</v>
      </c>
      <c r="I75" s="32">
        <f>Data!BW74</f>
        <v>0</v>
      </c>
      <c r="J75" s="32">
        <f>Data!AB74</f>
        <v>2632</v>
      </c>
      <c r="K75" s="32">
        <f>Data!BI74</f>
        <v>73</v>
      </c>
      <c r="L75" s="140">
        <f>Data!BZ74</f>
        <v>0</v>
      </c>
      <c r="M75" s="32">
        <f t="shared" si="14"/>
        <v>8239727.0198940737</v>
      </c>
      <c r="N75" s="32">
        <f t="shared" si="9"/>
        <v>7814400.2077217903</v>
      </c>
      <c r="O75" s="32">
        <f t="shared" si="10"/>
        <v>-722055.91757941525</v>
      </c>
      <c r="P75" s="50">
        <f t="shared" si="11"/>
        <v>8.0570565323575857E-2</v>
      </c>
    </row>
    <row r="76" spans="1:16" x14ac:dyDescent="0.2">
      <c r="A76" s="2">
        <v>42767</v>
      </c>
      <c r="B76">
        <f t="shared" si="12"/>
        <v>2017</v>
      </c>
      <c r="C76">
        <f t="shared" si="13"/>
        <v>2</v>
      </c>
      <c r="D76" s="151">
        <f>Data!G75</f>
        <v>7050356.7518072287</v>
      </c>
      <c r="E76" s="151">
        <f>Data!H75</f>
        <v>425326.81217228295</v>
      </c>
      <c r="F76" s="151">
        <f>Data!I75</f>
        <v>7475683.5639795121</v>
      </c>
      <c r="G76" s="129">
        <f>Data!AR75</f>
        <v>398.4</v>
      </c>
      <c r="H76" s="129">
        <f>Data!AS75</f>
        <v>0</v>
      </c>
      <c r="I76" s="32">
        <f>Data!BW75</f>
        <v>0</v>
      </c>
      <c r="J76" s="32">
        <f>Data!AB75</f>
        <v>2632</v>
      </c>
      <c r="K76" s="32">
        <f>Data!BI75</f>
        <v>74</v>
      </c>
      <c r="L76" s="140">
        <f>Data!BZ75</f>
        <v>0</v>
      </c>
      <c r="M76" s="32">
        <f t="shared" si="14"/>
        <v>7929184.5111111132</v>
      </c>
      <c r="N76" s="32">
        <f t="shared" si="9"/>
        <v>7503857.6989388298</v>
      </c>
      <c r="O76" s="32">
        <f t="shared" si="10"/>
        <v>453500.94713160116</v>
      </c>
      <c r="P76" s="50">
        <f t="shared" si="11"/>
        <v>6.0663475553824821E-2</v>
      </c>
    </row>
    <row r="77" spans="1:16" x14ac:dyDescent="0.2">
      <c r="A77" s="2">
        <v>42795</v>
      </c>
      <c r="B77">
        <f t="shared" si="12"/>
        <v>2017</v>
      </c>
      <c r="C77">
        <f t="shared" si="13"/>
        <v>3</v>
      </c>
      <c r="D77" s="151">
        <f>Data!G76</f>
        <v>7960777.1951807197</v>
      </c>
      <c r="E77" s="151">
        <f>Data!H76</f>
        <v>425326.81217228295</v>
      </c>
      <c r="F77" s="151">
        <f>Data!I76</f>
        <v>8386104.0073530022</v>
      </c>
      <c r="G77" s="129">
        <f>Data!AR76</f>
        <v>450</v>
      </c>
      <c r="H77" s="129">
        <f>Data!AS76</f>
        <v>0</v>
      </c>
      <c r="I77" s="32">
        <f>Data!BW76</f>
        <v>0</v>
      </c>
      <c r="J77" s="32">
        <f>Data!AB76</f>
        <v>2641</v>
      </c>
      <c r="K77" s="32">
        <f>Data!BI76</f>
        <v>75</v>
      </c>
      <c r="L77" s="140">
        <f>Data!BZ76</f>
        <v>0</v>
      </c>
      <c r="M77" s="32">
        <f t="shared" si="14"/>
        <v>8140311.3129153689</v>
      </c>
      <c r="N77" s="32">
        <f t="shared" si="9"/>
        <v>7714984.5007430855</v>
      </c>
      <c r="O77" s="32">
        <f t="shared" si="10"/>
        <v>-245792.69443763327</v>
      </c>
      <c r="P77" s="50">
        <f t="shared" si="11"/>
        <v>2.9309521348902936E-2</v>
      </c>
    </row>
    <row r="78" spans="1:16" x14ac:dyDescent="0.2">
      <c r="A78" s="2">
        <v>42826</v>
      </c>
      <c r="B78">
        <f t="shared" si="12"/>
        <v>2017</v>
      </c>
      <c r="C78">
        <f t="shared" si="13"/>
        <v>4</v>
      </c>
      <c r="D78" s="151">
        <f>Data!G77</f>
        <v>6536291.9132530158</v>
      </c>
      <c r="E78" s="151">
        <f>Data!H77</f>
        <v>425326.81217228295</v>
      </c>
      <c r="F78" s="151">
        <f>Data!I77</f>
        <v>6961618.7254252993</v>
      </c>
      <c r="G78" s="129">
        <f>Data!AR77</f>
        <v>145.9</v>
      </c>
      <c r="H78" s="129">
        <f>Data!AS77</f>
        <v>8.3999999999999986</v>
      </c>
      <c r="I78" s="32">
        <f>Data!BW77</f>
        <v>0</v>
      </c>
      <c r="J78" s="32">
        <f>Data!AB77</f>
        <v>2638</v>
      </c>
      <c r="K78" s="32">
        <f>Data!BI77</f>
        <v>76</v>
      </c>
      <c r="L78" s="140">
        <f>Data!BZ77</f>
        <v>0</v>
      </c>
      <c r="M78" s="32">
        <f t="shared" si="14"/>
        <v>7107347.2850371981</v>
      </c>
      <c r="N78" s="32">
        <f t="shared" si="9"/>
        <v>6682020.4728649147</v>
      </c>
      <c r="O78" s="32">
        <f t="shared" si="10"/>
        <v>145728.55961189885</v>
      </c>
      <c r="P78" s="50">
        <f t="shared" si="11"/>
        <v>2.0933142902478618E-2</v>
      </c>
    </row>
    <row r="79" spans="1:16" x14ac:dyDescent="0.2">
      <c r="A79" s="2">
        <v>42856</v>
      </c>
      <c r="B79">
        <f t="shared" si="12"/>
        <v>2017</v>
      </c>
      <c r="C79">
        <f t="shared" si="13"/>
        <v>5</v>
      </c>
      <c r="D79" s="151">
        <f>Data!G78</f>
        <v>6062612.0385542186</v>
      </c>
      <c r="E79" s="151">
        <f>Data!H78</f>
        <v>425326.81217228295</v>
      </c>
      <c r="F79" s="151">
        <f>Data!I78</f>
        <v>6487938.850726502</v>
      </c>
      <c r="G79" s="129">
        <f>Data!AR78</f>
        <v>82.59999999999998</v>
      </c>
      <c r="H79" s="129">
        <f>Data!AS78</f>
        <v>38.6</v>
      </c>
      <c r="I79" s="32">
        <f>Data!BW78</f>
        <v>0</v>
      </c>
      <c r="J79" s="32">
        <f>Data!AB78</f>
        <v>2624</v>
      </c>
      <c r="K79" s="32">
        <f>Data!BI78</f>
        <v>77</v>
      </c>
      <c r="L79" s="140">
        <f>Data!BZ78</f>
        <v>0</v>
      </c>
      <c r="M79" s="32">
        <f t="shared" si="14"/>
        <v>6954164.2337999847</v>
      </c>
      <c r="N79" s="32">
        <f t="shared" si="9"/>
        <v>6528837.4216277022</v>
      </c>
      <c r="O79" s="32">
        <f t="shared" si="10"/>
        <v>466225.38307348266</v>
      </c>
      <c r="P79" s="50">
        <f t="shared" si="11"/>
        <v>7.1860323255247077E-2</v>
      </c>
    </row>
    <row r="80" spans="1:16" x14ac:dyDescent="0.2">
      <c r="A80" s="2">
        <v>42887</v>
      </c>
      <c r="B80">
        <f t="shared" si="12"/>
        <v>2017</v>
      </c>
      <c r="C80">
        <f t="shared" si="13"/>
        <v>6</v>
      </c>
      <c r="D80" s="151">
        <f>Data!G79</f>
        <v>6670926.1301204795</v>
      </c>
      <c r="E80" s="151">
        <f>Data!H79</f>
        <v>425326.81217228295</v>
      </c>
      <c r="F80" s="151">
        <f>Data!I79</f>
        <v>7096252.9422927629</v>
      </c>
      <c r="G80" s="129">
        <f>Data!AR79</f>
        <v>0.70000000000000107</v>
      </c>
      <c r="H80" s="129">
        <f>Data!AS79</f>
        <v>162.19999999999999</v>
      </c>
      <c r="I80" s="32">
        <f>Data!BW79</f>
        <v>0</v>
      </c>
      <c r="J80" s="32">
        <f>Data!AB79</f>
        <v>2633</v>
      </c>
      <c r="K80" s="32">
        <f>Data!BI79</f>
        <v>78</v>
      </c>
      <c r="L80" s="140">
        <f>Data!BZ79</f>
        <v>0</v>
      </c>
      <c r="M80" s="32">
        <f t="shared" si="14"/>
        <v>7319794.8731241683</v>
      </c>
      <c r="N80" s="32">
        <f t="shared" si="9"/>
        <v>6894468.0609518848</v>
      </c>
      <c r="O80" s="32">
        <f t="shared" si="10"/>
        <v>223541.93083140533</v>
      </c>
      <c r="P80" s="50">
        <f t="shared" si="11"/>
        <v>3.1501404001416565E-2</v>
      </c>
    </row>
    <row r="81" spans="1:30" x14ac:dyDescent="0.2">
      <c r="A81" s="2">
        <v>42917</v>
      </c>
      <c r="B81">
        <f t="shared" si="12"/>
        <v>2017</v>
      </c>
      <c r="C81">
        <f t="shared" si="13"/>
        <v>7</v>
      </c>
      <c r="D81" s="151">
        <f>Data!G80</f>
        <v>6544660.1638554176</v>
      </c>
      <c r="E81" s="151">
        <f>Data!H80</f>
        <v>425326.81217228295</v>
      </c>
      <c r="F81" s="151">
        <f>Data!I80</f>
        <v>6969986.9760277011</v>
      </c>
      <c r="G81" s="129">
        <f>Data!AR80</f>
        <v>0</v>
      </c>
      <c r="H81" s="129">
        <f>Data!AS80</f>
        <v>240.50000000000009</v>
      </c>
      <c r="I81" s="32">
        <f>Data!BW80</f>
        <v>0</v>
      </c>
      <c r="J81" s="32">
        <f>Data!AB80</f>
        <v>2648</v>
      </c>
      <c r="K81" s="32">
        <f>Data!BI80</f>
        <v>79</v>
      </c>
      <c r="L81" s="140">
        <f>Data!BZ80</f>
        <v>0</v>
      </c>
      <c r="M81" s="32">
        <f t="shared" si="14"/>
        <v>7770864.0610463927</v>
      </c>
      <c r="N81" s="32">
        <f t="shared" si="9"/>
        <v>7345537.2488741092</v>
      </c>
      <c r="O81" s="32">
        <f t="shared" si="10"/>
        <v>800877.08501869161</v>
      </c>
      <c r="P81" s="50">
        <f t="shared" si="11"/>
        <v>0.1149036702325552</v>
      </c>
    </row>
    <row r="82" spans="1:30" x14ac:dyDescent="0.2">
      <c r="A82" s="2">
        <v>42948</v>
      </c>
      <c r="B82">
        <f t="shared" si="12"/>
        <v>2017</v>
      </c>
      <c r="C82">
        <f t="shared" si="13"/>
        <v>8</v>
      </c>
      <c r="D82" s="151">
        <f>Data!G81</f>
        <v>7044220.3084337329</v>
      </c>
      <c r="E82" s="151">
        <f>Data!H81</f>
        <v>425326.81217228295</v>
      </c>
      <c r="F82" s="151">
        <f>Data!I81</f>
        <v>7469547.1206060164</v>
      </c>
      <c r="G82" s="129">
        <f>Data!AR81</f>
        <v>0</v>
      </c>
      <c r="H82" s="129">
        <f>Data!AS81</f>
        <v>187.60000000000002</v>
      </c>
      <c r="I82" s="32">
        <f>Data!BW81</f>
        <v>0</v>
      </c>
      <c r="J82" s="32">
        <f>Data!AB81</f>
        <v>2658</v>
      </c>
      <c r="K82" s="32">
        <f>Data!BI81</f>
        <v>80</v>
      </c>
      <c r="L82" s="140">
        <f>Data!BZ81</f>
        <v>0</v>
      </c>
      <c r="M82" s="32">
        <f t="shared" si="14"/>
        <v>7546946.2459152574</v>
      </c>
      <c r="N82" s="32">
        <f t="shared" si="9"/>
        <v>7121619.433742974</v>
      </c>
      <c r="O82" s="32">
        <f t="shared" si="10"/>
        <v>77399.125309241004</v>
      </c>
      <c r="P82" s="50">
        <f t="shared" si="11"/>
        <v>1.0361956897724409E-2</v>
      </c>
      <c r="AC82"/>
      <c r="AD82"/>
    </row>
    <row r="83" spans="1:30" x14ac:dyDescent="0.2">
      <c r="A83" s="2">
        <v>42979</v>
      </c>
      <c r="B83">
        <f t="shared" si="12"/>
        <v>2017</v>
      </c>
      <c r="C83">
        <f t="shared" si="13"/>
        <v>9</v>
      </c>
      <c r="D83" s="151">
        <f>Data!G82</f>
        <v>6545898.053012046</v>
      </c>
      <c r="E83" s="151">
        <f>Data!H82</f>
        <v>425326.81217228295</v>
      </c>
      <c r="F83" s="151">
        <f>Data!I82</f>
        <v>6971224.8651843295</v>
      </c>
      <c r="G83" s="129">
        <f>Data!AR82</f>
        <v>7.7000000000000011</v>
      </c>
      <c r="H83" s="129">
        <f>Data!AS82</f>
        <v>150.10000000000002</v>
      </c>
      <c r="I83" s="32">
        <f>Data!BW82</f>
        <v>1</v>
      </c>
      <c r="J83" s="32">
        <f>Data!AB82</f>
        <v>2656</v>
      </c>
      <c r="K83" s="32">
        <f>Data!BI82</f>
        <v>81</v>
      </c>
      <c r="L83" s="140">
        <f>Data!BZ82</f>
        <v>0</v>
      </c>
      <c r="M83" s="32">
        <f t="shared" si="14"/>
        <v>7076672.0063296882</v>
      </c>
      <c r="N83" s="32">
        <f t="shared" si="9"/>
        <v>6651345.1941574048</v>
      </c>
      <c r="O83" s="32">
        <f t="shared" si="10"/>
        <v>105447.14114535879</v>
      </c>
      <c r="P83" s="50">
        <f t="shared" si="11"/>
        <v>1.5126056494316026E-2</v>
      </c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</row>
    <row r="84" spans="1:30" x14ac:dyDescent="0.2">
      <c r="A84" s="2">
        <v>43009</v>
      </c>
      <c r="B84">
        <f t="shared" si="12"/>
        <v>2017</v>
      </c>
      <c r="C84">
        <f t="shared" si="13"/>
        <v>10</v>
      </c>
      <c r="D84" s="151">
        <f>Data!G83</f>
        <v>5870284.5879518026</v>
      </c>
      <c r="E84" s="151">
        <f>Data!H83</f>
        <v>425326.81217228295</v>
      </c>
      <c r="F84" s="151">
        <f>Data!I83</f>
        <v>6295611.4001240861</v>
      </c>
      <c r="G84" s="129">
        <f>Data!AR83</f>
        <v>70.000000000000014</v>
      </c>
      <c r="H84" s="129">
        <f>Data!AS83</f>
        <v>48.1</v>
      </c>
      <c r="I84" s="32">
        <f>Data!BW83</f>
        <v>1</v>
      </c>
      <c r="J84" s="32">
        <f>Data!AB83</f>
        <v>2655</v>
      </c>
      <c r="K84" s="32">
        <f>Data!BI83</f>
        <v>82</v>
      </c>
      <c r="L84" s="140">
        <f>Data!BZ83</f>
        <v>0</v>
      </c>
      <c r="M84" s="32">
        <f t="shared" si="14"/>
        <v>6766353.1552152187</v>
      </c>
      <c r="N84" s="32">
        <f t="shared" si="9"/>
        <v>6341026.3430429362</v>
      </c>
      <c r="O84" s="32">
        <f t="shared" si="10"/>
        <v>470741.7550911326</v>
      </c>
      <c r="P84" s="50">
        <f t="shared" si="11"/>
        <v>7.477300061465901E-2</v>
      </c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</row>
    <row r="85" spans="1:30" x14ac:dyDescent="0.2">
      <c r="A85" s="2">
        <v>43040</v>
      </c>
      <c r="B85">
        <f t="shared" si="12"/>
        <v>2017</v>
      </c>
      <c r="C85">
        <f t="shared" si="13"/>
        <v>11</v>
      </c>
      <c r="D85" s="151">
        <f>Data!G84</f>
        <v>6629922.1975903567</v>
      </c>
      <c r="E85" s="151">
        <f>Data!H84</f>
        <v>425326.81217228295</v>
      </c>
      <c r="F85" s="151">
        <f>Data!I84</f>
        <v>7055249.0097626392</v>
      </c>
      <c r="G85" s="129">
        <f>Data!AR84</f>
        <v>309.40000000000003</v>
      </c>
      <c r="H85" s="129">
        <f>Data!AS84</f>
        <v>0</v>
      </c>
      <c r="I85" s="32">
        <f>Data!BW84</f>
        <v>1</v>
      </c>
      <c r="J85" s="32">
        <f>Data!AB84</f>
        <v>2671</v>
      </c>
      <c r="K85" s="32">
        <f>Data!BI84</f>
        <v>83</v>
      </c>
      <c r="L85" s="140">
        <f>Data!BZ84</f>
        <v>0</v>
      </c>
      <c r="M85" s="32">
        <f t="shared" si="14"/>
        <v>7420926.1572997151</v>
      </c>
      <c r="N85" s="32">
        <f t="shared" si="9"/>
        <v>6995599.3451274317</v>
      </c>
      <c r="O85" s="32">
        <f t="shared" si="10"/>
        <v>365677.14753707591</v>
      </c>
      <c r="P85" s="50">
        <f t="shared" si="11"/>
        <v>5.1830509033922598E-2</v>
      </c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</row>
    <row r="86" spans="1:30" x14ac:dyDescent="0.2">
      <c r="A86" s="2">
        <v>43070</v>
      </c>
      <c r="B86">
        <f t="shared" si="12"/>
        <v>2017</v>
      </c>
      <c r="C86">
        <f t="shared" si="13"/>
        <v>12</v>
      </c>
      <c r="D86" s="151">
        <f>Data!G85</f>
        <v>7447066.4385542134</v>
      </c>
      <c r="E86" s="151">
        <f>Data!H85</f>
        <v>425326.81217228295</v>
      </c>
      <c r="F86" s="151">
        <f>Data!I85</f>
        <v>7872393.2507264968</v>
      </c>
      <c r="G86" s="129">
        <f>Data!AR85</f>
        <v>594.49999999999989</v>
      </c>
      <c r="H86" s="129">
        <f>Data!AS85</f>
        <v>0</v>
      </c>
      <c r="I86" s="32">
        <f>Data!BW85</f>
        <v>0</v>
      </c>
      <c r="J86" s="32">
        <f>Data!AB85</f>
        <v>2668</v>
      </c>
      <c r="K86" s="32">
        <f>Data!BI85</f>
        <v>84</v>
      </c>
      <c r="L86" s="140">
        <f>Data!BZ85</f>
        <v>0</v>
      </c>
      <c r="M86" s="32">
        <f t="shared" si="14"/>
        <v>8660531.0929148253</v>
      </c>
      <c r="N86" s="32">
        <f t="shared" si="9"/>
        <v>8235204.2807425428</v>
      </c>
      <c r="O86" s="32">
        <f t="shared" si="10"/>
        <v>788137.8421883285</v>
      </c>
      <c r="P86" s="50">
        <f t="shared" si="11"/>
        <v>0.10011413519206448</v>
      </c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</row>
    <row r="87" spans="1:30" x14ac:dyDescent="0.2">
      <c r="A87" s="2">
        <v>43101</v>
      </c>
      <c r="B87">
        <f t="shared" si="12"/>
        <v>2018</v>
      </c>
      <c r="C87">
        <f t="shared" si="13"/>
        <v>1</v>
      </c>
      <c r="D87" s="151">
        <f>Data!G86</f>
        <v>8456682.110843366</v>
      </c>
      <c r="E87" s="151">
        <f>Data!H86</f>
        <v>516993.78053170216</v>
      </c>
      <c r="F87" s="151">
        <f>Data!I86</f>
        <v>8973675.8913750686</v>
      </c>
      <c r="G87" s="129">
        <f>Data!AR86</f>
        <v>608.29999999999984</v>
      </c>
      <c r="H87" s="129">
        <f>Data!AS86</f>
        <v>0</v>
      </c>
      <c r="I87" s="32">
        <f>Data!BW86</f>
        <v>0</v>
      </c>
      <c r="J87" s="32">
        <f>Data!AB86</f>
        <v>2666</v>
      </c>
      <c r="K87" s="32">
        <f>Data!BI86</f>
        <v>85</v>
      </c>
      <c r="L87" s="140">
        <f>Data!BZ86</f>
        <v>0</v>
      </c>
      <c r="M87" s="32">
        <f t="shared" si="14"/>
        <v>8684706.7030262593</v>
      </c>
      <c r="N87" s="32">
        <f t="shared" si="9"/>
        <v>8167712.9224945568</v>
      </c>
      <c r="O87" s="32">
        <f t="shared" si="10"/>
        <v>-288969.18834880926</v>
      </c>
      <c r="P87" s="50">
        <f t="shared" si="11"/>
        <v>3.2201874889034962E-2</v>
      </c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</row>
    <row r="88" spans="1:30" x14ac:dyDescent="0.2">
      <c r="A88" s="2">
        <v>43132</v>
      </c>
      <c r="B88">
        <f t="shared" si="12"/>
        <v>2018</v>
      </c>
      <c r="C88">
        <f t="shared" si="13"/>
        <v>2</v>
      </c>
      <c r="D88" s="151">
        <f>Data!G87</f>
        <v>7043598.3132530134</v>
      </c>
      <c r="E88" s="151">
        <f>Data!H87</f>
        <v>516993.78053170216</v>
      </c>
      <c r="F88" s="151">
        <f>Data!I87</f>
        <v>7560592.093784716</v>
      </c>
      <c r="G88" s="129">
        <f>Data!AR87</f>
        <v>443.00000000000011</v>
      </c>
      <c r="H88" s="129">
        <f>Data!AS87</f>
        <v>0</v>
      </c>
      <c r="I88" s="32">
        <f>Data!BW87</f>
        <v>0</v>
      </c>
      <c r="J88" s="32">
        <f>Data!AB87</f>
        <v>2673</v>
      </c>
      <c r="K88" s="32">
        <f>Data!BI87</f>
        <v>86</v>
      </c>
      <c r="L88" s="140">
        <f>Data!BZ87</f>
        <v>0</v>
      </c>
      <c r="M88" s="32">
        <f t="shared" si="14"/>
        <v>8139279.8479540674</v>
      </c>
      <c r="N88" s="32">
        <f t="shared" si="9"/>
        <v>7622286.0674223648</v>
      </c>
      <c r="O88" s="32">
        <f t="shared" si="10"/>
        <v>578687.75416935142</v>
      </c>
      <c r="P88" s="50">
        <f t="shared" si="11"/>
        <v>7.6540004670410569E-2</v>
      </c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</row>
    <row r="89" spans="1:30" x14ac:dyDescent="0.2">
      <c r="A89" s="2">
        <v>43160</v>
      </c>
      <c r="B89">
        <f t="shared" si="12"/>
        <v>2018</v>
      </c>
      <c r="C89">
        <f t="shared" si="13"/>
        <v>3</v>
      </c>
      <c r="D89" s="151">
        <f>Data!G88</f>
        <v>7715573.493975902</v>
      </c>
      <c r="E89" s="151">
        <f>Data!H88</f>
        <v>516993.78053170216</v>
      </c>
      <c r="F89" s="151">
        <f>Data!I88</f>
        <v>8232567.2745076045</v>
      </c>
      <c r="G89" s="129">
        <f>Data!AR88</f>
        <v>430</v>
      </c>
      <c r="H89" s="129">
        <f>Data!AS88</f>
        <v>0</v>
      </c>
      <c r="I89" s="32">
        <f>Data!BW88</f>
        <v>0</v>
      </c>
      <c r="J89" s="32">
        <f>Data!AB88</f>
        <v>2677</v>
      </c>
      <c r="K89" s="32">
        <f>Data!BI88</f>
        <v>87</v>
      </c>
      <c r="L89" s="140">
        <f>Data!BZ88</f>
        <v>0</v>
      </c>
      <c r="M89" s="32">
        <f t="shared" si="14"/>
        <v>8102294.7764730742</v>
      </c>
      <c r="N89" s="32">
        <f t="shared" si="9"/>
        <v>7585300.9959413717</v>
      </c>
      <c r="O89" s="32">
        <f t="shared" si="10"/>
        <v>-130272.49803453032</v>
      </c>
      <c r="P89" s="50">
        <f t="shared" si="11"/>
        <v>1.582404293711915E-2</v>
      </c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</row>
    <row r="90" spans="1:30" x14ac:dyDescent="0.2">
      <c r="A90" s="2">
        <v>43191</v>
      </c>
      <c r="B90">
        <f t="shared" si="12"/>
        <v>2018</v>
      </c>
      <c r="C90">
        <f t="shared" si="13"/>
        <v>4</v>
      </c>
      <c r="D90" s="151">
        <f>Data!G89</f>
        <v>6658362.8048192756</v>
      </c>
      <c r="E90" s="151">
        <f>Data!H89</f>
        <v>516993.78053170216</v>
      </c>
      <c r="F90" s="151">
        <f>Data!I89</f>
        <v>7175356.5853509782</v>
      </c>
      <c r="G90" s="129">
        <f>Data!AR89</f>
        <v>317.2</v>
      </c>
      <c r="H90" s="129">
        <f>Data!AS89</f>
        <v>0</v>
      </c>
      <c r="I90" s="32">
        <f>Data!BW89</f>
        <v>0</v>
      </c>
      <c r="J90" s="32">
        <f>Data!AB89</f>
        <v>2679</v>
      </c>
      <c r="K90" s="32">
        <f>Data!BI89</f>
        <v>88</v>
      </c>
      <c r="L90" s="140">
        <f>Data!BZ89</f>
        <v>0</v>
      </c>
      <c r="M90" s="32">
        <f t="shared" si="14"/>
        <v>7711618.3587800898</v>
      </c>
      <c r="N90" s="32">
        <f t="shared" si="9"/>
        <v>7194624.5782483872</v>
      </c>
      <c r="O90" s="32">
        <f t="shared" si="10"/>
        <v>536261.77342911158</v>
      </c>
      <c r="P90" s="50">
        <f t="shared" si="11"/>
        <v>7.4736602571631033E-2</v>
      </c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</row>
    <row r="91" spans="1:30" x14ac:dyDescent="0.2">
      <c r="A91" s="2">
        <v>43221</v>
      </c>
      <c r="B91">
        <f t="shared" si="12"/>
        <v>2018</v>
      </c>
      <c r="C91">
        <f t="shared" si="13"/>
        <v>5</v>
      </c>
      <c r="D91" s="151">
        <f>Data!G90</f>
        <v>6587285.6771084294</v>
      </c>
      <c r="E91" s="151">
        <f>Data!H90</f>
        <v>516993.78053170216</v>
      </c>
      <c r="F91" s="151">
        <f>Data!I90</f>
        <v>7104279.4576401319</v>
      </c>
      <c r="G91" s="129">
        <f>Data!AR90</f>
        <v>15</v>
      </c>
      <c r="H91" s="129">
        <f>Data!AS90</f>
        <v>107.10000000000001</v>
      </c>
      <c r="I91" s="32">
        <f>Data!BW90</f>
        <v>0</v>
      </c>
      <c r="J91" s="32">
        <f>Data!AB90</f>
        <v>2673</v>
      </c>
      <c r="K91" s="32">
        <f>Data!BI90</f>
        <v>89</v>
      </c>
      <c r="L91" s="140">
        <f>Data!BZ90</f>
        <v>0</v>
      </c>
      <c r="M91" s="32">
        <f t="shared" si="14"/>
        <v>7159807.0549368747</v>
      </c>
      <c r="N91" s="32">
        <f t="shared" si="9"/>
        <v>6642813.2744051721</v>
      </c>
      <c r="O91" s="32">
        <f t="shared" si="10"/>
        <v>55527.597296742722</v>
      </c>
      <c r="P91" s="50">
        <f t="shared" si="11"/>
        <v>7.8160772852237485E-3</v>
      </c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</row>
    <row r="92" spans="1:30" x14ac:dyDescent="0.2">
      <c r="A92" s="2">
        <v>43252</v>
      </c>
      <c r="B92">
        <f t="shared" si="12"/>
        <v>2018</v>
      </c>
      <c r="C92">
        <f t="shared" si="13"/>
        <v>6</v>
      </c>
      <c r="D92" s="151">
        <f>Data!G91</f>
        <v>7073215.3156626513</v>
      </c>
      <c r="E92" s="151">
        <f>Data!H91</f>
        <v>516993.78053170216</v>
      </c>
      <c r="F92" s="151">
        <f>Data!I91</f>
        <v>7590209.0961943539</v>
      </c>
      <c r="G92" s="129">
        <f>Data!AR91</f>
        <v>1.6999999999999993</v>
      </c>
      <c r="H92" s="129">
        <f>Data!AS91</f>
        <v>167.39999999999998</v>
      </c>
      <c r="I92" s="32">
        <f>Data!BW91</f>
        <v>0</v>
      </c>
      <c r="J92" s="32">
        <f>Data!AB91</f>
        <v>2677</v>
      </c>
      <c r="K92" s="32">
        <f>Data!BI91</f>
        <v>90</v>
      </c>
      <c r="L92" s="140">
        <f>Data!BZ91</f>
        <v>0</v>
      </c>
      <c r="M92" s="32">
        <f t="shared" si="14"/>
        <v>7421234.7645347621</v>
      </c>
      <c r="N92" s="32">
        <f t="shared" si="9"/>
        <v>6904240.9840030596</v>
      </c>
      <c r="O92" s="32">
        <f t="shared" si="10"/>
        <v>-168974.33165959176</v>
      </c>
      <c r="P92" s="50">
        <f t="shared" si="11"/>
        <v>2.2262144496692931E-2</v>
      </c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</row>
    <row r="93" spans="1:30" x14ac:dyDescent="0.2">
      <c r="A93" s="2">
        <v>43282</v>
      </c>
      <c r="B93">
        <f t="shared" si="12"/>
        <v>2018</v>
      </c>
      <c r="C93">
        <f t="shared" si="13"/>
        <v>7</v>
      </c>
      <c r="D93" s="151">
        <f>Data!G92</f>
        <v>7168019.7397590335</v>
      </c>
      <c r="E93" s="151">
        <f>Data!H92</f>
        <v>516993.78053170216</v>
      </c>
      <c r="F93" s="151">
        <f>Data!I92</f>
        <v>7685013.5202907361</v>
      </c>
      <c r="G93" s="129">
        <f>Data!AR92</f>
        <v>0</v>
      </c>
      <c r="H93" s="129">
        <f>Data!AS92</f>
        <v>291.79999999999995</v>
      </c>
      <c r="I93" s="32">
        <f>Data!BW92</f>
        <v>0</v>
      </c>
      <c r="J93" s="32">
        <f>Data!AB92</f>
        <v>2686</v>
      </c>
      <c r="K93" s="32">
        <f>Data!BI92</f>
        <v>91</v>
      </c>
      <c r="L93" s="140">
        <f>Data!BZ92</f>
        <v>0</v>
      </c>
      <c r="M93" s="32">
        <f t="shared" si="14"/>
        <v>8066752.3769635353</v>
      </c>
      <c r="N93" s="32">
        <f t="shared" si="9"/>
        <v>7549758.5964318328</v>
      </c>
      <c r="O93" s="32">
        <f t="shared" si="10"/>
        <v>381738.85667279921</v>
      </c>
      <c r="P93" s="50">
        <f t="shared" si="11"/>
        <v>4.9673153555929911E-2</v>
      </c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</row>
    <row r="94" spans="1:30" x14ac:dyDescent="0.2">
      <c r="A94" s="2">
        <v>43313</v>
      </c>
      <c r="B94">
        <f t="shared" si="12"/>
        <v>2018</v>
      </c>
      <c r="C94">
        <f t="shared" si="13"/>
        <v>8</v>
      </c>
      <c r="D94" s="151">
        <f>Data!G93</f>
        <v>7788838.81445783</v>
      </c>
      <c r="E94" s="151">
        <f>Data!H93</f>
        <v>516993.78053170216</v>
      </c>
      <c r="F94" s="151">
        <f>Data!I93</f>
        <v>8305832.5949895326</v>
      </c>
      <c r="G94" s="129">
        <f>Data!AR93</f>
        <v>0</v>
      </c>
      <c r="H94" s="129">
        <f>Data!AS93</f>
        <v>285.2</v>
      </c>
      <c r="I94" s="32">
        <f>Data!BW93</f>
        <v>0</v>
      </c>
      <c r="J94" s="32">
        <f>Data!AB93</f>
        <v>2693</v>
      </c>
      <c r="K94" s="32">
        <f>Data!BI93</f>
        <v>92</v>
      </c>
      <c r="L94" s="140">
        <f>Data!BZ93</f>
        <v>0</v>
      </c>
      <c r="M94" s="32">
        <f t="shared" si="14"/>
        <v>8057236.5403538514</v>
      </c>
      <c r="N94" s="32">
        <f t="shared" si="9"/>
        <v>7540242.7598221488</v>
      </c>
      <c r="O94" s="32">
        <f t="shared" si="10"/>
        <v>-248596.05463568121</v>
      </c>
      <c r="P94" s="50">
        <f t="shared" si="11"/>
        <v>2.9930299195488962E-2</v>
      </c>
    </row>
    <row r="95" spans="1:30" x14ac:dyDescent="0.2">
      <c r="A95" s="2">
        <v>43344</v>
      </c>
      <c r="B95">
        <f t="shared" si="12"/>
        <v>2018</v>
      </c>
      <c r="C95">
        <f t="shared" si="13"/>
        <v>9</v>
      </c>
      <c r="D95" s="151">
        <f>Data!G94</f>
        <v>6718606.6602409622</v>
      </c>
      <c r="E95" s="151">
        <f>Data!H94</f>
        <v>516993.78053170216</v>
      </c>
      <c r="F95" s="151">
        <f>Data!I94</f>
        <v>7235600.4407726647</v>
      </c>
      <c r="G95" s="129">
        <f>Data!AR94</f>
        <v>8.7000000000000011</v>
      </c>
      <c r="H95" s="129">
        <f>Data!AS94</f>
        <v>158.5</v>
      </c>
      <c r="I95" s="32">
        <f>Data!BW94</f>
        <v>1</v>
      </c>
      <c r="J95" s="32">
        <f>Data!AB94</f>
        <v>2702</v>
      </c>
      <c r="K95" s="32">
        <f>Data!BI94</f>
        <v>93</v>
      </c>
      <c r="L95" s="140">
        <f>Data!BZ94</f>
        <v>0</v>
      </c>
      <c r="M95" s="32">
        <f t="shared" si="14"/>
        <v>7204349.5320540462</v>
      </c>
      <c r="N95" s="32">
        <f t="shared" si="9"/>
        <v>6687355.7515223436</v>
      </c>
      <c r="O95" s="32">
        <f t="shared" si="10"/>
        <v>-31250.908718618564</v>
      </c>
      <c r="P95" s="50">
        <f t="shared" si="11"/>
        <v>4.3190484292802362E-3</v>
      </c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1:30" x14ac:dyDescent="0.2">
      <c r="A96" s="2">
        <v>43374</v>
      </c>
      <c r="B96">
        <f t="shared" si="12"/>
        <v>2018</v>
      </c>
      <c r="C96">
        <f t="shared" si="13"/>
        <v>10</v>
      </c>
      <c r="D96" s="151">
        <f>Data!G95</f>
        <v>6341396.2313253004</v>
      </c>
      <c r="E96" s="151">
        <f>Data!H95</f>
        <v>516993.78053170216</v>
      </c>
      <c r="F96" s="151">
        <f>Data!I95</f>
        <v>6858390.011857003</v>
      </c>
      <c r="G96" s="129">
        <f>Data!AR95</f>
        <v>175.3</v>
      </c>
      <c r="H96" s="129">
        <f>Data!AS95</f>
        <v>18.100000000000001</v>
      </c>
      <c r="I96" s="32">
        <f>Data!BW95</f>
        <v>1</v>
      </c>
      <c r="J96" s="32">
        <f>Data!AB95</f>
        <v>2700</v>
      </c>
      <c r="K96" s="32">
        <f>Data!BI95</f>
        <v>94</v>
      </c>
      <c r="L96" s="140">
        <f>Data!BZ95</f>
        <v>0</v>
      </c>
      <c r="M96" s="32">
        <f t="shared" si="14"/>
        <v>7056992.1898327097</v>
      </c>
      <c r="N96" s="32">
        <f t="shared" si="9"/>
        <v>6539998.4093010072</v>
      </c>
      <c r="O96" s="32">
        <f t="shared" si="10"/>
        <v>198602.17797570676</v>
      </c>
      <c r="P96" s="50">
        <f t="shared" si="11"/>
        <v>2.8957550916812399E-2</v>
      </c>
    </row>
    <row r="97" spans="1:37" x14ac:dyDescent="0.2">
      <c r="A97" s="2">
        <v>43405</v>
      </c>
      <c r="B97">
        <f t="shared" si="12"/>
        <v>2018</v>
      </c>
      <c r="C97">
        <f t="shared" si="13"/>
        <v>11</v>
      </c>
      <c r="D97" s="151">
        <f>Data!G96</f>
        <v>6327373.6674698787</v>
      </c>
      <c r="E97" s="151">
        <f>Data!H96</f>
        <v>516993.78053170216</v>
      </c>
      <c r="F97" s="151">
        <f>Data!I96</f>
        <v>6844367.4480015812</v>
      </c>
      <c r="G97" s="129">
        <f>Data!AR96</f>
        <v>374.10000000000008</v>
      </c>
      <c r="H97" s="129">
        <f>Data!AS96</f>
        <v>0</v>
      </c>
      <c r="I97" s="32">
        <f>Data!BW96</f>
        <v>1</v>
      </c>
      <c r="J97" s="32">
        <f>Data!AB96</f>
        <v>2703</v>
      </c>
      <c r="K97" s="32">
        <f>Data!BI96</f>
        <v>95</v>
      </c>
      <c r="L97" s="140">
        <f>Data!BZ96</f>
        <v>0</v>
      </c>
      <c r="M97" s="32">
        <f t="shared" si="14"/>
        <v>7653611.9405760951</v>
      </c>
      <c r="N97" s="32">
        <f t="shared" si="9"/>
        <v>7136618.1600443926</v>
      </c>
      <c r="O97" s="32">
        <f t="shared" si="10"/>
        <v>809244.49257451389</v>
      </c>
      <c r="P97" s="50">
        <f t="shared" si="11"/>
        <v>0.11823510334922142</v>
      </c>
    </row>
    <row r="98" spans="1:37" x14ac:dyDescent="0.2">
      <c r="A98" s="2">
        <v>43435</v>
      </c>
      <c r="B98">
        <f t="shared" si="12"/>
        <v>2018</v>
      </c>
      <c r="C98">
        <f t="shared" si="13"/>
        <v>12</v>
      </c>
      <c r="D98" s="151">
        <f>Data!G97</f>
        <v>8214792.0096385563</v>
      </c>
      <c r="E98" s="151">
        <f>Data!H97</f>
        <v>516993.78053170216</v>
      </c>
      <c r="F98" s="151">
        <f>Data!I97</f>
        <v>8731785.7901702579</v>
      </c>
      <c r="G98" s="129">
        <f>Data!AR97</f>
        <v>439.59999999999997</v>
      </c>
      <c r="H98" s="129">
        <f>Data!AS97</f>
        <v>0</v>
      </c>
      <c r="I98" s="32">
        <f>Data!BW97</f>
        <v>0</v>
      </c>
      <c r="J98" s="32">
        <f>Data!AB97</f>
        <v>2702</v>
      </c>
      <c r="K98" s="32">
        <f>Data!BI97</f>
        <v>96</v>
      </c>
      <c r="L98" s="140">
        <f>Data!BZ97</f>
        <v>0</v>
      </c>
      <c r="M98" s="32">
        <f t="shared" si="14"/>
        <v>8148067.7268760614</v>
      </c>
      <c r="N98" s="32">
        <f t="shared" si="9"/>
        <v>7631073.9463443588</v>
      </c>
      <c r="O98" s="32">
        <f t="shared" si="10"/>
        <v>-583718.0632941965</v>
      </c>
      <c r="P98" s="50">
        <f t="shared" si="11"/>
        <v>6.6849791935037248E-2</v>
      </c>
    </row>
    <row r="99" spans="1:37" s="9" customFormat="1" x14ac:dyDescent="0.2">
      <c r="A99" s="2">
        <v>43466</v>
      </c>
      <c r="B99">
        <f t="shared" si="12"/>
        <v>2019</v>
      </c>
      <c r="C99">
        <f t="shared" si="13"/>
        <v>1</v>
      </c>
      <c r="D99" s="151">
        <f>Data!G98</f>
        <v>8493510.5734939743</v>
      </c>
      <c r="E99" s="151">
        <f>Data!H98</f>
        <v>606940.22447486676</v>
      </c>
      <c r="F99" s="151">
        <f>Data!I98</f>
        <v>9100450.7979688402</v>
      </c>
      <c r="G99" s="129">
        <f>Data!AR98</f>
        <v>640.5</v>
      </c>
      <c r="H99" s="129">
        <f>Data!AS98</f>
        <v>0</v>
      </c>
      <c r="I99" s="32">
        <f>Data!BW98</f>
        <v>0</v>
      </c>
      <c r="J99" s="32">
        <f>Data!AB98</f>
        <v>2692</v>
      </c>
      <c r="K99" s="32">
        <f>Data!BI98</f>
        <v>97</v>
      </c>
      <c r="L99" s="140">
        <f>Data!BZ98</f>
        <v>0</v>
      </c>
      <c r="M99" s="32">
        <f t="shared" si="14"/>
        <v>8774541.7671913747</v>
      </c>
      <c r="N99" s="32">
        <f t="shared" ref="N99:N127" si="15">M99-E99</f>
        <v>8167601.5427165078</v>
      </c>
      <c r="O99" s="32">
        <f t="shared" ref="O99:O127" si="16">+M99-F99</f>
        <v>-325909.03077746555</v>
      </c>
      <c r="P99" s="50">
        <f t="shared" ref="P99:P127" si="17">ABS(O99/F99)</f>
        <v>3.58124051228546E-2</v>
      </c>
      <c r="Q99"/>
      <c r="R99"/>
      <c r="S99"/>
      <c r="T99"/>
      <c r="U99"/>
      <c r="V99"/>
      <c r="W99"/>
      <c r="X99"/>
      <c r="Y99"/>
      <c r="Z99"/>
      <c r="AA99"/>
      <c r="AB99"/>
      <c r="AC99" s="39"/>
      <c r="AD99" s="39"/>
      <c r="AE99" s="39"/>
      <c r="AF99" s="39"/>
      <c r="AG99" s="39"/>
      <c r="AH99" s="39"/>
      <c r="AI99" s="39"/>
      <c r="AJ99" s="39"/>
      <c r="AK99" s="39"/>
    </row>
    <row r="100" spans="1:37" x14ac:dyDescent="0.2">
      <c r="A100" s="2">
        <v>43497</v>
      </c>
      <c r="B100">
        <f t="shared" si="12"/>
        <v>2019</v>
      </c>
      <c r="C100">
        <f t="shared" si="13"/>
        <v>2</v>
      </c>
      <c r="D100" s="151">
        <f>Data!G99</f>
        <v>7650394.8433734914</v>
      </c>
      <c r="E100" s="151">
        <f>Data!H99</f>
        <v>606940.22447486676</v>
      </c>
      <c r="F100" s="151">
        <f>Data!I99</f>
        <v>8257335.0678483583</v>
      </c>
      <c r="G100" s="129">
        <f>Data!AR99</f>
        <v>509.70000000000005</v>
      </c>
      <c r="H100" s="129">
        <f>Data!AS99</f>
        <v>0</v>
      </c>
      <c r="I100" s="32">
        <f>Data!BW99</f>
        <v>0</v>
      </c>
      <c r="J100" s="32">
        <f>Data!AB99</f>
        <v>2696</v>
      </c>
      <c r="K100" s="32">
        <f>Data!BI99</f>
        <v>98</v>
      </c>
      <c r="L100" s="140">
        <f>Data!BZ99</f>
        <v>0</v>
      </c>
      <c r="M100" s="32">
        <f t="shared" si="14"/>
        <v>8332286.1560325585</v>
      </c>
      <c r="N100" s="32">
        <f t="shared" si="15"/>
        <v>7725345.9315576917</v>
      </c>
      <c r="O100" s="32">
        <f t="shared" si="16"/>
        <v>74951.088184200227</v>
      </c>
      <c r="P100" s="50">
        <f t="shared" si="17"/>
        <v>9.0769101130506128E-3</v>
      </c>
    </row>
    <row r="101" spans="1:37" x14ac:dyDescent="0.2">
      <c r="A101" s="2">
        <v>43525</v>
      </c>
      <c r="B101">
        <f t="shared" si="12"/>
        <v>2019</v>
      </c>
      <c r="C101">
        <f t="shared" si="13"/>
        <v>3</v>
      </c>
      <c r="D101" s="151">
        <f>Data!G100</f>
        <v>7603009.9566265009</v>
      </c>
      <c r="E101" s="151">
        <f>Data!H100</f>
        <v>606940.22447486676</v>
      </c>
      <c r="F101" s="151">
        <f>Data!I100</f>
        <v>8209950.1811013678</v>
      </c>
      <c r="G101" s="129">
        <f>Data!AR100</f>
        <v>469.9</v>
      </c>
      <c r="H101" s="129">
        <f>Data!AS100</f>
        <v>0</v>
      </c>
      <c r="I101" s="32">
        <f>Data!BW100</f>
        <v>0</v>
      </c>
      <c r="J101" s="32">
        <f>Data!AB100</f>
        <v>2699</v>
      </c>
      <c r="K101" s="32">
        <f>Data!BI100</f>
        <v>99</v>
      </c>
      <c r="L101" s="140">
        <f>Data!BZ100</f>
        <v>0</v>
      </c>
      <c r="M101" s="32">
        <f t="shared" si="14"/>
        <v>8197926.9688866381</v>
      </c>
      <c r="N101" s="32">
        <f t="shared" si="15"/>
        <v>7590986.7444117712</v>
      </c>
      <c r="O101" s="32">
        <f t="shared" si="16"/>
        <v>-12023.212214729749</v>
      </c>
      <c r="P101" s="50">
        <f t="shared" si="17"/>
        <v>1.4644683523666437E-3</v>
      </c>
    </row>
    <row r="102" spans="1:37" x14ac:dyDescent="0.2">
      <c r="A102" s="2">
        <v>43556</v>
      </c>
      <c r="B102">
        <f t="shared" si="12"/>
        <v>2019</v>
      </c>
      <c r="C102">
        <f t="shared" si="13"/>
        <v>4</v>
      </c>
      <c r="D102" s="151">
        <f>Data!G101</f>
        <v>6777657.9951807288</v>
      </c>
      <c r="E102" s="151">
        <f>Data!H101</f>
        <v>606940.22447486676</v>
      </c>
      <c r="F102" s="151">
        <f>Data!I101</f>
        <v>7384598.2196555957</v>
      </c>
      <c r="G102" s="129">
        <f>Data!AR101</f>
        <v>226.80000000000004</v>
      </c>
      <c r="H102" s="129">
        <f>Data!AS101</f>
        <v>0</v>
      </c>
      <c r="I102" s="32">
        <f>Data!BW101</f>
        <v>0</v>
      </c>
      <c r="J102" s="32">
        <f>Data!AB101</f>
        <v>2695</v>
      </c>
      <c r="K102" s="32">
        <f>Data!BI101</f>
        <v>100</v>
      </c>
      <c r="L102" s="140">
        <f>Data!BZ101</f>
        <v>0</v>
      </c>
      <c r="M102" s="32">
        <f t="shared" si="14"/>
        <v>7327935.8356435839</v>
      </c>
      <c r="N102" s="32">
        <f t="shared" si="15"/>
        <v>6720995.611168717</v>
      </c>
      <c r="O102" s="32">
        <f t="shared" si="16"/>
        <v>-56662.384012011811</v>
      </c>
      <c r="P102" s="50">
        <f t="shared" si="17"/>
        <v>7.6730490036944002E-3</v>
      </c>
    </row>
    <row r="103" spans="1:37" x14ac:dyDescent="0.2">
      <c r="A103" s="2">
        <v>43586</v>
      </c>
      <c r="B103">
        <f t="shared" si="12"/>
        <v>2019</v>
      </c>
      <c r="C103">
        <f t="shared" si="13"/>
        <v>5</v>
      </c>
      <c r="D103" s="151">
        <f>Data!G102</f>
        <v>6404967.7975903675</v>
      </c>
      <c r="E103" s="151">
        <f>Data!H102</f>
        <v>606940.22447486676</v>
      </c>
      <c r="F103" s="151">
        <f>Data!I102</f>
        <v>7011908.0220652344</v>
      </c>
      <c r="G103" s="129">
        <f>Data!AR102</f>
        <v>87.700000000000017</v>
      </c>
      <c r="H103" s="129">
        <f>Data!AS102</f>
        <v>18.7</v>
      </c>
      <c r="I103" s="32">
        <f>Data!BW102</f>
        <v>0</v>
      </c>
      <c r="J103" s="32">
        <f>Data!AB102</f>
        <v>2691</v>
      </c>
      <c r="K103" s="32">
        <f>Data!BI102</f>
        <v>101</v>
      </c>
      <c r="L103" s="140">
        <f>Data!BZ102</f>
        <v>0</v>
      </c>
      <c r="M103" s="32">
        <f t="shared" si="14"/>
        <v>6908601.4012327101</v>
      </c>
      <c r="N103" s="32">
        <f t="shared" si="15"/>
        <v>6301661.1767578432</v>
      </c>
      <c r="O103" s="32">
        <f t="shared" si="16"/>
        <v>-103306.62083252426</v>
      </c>
      <c r="P103" s="50">
        <f t="shared" si="17"/>
        <v>1.4733025662549566E-2</v>
      </c>
    </row>
    <row r="104" spans="1:37" x14ac:dyDescent="0.2">
      <c r="A104" s="2">
        <v>43617</v>
      </c>
      <c r="B104">
        <f t="shared" si="12"/>
        <v>2019</v>
      </c>
      <c r="C104">
        <f t="shared" si="13"/>
        <v>6</v>
      </c>
      <c r="D104" s="151">
        <f>Data!G103</f>
        <v>6035483.3349397592</v>
      </c>
      <c r="E104" s="151">
        <f>Data!H103</f>
        <v>606940.22447486676</v>
      </c>
      <c r="F104" s="151">
        <f>Data!I103</f>
        <v>6642423.5594146261</v>
      </c>
      <c r="G104" s="129">
        <f>Data!AR103</f>
        <v>4.2000000000000011</v>
      </c>
      <c r="H104" s="129">
        <f>Data!AS103</f>
        <v>130</v>
      </c>
      <c r="I104" s="32">
        <f>Data!BW103</f>
        <v>0</v>
      </c>
      <c r="J104" s="32">
        <f>Data!AB103</f>
        <v>2687</v>
      </c>
      <c r="K104" s="32">
        <f>Data!BI103</f>
        <v>102</v>
      </c>
      <c r="L104" s="140">
        <f>Data!BZ103</f>
        <v>0</v>
      </c>
      <c r="M104" s="32">
        <f t="shared" si="14"/>
        <v>7140393.2004170809</v>
      </c>
      <c r="N104" s="32">
        <f t="shared" si="15"/>
        <v>6533452.975942214</v>
      </c>
      <c r="O104" s="32">
        <f t="shared" si="16"/>
        <v>497969.64100245479</v>
      </c>
      <c r="P104" s="50">
        <f t="shared" si="17"/>
        <v>7.4968064976323065E-2</v>
      </c>
    </row>
    <row r="105" spans="1:37" x14ac:dyDescent="0.2">
      <c r="A105" s="2">
        <v>43647</v>
      </c>
      <c r="B105">
        <f t="shared" si="12"/>
        <v>2019</v>
      </c>
      <c r="C105">
        <f t="shared" si="13"/>
        <v>7</v>
      </c>
      <c r="D105" s="151">
        <f>Data!G104</f>
        <v>7346858.1783132479</v>
      </c>
      <c r="E105" s="151">
        <f>Data!H104</f>
        <v>606940.22447486676</v>
      </c>
      <c r="F105" s="151">
        <f>Data!I104</f>
        <v>7953798.4027881147</v>
      </c>
      <c r="G105" s="129">
        <f>Data!AR104</f>
        <v>0</v>
      </c>
      <c r="H105" s="129">
        <f>Data!AS104</f>
        <v>290.89999999999992</v>
      </c>
      <c r="I105" s="32">
        <f>Data!BW104</f>
        <v>0</v>
      </c>
      <c r="J105" s="32">
        <f>Data!AB104</f>
        <v>2688</v>
      </c>
      <c r="K105" s="32">
        <f>Data!BI104</f>
        <v>103</v>
      </c>
      <c r="L105" s="140">
        <f>Data!BZ104</f>
        <v>0</v>
      </c>
      <c r="M105" s="32">
        <f t="shared" si="14"/>
        <v>7917179.2345667537</v>
      </c>
      <c r="N105" s="32">
        <f t="shared" si="15"/>
        <v>7310239.0100918869</v>
      </c>
      <c r="O105" s="32">
        <f t="shared" si="16"/>
        <v>-36619.168221361004</v>
      </c>
      <c r="P105" s="50">
        <f t="shared" si="17"/>
        <v>4.6039849600066005E-3</v>
      </c>
    </row>
    <row r="106" spans="1:37" x14ac:dyDescent="0.2">
      <c r="A106" s="2">
        <v>43678</v>
      </c>
      <c r="B106">
        <f t="shared" si="12"/>
        <v>2019</v>
      </c>
      <c r="C106">
        <f t="shared" si="13"/>
        <v>8</v>
      </c>
      <c r="D106" s="151">
        <f>Data!G105</f>
        <v>7213289.7060240963</v>
      </c>
      <c r="E106" s="151">
        <f>Data!H105</f>
        <v>606940.22447486676</v>
      </c>
      <c r="F106" s="151">
        <f>Data!I105</f>
        <v>7820229.9304989632</v>
      </c>
      <c r="G106" s="129">
        <f>Data!AR105</f>
        <v>0</v>
      </c>
      <c r="H106" s="129">
        <f>Data!AS105</f>
        <v>226.40000000000006</v>
      </c>
      <c r="I106" s="32">
        <f>Data!BW105</f>
        <v>0</v>
      </c>
      <c r="J106" s="32">
        <f>Data!AB105</f>
        <v>2684</v>
      </c>
      <c r="K106" s="32">
        <f>Data!BI105</f>
        <v>104</v>
      </c>
      <c r="L106" s="140">
        <f>Data!BZ105</f>
        <v>0</v>
      </c>
      <c r="M106" s="32">
        <f t="shared" si="14"/>
        <v>7563229.8979068883</v>
      </c>
      <c r="N106" s="32">
        <f t="shared" si="15"/>
        <v>6956289.6734320214</v>
      </c>
      <c r="O106" s="32">
        <f t="shared" si="16"/>
        <v>-257000.03259207495</v>
      </c>
      <c r="P106" s="50">
        <f t="shared" si="17"/>
        <v>3.2863488014562417E-2</v>
      </c>
    </row>
    <row r="107" spans="1:37" x14ac:dyDescent="0.2">
      <c r="A107" s="2">
        <v>43709</v>
      </c>
      <c r="B107">
        <f t="shared" si="12"/>
        <v>2019</v>
      </c>
      <c r="C107">
        <f t="shared" si="13"/>
        <v>9</v>
      </c>
      <c r="D107" s="151">
        <f>Data!G106</f>
        <v>6412383.0746987946</v>
      </c>
      <c r="E107" s="151">
        <f>Data!H106</f>
        <v>606940.22447486676</v>
      </c>
      <c r="F107" s="151">
        <f>Data!I106</f>
        <v>7019323.2991736615</v>
      </c>
      <c r="G107" s="129">
        <f>Data!AR106</f>
        <v>2.5999999999999979</v>
      </c>
      <c r="H107" s="129">
        <f>Data!AS106</f>
        <v>109.6</v>
      </c>
      <c r="I107" s="32">
        <f>Data!BW106</f>
        <v>1</v>
      </c>
      <c r="J107" s="32">
        <f>Data!AB106</f>
        <v>2683</v>
      </c>
      <c r="K107" s="32">
        <f>Data!BI106</f>
        <v>105</v>
      </c>
      <c r="L107" s="140">
        <f>Data!BZ106</f>
        <v>0</v>
      </c>
      <c r="M107" s="32">
        <f t="shared" si="14"/>
        <v>6686786.0087847207</v>
      </c>
      <c r="N107" s="32">
        <f t="shared" si="15"/>
        <v>6079845.7843098538</v>
      </c>
      <c r="O107" s="32">
        <f t="shared" si="16"/>
        <v>-332537.29038894083</v>
      </c>
      <c r="P107" s="50">
        <f t="shared" si="17"/>
        <v>4.7374551109234171E-2</v>
      </c>
    </row>
    <row r="108" spans="1:37" x14ac:dyDescent="0.2">
      <c r="A108" s="2">
        <v>43739</v>
      </c>
      <c r="B108">
        <f t="shared" si="12"/>
        <v>2019</v>
      </c>
      <c r="C108">
        <f t="shared" si="13"/>
        <v>10</v>
      </c>
      <c r="D108" s="151">
        <f>Data!G107</f>
        <v>6175914.5445783148</v>
      </c>
      <c r="E108" s="151">
        <f>Data!H107</f>
        <v>606940.22447486676</v>
      </c>
      <c r="F108" s="151">
        <f>Data!I107</f>
        <v>6782854.7690531816</v>
      </c>
      <c r="G108" s="129">
        <f>Data!AR107</f>
        <v>119.39999999999999</v>
      </c>
      <c r="H108" s="129">
        <f>Data!AS107</f>
        <v>12.000000000000004</v>
      </c>
      <c r="I108" s="32">
        <f>Data!BW107</f>
        <v>1</v>
      </c>
      <c r="J108" s="32">
        <f>Data!AB107</f>
        <v>2694</v>
      </c>
      <c r="K108" s="32">
        <f>Data!BI107</f>
        <v>106</v>
      </c>
      <c r="L108" s="140">
        <f>Data!BZ107</f>
        <v>0</v>
      </c>
      <c r="M108" s="32">
        <f t="shared" si="14"/>
        <v>6647895.2016309509</v>
      </c>
      <c r="N108" s="32">
        <f t="shared" si="15"/>
        <v>6040954.977156084</v>
      </c>
      <c r="O108" s="32">
        <f t="shared" si="16"/>
        <v>-134959.56742223073</v>
      </c>
      <c r="P108" s="50">
        <f t="shared" si="17"/>
        <v>1.9897163070332069E-2</v>
      </c>
    </row>
    <row r="109" spans="1:37" x14ac:dyDescent="0.2">
      <c r="A109" s="2">
        <v>43770</v>
      </c>
      <c r="B109">
        <f t="shared" si="12"/>
        <v>2019</v>
      </c>
      <c r="C109">
        <f t="shared" si="13"/>
        <v>11</v>
      </c>
      <c r="D109" s="151">
        <f>Data!G108</f>
        <v>6158689.3783132555</v>
      </c>
      <c r="E109" s="151">
        <f>Data!H108</f>
        <v>606940.22447486676</v>
      </c>
      <c r="F109" s="151">
        <f>Data!I108</f>
        <v>6765629.6027881224</v>
      </c>
      <c r="G109" s="129">
        <f>Data!AR108</f>
        <v>393.30000000000007</v>
      </c>
      <c r="H109" s="129">
        <f>Data!AS108</f>
        <v>0</v>
      </c>
      <c r="I109" s="32">
        <f>Data!BW108</f>
        <v>1</v>
      </c>
      <c r="J109" s="32">
        <f>Data!AB108</f>
        <v>2694</v>
      </c>
      <c r="K109" s="32">
        <f>Data!BI108</f>
        <v>107</v>
      </c>
      <c r="L109" s="140">
        <f>Data!BZ108</f>
        <v>0</v>
      </c>
      <c r="M109" s="32">
        <f t="shared" si="14"/>
        <v>7517655.5812733304</v>
      </c>
      <c r="N109" s="32">
        <f t="shared" si="15"/>
        <v>6910715.3567984635</v>
      </c>
      <c r="O109" s="32">
        <f t="shared" si="16"/>
        <v>752025.978485208</v>
      </c>
      <c r="P109" s="50">
        <f t="shared" si="17"/>
        <v>0.11115387962936922</v>
      </c>
    </row>
    <row r="110" spans="1:37" x14ac:dyDescent="0.2">
      <c r="A110" s="2">
        <v>43800</v>
      </c>
      <c r="B110">
        <f t="shared" si="12"/>
        <v>2019</v>
      </c>
      <c r="C110">
        <f t="shared" si="13"/>
        <v>12</v>
      </c>
      <c r="D110" s="151">
        <f>Data!G109</f>
        <v>7536491.3638554169</v>
      </c>
      <c r="E110" s="151">
        <f>Data!H109</f>
        <v>606940.22447486676</v>
      </c>
      <c r="F110" s="151">
        <f>Data!I109</f>
        <v>8143431.5883302838</v>
      </c>
      <c r="G110" s="129">
        <f>Data!AR109</f>
        <v>458.39999999999992</v>
      </c>
      <c r="H110" s="129">
        <f>Data!AS109</f>
        <v>0</v>
      </c>
      <c r="I110" s="32">
        <f>Data!BW109</f>
        <v>0</v>
      </c>
      <c r="J110" s="32">
        <f>Data!AB109</f>
        <v>2697</v>
      </c>
      <c r="K110" s="32">
        <f>Data!BI109</f>
        <v>108</v>
      </c>
      <c r="L110" s="140">
        <f>Data!BZ109</f>
        <v>0</v>
      </c>
      <c r="M110" s="32">
        <f t="shared" si="14"/>
        <v>8031428.6276070904</v>
      </c>
      <c r="N110" s="32">
        <f t="shared" si="15"/>
        <v>7424488.4031322235</v>
      </c>
      <c r="O110" s="32">
        <f t="shared" si="16"/>
        <v>-112002.96072319336</v>
      </c>
      <c r="P110" s="50">
        <f t="shared" si="17"/>
        <v>1.3753779289273587E-2</v>
      </c>
    </row>
    <row r="111" spans="1:37" x14ac:dyDescent="0.2">
      <c r="A111" s="2">
        <v>43831</v>
      </c>
      <c r="B111">
        <f t="shared" si="12"/>
        <v>2020</v>
      </c>
      <c r="C111">
        <f t="shared" si="13"/>
        <v>1</v>
      </c>
      <c r="D111" s="151">
        <f>Data!G110</f>
        <v>8484041.1759036183</v>
      </c>
      <c r="E111" s="151">
        <f>Data!H110</f>
        <v>649812.80140259408</v>
      </c>
      <c r="F111" s="151">
        <f>Data!I110</f>
        <v>9133853.9773062132</v>
      </c>
      <c r="G111" s="129">
        <f>Data!AR110</f>
        <v>481</v>
      </c>
      <c r="H111" s="129">
        <f>Data!AS110</f>
        <v>0</v>
      </c>
      <c r="I111" s="32">
        <f>Data!BW110</f>
        <v>0</v>
      </c>
      <c r="J111" s="32">
        <f>Data!AB110</f>
        <v>2693</v>
      </c>
      <c r="K111" s="32">
        <f>Data!BI110</f>
        <v>109</v>
      </c>
      <c r="L111" s="140">
        <f>Data!BZ110</f>
        <v>0</v>
      </c>
      <c r="M111" s="32">
        <f t="shared" si="14"/>
        <v>8075532.4212944079</v>
      </c>
      <c r="N111" s="32">
        <f t="shared" si="15"/>
        <v>7425719.619891814</v>
      </c>
      <c r="O111" s="32">
        <f t="shared" si="16"/>
        <v>-1058321.5560118053</v>
      </c>
      <c r="P111" s="50">
        <f t="shared" si="17"/>
        <v>0.11586801788612884</v>
      </c>
      <c r="Q111" s="12"/>
      <c r="AC111" s="39"/>
      <c r="AD111" s="39"/>
      <c r="AE111" s="39"/>
    </row>
    <row r="112" spans="1:37" x14ac:dyDescent="0.2">
      <c r="A112" s="2">
        <v>43862</v>
      </c>
      <c r="B112">
        <f t="shared" si="12"/>
        <v>2020</v>
      </c>
      <c r="C112">
        <f t="shared" si="13"/>
        <v>2</v>
      </c>
      <c r="D112" s="151">
        <f>Data!G111</f>
        <v>7437125.9180722833</v>
      </c>
      <c r="E112" s="151">
        <f>Data!H111</f>
        <v>649812.80140259408</v>
      </c>
      <c r="F112" s="151">
        <f>Data!I111</f>
        <v>8086938.7194748772</v>
      </c>
      <c r="G112" s="129">
        <f>Data!AR111</f>
        <v>495.8</v>
      </c>
      <c r="H112" s="129">
        <f>Data!AS111</f>
        <v>0</v>
      </c>
      <c r="I112" s="32">
        <f>Data!BW111</f>
        <v>0</v>
      </c>
      <c r="J112" s="32">
        <f>Data!AB111</f>
        <v>2694</v>
      </c>
      <c r="K112" s="32">
        <f>Data!BI111</f>
        <v>110</v>
      </c>
      <c r="L112" s="140">
        <f>Data!BZ111</f>
        <v>0</v>
      </c>
      <c r="M112" s="32">
        <f t="shared" si="14"/>
        <v>8118668.4017417226</v>
      </c>
      <c r="N112" s="32">
        <f t="shared" si="15"/>
        <v>7468855.6003391286</v>
      </c>
      <c r="O112" s="32">
        <f t="shared" si="16"/>
        <v>31729.682266845368</v>
      </c>
      <c r="P112" s="50">
        <f t="shared" si="17"/>
        <v>3.9235714981287412E-3</v>
      </c>
    </row>
    <row r="113" spans="1:16" x14ac:dyDescent="0.2">
      <c r="A113" s="2">
        <v>43891</v>
      </c>
      <c r="B113">
        <f t="shared" si="12"/>
        <v>2020</v>
      </c>
      <c r="C113">
        <f t="shared" si="13"/>
        <v>3</v>
      </c>
      <c r="D113" s="151">
        <f>Data!G112</f>
        <v>7029333.0698795123</v>
      </c>
      <c r="E113" s="151">
        <f>Data!H112</f>
        <v>649812.80140259408</v>
      </c>
      <c r="F113" s="151">
        <f>Data!I112</f>
        <v>7679145.8712821063</v>
      </c>
      <c r="G113" s="129">
        <f>Data!AR112</f>
        <v>334.7</v>
      </c>
      <c r="H113" s="129">
        <f>Data!AS112</f>
        <v>0</v>
      </c>
      <c r="I113" s="32">
        <f>Data!BW112</f>
        <v>0</v>
      </c>
      <c r="J113" s="32">
        <f>Data!AB112</f>
        <v>2707</v>
      </c>
      <c r="K113" s="32">
        <f>Data!BI112</f>
        <v>111</v>
      </c>
      <c r="L113" s="140">
        <f>Data!BZ112</f>
        <v>0.5</v>
      </c>
      <c r="M113" s="32">
        <f t="shared" si="14"/>
        <v>7284649.2525081187</v>
      </c>
      <c r="N113" s="32">
        <f t="shared" si="15"/>
        <v>6634836.4511055248</v>
      </c>
      <c r="O113" s="32">
        <f t="shared" si="16"/>
        <v>-394496.61877398752</v>
      </c>
      <c r="P113" s="50">
        <f t="shared" si="17"/>
        <v>5.1372460607799673E-2</v>
      </c>
    </row>
    <row r="114" spans="1:16" x14ac:dyDescent="0.2">
      <c r="A114" s="2">
        <v>43922</v>
      </c>
      <c r="B114">
        <f t="shared" si="12"/>
        <v>2020</v>
      </c>
      <c r="C114">
        <f t="shared" si="13"/>
        <v>4</v>
      </c>
      <c r="D114" s="151">
        <f>Data!G113</f>
        <v>6060516.9927710835</v>
      </c>
      <c r="E114" s="151">
        <f>Data!H113</f>
        <v>649812.80140259408</v>
      </c>
      <c r="F114" s="151">
        <f>Data!I113</f>
        <v>6710329.7941736775</v>
      </c>
      <c r="G114" s="129">
        <f>Data!AR113</f>
        <v>242.3</v>
      </c>
      <c r="H114" s="129">
        <f>Data!AS113</f>
        <v>0</v>
      </c>
      <c r="I114" s="32">
        <f>Data!BW113</f>
        <v>0</v>
      </c>
      <c r="J114" s="32">
        <f>Data!AB113</f>
        <v>2708</v>
      </c>
      <c r="K114" s="32">
        <f>Data!BI113</f>
        <v>112</v>
      </c>
      <c r="L114" s="140">
        <f>Data!BZ113</f>
        <v>1</v>
      </c>
      <c r="M114" s="32">
        <f t="shared" si="14"/>
        <v>6624900.4066048246</v>
      </c>
      <c r="N114" s="32">
        <f t="shared" si="15"/>
        <v>5975087.6052022306</v>
      </c>
      <c r="O114" s="32">
        <f t="shared" si="16"/>
        <v>-85429.387568852864</v>
      </c>
      <c r="P114" s="50">
        <f t="shared" si="17"/>
        <v>1.2731026669214966E-2</v>
      </c>
    </row>
    <row r="115" spans="1:16" x14ac:dyDescent="0.2">
      <c r="A115" s="2">
        <v>43952</v>
      </c>
      <c r="B115">
        <f t="shared" si="12"/>
        <v>2020</v>
      </c>
      <c r="C115">
        <f t="shared" si="13"/>
        <v>5</v>
      </c>
      <c r="D115" s="151">
        <f>Data!G114</f>
        <v>5500006.03373494</v>
      </c>
      <c r="E115" s="151">
        <f>Data!H114</f>
        <v>649812.80140259408</v>
      </c>
      <c r="F115" s="151">
        <f>Data!I114</f>
        <v>6149818.835137534</v>
      </c>
      <c r="G115" s="129">
        <f>Data!AR114</f>
        <v>116.19999999999999</v>
      </c>
      <c r="H115" s="129">
        <f>Data!AS114</f>
        <v>56.300000000000004</v>
      </c>
      <c r="I115" s="32">
        <f>Data!BW114</f>
        <v>0</v>
      </c>
      <c r="J115" s="32">
        <f>Data!AB114</f>
        <v>2709</v>
      </c>
      <c r="K115" s="32">
        <f>Data!BI114</f>
        <v>113</v>
      </c>
      <c r="L115" s="140">
        <f>Data!BZ114</f>
        <v>1</v>
      </c>
      <c r="M115" s="32">
        <f t="shared" si="14"/>
        <v>6462875.4955801237</v>
      </c>
      <c r="N115" s="32">
        <f t="shared" si="15"/>
        <v>5813062.6941775298</v>
      </c>
      <c r="O115" s="32">
        <f t="shared" si="16"/>
        <v>313056.66044258978</v>
      </c>
      <c r="P115" s="50">
        <f t="shared" si="17"/>
        <v>5.0905021568100978E-2</v>
      </c>
    </row>
    <row r="116" spans="1:16" x14ac:dyDescent="0.2">
      <c r="A116" s="2">
        <v>43983</v>
      </c>
      <c r="B116">
        <f t="shared" si="12"/>
        <v>2020</v>
      </c>
      <c r="C116">
        <f t="shared" si="13"/>
        <v>6</v>
      </c>
      <c r="D116" s="151">
        <f>Data!G115</f>
        <v>6178943.248192776</v>
      </c>
      <c r="E116" s="151">
        <f>Data!H115</f>
        <v>649812.80140259408</v>
      </c>
      <c r="F116" s="151">
        <f>Data!I115</f>
        <v>6828756.04959537</v>
      </c>
      <c r="G116" s="129">
        <f>Data!AR115</f>
        <v>2.0999999999999996</v>
      </c>
      <c r="H116" s="129">
        <f>Data!AS115</f>
        <v>196.00000000000003</v>
      </c>
      <c r="I116" s="32">
        <f>Data!BW115</f>
        <v>0</v>
      </c>
      <c r="J116" s="32">
        <f>Data!AB115</f>
        <v>2721</v>
      </c>
      <c r="K116" s="32">
        <f>Data!BI115</f>
        <v>114</v>
      </c>
      <c r="L116" s="140">
        <f>Data!BZ115</f>
        <v>0.5</v>
      </c>
      <c r="M116" s="32">
        <f t="shared" si="14"/>
        <v>7147280.6842147745</v>
      </c>
      <c r="N116" s="32">
        <f t="shared" si="15"/>
        <v>6497467.8828121806</v>
      </c>
      <c r="O116" s="32">
        <f t="shared" si="16"/>
        <v>318524.63461940456</v>
      </c>
      <c r="P116" s="50">
        <f t="shared" si="17"/>
        <v>4.6644605885178513E-2</v>
      </c>
    </row>
    <row r="117" spans="1:16" x14ac:dyDescent="0.2">
      <c r="A117" s="2">
        <v>44013</v>
      </c>
      <c r="B117">
        <f t="shared" si="12"/>
        <v>2020</v>
      </c>
      <c r="C117">
        <f t="shared" si="13"/>
        <v>7</v>
      </c>
      <c r="D117" s="151">
        <f>Data!G116</f>
        <v>7125657.9277108368</v>
      </c>
      <c r="E117" s="151">
        <f>Data!H116</f>
        <v>649812.80140259408</v>
      </c>
      <c r="F117" s="151">
        <f>Data!I116</f>
        <v>7775470.7291134307</v>
      </c>
      <c r="G117" s="129">
        <f>Data!AR116</f>
        <v>0</v>
      </c>
      <c r="H117" s="129">
        <f>Data!AS116</f>
        <v>339.70000000000005</v>
      </c>
      <c r="I117" s="32">
        <f>Data!BW116</f>
        <v>0</v>
      </c>
      <c r="J117" s="32">
        <f>Data!AB116</f>
        <v>2724</v>
      </c>
      <c r="K117" s="32">
        <f>Data!BI116</f>
        <v>115</v>
      </c>
      <c r="L117" s="140">
        <f>Data!BZ116</f>
        <v>0.5</v>
      </c>
      <c r="M117" s="32">
        <f t="shared" si="14"/>
        <v>7856224.3044572752</v>
      </c>
      <c r="N117" s="32">
        <f t="shared" si="15"/>
        <v>7206411.5030546812</v>
      </c>
      <c r="O117" s="32">
        <f t="shared" si="16"/>
        <v>80753.575343844481</v>
      </c>
      <c r="P117" s="50">
        <f t="shared" si="17"/>
        <v>1.0385683151179725E-2</v>
      </c>
    </row>
    <row r="118" spans="1:16" x14ac:dyDescent="0.2">
      <c r="A118" s="2">
        <v>44044</v>
      </c>
      <c r="B118">
        <f t="shared" si="12"/>
        <v>2020</v>
      </c>
      <c r="C118">
        <f t="shared" si="13"/>
        <v>8</v>
      </c>
      <c r="D118" s="151">
        <f>Data!G117</f>
        <v>6952279.6530120457</v>
      </c>
      <c r="E118" s="151">
        <f>Data!H117</f>
        <v>649812.80140259408</v>
      </c>
      <c r="F118" s="151">
        <f>Data!I117</f>
        <v>7602092.4544146396</v>
      </c>
      <c r="G118" s="129">
        <f>Data!AR117</f>
        <v>0</v>
      </c>
      <c r="H118" s="129">
        <f>Data!AS117</f>
        <v>249.89999999999998</v>
      </c>
      <c r="I118" s="32">
        <f>Data!BW117</f>
        <v>0</v>
      </c>
      <c r="J118" s="32">
        <f>Data!AB117</f>
        <v>2731</v>
      </c>
      <c r="K118" s="32">
        <f>Data!BI117</f>
        <v>116</v>
      </c>
      <c r="L118" s="140">
        <f>Data!BZ117</f>
        <v>0.5</v>
      </c>
      <c r="M118" s="32">
        <f t="shared" si="14"/>
        <v>7433544.0573712196</v>
      </c>
      <c r="N118" s="32">
        <f t="shared" si="15"/>
        <v>6783731.2559686257</v>
      </c>
      <c r="O118" s="32">
        <f t="shared" si="16"/>
        <v>-168548.39704342</v>
      </c>
      <c r="P118" s="50">
        <f t="shared" si="17"/>
        <v>2.2171316391389272E-2</v>
      </c>
    </row>
    <row r="119" spans="1:16" x14ac:dyDescent="0.2">
      <c r="A119" s="2">
        <v>44075</v>
      </c>
      <c r="B119">
        <f t="shared" si="12"/>
        <v>2020</v>
      </c>
      <c r="C119">
        <f t="shared" si="13"/>
        <v>9</v>
      </c>
      <c r="D119" s="151">
        <f>Data!G118</f>
        <v>6152713.3975903597</v>
      </c>
      <c r="E119" s="151">
        <f>Data!H118</f>
        <v>649812.80140259408</v>
      </c>
      <c r="F119" s="151">
        <f>Data!I118</f>
        <v>6802526.1989929536</v>
      </c>
      <c r="G119" s="129">
        <f>Data!AR118</f>
        <v>15.899999999999999</v>
      </c>
      <c r="H119" s="129">
        <f>Data!AS118</f>
        <v>100.10000000000001</v>
      </c>
      <c r="I119" s="32">
        <f>Data!BW118</f>
        <v>1</v>
      </c>
      <c r="J119" s="32">
        <f>Data!AB118</f>
        <v>2734</v>
      </c>
      <c r="K119" s="32">
        <f>Data!BI118</f>
        <v>117</v>
      </c>
      <c r="L119" s="140">
        <f>Data!BZ118</f>
        <v>0.5</v>
      </c>
      <c r="M119" s="32">
        <f t="shared" si="14"/>
        <v>6459674.6033616662</v>
      </c>
      <c r="N119" s="32">
        <f t="shared" si="15"/>
        <v>5809861.8019590722</v>
      </c>
      <c r="O119" s="32">
        <f t="shared" si="16"/>
        <v>-342851.59563128743</v>
      </c>
      <c r="P119" s="50">
        <f t="shared" si="17"/>
        <v>5.0400628472705211E-2</v>
      </c>
    </row>
    <row r="120" spans="1:16" x14ac:dyDescent="0.2">
      <c r="A120" s="2">
        <v>44105</v>
      </c>
      <c r="B120">
        <f t="shared" si="12"/>
        <v>2020</v>
      </c>
      <c r="C120">
        <f t="shared" si="13"/>
        <v>10</v>
      </c>
      <c r="D120" s="151">
        <f>Data!G119</f>
        <v>6063787.8939759014</v>
      </c>
      <c r="E120" s="151">
        <f>Data!H119</f>
        <v>649812.80140259408</v>
      </c>
      <c r="F120" s="151">
        <f>Data!I119</f>
        <v>6713600.6953784954</v>
      </c>
      <c r="G120" s="129">
        <f>Data!AR119</f>
        <v>149.90000000000003</v>
      </c>
      <c r="H120" s="129">
        <f>Data!AS119</f>
        <v>3.5999999999999996</v>
      </c>
      <c r="I120" s="32">
        <f>Data!BW119</f>
        <v>1</v>
      </c>
      <c r="J120" s="32">
        <f>Data!AB119</f>
        <v>2744</v>
      </c>
      <c r="K120" s="32">
        <f>Data!BI119</f>
        <v>118</v>
      </c>
      <c r="L120" s="140">
        <f>Data!BZ119</f>
        <v>0.5</v>
      </c>
      <c r="M120" s="32">
        <f t="shared" si="14"/>
        <v>6480246.5859034741</v>
      </c>
      <c r="N120" s="32">
        <f t="shared" si="15"/>
        <v>5830433.7845008802</v>
      </c>
      <c r="O120" s="32">
        <f t="shared" si="16"/>
        <v>-233354.10947502125</v>
      </c>
      <c r="P120" s="50">
        <f t="shared" si="17"/>
        <v>3.4758413564223059E-2</v>
      </c>
    </row>
    <row r="121" spans="1:16" x14ac:dyDescent="0.2">
      <c r="A121" s="2">
        <v>44136</v>
      </c>
      <c r="B121">
        <f t="shared" si="12"/>
        <v>2020</v>
      </c>
      <c r="C121">
        <f t="shared" si="13"/>
        <v>11</v>
      </c>
      <c r="D121" s="151">
        <f>Data!G120</f>
        <v>5989978.6987951752</v>
      </c>
      <c r="E121" s="151">
        <f>Data!H120</f>
        <v>649812.80140259408</v>
      </c>
      <c r="F121" s="151">
        <f>Data!I120</f>
        <v>6639791.5001977691</v>
      </c>
      <c r="G121" s="129">
        <f>Data!AR120</f>
        <v>220.39999999999998</v>
      </c>
      <c r="H121" s="129">
        <f>Data!AS120</f>
        <v>5.6000000000000014</v>
      </c>
      <c r="I121" s="32">
        <f>Data!BW120</f>
        <v>1</v>
      </c>
      <c r="J121" s="32">
        <f>Data!AB120</f>
        <v>2753</v>
      </c>
      <c r="K121" s="32">
        <f>Data!BI120</f>
        <v>119</v>
      </c>
      <c r="L121" s="140">
        <f>Data!BZ120</f>
        <v>0.5</v>
      </c>
      <c r="M121" s="32">
        <f t="shared" si="14"/>
        <v>6766327.4078589007</v>
      </c>
      <c r="N121" s="32">
        <f t="shared" si="15"/>
        <v>6116514.6064563068</v>
      </c>
      <c r="O121" s="32">
        <f t="shared" si="16"/>
        <v>126535.90766113158</v>
      </c>
      <c r="P121" s="50">
        <f t="shared" si="17"/>
        <v>1.9057211006906265E-2</v>
      </c>
    </row>
    <row r="122" spans="1:16" x14ac:dyDescent="0.2">
      <c r="A122" s="2">
        <v>44166</v>
      </c>
      <c r="B122">
        <f t="shared" si="12"/>
        <v>2020</v>
      </c>
      <c r="C122">
        <f t="shared" si="13"/>
        <v>12</v>
      </c>
      <c r="D122" s="151">
        <f>Data!G121</f>
        <v>6720380.9831325309</v>
      </c>
      <c r="E122" s="151">
        <f>Data!H121</f>
        <v>649812.80140259408</v>
      </c>
      <c r="F122" s="151">
        <f>Data!I121</f>
        <v>7370193.7845351249</v>
      </c>
      <c r="G122" s="129">
        <f>Data!AR121</f>
        <v>443.3</v>
      </c>
      <c r="H122" s="129">
        <f>Data!AS121</f>
        <v>0</v>
      </c>
      <c r="I122" s="32">
        <f>Data!BW121</f>
        <v>0</v>
      </c>
      <c r="J122" s="32">
        <f>Data!AB121</f>
        <v>2781</v>
      </c>
      <c r="K122" s="32">
        <f>Data!BI121</f>
        <v>120</v>
      </c>
      <c r="L122" s="140">
        <f>Data!BZ121</f>
        <v>0.5</v>
      </c>
      <c r="M122" s="32">
        <f t="shared" si="14"/>
        <v>7924508.6304517705</v>
      </c>
      <c r="N122" s="32">
        <f t="shared" si="15"/>
        <v>7274695.8290491765</v>
      </c>
      <c r="O122" s="32">
        <f t="shared" si="16"/>
        <v>554314.8459166456</v>
      </c>
      <c r="P122" s="50">
        <f t="shared" si="17"/>
        <v>7.5210348889301157E-2</v>
      </c>
    </row>
    <row r="123" spans="1:16" x14ac:dyDescent="0.2">
      <c r="A123" s="2">
        <v>44197</v>
      </c>
      <c r="B123">
        <f t="shared" si="12"/>
        <v>2021</v>
      </c>
      <c r="C123">
        <f t="shared" si="13"/>
        <v>1</v>
      </c>
      <c r="D123" s="151">
        <f>Data!G122</f>
        <v>8317144.8867469896</v>
      </c>
      <c r="E123" s="151">
        <f>Data!H122</f>
        <v>750051.28129892715</v>
      </c>
      <c r="F123" s="151">
        <f>Data!I122</f>
        <v>9067196.1680459175</v>
      </c>
      <c r="G123" s="129">
        <f>Data!AR122</f>
        <v>516</v>
      </c>
      <c r="H123" s="129">
        <f>Data!AS122</f>
        <v>0</v>
      </c>
      <c r="I123" s="32">
        <f>Data!BW122</f>
        <v>0</v>
      </c>
      <c r="J123" s="32">
        <f>Data!AB122</f>
        <v>2807</v>
      </c>
      <c r="K123" s="32">
        <f>Data!BI122</f>
        <v>121</v>
      </c>
      <c r="L123" s="140">
        <f>Data!BZ122</f>
        <v>0.5</v>
      </c>
      <c r="M123" s="32">
        <f t="shared" si="14"/>
        <v>8296173.2466921266</v>
      </c>
      <c r="N123" s="32">
        <f t="shared" si="15"/>
        <v>7546121.9653931996</v>
      </c>
      <c r="O123" s="32">
        <f t="shared" si="16"/>
        <v>-771022.92135379091</v>
      </c>
      <c r="P123" s="50">
        <f t="shared" si="17"/>
        <v>8.503432671623283E-2</v>
      </c>
    </row>
    <row r="124" spans="1:16" x14ac:dyDescent="0.2">
      <c r="A124" s="2">
        <v>44228</v>
      </c>
      <c r="B124">
        <f t="shared" si="12"/>
        <v>2021</v>
      </c>
      <c r="C124">
        <f t="shared" si="13"/>
        <v>2</v>
      </c>
      <c r="D124" s="151">
        <f>Data!G123</f>
        <v>7899265.667469875</v>
      </c>
      <c r="E124" s="151">
        <f>Data!H123</f>
        <v>750051.28129892715</v>
      </c>
      <c r="F124" s="151">
        <f>Data!I123</f>
        <v>8649316.948768802</v>
      </c>
      <c r="G124" s="129">
        <f>Data!AR123</f>
        <v>541.69999999999993</v>
      </c>
      <c r="H124" s="129">
        <f>Data!AS123</f>
        <v>0</v>
      </c>
      <c r="I124" s="32">
        <f>Data!BW123</f>
        <v>0</v>
      </c>
      <c r="J124" s="32">
        <f>Data!AB123</f>
        <v>2848</v>
      </c>
      <c r="K124" s="32">
        <f>Data!BI123</f>
        <v>122</v>
      </c>
      <c r="L124" s="140">
        <f>Data!BZ123</f>
        <v>0.5</v>
      </c>
      <c r="M124" s="32">
        <f t="shared" si="14"/>
        <v>8583742.7021904383</v>
      </c>
      <c r="N124" s="32">
        <f t="shared" si="15"/>
        <v>7833691.4208915113</v>
      </c>
      <c r="O124" s="32">
        <f t="shared" si="16"/>
        <v>-65574.246578363702</v>
      </c>
      <c r="P124" s="50">
        <f t="shared" si="17"/>
        <v>7.5814364263409205E-3</v>
      </c>
    </row>
    <row r="125" spans="1:16" x14ac:dyDescent="0.2">
      <c r="A125" s="2">
        <v>44256</v>
      </c>
      <c r="B125">
        <f t="shared" si="12"/>
        <v>2021</v>
      </c>
      <c r="C125">
        <f t="shared" si="13"/>
        <v>3</v>
      </c>
      <c r="D125" s="151">
        <f>Data!G124</f>
        <v>7196997.5518072229</v>
      </c>
      <c r="E125" s="151">
        <f>Data!H124</f>
        <v>750051.28129892715</v>
      </c>
      <c r="F125" s="151">
        <f>Data!I124</f>
        <v>7947048.8331061499</v>
      </c>
      <c r="G125" s="129">
        <f>Data!AR124</f>
        <v>337.20000000000005</v>
      </c>
      <c r="H125" s="129">
        <f>Data!AS124</f>
        <v>0.5</v>
      </c>
      <c r="I125" s="32">
        <f>Data!BW124</f>
        <v>0</v>
      </c>
      <c r="J125" s="32">
        <f>Data!AB124</f>
        <v>2849</v>
      </c>
      <c r="K125" s="32">
        <f>Data!BI124</f>
        <v>123</v>
      </c>
      <c r="L125" s="140">
        <f>Data!BZ124</f>
        <v>0.5</v>
      </c>
      <c r="M125" s="32">
        <f t="shared" si="14"/>
        <v>7874897.8952194825</v>
      </c>
      <c r="N125" s="32">
        <f t="shared" si="15"/>
        <v>7124846.6139205555</v>
      </c>
      <c r="O125" s="32">
        <f t="shared" si="16"/>
        <v>-72150.937886667438</v>
      </c>
      <c r="P125" s="50">
        <f t="shared" si="17"/>
        <v>9.0789599261172308E-3</v>
      </c>
    </row>
    <row r="126" spans="1:16" x14ac:dyDescent="0.2">
      <c r="A126" s="2">
        <v>44287</v>
      </c>
      <c r="B126">
        <f t="shared" si="12"/>
        <v>2021</v>
      </c>
      <c r="C126">
        <f t="shared" si="13"/>
        <v>4</v>
      </c>
      <c r="D126" s="151">
        <f>Data!G125</f>
        <v>6547512.9831325319</v>
      </c>
      <c r="E126" s="151">
        <f>Data!H125</f>
        <v>750051.28129892715</v>
      </c>
      <c r="F126" s="151">
        <f>Data!I125</f>
        <v>7297564.2644314589</v>
      </c>
      <c r="G126" s="129">
        <f>Data!AR125</f>
        <v>185.99999999999997</v>
      </c>
      <c r="H126" s="129">
        <f>Data!AS125</f>
        <v>3.5999999999999996</v>
      </c>
      <c r="I126" s="32">
        <f>Data!BW125</f>
        <v>0</v>
      </c>
      <c r="J126" s="32">
        <f>Data!AB125</f>
        <v>2861</v>
      </c>
      <c r="K126" s="32">
        <f>Data!BI125</f>
        <v>124</v>
      </c>
      <c r="L126" s="140">
        <f>Data!BZ125</f>
        <v>0.5</v>
      </c>
      <c r="M126" s="32">
        <f t="shared" si="14"/>
        <v>7419240.7387789749</v>
      </c>
      <c r="N126" s="32">
        <f t="shared" si="15"/>
        <v>6669189.4574800478</v>
      </c>
      <c r="O126" s="32">
        <f t="shared" si="16"/>
        <v>121676.47434751596</v>
      </c>
      <c r="P126" s="50">
        <f t="shared" si="17"/>
        <v>1.6673573529262447E-2</v>
      </c>
    </row>
    <row r="127" spans="1:16" x14ac:dyDescent="0.2">
      <c r="A127" s="2">
        <v>44317</v>
      </c>
      <c r="B127">
        <f t="shared" si="12"/>
        <v>2021</v>
      </c>
      <c r="C127">
        <f t="shared" si="13"/>
        <v>5</v>
      </c>
      <c r="D127" s="151">
        <f>Data!G126</f>
        <v>5916481.4457831262</v>
      </c>
      <c r="E127" s="151">
        <f>Data!H126</f>
        <v>750051.28129892715</v>
      </c>
      <c r="F127" s="151">
        <f>Data!I126</f>
        <v>6666532.7270820532</v>
      </c>
      <c r="G127" s="129">
        <f>Data!AR126</f>
        <v>80.299999999999983</v>
      </c>
      <c r="H127" s="129">
        <f>Data!AS126</f>
        <v>67.999999999999986</v>
      </c>
      <c r="I127" s="32">
        <f>Data!BW126</f>
        <v>0</v>
      </c>
      <c r="J127" s="32">
        <f>Data!AB126</f>
        <v>2864</v>
      </c>
      <c r="K127" s="32">
        <f>Data!BI126</f>
        <v>125</v>
      </c>
      <c r="L127" s="140">
        <f>Data!BZ126</f>
        <v>0.5</v>
      </c>
      <c r="M127" s="32">
        <f t="shared" si="14"/>
        <v>7377969.136308061</v>
      </c>
      <c r="N127" s="32">
        <f t="shared" si="15"/>
        <v>6627917.8550091339</v>
      </c>
      <c r="O127" s="32">
        <f t="shared" si="16"/>
        <v>711436.40922600776</v>
      </c>
      <c r="P127" s="50">
        <f t="shared" si="17"/>
        <v>0.10671760544066271</v>
      </c>
    </row>
    <row r="128" spans="1:16" x14ac:dyDescent="0.2">
      <c r="A128" s="2">
        <v>44348</v>
      </c>
      <c r="B128">
        <f t="shared" ref="B128:B134" si="18">YEAR(A128)</f>
        <v>2021</v>
      </c>
      <c r="C128">
        <f t="shared" ref="C128:C134" si="19">MONTH(A128)</f>
        <v>6</v>
      </c>
      <c r="D128" s="151">
        <f>Data!G127</f>
        <v>6502732.9156626537</v>
      </c>
      <c r="E128" s="151">
        <f>Data!H127</f>
        <v>750051.28129892715</v>
      </c>
      <c r="F128" s="151">
        <f>Data!I127</f>
        <v>7252784.1969615808</v>
      </c>
      <c r="G128" s="129">
        <f>Data!AR127</f>
        <v>0</v>
      </c>
      <c r="H128" s="129">
        <f>Data!AS127</f>
        <v>235.00000000000006</v>
      </c>
      <c r="I128" s="32">
        <f>Data!BW127</f>
        <v>0</v>
      </c>
      <c r="J128" s="32">
        <f>Data!AB127</f>
        <v>2867</v>
      </c>
      <c r="K128" s="32">
        <f>Data!BI127</f>
        <v>126</v>
      </c>
      <c r="L128" s="140">
        <f>Data!BZ127</f>
        <v>0.5</v>
      </c>
      <c r="M128" s="32">
        <f t="shared" ref="M128:M134" si="20">$R$19+G128*$R$20+H128*$R$21+I128*$R$22+J128*$R$23+K128*$R$24+L128*$R$25</f>
        <v>7933585.0710929614</v>
      </c>
      <c r="N128" s="32">
        <f t="shared" ref="N128:N134" si="21">M128-E128</f>
        <v>7183533.7897940343</v>
      </c>
      <c r="O128" s="32">
        <f t="shared" ref="O128:O134" si="22">+M128-F128</f>
        <v>680800.87413138058</v>
      </c>
      <c r="P128" s="50">
        <f t="shared" ref="P128:P134" si="23">ABS(O128/F128)</f>
        <v>9.3867521167469659E-2</v>
      </c>
    </row>
    <row r="129" spans="1:19" x14ac:dyDescent="0.2">
      <c r="A129" s="2">
        <v>44378</v>
      </c>
      <c r="B129">
        <f t="shared" si="18"/>
        <v>2021</v>
      </c>
      <c r="C129">
        <f t="shared" si="19"/>
        <v>7</v>
      </c>
      <c r="D129" s="151">
        <f>Data!G128</f>
        <v>7081289.7349397596</v>
      </c>
      <c r="E129" s="151">
        <f>Data!H128</f>
        <v>750051.28129892715</v>
      </c>
      <c r="F129" s="151">
        <f>Data!I128</f>
        <v>7831341.0162386866</v>
      </c>
      <c r="G129" s="129">
        <f>Data!AR128</f>
        <v>0</v>
      </c>
      <c r="H129" s="129">
        <f>Data!AS128</f>
        <v>228.30000000000004</v>
      </c>
      <c r="I129" s="32">
        <f>Data!BW128</f>
        <v>0</v>
      </c>
      <c r="J129" s="32">
        <f>Data!AB128</f>
        <v>2870</v>
      </c>
      <c r="K129" s="32">
        <f>Data!BI128</f>
        <v>127</v>
      </c>
      <c r="L129" s="140">
        <f>Data!BZ128</f>
        <v>0.5</v>
      </c>
      <c r="M129" s="32">
        <f t="shared" si="20"/>
        <v>7902879.2517451923</v>
      </c>
      <c r="N129" s="32">
        <f t="shared" si="21"/>
        <v>7152827.9704462653</v>
      </c>
      <c r="O129" s="32">
        <f t="shared" si="22"/>
        <v>71538.235506505705</v>
      </c>
      <c r="P129" s="50">
        <f t="shared" si="23"/>
        <v>9.1348640492308411E-3</v>
      </c>
    </row>
    <row r="130" spans="1:19" x14ac:dyDescent="0.2">
      <c r="A130" s="2">
        <v>44409</v>
      </c>
      <c r="B130">
        <f t="shared" si="18"/>
        <v>2021</v>
      </c>
      <c r="C130">
        <f t="shared" si="19"/>
        <v>8</v>
      </c>
      <c r="D130" s="151">
        <f>Data!G129</f>
        <v>7851599.4891566234</v>
      </c>
      <c r="E130" s="151">
        <f>Data!H129</f>
        <v>750051.28129892715</v>
      </c>
      <c r="F130" s="151">
        <f>Data!I129</f>
        <v>8601650.7704555504</v>
      </c>
      <c r="G130" s="129">
        <f>Data!AR129</f>
        <v>0</v>
      </c>
      <c r="H130" s="129">
        <f>Data!AS129</f>
        <v>303.39999999999998</v>
      </c>
      <c r="I130" s="32">
        <f>Data!BW129</f>
        <v>0</v>
      </c>
      <c r="J130" s="32">
        <f>Data!AB129</f>
        <v>2898</v>
      </c>
      <c r="K130" s="32">
        <f>Data!BI129</f>
        <v>128</v>
      </c>
      <c r="L130" s="140">
        <f>Data!BZ129</f>
        <v>0.5</v>
      </c>
      <c r="M130" s="32">
        <f t="shared" si="20"/>
        <v>8407719.2502366696</v>
      </c>
      <c r="N130" s="32">
        <f t="shared" si="21"/>
        <v>7657667.9689377425</v>
      </c>
      <c r="O130" s="32">
        <f t="shared" si="22"/>
        <v>-193931.52021888085</v>
      </c>
      <c r="P130" s="50">
        <f t="shared" si="23"/>
        <v>2.2545849092709687E-2</v>
      </c>
    </row>
    <row r="131" spans="1:19" x14ac:dyDescent="0.2">
      <c r="A131" s="2">
        <v>44440</v>
      </c>
      <c r="B131">
        <f t="shared" si="18"/>
        <v>2021</v>
      </c>
      <c r="C131">
        <f t="shared" si="19"/>
        <v>9</v>
      </c>
      <c r="D131" s="151">
        <f>Data!G130</f>
        <v>7157403.4891566234</v>
      </c>
      <c r="E131" s="151">
        <f>Data!H130</f>
        <v>750051.28129892715</v>
      </c>
      <c r="F131" s="151">
        <f>Data!I130</f>
        <v>7907454.7704555504</v>
      </c>
      <c r="G131" s="129">
        <f>Data!AR130</f>
        <v>3</v>
      </c>
      <c r="H131" s="129">
        <f>Data!AS130</f>
        <v>112.3</v>
      </c>
      <c r="I131" s="32">
        <f>Data!BW130</f>
        <v>1</v>
      </c>
      <c r="J131" s="32">
        <f>Data!AB130</f>
        <v>2914</v>
      </c>
      <c r="K131" s="32">
        <f>Data!BI130</f>
        <v>129</v>
      </c>
      <c r="L131" s="140">
        <f>Data!BZ130</f>
        <v>0.5</v>
      </c>
      <c r="M131" s="32">
        <f t="shared" si="20"/>
        <v>7251630.6665386688</v>
      </c>
      <c r="N131" s="32">
        <f t="shared" si="21"/>
        <v>6501579.3852397418</v>
      </c>
      <c r="O131" s="32">
        <f t="shared" si="22"/>
        <v>-655824.10391688161</v>
      </c>
      <c r="P131" s="50">
        <f t="shared" si="23"/>
        <v>8.293744611315676E-2</v>
      </c>
    </row>
    <row r="132" spans="1:19" x14ac:dyDescent="0.2">
      <c r="A132" s="2">
        <v>44470</v>
      </c>
      <c r="B132">
        <f t="shared" si="18"/>
        <v>2021</v>
      </c>
      <c r="C132">
        <f t="shared" si="19"/>
        <v>10</v>
      </c>
      <c r="D132" s="151">
        <f>Data!G131</f>
        <v>6765314.053012046</v>
      </c>
      <c r="E132" s="151">
        <f>Data!H131</f>
        <v>750051.28129892715</v>
      </c>
      <c r="F132" s="151">
        <f>Data!I131</f>
        <v>7515365.3343109731</v>
      </c>
      <c r="G132" s="129">
        <f>Data!AR131</f>
        <v>68.600000000000009</v>
      </c>
      <c r="H132" s="129">
        <f>Data!AS131</f>
        <v>52.999999999999986</v>
      </c>
      <c r="I132" s="32">
        <f>Data!BW131</f>
        <v>1</v>
      </c>
      <c r="J132" s="32">
        <f>Data!AB131</f>
        <v>2906</v>
      </c>
      <c r="K132" s="32">
        <f>Data!BI131</f>
        <v>130</v>
      </c>
      <c r="L132" s="140">
        <f>Data!BZ131</f>
        <v>0.5</v>
      </c>
      <c r="M132" s="32">
        <f t="shared" si="20"/>
        <v>7128496.1764589846</v>
      </c>
      <c r="N132" s="32">
        <f t="shared" si="21"/>
        <v>6378444.8951600576</v>
      </c>
      <c r="O132" s="32">
        <f t="shared" si="22"/>
        <v>-386869.15785198845</v>
      </c>
      <c r="P132" s="50">
        <f t="shared" si="23"/>
        <v>5.1477092681810069E-2</v>
      </c>
    </row>
    <row r="133" spans="1:19" x14ac:dyDescent="0.2">
      <c r="A133" s="2">
        <v>44501</v>
      </c>
      <c r="B133">
        <f t="shared" si="18"/>
        <v>2021</v>
      </c>
      <c r="C133">
        <f t="shared" si="19"/>
        <v>11</v>
      </c>
      <c r="D133" s="151">
        <f>Data!G132</f>
        <v>6721158.9108433723</v>
      </c>
      <c r="E133" s="151">
        <f>Data!H132</f>
        <v>750051.28129892715</v>
      </c>
      <c r="F133" s="151">
        <f>Data!I132</f>
        <v>7471210.1921422994</v>
      </c>
      <c r="G133" s="129">
        <f>Data!AR132</f>
        <v>293.70000000000005</v>
      </c>
      <c r="H133" s="129">
        <f>Data!AS132</f>
        <v>0</v>
      </c>
      <c r="I133" s="32">
        <f>Data!BW132</f>
        <v>1</v>
      </c>
      <c r="J133" s="32">
        <f>Data!AB132</f>
        <v>2907</v>
      </c>
      <c r="K133" s="32">
        <f>Data!BI132</f>
        <v>131</v>
      </c>
      <c r="L133" s="140">
        <f>Data!BZ132</f>
        <v>0.5</v>
      </c>
      <c r="M133" s="32">
        <f t="shared" si="20"/>
        <v>7631939.2841217052</v>
      </c>
      <c r="N133" s="32">
        <f t="shared" si="21"/>
        <v>6881888.0028227782</v>
      </c>
      <c r="O133" s="32">
        <f t="shared" si="22"/>
        <v>160729.09197940584</v>
      </c>
      <c r="P133" s="50">
        <f t="shared" si="23"/>
        <v>2.1513126768732804E-2</v>
      </c>
    </row>
    <row r="134" spans="1:19" x14ac:dyDescent="0.2">
      <c r="A134" s="2">
        <v>44531</v>
      </c>
      <c r="B134">
        <f t="shared" si="18"/>
        <v>2021</v>
      </c>
      <c r="C134">
        <f t="shared" si="19"/>
        <v>12</v>
      </c>
      <c r="D134" s="151">
        <f>Data!G133</f>
        <v>7522268.6361445729</v>
      </c>
      <c r="E134" s="151">
        <f>Data!H133</f>
        <v>750051.28129892715</v>
      </c>
      <c r="F134" s="151">
        <f>Data!I133</f>
        <v>8272319.9174434999</v>
      </c>
      <c r="G134" s="129">
        <f>Data!AR133</f>
        <v>381.4</v>
      </c>
      <c r="H134" s="129">
        <f>Data!AS133</f>
        <v>0</v>
      </c>
      <c r="I134" s="32">
        <f>Data!BW133</f>
        <v>0</v>
      </c>
      <c r="J134" s="32">
        <f>Data!AB133</f>
        <v>2918</v>
      </c>
      <c r="K134" s="32">
        <f>Data!BI133</f>
        <v>132</v>
      </c>
      <c r="L134" s="140">
        <f>Data!BZ133</f>
        <v>0.5</v>
      </c>
      <c r="M134" s="32">
        <f t="shared" si="20"/>
        <v>8264850.5061127022</v>
      </c>
      <c r="N134" s="32">
        <f t="shared" si="21"/>
        <v>7514799.2248137752</v>
      </c>
      <c r="O134" s="32">
        <f t="shared" si="22"/>
        <v>-7469.4113307977095</v>
      </c>
      <c r="P134" s="50">
        <f t="shared" si="23"/>
        <v>9.0294033660947637E-4</v>
      </c>
      <c r="Q134" s="28" t="s">
        <v>52</v>
      </c>
    </row>
    <row r="135" spans="1:19" x14ac:dyDescent="0.2">
      <c r="A135" s="2">
        <v>44562</v>
      </c>
      <c r="B135">
        <f t="shared" ref="B135:B158" si="24">YEAR(A135)</f>
        <v>2022</v>
      </c>
      <c r="C135">
        <f t="shared" ref="C135:C158" si="25">MONTH(A135)</f>
        <v>1</v>
      </c>
      <c r="E135" s="151">
        <f>'Historic CDM'!N16/12</f>
        <v>748499.25627711928</v>
      </c>
      <c r="F135" s="151"/>
      <c r="G135" s="146">
        <f ca="1">Weather!CD61</f>
        <v>563.5</v>
      </c>
      <c r="H135" s="146">
        <f ca="1">Weather!CE61</f>
        <v>0</v>
      </c>
      <c r="I135" s="32">
        <f t="shared" ref="I135:I139" si="26">I111</f>
        <v>0</v>
      </c>
      <c r="J135" s="156">
        <f>'Rate Class Customer Model'!E60</f>
        <v>2921.8407564334648</v>
      </c>
      <c r="K135" s="32">
        <f t="shared" ref="K135:K158" si="27">K134+1</f>
        <v>133</v>
      </c>
      <c r="L135" s="198">
        <f>Q135*0.5</f>
        <v>0.375</v>
      </c>
      <c r="M135" s="32">
        <f t="shared" ref="M135:M158" ca="1" si="28">$R$19+G135*$R$20+H135*$R$21+I135*$R$22+J135*$R$23+K135*$R$24+L135*$R$25</f>
        <v>8981769.880233109</v>
      </c>
      <c r="N135" s="32">
        <f t="shared" ref="N135:N158" ca="1" si="29">M135-E135</f>
        <v>8233270.6239559893</v>
      </c>
      <c r="O135" s="32">
        <f t="shared" ref="O135:O158" ca="1" si="30">+M135-F135</f>
        <v>8981769.880233109</v>
      </c>
      <c r="P135" s="50"/>
      <c r="Q135">
        <f>Residential!S135</f>
        <v>0.75</v>
      </c>
    </row>
    <row r="136" spans="1:19" x14ac:dyDescent="0.2">
      <c r="A136" s="2">
        <v>44593</v>
      </c>
      <c r="B136">
        <f t="shared" si="24"/>
        <v>2022</v>
      </c>
      <c r="C136">
        <f t="shared" si="25"/>
        <v>2</v>
      </c>
      <c r="E136" s="151">
        <f>E135</f>
        <v>748499.25627711928</v>
      </c>
      <c r="F136" s="151"/>
      <c r="G136" s="146">
        <f ca="1">Weather!CD62</f>
        <v>516.6099999999999</v>
      </c>
      <c r="H136" s="146">
        <f ca="1">Weather!CE62</f>
        <v>0</v>
      </c>
      <c r="I136" s="32">
        <f t="shared" si="26"/>
        <v>0</v>
      </c>
      <c r="J136" s="156">
        <f>'Rate Class Customer Model'!E61</f>
        <v>2925.6865681822078</v>
      </c>
      <c r="K136" s="32">
        <f t="shared" si="27"/>
        <v>134</v>
      </c>
      <c r="L136" s="198">
        <f t="shared" ref="L136:L158" si="31">Q136*0.5</f>
        <v>0.375</v>
      </c>
      <c r="M136" s="32">
        <f t="shared" ca="1" si="28"/>
        <v>8827394.451794792</v>
      </c>
      <c r="N136" s="32">
        <f t="shared" ca="1" si="29"/>
        <v>8078895.1955176722</v>
      </c>
      <c r="O136" s="32">
        <f t="shared" ca="1" si="30"/>
        <v>8827394.451794792</v>
      </c>
      <c r="P136" s="50"/>
      <c r="Q136">
        <f>Q135</f>
        <v>0.75</v>
      </c>
    </row>
    <row r="137" spans="1:19" x14ac:dyDescent="0.2">
      <c r="A137" s="2">
        <v>44621</v>
      </c>
      <c r="B137">
        <f t="shared" si="24"/>
        <v>2022</v>
      </c>
      <c r="C137">
        <f t="shared" si="25"/>
        <v>3</v>
      </c>
      <c r="E137" s="151">
        <f>E136</f>
        <v>748499.25627711928</v>
      </c>
      <c r="F137" s="151"/>
      <c r="G137" s="146">
        <f ca="1">Weather!CD63</f>
        <v>409.90999999999997</v>
      </c>
      <c r="H137" s="146">
        <f ca="1">Weather!CE63</f>
        <v>1.1599999999999999</v>
      </c>
      <c r="I137" s="32">
        <f t="shared" si="26"/>
        <v>0</v>
      </c>
      <c r="J137" s="156">
        <f>'Rate Class Customer Model'!E62</f>
        <v>2929.5374419001814</v>
      </c>
      <c r="K137" s="32">
        <f t="shared" si="27"/>
        <v>135</v>
      </c>
      <c r="L137" s="198">
        <f t="shared" si="31"/>
        <v>0.375</v>
      </c>
      <c r="M137" s="32">
        <f t="shared" ca="1" si="28"/>
        <v>8473039.7084655613</v>
      </c>
      <c r="N137" s="32">
        <f t="shared" ca="1" si="29"/>
        <v>7724540.4521884415</v>
      </c>
      <c r="O137" s="32">
        <f t="shared" ca="1" si="30"/>
        <v>8473039.7084655613</v>
      </c>
      <c r="P137" s="50"/>
      <c r="Q137">
        <f t="shared" ref="Q137:Q158" si="32">Q136</f>
        <v>0.75</v>
      </c>
    </row>
    <row r="138" spans="1:19" x14ac:dyDescent="0.2">
      <c r="A138" s="2">
        <v>44652</v>
      </c>
      <c r="B138">
        <f t="shared" si="24"/>
        <v>2022</v>
      </c>
      <c r="C138">
        <f t="shared" si="25"/>
        <v>4</v>
      </c>
      <c r="E138" s="151">
        <f t="shared" ref="E138:E146" si="33">E137</f>
        <v>748499.25627711928</v>
      </c>
      <c r="F138" s="151"/>
      <c r="G138" s="146">
        <f ca="1">Weather!CD64</f>
        <v>227.5</v>
      </c>
      <c r="H138" s="146">
        <f ca="1">Weather!CE64</f>
        <v>2.3099999999999996</v>
      </c>
      <c r="I138" s="32">
        <f t="shared" si="26"/>
        <v>0</v>
      </c>
      <c r="J138" s="156">
        <f>'Rate Class Customer Model'!E63</f>
        <v>2933.3933842500974</v>
      </c>
      <c r="K138" s="32">
        <f t="shared" si="27"/>
        <v>136</v>
      </c>
      <c r="L138" s="198">
        <f t="shared" si="31"/>
        <v>0.375</v>
      </c>
      <c r="M138" s="32">
        <f t="shared" ca="1" si="28"/>
        <v>7858194.3583166013</v>
      </c>
      <c r="N138" s="32">
        <f t="shared" ca="1" si="29"/>
        <v>7109695.1020394824</v>
      </c>
      <c r="O138" s="32">
        <f t="shared" ca="1" si="30"/>
        <v>7858194.3583166013</v>
      </c>
      <c r="P138" s="50"/>
      <c r="Q138">
        <f t="shared" si="32"/>
        <v>0.75</v>
      </c>
    </row>
    <row r="139" spans="1:19" x14ac:dyDescent="0.2">
      <c r="A139" s="2">
        <v>44682</v>
      </c>
      <c r="B139">
        <f t="shared" si="24"/>
        <v>2022</v>
      </c>
      <c r="C139">
        <f t="shared" si="25"/>
        <v>5</v>
      </c>
      <c r="E139" s="151">
        <f t="shared" si="33"/>
        <v>748499.25627711928</v>
      </c>
      <c r="F139" s="151"/>
      <c r="G139" s="146">
        <f ca="1">Weather!CD65</f>
        <v>59.269999999999982</v>
      </c>
      <c r="H139" s="146">
        <f ca="1">Weather!CE65</f>
        <v>70.86</v>
      </c>
      <c r="I139" s="32">
        <f t="shared" si="26"/>
        <v>0</v>
      </c>
      <c r="J139" s="156">
        <f>'Rate Class Customer Model'!E64</f>
        <v>2937.2544019034358</v>
      </c>
      <c r="K139" s="32">
        <f t="shared" si="27"/>
        <v>137</v>
      </c>
      <c r="L139" s="198">
        <f t="shared" si="31"/>
        <v>0.375</v>
      </c>
      <c r="M139" s="32">
        <f t="shared" ca="1" si="28"/>
        <v>7626862.0034665363</v>
      </c>
      <c r="N139" s="32">
        <f t="shared" ca="1" si="29"/>
        <v>6878362.7471894175</v>
      </c>
      <c r="O139" s="32">
        <f t="shared" ca="1" si="30"/>
        <v>7626862.0034665363</v>
      </c>
      <c r="P139" s="50"/>
      <c r="Q139">
        <f t="shared" si="32"/>
        <v>0.75</v>
      </c>
    </row>
    <row r="140" spans="1:19" x14ac:dyDescent="0.2">
      <c r="A140" s="2">
        <v>44713</v>
      </c>
      <c r="B140">
        <f t="shared" si="24"/>
        <v>2022</v>
      </c>
      <c r="C140">
        <f t="shared" si="25"/>
        <v>6</v>
      </c>
      <c r="E140" s="151">
        <f t="shared" si="33"/>
        <v>748499.25627711928</v>
      </c>
      <c r="F140" s="151"/>
      <c r="G140" s="146">
        <f ca="1">Weather!CD66</f>
        <v>1.85</v>
      </c>
      <c r="H140" s="146">
        <f ca="1">Weather!CE66</f>
        <v>171.74</v>
      </c>
      <c r="I140" s="32">
        <f t="shared" ref="I140:I146" si="34">I116</f>
        <v>0</v>
      </c>
      <c r="J140" s="156">
        <f>'Rate Class Customer Model'!E65</f>
        <v>2941.1205015404589</v>
      </c>
      <c r="K140" s="32">
        <f t="shared" si="27"/>
        <v>138</v>
      </c>
      <c r="L140" s="198">
        <f t="shared" si="31"/>
        <v>0.375</v>
      </c>
      <c r="M140" s="32">
        <f t="shared" ca="1" si="28"/>
        <v>7937326.7340161493</v>
      </c>
      <c r="N140" s="32">
        <f t="shared" ca="1" si="29"/>
        <v>7188827.4777390305</v>
      </c>
      <c r="O140" s="32">
        <f t="shared" ca="1" si="30"/>
        <v>7937326.7340161493</v>
      </c>
      <c r="P140" s="50"/>
      <c r="Q140">
        <f t="shared" si="32"/>
        <v>0.75</v>
      </c>
    </row>
    <row r="141" spans="1:19" x14ac:dyDescent="0.2">
      <c r="A141" s="2">
        <v>44743</v>
      </c>
      <c r="B141">
        <f t="shared" si="24"/>
        <v>2022</v>
      </c>
      <c r="C141">
        <f t="shared" si="25"/>
        <v>7</v>
      </c>
      <c r="E141" s="151">
        <f t="shared" si="33"/>
        <v>748499.25627711928</v>
      </c>
      <c r="F141" s="151"/>
      <c r="G141" s="146">
        <f ca="1">Weather!CD67</f>
        <v>0</v>
      </c>
      <c r="H141" s="146">
        <f ca="1">Weather!CE67</f>
        <v>269.41000000000003</v>
      </c>
      <c r="I141" s="32">
        <f t="shared" si="34"/>
        <v>0</v>
      </c>
      <c r="J141" s="156">
        <f>'Rate Class Customer Model'!E66</f>
        <v>2944.9916898502215</v>
      </c>
      <c r="K141" s="32">
        <f t="shared" si="27"/>
        <v>139</v>
      </c>
      <c r="L141" s="198">
        <f t="shared" si="31"/>
        <v>0.375</v>
      </c>
      <c r="M141" s="32">
        <f t="shared" ca="1" si="28"/>
        <v>8423056.1723804884</v>
      </c>
      <c r="N141" s="32">
        <f t="shared" ca="1" si="29"/>
        <v>7674556.9161033686</v>
      </c>
      <c r="O141" s="32">
        <f t="shared" ca="1" si="30"/>
        <v>8423056.1723804884</v>
      </c>
      <c r="P141" s="50"/>
      <c r="Q141">
        <f t="shared" si="32"/>
        <v>0.75</v>
      </c>
    </row>
    <row r="142" spans="1:19" x14ac:dyDescent="0.2">
      <c r="A142" s="2">
        <v>44774</v>
      </c>
      <c r="B142">
        <f t="shared" si="24"/>
        <v>2022</v>
      </c>
      <c r="C142">
        <f t="shared" si="25"/>
        <v>8</v>
      </c>
      <c r="E142" s="151">
        <f t="shared" si="33"/>
        <v>748499.25627711928</v>
      </c>
      <c r="F142" s="151"/>
      <c r="G142" s="146">
        <f ca="1">Weather!CD68</f>
        <v>0</v>
      </c>
      <c r="H142" s="146">
        <f ca="1">Weather!CE68</f>
        <v>242.46000000000004</v>
      </c>
      <c r="I142" s="32">
        <f t="shared" si="34"/>
        <v>0</v>
      </c>
      <c r="J142" s="156">
        <f>'Rate Class Customer Model'!E67</f>
        <v>2948.8679735305823</v>
      </c>
      <c r="K142" s="32">
        <f t="shared" si="27"/>
        <v>140</v>
      </c>
      <c r="L142" s="198">
        <f t="shared" si="31"/>
        <v>0.375</v>
      </c>
      <c r="M142" s="32">
        <f t="shared" ca="1" si="28"/>
        <v>8296323.8257148946</v>
      </c>
      <c r="N142" s="32">
        <f t="shared" ca="1" si="29"/>
        <v>7547824.5694377758</v>
      </c>
      <c r="O142" s="32">
        <f t="shared" ca="1" si="30"/>
        <v>8296323.8257148946</v>
      </c>
      <c r="P142" s="50"/>
      <c r="Q142">
        <f t="shared" si="32"/>
        <v>0.75</v>
      </c>
    </row>
    <row r="143" spans="1:19" x14ac:dyDescent="0.2">
      <c r="A143" s="2">
        <v>44805</v>
      </c>
      <c r="B143">
        <f t="shared" si="24"/>
        <v>2022</v>
      </c>
      <c r="C143">
        <f t="shared" si="25"/>
        <v>9</v>
      </c>
      <c r="E143" s="151">
        <f t="shared" si="33"/>
        <v>748499.25627711928</v>
      </c>
      <c r="F143" s="151"/>
      <c r="G143" s="146">
        <f ca="1">Weather!CD69</f>
        <v>10.66</v>
      </c>
      <c r="H143" s="146">
        <f ca="1">Weather!CE69</f>
        <v>124.26999999999998</v>
      </c>
      <c r="I143" s="32">
        <f t="shared" si="34"/>
        <v>1</v>
      </c>
      <c r="J143" s="156">
        <f>'Rate Class Customer Model'!E68</f>
        <v>2952.7493592882161</v>
      </c>
      <c r="K143" s="32">
        <f t="shared" si="27"/>
        <v>141</v>
      </c>
      <c r="L143" s="198">
        <f t="shared" si="31"/>
        <v>0.375</v>
      </c>
      <c r="M143" s="32">
        <f t="shared" ca="1" si="28"/>
        <v>7465959.4528511548</v>
      </c>
      <c r="N143" s="32">
        <f t="shared" ca="1" si="29"/>
        <v>6717460.196574036</v>
      </c>
      <c r="O143" s="32">
        <f t="shared" ca="1" si="30"/>
        <v>7465959.4528511548</v>
      </c>
      <c r="P143" s="50"/>
      <c r="Q143">
        <f t="shared" si="32"/>
        <v>0.75</v>
      </c>
    </row>
    <row r="144" spans="1:19" x14ac:dyDescent="0.2">
      <c r="A144" s="2">
        <v>44835</v>
      </c>
      <c r="B144">
        <f t="shared" si="24"/>
        <v>2022</v>
      </c>
      <c r="C144">
        <f t="shared" si="25"/>
        <v>10</v>
      </c>
      <c r="E144" s="151">
        <f t="shared" si="33"/>
        <v>748499.25627711928</v>
      </c>
      <c r="F144" s="151"/>
      <c r="G144" s="146">
        <f ca="1">Weather!CD70</f>
        <v>118.80999999999999</v>
      </c>
      <c r="H144" s="146">
        <f ca="1">Weather!CE70</f>
        <v>23.209999999999997</v>
      </c>
      <c r="I144" s="32">
        <f t="shared" si="34"/>
        <v>1</v>
      </c>
      <c r="J144" s="156">
        <f>'Rate Class Customer Model'!E69</f>
        <v>2956.6358538386257</v>
      </c>
      <c r="K144" s="32">
        <f t="shared" si="27"/>
        <v>142</v>
      </c>
      <c r="L144" s="198">
        <f t="shared" si="31"/>
        <v>0.375</v>
      </c>
      <c r="M144" s="32">
        <f t="shared" ca="1" si="28"/>
        <v>7343327.1008674214</v>
      </c>
      <c r="N144" s="32">
        <f t="shared" ca="1" si="29"/>
        <v>6594827.8445903026</v>
      </c>
      <c r="O144" s="32">
        <f t="shared" ca="1" si="30"/>
        <v>7343327.1008674214</v>
      </c>
      <c r="P144" s="50"/>
      <c r="Q144">
        <f t="shared" si="32"/>
        <v>0.75</v>
      </c>
      <c r="R144" s="322"/>
      <c r="S144" s="323"/>
    </row>
    <row r="145" spans="1:19" x14ac:dyDescent="0.2">
      <c r="A145" s="2">
        <v>44866</v>
      </c>
      <c r="B145">
        <f t="shared" si="24"/>
        <v>2022</v>
      </c>
      <c r="C145">
        <f t="shared" si="25"/>
        <v>11</v>
      </c>
      <c r="E145" s="151">
        <f t="shared" si="33"/>
        <v>748499.25627711928</v>
      </c>
      <c r="F145" s="151"/>
      <c r="G145" s="146">
        <f ca="1">Weather!CD71</f>
        <v>307.13</v>
      </c>
      <c r="H145" s="146">
        <f ca="1">Weather!CE71</f>
        <v>0.89</v>
      </c>
      <c r="I145" s="32">
        <f t="shared" si="34"/>
        <v>1</v>
      </c>
      <c r="J145" s="156">
        <f>'Rate Class Customer Model'!E70</f>
        <v>2960.5274639061527</v>
      </c>
      <c r="K145" s="32">
        <f t="shared" si="27"/>
        <v>143</v>
      </c>
      <c r="L145" s="198">
        <f t="shared" si="31"/>
        <v>0.375</v>
      </c>
      <c r="M145" s="32">
        <f ca="1">$R$19+G145*$R$20+H145*$R$21+I145*$R$22+J145*$R$23+K145*$R$24+L145*$R$25</f>
        <v>7887548.656240142</v>
      </c>
      <c r="N145" s="32">
        <f t="shared" ca="1" si="29"/>
        <v>7139049.3999630231</v>
      </c>
      <c r="O145" s="32">
        <f t="shared" ca="1" si="30"/>
        <v>7887548.656240142</v>
      </c>
      <c r="P145" s="50"/>
      <c r="Q145">
        <f t="shared" si="32"/>
        <v>0.75</v>
      </c>
      <c r="R145" s="322"/>
      <c r="S145" s="323"/>
    </row>
    <row r="146" spans="1:19" x14ac:dyDescent="0.2">
      <c r="A146" s="2">
        <v>44896</v>
      </c>
      <c r="B146">
        <f t="shared" si="24"/>
        <v>2022</v>
      </c>
      <c r="C146">
        <f t="shared" si="25"/>
        <v>12</v>
      </c>
      <c r="E146" s="151">
        <f t="shared" si="33"/>
        <v>748499.25627711928</v>
      </c>
      <c r="F146" s="151"/>
      <c r="G146" s="146">
        <f ca="1">Weather!CD72</f>
        <v>451.35999999999996</v>
      </c>
      <c r="H146" s="146">
        <f ca="1">Weather!CE72</f>
        <v>0</v>
      </c>
      <c r="I146" s="32">
        <f t="shared" si="34"/>
        <v>0</v>
      </c>
      <c r="J146" s="156">
        <f>'Rate Class Customer Model'!E71</f>
        <v>2964.4241962239889</v>
      </c>
      <c r="K146" s="32">
        <f t="shared" si="27"/>
        <v>144</v>
      </c>
      <c r="L146" s="198">
        <f t="shared" si="31"/>
        <v>0.375</v>
      </c>
      <c r="M146" s="32">
        <f t="shared" ca="1" si="28"/>
        <v>8673774.2316234931</v>
      </c>
      <c r="N146" s="32">
        <f t="shared" ca="1" si="29"/>
        <v>7925274.9753463734</v>
      </c>
      <c r="O146" s="32">
        <f t="shared" ca="1" si="30"/>
        <v>8673774.2316234931</v>
      </c>
      <c r="P146" s="50"/>
      <c r="Q146">
        <f t="shared" si="32"/>
        <v>0.75</v>
      </c>
      <c r="R146" s="322"/>
      <c r="S146" s="323"/>
    </row>
    <row r="147" spans="1:19" ht="12.75" customHeight="1" x14ac:dyDescent="0.2">
      <c r="A147" s="2">
        <v>44927</v>
      </c>
      <c r="B147">
        <f t="shared" si="24"/>
        <v>2023</v>
      </c>
      <c r="C147">
        <f t="shared" si="25"/>
        <v>1</v>
      </c>
      <c r="E147" s="151">
        <f>'Historic CDM'!N17/12</f>
        <v>733324.62972581247</v>
      </c>
      <c r="G147" s="146">
        <f ca="1">G135</f>
        <v>563.5</v>
      </c>
      <c r="H147" s="146">
        <f ca="1">H135</f>
        <v>0</v>
      </c>
      <c r="I147" s="32">
        <f>I135</f>
        <v>0</v>
      </c>
      <c r="J147" s="156">
        <f>'Rate Class Customer Model'!E72</f>
        <v>2968.3260575341897</v>
      </c>
      <c r="K147" s="32">
        <f t="shared" si="27"/>
        <v>145</v>
      </c>
      <c r="L147" s="198">
        <f t="shared" si="31"/>
        <v>0.25</v>
      </c>
      <c r="M147" s="32">
        <f t="shared" ca="1" si="28"/>
        <v>9150324.4342688359</v>
      </c>
      <c r="N147" s="32">
        <f t="shared" ca="1" si="29"/>
        <v>8416999.8045430239</v>
      </c>
      <c r="O147" s="32">
        <f t="shared" ca="1" si="30"/>
        <v>9150324.4342688359</v>
      </c>
      <c r="P147" s="50"/>
      <c r="Q147">
        <f>Residential!S147</f>
        <v>0.5</v>
      </c>
      <c r="R147" s="29"/>
      <c r="S147" s="41"/>
    </row>
    <row r="148" spans="1:19" x14ac:dyDescent="0.2">
      <c r="A148" s="2">
        <v>44958</v>
      </c>
      <c r="B148">
        <f t="shared" si="24"/>
        <v>2023</v>
      </c>
      <c r="C148">
        <f t="shared" si="25"/>
        <v>2</v>
      </c>
      <c r="E148" s="62">
        <f>E147</f>
        <v>733324.62972581247</v>
      </c>
      <c r="G148" s="146">
        <f t="shared" ref="G148:H158" ca="1" si="35">G136</f>
        <v>516.6099999999999</v>
      </c>
      <c r="H148" s="146">
        <f t="shared" ca="1" si="35"/>
        <v>0</v>
      </c>
      <c r="I148" s="32">
        <f t="shared" ref="I148:I158" si="36">I136</f>
        <v>0</v>
      </c>
      <c r="J148" s="156">
        <f>'Rate Class Customer Model'!E73</f>
        <v>2972.2330545876839</v>
      </c>
      <c r="K148" s="32">
        <f t="shared" si="27"/>
        <v>146</v>
      </c>
      <c r="L148" s="198">
        <f t="shared" si="31"/>
        <v>0.25</v>
      </c>
      <c r="M148" s="32">
        <f t="shared" ca="1" si="28"/>
        <v>8996265.5386876352</v>
      </c>
      <c r="N148" s="32">
        <f t="shared" ca="1" si="29"/>
        <v>8262940.9089618232</v>
      </c>
      <c r="O148" s="32">
        <f t="shared" ca="1" si="30"/>
        <v>8996265.5386876352</v>
      </c>
      <c r="P148" s="50"/>
      <c r="Q148">
        <f t="shared" si="32"/>
        <v>0.5</v>
      </c>
      <c r="R148" s="29"/>
      <c r="S148" s="41"/>
    </row>
    <row r="149" spans="1:19" x14ac:dyDescent="0.2">
      <c r="A149" s="2">
        <v>44986</v>
      </c>
      <c r="B149">
        <f t="shared" si="24"/>
        <v>2023</v>
      </c>
      <c r="C149">
        <f t="shared" si="25"/>
        <v>3</v>
      </c>
      <c r="E149" s="62">
        <f t="shared" ref="E149:E158" si="37">E148</f>
        <v>733324.62972581247</v>
      </c>
      <c r="G149" s="146">
        <f t="shared" ca="1" si="35"/>
        <v>409.90999999999997</v>
      </c>
      <c r="H149" s="146">
        <f t="shared" ca="1" si="35"/>
        <v>1.1599999999999999</v>
      </c>
      <c r="I149" s="32">
        <f t="shared" si="36"/>
        <v>0</v>
      </c>
      <c r="J149" s="156">
        <f>'Rate Class Customer Model'!E74</f>
        <v>2976.1451941442856</v>
      </c>
      <c r="K149" s="32">
        <f t="shared" si="27"/>
        <v>147</v>
      </c>
      <c r="L149" s="198">
        <f t="shared" si="31"/>
        <v>0.25</v>
      </c>
      <c r="M149" s="32">
        <f t="shared" ca="1" si="28"/>
        <v>8642227.7448452711</v>
      </c>
      <c r="N149" s="32">
        <f t="shared" ca="1" si="29"/>
        <v>7908903.1151194591</v>
      </c>
      <c r="O149" s="32">
        <f t="shared" ca="1" si="30"/>
        <v>8642227.7448452711</v>
      </c>
      <c r="P149" s="50"/>
      <c r="Q149">
        <f t="shared" si="32"/>
        <v>0.5</v>
      </c>
      <c r="R149" s="29"/>
      <c r="S149" s="41"/>
    </row>
    <row r="150" spans="1:19" x14ac:dyDescent="0.2">
      <c r="A150" s="2">
        <v>45017</v>
      </c>
      <c r="B150">
        <f t="shared" si="24"/>
        <v>2023</v>
      </c>
      <c r="C150">
        <f t="shared" si="25"/>
        <v>4</v>
      </c>
      <c r="E150" s="62">
        <f t="shared" si="37"/>
        <v>733324.62972581247</v>
      </c>
      <c r="G150" s="146">
        <f t="shared" ca="1" si="35"/>
        <v>227.5</v>
      </c>
      <c r="H150" s="146">
        <f t="shared" ca="1" si="35"/>
        <v>2.3099999999999996</v>
      </c>
      <c r="I150" s="32">
        <f t="shared" si="36"/>
        <v>0</v>
      </c>
      <c r="J150" s="156">
        <f>'Rate Class Customer Model'!E75</f>
        <v>2980.0624829727076</v>
      </c>
      <c r="K150" s="32">
        <f t="shared" si="27"/>
        <v>148</v>
      </c>
      <c r="L150" s="198">
        <f t="shared" si="31"/>
        <v>0.25</v>
      </c>
      <c r="M150" s="32">
        <f t="shared" ca="1" si="28"/>
        <v>8027699.7613613009</v>
      </c>
      <c r="N150" s="32">
        <f t="shared" ca="1" si="29"/>
        <v>7294375.1316354889</v>
      </c>
      <c r="O150" s="32">
        <f t="shared" ca="1" si="30"/>
        <v>8027699.7613613009</v>
      </c>
      <c r="P150" s="50"/>
      <c r="Q150">
        <f t="shared" si="32"/>
        <v>0.5</v>
      </c>
      <c r="R150" s="29"/>
      <c r="S150" s="41"/>
    </row>
    <row r="151" spans="1:19" x14ac:dyDescent="0.2">
      <c r="A151" s="2">
        <v>45047</v>
      </c>
      <c r="B151">
        <f t="shared" si="24"/>
        <v>2023</v>
      </c>
      <c r="C151">
        <f t="shared" si="25"/>
        <v>5</v>
      </c>
      <c r="E151" s="62">
        <f t="shared" si="37"/>
        <v>733324.62972581247</v>
      </c>
      <c r="G151" s="146">
        <f t="shared" ca="1" si="35"/>
        <v>59.269999999999982</v>
      </c>
      <c r="H151" s="146">
        <f t="shared" ca="1" si="35"/>
        <v>70.86</v>
      </c>
      <c r="I151" s="32">
        <f t="shared" si="36"/>
        <v>0</v>
      </c>
      <c r="J151" s="156">
        <f>'Rate Class Customer Model'!E76</f>
        <v>2983.9849278505708</v>
      </c>
      <c r="K151" s="32">
        <f t="shared" si="27"/>
        <v>149</v>
      </c>
      <c r="L151" s="198">
        <f t="shared" si="31"/>
        <v>0.25</v>
      </c>
      <c r="M151" s="32">
        <f t="shared" ca="1" si="28"/>
        <v>7796685.1909034662</v>
      </c>
      <c r="N151" s="32">
        <f t="shared" ca="1" si="29"/>
        <v>7063360.5611776542</v>
      </c>
      <c r="O151" s="32">
        <f t="shared" ca="1" si="30"/>
        <v>7796685.1909034662</v>
      </c>
      <c r="P151" s="50"/>
      <c r="Q151">
        <f t="shared" si="32"/>
        <v>0.5</v>
      </c>
      <c r="R151" s="29"/>
      <c r="S151" s="41"/>
    </row>
    <row r="152" spans="1:19" x14ac:dyDescent="0.2">
      <c r="A152" s="2">
        <v>45078</v>
      </c>
      <c r="B152">
        <f t="shared" si="24"/>
        <v>2023</v>
      </c>
      <c r="C152">
        <f t="shared" si="25"/>
        <v>6</v>
      </c>
      <c r="E152" s="62">
        <f t="shared" si="37"/>
        <v>733324.62972581247</v>
      </c>
      <c r="G152" s="146">
        <f t="shared" ca="1" si="35"/>
        <v>1.85</v>
      </c>
      <c r="H152" s="146">
        <f t="shared" ca="1" si="35"/>
        <v>171.74</v>
      </c>
      <c r="I152" s="32">
        <f t="shared" si="36"/>
        <v>0</v>
      </c>
      <c r="J152" s="156">
        <f>'Rate Class Customer Model'!E77</f>
        <v>2987.9125355644173</v>
      </c>
      <c r="K152" s="32">
        <f t="shared" si="27"/>
        <v>150</v>
      </c>
      <c r="L152" s="198">
        <f t="shared" si="31"/>
        <v>0.25</v>
      </c>
      <c r="M152" s="32">
        <f t="shared" ca="1" si="28"/>
        <v>8107468.1241223589</v>
      </c>
      <c r="N152" s="32">
        <f t="shared" ca="1" si="29"/>
        <v>7374143.4943965469</v>
      </c>
      <c r="O152" s="32">
        <f t="shared" ca="1" si="30"/>
        <v>8107468.1241223589</v>
      </c>
      <c r="P152" s="50"/>
      <c r="Q152">
        <f t="shared" si="32"/>
        <v>0.5</v>
      </c>
      <c r="R152" s="29"/>
      <c r="S152" s="41"/>
    </row>
    <row r="153" spans="1:19" x14ac:dyDescent="0.2">
      <c r="A153" s="2">
        <v>45108</v>
      </c>
      <c r="B153">
        <f t="shared" si="24"/>
        <v>2023</v>
      </c>
      <c r="C153">
        <f t="shared" si="25"/>
        <v>7</v>
      </c>
      <c r="E153" s="62">
        <f t="shared" si="37"/>
        <v>733324.62972581247</v>
      </c>
      <c r="G153" s="146">
        <f t="shared" ca="1" si="35"/>
        <v>0</v>
      </c>
      <c r="H153" s="146">
        <f t="shared" ca="1" si="35"/>
        <v>269.41000000000003</v>
      </c>
      <c r="I153" s="32">
        <f t="shared" si="36"/>
        <v>0</v>
      </c>
      <c r="J153" s="156">
        <f>'Rate Class Customer Model'!E78</f>
        <v>2991.845312909722</v>
      </c>
      <c r="K153" s="32">
        <f t="shared" si="27"/>
        <v>151</v>
      </c>
      <c r="L153" s="198">
        <f t="shared" si="31"/>
        <v>0.25</v>
      </c>
      <c r="M153" s="32">
        <f t="shared" ca="1" si="28"/>
        <v>8593516.183983583</v>
      </c>
      <c r="N153" s="32">
        <f t="shared" ca="1" si="29"/>
        <v>7860191.554257771</v>
      </c>
      <c r="O153" s="32">
        <f t="shared" ca="1" si="30"/>
        <v>8593516.183983583</v>
      </c>
      <c r="P153" s="50"/>
      <c r="Q153">
        <f t="shared" si="32"/>
        <v>0.5</v>
      </c>
      <c r="R153" s="29"/>
      <c r="S153" s="41"/>
    </row>
    <row r="154" spans="1:19" x14ac:dyDescent="0.2">
      <c r="A154" s="2">
        <v>45139</v>
      </c>
      <c r="B154">
        <f t="shared" si="24"/>
        <v>2023</v>
      </c>
      <c r="C154">
        <f t="shared" si="25"/>
        <v>8</v>
      </c>
      <c r="E154" s="62">
        <f t="shared" si="37"/>
        <v>733324.62972581247</v>
      </c>
      <c r="G154" s="146">
        <f t="shared" ca="1" si="35"/>
        <v>0</v>
      </c>
      <c r="H154" s="146">
        <f t="shared" ca="1" si="35"/>
        <v>242.46000000000004</v>
      </c>
      <c r="I154" s="32">
        <f t="shared" si="36"/>
        <v>0</v>
      </c>
      <c r="J154" s="156">
        <f>'Rate Class Customer Model'!E79</f>
        <v>2995.7832666909039</v>
      </c>
      <c r="K154" s="32">
        <f t="shared" si="27"/>
        <v>152</v>
      </c>
      <c r="L154" s="198">
        <f t="shared" si="31"/>
        <v>0.25</v>
      </c>
      <c r="M154" s="32">
        <f t="shared" ca="1" si="28"/>
        <v>8467102.878193751</v>
      </c>
      <c r="N154" s="32">
        <f t="shared" ca="1" si="29"/>
        <v>7733778.248467939</v>
      </c>
      <c r="O154" s="32">
        <f t="shared" ca="1" si="30"/>
        <v>8467102.878193751</v>
      </c>
      <c r="P154" s="50"/>
      <c r="Q154">
        <f t="shared" si="32"/>
        <v>0.5</v>
      </c>
      <c r="R154" s="29"/>
      <c r="S154" s="41"/>
    </row>
    <row r="155" spans="1:19" x14ac:dyDescent="0.2">
      <c r="A155" s="2">
        <v>45170</v>
      </c>
      <c r="B155">
        <f t="shared" si="24"/>
        <v>2023</v>
      </c>
      <c r="C155">
        <f t="shared" si="25"/>
        <v>9</v>
      </c>
      <c r="E155" s="62">
        <f t="shared" si="37"/>
        <v>733324.62972581247</v>
      </c>
      <c r="G155" s="146">
        <f t="shared" ca="1" si="35"/>
        <v>10.66</v>
      </c>
      <c r="H155" s="146">
        <f t="shared" ca="1" si="35"/>
        <v>124.26999999999998</v>
      </c>
      <c r="I155" s="32">
        <f t="shared" si="36"/>
        <v>1</v>
      </c>
      <c r="J155" s="156">
        <f>'Rate Class Customer Model'!E80</f>
        <v>2999.726403721339</v>
      </c>
      <c r="K155" s="32">
        <f t="shared" si="27"/>
        <v>153</v>
      </c>
      <c r="L155" s="198">
        <f t="shared" si="31"/>
        <v>0.25</v>
      </c>
      <c r="M155" s="32">
        <f t="shared" ca="1" si="28"/>
        <v>7637057.966136653</v>
      </c>
      <c r="N155" s="32">
        <f t="shared" ca="1" si="29"/>
        <v>6903733.336410841</v>
      </c>
      <c r="O155" s="32">
        <f t="shared" ca="1" si="30"/>
        <v>7637057.966136653</v>
      </c>
      <c r="P155" s="50"/>
      <c r="Q155">
        <f t="shared" si="32"/>
        <v>0.5</v>
      </c>
      <c r="R155" s="29"/>
      <c r="S155" s="41"/>
    </row>
    <row r="156" spans="1:19" x14ac:dyDescent="0.2">
      <c r="A156" s="2">
        <v>45200</v>
      </c>
      <c r="B156">
        <f t="shared" si="24"/>
        <v>2023</v>
      </c>
      <c r="C156">
        <f t="shared" si="25"/>
        <v>10</v>
      </c>
      <c r="E156" s="62">
        <f t="shared" si="37"/>
        <v>733324.62972581247</v>
      </c>
      <c r="G156" s="146">
        <f t="shared" ca="1" si="35"/>
        <v>118.80999999999999</v>
      </c>
      <c r="H156" s="146">
        <f t="shared" ca="1" si="35"/>
        <v>23.209999999999997</v>
      </c>
      <c r="I156" s="32">
        <f t="shared" si="36"/>
        <v>1</v>
      </c>
      <c r="J156" s="156">
        <f>'Rate Class Customer Model'!E81</f>
        <v>3003.6747308233703</v>
      </c>
      <c r="K156" s="32">
        <f t="shared" si="27"/>
        <v>154</v>
      </c>
      <c r="L156" s="198">
        <f t="shared" si="31"/>
        <v>0.25</v>
      </c>
      <c r="M156" s="32">
        <f t="shared" ca="1" si="28"/>
        <v>7514745.4954431579</v>
      </c>
      <c r="N156" s="32">
        <f t="shared" ca="1" si="29"/>
        <v>6781420.8657173458</v>
      </c>
      <c r="O156" s="32">
        <f t="shared" ca="1" si="30"/>
        <v>7514745.4954431579</v>
      </c>
      <c r="P156" s="50"/>
      <c r="Q156">
        <f t="shared" si="32"/>
        <v>0.5</v>
      </c>
      <c r="R156" s="29"/>
      <c r="S156" s="41"/>
    </row>
    <row r="157" spans="1:19" x14ac:dyDescent="0.2">
      <c r="A157" s="2">
        <v>45231</v>
      </c>
      <c r="B157">
        <f t="shared" si="24"/>
        <v>2023</v>
      </c>
      <c r="C157">
        <f t="shared" si="25"/>
        <v>11</v>
      </c>
      <c r="E157" s="62">
        <f t="shared" si="37"/>
        <v>733324.62972581247</v>
      </c>
      <c r="G157" s="146">
        <f t="shared" ca="1" si="35"/>
        <v>307.13</v>
      </c>
      <c r="H157" s="146">
        <f t="shared" ca="1" si="35"/>
        <v>0.89</v>
      </c>
      <c r="I157" s="32">
        <f t="shared" si="36"/>
        <v>1</v>
      </c>
      <c r="J157" s="156">
        <f>'Rate Class Customer Model'!E82</f>
        <v>3007.6282548283207</v>
      </c>
      <c r="K157" s="32">
        <f t="shared" si="27"/>
        <v>155</v>
      </c>
      <c r="L157" s="198">
        <f t="shared" si="31"/>
        <v>0.25</v>
      </c>
      <c r="M157" s="32">
        <f t="shared" ca="1" si="28"/>
        <v>8059287.3531431723</v>
      </c>
      <c r="N157" s="32">
        <f t="shared" ca="1" si="29"/>
        <v>7325962.7234173603</v>
      </c>
      <c r="O157" s="32">
        <f t="shared" ca="1" si="30"/>
        <v>8059287.3531431723</v>
      </c>
      <c r="P157" s="50"/>
      <c r="Q157">
        <f t="shared" si="32"/>
        <v>0.5</v>
      </c>
      <c r="R157" s="29"/>
    </row>
    <row r="158" spans="1:19" x14ac:dyDescent="0.2">
      <c r="A158" s="2">
        <v>45261</v>
      </c>
      <c r="B158">
        <f t="shared" si="24"/>
        <v>2023</v>
      </c>
      <c r="C158">
        <f t="shared" si="25"/>
        <v>12</v>
      </c>
      <c r="E158" s="62">
        <f t="shared" si="37"/>
        <v>733324.62972581247</v>
      </c>
      <c r="G158" s="146">
        <f t="shared" ca="1" si="35"/>
        <v>451.35999999999996</v>
      </c>
      <c r="H158" s="146">
        <f t="shared" ca="1" si="35"/>
        <v>0</v>
      </c>
      <c r="I158" s="32">
        <f t="shared" si="36"/>
        <v>0</v>
      </c>
      <c r="J158" s="156">
        <f>'Rate Class Customer Model'!E83</f>
        <v>3011.5869825765053</v>
      </c>
      <c r="K158" s="32">
        <f t="shared" si="27"/>
        <v>156</v>
      </c>
      <c r="L158" s="198">
        <f t="shared" si="31"/>
        <v>0.25</v>
      </c>
      <c r="M158" s="32">
        <f t="shared" ca="1" si="28"/>
        <v>8845833.6524450537</v>
      </c>
      <c r="N158" s="32">
        <f t="shared" ca="1" si="29"/>
        <v>8112509.0227192417</v>
      </c>
      <c r="O158" s="32">
        <f t="shared" ca="1" si="30"/>
        <v>8845833.6524450537</v>
      </c>
      <c r="P158" s="50"/>
      <c r="Q158">
        <f t="shared" si="32"/>
        <v>0.5</v>
      </c>
      <c r="R158" s="29"/>
    </row>
    <row r="159" spans="1:19" x14ac:dyDescent="0.2">
      <c r="A159" s="2"/>
      <c r="B159" s="2"/>
      <c r="C159" s="2"/>
      <c r="D159" s="2"/>
      <c r="E159" s="2"/>
      <c r="G159" s="52"/>
      <c r="H159" s="52"/>
      <c r="I159" s="32"/>
      <c r="J159" s="59"/>
      <c r="K159" s="32"/>
      <c r="L159" s="32"/>
      <c r="M159" s="32"/>
      <c r="N159" s="32"/>
      <c r="O159" s="32"/>
      <c r="P159" s="116">
        <f>AVERAGE(P3:P134)</f>
        <v>4.3305046302192181E-2</v>
      </c>
    </row>
    <row r="160" spans="1:19" x14ac:dyDescent="0.2">
      <c r="A160" s="2"/>
      <c r="B160" s="2"/>
      <c r="C160" s="2"/>
      <c r="D160" s="2"/>
      <c r="E160" s="2"/>
      <c r="G160" s="52"/>
      <c r="H160" s="52"/>
      <c r="I160" s="32"/>
      <c r="J160" s="59"/>
      <c r="K160" s="32"/>
      <c r="L160" s="32"/>
      <c r="M160" s="32"/>
      <c r="N160" s="32"/>
      <c r="O160" s="32"/>
      <c r="P160" s="50"/>
    </row>
    <row r="161" spans="1:31" x14ac:dyDescent="0.2">
      <c r="A161" s="2"/>
      <c r="B161" s="2"/>
      <c r="C161" s="2"/>
      <c r="D161" s="2"/>
      <c r="E161" s="2"/>
      <c r="G161" s="52"/>
      <c r="H161" s="52"/>
      <c r="I161" s="32"/>
      <c r="J161" s="59"/>
      <c r="K161" s="32"/>
      <c r="L161" s="32"/>
      <c r="M161" s="32"/>
      <c r="N161" s="32"/>
      <c r="O161" s="32"/>
      <c r="P161" s="50"/>
    </row>
    <row r="162" spans="1:31" x14ac:dyDescent="0.2">
      <c r="A162" s="2"/>
      <c r="B162" s="2"/>
      <c r="C162" s="2"/>
      <c r="D162" s="2"/>
      <c r="E162" s="2"/>
      <c r="G162" s="52"/>
      <c r="H162" s="52"/>
      <c r="I162" s="32"/>
      <c r="J162" s="59"/>
      <c r="K162" s="32"/>
      <c r="L162" s="32"/>
      <c r="M162" s="32"/>
      <c r="N162" s="32"/>
      <c r="O162" s="32"/>
      <c r="P162" s="50"/>
    </row>
    <row r="163" spans="1:31" x14ac:dyDescent="0.2">
      <c r="A163" s="2"/>
      <c r="B163" s="2"/>
      <c r="C163" s="2"/>
      <c r="D163" s="2"/>
      <c r="E163" s="2"/>
      <c r="G163" s="52"/>
      <c r="H163" s="52"/>
      <c r="I163" s="32"/>
      <c r="K163" s="28"/>
      <c r="M163" s="26">
        <f ca="1">SUM(M3:M158)</f>
        <v>1179949751.9848773</v>
      </c>
      <c r="N163" s="26"/>
    </row>
    <row r="164" spans="1:31" x14ac:dyDescent="0.2">
      <c r="A164" s="2"/>
      <c r="B164" s="2"/>
      <c r="C164" s="2"/>
      <c r="D164" s="2"/>
      <c r="E164" s="2"/>
    </row>
    <row r="165" spans="1:31" x14ac:dyDescent="0.2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J165" s="1"/>
      <c r="L165" s="57"/>
      <c r="N165" s="80" t="s">
        <v>289</v>
      </c>
      <c r="O165" s="80" t="s">
        <v>270</v>
      </c>
      <c r="P165" s="80" t="s">
        <v>290</v>
      </c>
    </row>
    <row r="166" spans="1:31" x14ac:dyDescent="0.2">
      <c r="A166" s="11">
        <v>2011</v>
      </c>
      <c r="B166" s="11"/>
      <c r="C166" s="11"/>
      <c r="D166" s="41">
        <f>SUMIF(B:B,A166,D:D)</f>
        <v>83338833.540000021</v>
      </c>
      <c r="E166" s="41">
        <f>SUMIF(B:B,A166,E:E)</f>
        <v>113611.44815883051</v>
      </c>
      <c r="F166" s="5">
        <f>SUMIF(B:B,A166,F:F)</f>
        <v>83452444.988158852</v>
      </c>
      <c r="J166" s="1"/>
      <c r="L166" s="57"/>
      <c r="N166" s="5">
        <f t="shared" ref="N166:N178" si="38">SUMIF(B:B,A166,M:M)</f>
        <v>83447252.957249448</v>
      </c>
      <c r="O166" s="57">
        <f>'Historic CDM'!N5</f>
        <v>113611.44815883054</v>
      </c>
      <c r="P166" s="57">
        <f t="shared" ref="P166:P178" si="39">SUMIF(B:B,A166,N:N)</f>
        <v>83333641.509090632</v>
      </c>
    </row>
    <row r="167" spans="1:31" x14ac:dyDescent="0.2">
      <c r="A167" s="11">
        <f>A166+1</f>
        <v>2012</v>
      </c>
      <c r="B167" s="11"/>
      <c r="C167" s="11"/>
      <c r="D167" s="41">
        <f t="shared" ref="D167:D175" si="40">SUMIF(B:B,A167,D:D)</f>
        <v>84168273.069999993</v>
      </c>
      <c r="E167" s="41">
        <f t="shared" ref="E167:E176" si="41">SUMIF(B:B,A167,E:E)</f>
        <v>385670.09388452605</v>
      </c>
      <c r="F167" s="5">
        <f t="shared" ref="F167:F176" si="42">SUMIF(B:B,A167,F:F)</f>
        <v>84553943.163884521</v>
      </c>
      <c r="J167" s="1"/>
      <c r="L167" s="57"/>
      <c r="N167" s="5">
        <f t="shared" si="38"/>
        <v>84736517.098409355</v>
      </c>
      <c r="O167" s="57">
        <f>'Historic CDM'!N6</f>
        <v>385670.09388452594</v>
      </c>
      <c r="P167" s="57">
        <f t="shared" si="39"/>
        <v>84350847.004524827</v>
      </c>
    </row>
    <row r="168" spans="1:31" x14ac:dyDescent="0.2">
      <c r="A168" s="11">
        <f t="shared" ref="A168:A178" si="43">A167+1</f>
        <v>2013</v>
      </c>
      <c r="B168" s="11"/>
      <c r="C168" s="11"/>
      <c r="D168" s="41">
        <f t="shared" si="40"/>
        <v>87021883.129999995</v>
      </c>
      <c r="E168" s="41">
        <f t="shared" si="41"/>
        <v>773377.78722497867</v>
      </c>
      <c r="F168" s="5">
        <f t="shared" si="42"/>
        <v>87795260.917224973</v>
      </c>
      <c r="J168" s="1"/>
      <c r="L168" s="57"/>
      <c r="N168" s="5">
        <f t="shared" si="38"/>
        <v>87414056.473283574</v>
      </c>
      <c r="O168" s="57">
        <f>'Historic CDM'!N7</f>
        <v>773377.78722497891</v>
      </c>
      <c r="P168" s="57">
        <f t="shared" si="39"/>
        <v>86640678.686058611</v>
      </c>
    </row>
    <row r="169" spans="1:31" x14ac:dyDescent="0.2">
      <c r="A169" s="11">
        <f t="shared" si="43"/>
        <v>2014</v>
      </c>
      <c r="D169" s="41">
        <f t="shared" si="40"/>
        <v>88384426.730000004</v>
      </c>
      <c r="E169" s="41">
        <f t="shared" si="41"/>
        <v>1266618.7406463188</v>
      </c>
      <c r="F169" s="5">
        <f t="shared" si="42"/>
        <v>89651045.470646307</v>
      </c>
      <c r="J169" s="1"/>
      <c r="L169" s="57"/>
      <c r="N169" s="5">
        <f t="shared" si="38"/>
        <v>89506774.271886021</v>
      </c>
      <c r="O169" s="57">
        <f>'Historic CDM'!N8</f>
        <v>1266618.7406463188</v>
      </c>
      <c r="P169" s="57">
        <f t="shared" si="39"/>
        <v>88240155.531239703</v>
      </c>
    </row>
    <row r="170" spans="1:31" x14ac:dyDescent="0.2">
      <c r="A170" s="11">
        <f t="shared" si="43"/>
        <v>2015</v>
      </c>
      <c r="B170" s="11"/>
      <c r="C170" s="11"/>
      <c r="D170" s="41">
        <f t="shared" si="40"/>
        <v>88333188.626506001</v>
      </c>
      <c r="E170" s="41">
        <f t="shared" si="41"/>
        <v>2339249.6059254631</v>
      </c>
      <c r="F170" s="5">
        <f t="shared" si="42"/>
        <v>90672438.232431471</v>
      </c>
      <c r="J170" s="1"/>
      <c r="L170" s="57"/>
      <c r="N170" s="5">
        <f t="shared" si="38"/>
        <v>89780208.716655672</v>
      </c>
      <c r="O170" s="57">
        <f>'Historic CDM'!N9</f>
        <v>2339249.6059254631</v>
      </c>
      <c r="P170" s="57">
        <f t="shared" si="39"/>
        <v>87440959.110730201</v>
      </c>
      <c r="AC170" s="39"/>
      <c r="AD170" s="39"/>
      <c r="AE170" s="39"/>
    </row>
    <row r="171" spans="1:31" x14ac:dyDescent="0.2">
      <c r="A171" s="11">
        <f t="shared" si="43"/>
        <v>2016</v>
      </c>
      <c r="D171" s="41">
        <f t="shared" si="40"/>
        <v>88749928.414457858</v>
      </c>
      <c r="E171" s="41">
        <f t="shared" si="41"/>
        <v>3982403.6897298838</v>
      </c>
      <c r="F171" s="5">
        <f t="shared" si="42"/>
        <v>92732332.104187712</v>
      </c>
      <c r="J171" s="1"/>
      <c r="L171" s="57"/>
      <c r="N171" s="5">
        <f t="shared" si="38"/>
        <v>91339961.742905959</v>
      </c>
      <c r="O171" s="57">
        <f>'Historic CDM'!N10</f>
        <v>3982403.6897298833</v>
      </c>
      <c r="P171" s="57">
        <f t="shared" si="39"/>
        <v>87357558.053176075</v>
      </c>
    </row>
    <row r="172" spans="1:31" x14ac:dyDescent="0.2">
      <c r="A172" s="11">
        <f t="shared" si="43"/>
        <v>2017</v>
      </c>
      <c r="B172" s="11"/>
      <c r="C172" s="11"/>
      <c r="D172" s="41">
        <f t="shared" si="40"/>
        <v>82899471.903614432</v>
      </c>
      <c r="E172" s="41">
        <f t="shared" si="41"/>
        <v>5103921.7460673954</v>
      </c>
      <c r="F172" s="5">
        <f t="shared" si="42"/>
        <v>88003393.649681836</v>
      </c>
      <c r="J172" s="1"/>
      <c r="L172" s="57"/>
      <c r="N172" s="5">
        <f t="shared" si="38"/>
        <v>90932821.954602987</v>
      </c>
      <c r="O172" s="57">
        <f>'Historic CDM'!N11</f>
        <v>5103921.7460673954</v>
      </c>
      <c r="P172" s="57">
        <f t="shared" si="39"/>
        <v>85828900.208535612</v>
      </c>
    </row>
    <row r="173" spans="1:31" x14ac:dyDescent="0.2">
      <c r="A173" s="11">
        <f t="shared" si="43"/>
        <v>2018</v>
      </c>
      <c r="D173" s="41">
        <f t="shared" si="40"/>
        <v>86093744.838554204</v>
      </c>
      <c r="E173" s="41">
        <f t="shared" si="41"/>
        <v>6203925.366380427</v>
      </c>
      <c r="F173" s="5">
        <f t="shared" si="42"/>
        <v>92297670.204934612</v>
      </c>
      <c r="J173" s="1"/>
      <c r="L173" s="57"/>
      <c r="N173" s="5">
        <f t="shared" si="38"/>
        <v>93405951.812361419</v>
      </c>
      <c r="O173" s="57">
        <f>'Historic CDM'!N12</f>
        <v>6203925.3663804261</v>
      </c>
      <c r="P173" s="57">
        <f t="shared" si="39"/>
        <v>87202026.445980996</v>
      </c>
    </row>
    <row r="174" spans="1:31" x14ac:dyDescent="0.2">
      <c r="A174" s="11">
        <f t="shared" si="43"/>
        <v>2019</v>
      </c>
      <c r="B174" s="11"/>
      <c r="C174" s="11"/>
      <c r="D174" s="41">
        <f t="shared" si="40"/>
        <v>83808650.746987954</v>
      </c>
      <c r="E174" s="41">
        <f t="shared" si="41"/>
        <v>7283282.6936984016</v>
      </c>
      <c r="F174" s="5">
        <f t="shared" si="42"/>
        <v>91091933.440686345</v>
      </c>
      <c r="J174" s="1"/>
      <c r="L174" s="57"/>
      <c r="N174" s="5">
        <f t="shared" si="38"/>
        <v>91045859.881173685</v>
      </c>
      <c r="O174" s="57">
        <f>'Historic CDM'!N13</f>
        <v>7283282.6936984016</v>
      </c>
      <c r="P174" s="57">
        <f t="shared" si="39"/>
        <v>83762577.187475294</v>
      </c>
    </row>
    <row r="175" spans="1:31" x14ac:dyDescent="0.2">
      <c r="A175" s="11">
        <f t="shared" si="43"/>
        <v>2020</v>
      </c>
      <c r="D175" s="41">
        <f t="shared" si="40"/>
        <v>79694764.992771059</v>
      </c>
      <c r="E175" s="41">
        <f t="shared" si="41"/>
        <v>7797753.6168311285</v>
      </c>
      <c r="F175" s="5">
        <f t="shared" si="42"/>
        <v>87492518.609602198</v>
      </c>
      <c r="J175" s="1"/>
      <c r="L175" s="57"/>
      <c r="N175" s="5">
        <f t="shared" si="38"/>
        <v>86634432.251348287</v>
      </c>
      <c r="O175" s="57">
        <f>'Historic CDM'!N14</f>
        <v>7797753.6168311285</v>
      </c>
      <c r="P175" s="57">
        <f t="shared" si="39"/>
        <v>78836678.634517148</v>
      </c>
      <c r="Q175" s="5"/>
    </row>
    <row r="176" spans="1:31" x14ac:dyDescent="0.2">
      <c r="A176" s="11">
        <f t="shared" si="43"/>
        <v>2021</v>
      </c>
      <c r="B176" s="11"/>
      <c r="C176" s="11"/>
      <c r="D176" s="41">
        <f>SUMIF(B:B,A176,D:D)</f>
        <v>85479169.763855413</v>
      </c>
      <c r="E176" s="41">
        <f t="shared" si="41"/>
        <v>9000615.3755871262</v>
      </c>
      <c r="F176" s="5">
        <f t="shared" si="42"/>
        <v>94479785.139442518</v>
      </c>
      <c r="J176" s="1"/>
      <c r="L176" s="57"/>
      <c r="N176" s="5">
        <f t="shared" si="38"/>
        <v>94073123.925495982</v>
      </c>
      <c r="O176" s="57">
        <f>'Historic CDM'!N15</f>
        <v>9000615.3755871262</v>
      </c>
      <c r="P176" s="57">
        <f t="shared" si="39"/>
        <v>85072508.549908832</v>
      </c>
      <c r="Q176" s="5"/>
    </row>
    <row r="177" spans="1:31" x14ac:dyDescent="0.2">
      <c r="A177" s="11">
        <f t="shared" si="43"/>
        <v>2022</v>
      </c>
      <c r="B177" s="11"/>
      <c r="C177" s="11"/>
      <c r="D177" s="41"/>
      <c r="E177" s="41"/>
      <c r="J177" s="1"/>
      <c r="L177" s="57"/>
      <c r="N177" s="5">
        <f t="shared" ca="1" si="38"/>
        <v>97794576.575970352</v>
      </c>
      <c r="O177" s="57">
        <f>'Historic CDM'!N16</f>
        <v>8981991.0753254313</v>
      </c>
      <c r="P177" s="57">
        <f t="shared" ca="1" si="39"/>
        <v>88812585.500644907</v>
      </c>
    </row>
    <row r="178" spans="1:31" x14ac:dyDescent="0.2">
      <c r="A178" s="11">
        <f t="shared" si="43"/>
        <v>2023</v>
      </c>
      <c r="D178" s="41"/>
      <c r="E178" s="41"/>
      <c r="I178" s="43"/>
      <c r="J178" s="43"/>
      <c r="L178" s="54"/>
      <c r="M178" s="43"/>
      <c r="N178" s="5">
        <f t="shared" ca="1" si="38"/>
        <v>99838214.323534235</v>
      </c>
      <c r="O178" s="57">
        <f>'Historic CDM'!N17</f>
        <v>8799895.5567097496</v>
      </c>
      <c r="P178" s="57">
        <f t="shared" ca="1" si="39"/>
        <v>91038318.766824484</v>
      </c>
      <c r="Q178" s="79"/>
    </row>
    <row r="179" spans="1:31" x14ac:dyDescent="0.2">
      <c r="A179" s="28"/>
      <c r="B179" s="28"/>
      <c r="C179" s="28"/>
      <c r="D179" s="28"/>
      <c r="E179" s="28"/>
      <c r="M179" s="5"/>
      <c r="N179" s="5"/>
      <c r="O179" s="5"/>
    </row>
    <row r="182" spans="1:31" x14ac:dyDescent="0.2">
      <c r="Q182" s="41"/>
    </row>
    <row r="183" spans="1:31" x14ac:dyDescent="0.2">
      <c r="Q183" s="41"/>
    </row>
    <row r="184" spans="1:31" x14ac:dyDescent="0.2">
      <c r="AC184" s="39"/>
      <c r="AD184" s="39"/>
      <c r="AE184" s="39"/>
    </row>
    <row r="195" spans="29:31" x14ac:dyDescent="0.2">
      <c r="AC195" s="39"/>
      <c r="AD195" s="39"/>
      <c r="AE195" s="39"/>
    </row>
  </sheetData>
  <mergeCells count="3">
    <mergeCell ref="R144:R146"/>
    <mergeCell ref="S144:S146"/>
    <mergeCell ref="A1:C1"/>
  </mergeCells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16" max="1048575" man="1"/>
    <brk id="26" max="222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79998168889431442"/>
  </sheetPr>
  <dimension ref="A1:AU190"/>
  <sheetViews>
    <sheetView zoomScale="80" zoomScaleNormal="80" workbookViewId="0">
      <pane xSplit="1" ySplit="2" topLeftCell="F3" activePane="bottomRight" state="frozen"/>
      <selection activeCell="V159" sqref="V159"/>
      <selection pane="topRight" activeCell="V159" sqref="V159"/>
      <selection pane="bottomLeft" activeCell="V159" sqref="V159"/>
      <selection pane="bottomRight" activeCell="R12" sqref="R12"/>
    </sheetView>
  </sheetViews>
  <sheetFormatPr defaultRowHeight="12.75" x14ac:dyDescent="0.2"/>
  <cols>
    <col min="1" max="3" width="11.85546875" customWidth="1"/>
    <col min="4" max="4" width="14.140625" customWidth="1"/>
    <col min="5" max="5" width="13.28515625" customWidth="1"/>
    <col min="6" max="6" width="12.7109375" style="5" bestFit="1" customWidth="1"/>
    <col min="7" max="7" width="12.140625" style="1" customWidth="1"/>
    <col min="8" max="8" width="11.5703125" style="1" customWidth="1"/>
    <col min="9" max="9" width="9.42578125" style="1" bestFit="1" customWidth="1"/>
    <col min="10" max="10" width="10.85546875" style="1" bestFit="1" customWidth="1"/>
    <col min="11" max="11" width="10.7109375" style="1" customWidth="1"/>
    <col min="12" max="12" width="10.7109375" style="1" bestFit="1" customWidth="1"/>
    <col min="13" max="13" width="15.140625" style="1" bestFit="1" customWidth="1"/>
    <col min="14" max="14" width="15.140625" style="1" customWidth="1"/>
    <col min="15" max="15" width="13.28515625" style="1" customWidth="1"/>
    <col min="16" max="16" width="13.7109375" style="1" customWidth="1"/>
    <col min="17" max="17" width="22.42578125" bestFit="1" customWidth="1"/>
    <col min="18" max="18" width="14.85546875" bestFit="1" customWidth="1"/>
    <col min="19" max="19" width="13.7109375" bestFit="1" customWidth="1"/>
    <col min="20" max="20" width="12.5703125" bestFit="1" customWidth="1"/>
    <col min="21" max="21" width="12.42578125" bestFit="1" customWidth="1"/>
    <col min="22" max="22" width="13.5703125" bestFit="1" customWidth="1"/>
    <col min="23" max="25" width="12.5703125" bestFit="1" customWidth="1"/>
    <col min="26" max="26" width="14.140625" bestFit="1" customWidth="1"/>
    <col min="27" max="29" width="12.7109375" customWidth="1"/>
    <col min="30" max="38" width="12.7109375" style="5" customWidth="1"/>
    <col min="39" max="48" width="12.7109375" customWidth="1"/>
  </cols>
  <sheetData>
    <row r="1" spans="1:42" ht="15.75" x14ac:dyDescent="0.25">
      <c r="A1" s="321" t="s">
        <v>296</v>
      </c>
      <c r="B1" s="321"/>
      <c r="C1" s="321"/>
      <c r="D1" s="321"/>
      <c r="E1" s="321"/>
      <c r="F1" s="321"/>
      <c r="G1" s="321"/>
    </row>
    <row r="2" spans="1:42" ht="42" customHeight="1" x14ac:dyDescent="0.2">
      <c r="D2" s="56" t="str">
        <f>Data!J1</f>
        <v>GS50to999_kWh</v>
      </c>
      <c r="E2" s="56" t="str">
        <f>Data!K1</f>
        <v>GS50to999_CDM</v>
      </c>
      <c r="F2" s="56" t="str">
        <f>Data!L1</f>
        <v>GS50to999_NoCDM</v>
      </c>
      <c r="G2" s="252" t="str">
        <f>Data!AV1</f>
        <v>HDD10</v>
      </c>
      <c r="H2" s="252" t="str">
        <f>Data!AU1</f>
        <v>CDD12</v>
      </c>
      <c r="I2" s="8" t="s">
        <v>272</v>
      </c>
      <c r="J2" s="8" t="s">
        <v>274</v>
      </c>
      <c r="K2" s="8" t="str">
        <f>Data!BC1</f>
        <v>TorontoFTEAdj</v>
      </c>
      <c r="L2" s="8" t="s">
        <v>52</v>
      </c>
      <c r="M2" s="8" t="s">
        <v>275</v>
      </c>
      <c r="N2" s="8" t="s">
        <v>276</v>
      </c>
      <c r="O2" s="8" t="s">
        <v>277</v>
      </c>
      <c r="P2" s="8" t="s">
        <v>278</v>
      </c>
      <c r="AD2" s="7"/>
      <c r="AE2" s="7"/>
      <c r="AF2" s="7"/>
    </row>
    <row r="3" spans="1:42" x14ac:dyDescent="0.2">
      <c r="A3" s="2">
        <v>40544</v>
      </c>
      <c r="B3">
        <f>YEAR(A3)</f>
        <v>2011</v>
      </c>
      <c r="C3">
        <f>MONTH(A3)</f>
        <v>1</v>
      </c>
      <c r="D3" s="56">
        <f>Data!J2</f>
        <v>16624484.049999999</v>
      </c>
      <c r="E3" s="56">
        <f>Data!K2</f>
        <v>92782.771217919406</v>
      </c>
      <c r="F3" s="56">
        <f>Data!L2</f>
        <v>16717266.821217919</v>
      </c>
      <c r="G3" s="253">
        <f>Data!AV2</f>
        <v>527.30000000000007</v>
      </c>
      <c r="H3" s="253">
        <f>Data!AU2</f>
        <v>0</v>
      </c>
      <c r="I3" s="32">
        <f>Data!BG2</f>
        <v>31</v>
      </c>
      <c r="J3" s="32">
        <f>Data!AC2</f>
        <v>257</v>
      </c>
      <c r="K3" s="78">
        <f>Data!BC2</f>
        <v>2928.6</v>
      </c>
      <c r="L3" s="254">
        <f>Data!BZ2</f>
        <v>0</v>
      </c>
      <c r="M3" s="32">
        <f>$R$19+G3*$R$20+H3*$R$21+I3*$R$22+J3*$R$23+K3*$R$24+L3*$R$25</f>
        <v>17704010.197220638</v>
      </c>
      <c r="N3" s="32">
        <f t="shared" ref="N3:N34" si="0">M3-E3</f>
        <v>17611227.426002719</v>
      </c>
      <c r="O3" s="51">
        <f t="shared" ref="O3:O34" si="1">+M3-F3</f>
        <v>986743.37600271963</v>
      </c>
      <c r="P3" s="50">
        <f t="shared" ref="P3:P34" si="2">ABS(O3/F3)</f>
        <v>5.9025400895696863E-2</v>
      </c>
      <c r="AB3" s="39"/>
      <c r="AC3" s="39"/>
      <c r="AD3" s="66"/>
      <c r="AE3" s="51"/>
      <c r="AF3" s="74"/>
      <c r="AG3" s="74"/>
      <c r="AH3" s="204"/>
      <c r="AI3" s="74"/>
      <c r="AJ3" s="74"/>
      <c r="AK3" s="197"/>
      <c r="AL3" s="204"/>
      <c r="AM3" s="68"/>
    </row>
    <row r="4" spans="1:42" x14ac:dyDescent="0.2">
      <c r="A4" s="2">
        <v>40575</v>
      </c>
      <c r="B4">
        <f t="shared" ref="B4:B67" si="3">YEAR(A4)</f>
        <v>2011</v>
      </c>
      <c r="C4">
        <f t="shared" ref="C4:C18" si="4">MONTH(A4)</f>
        <v>2</v>
      </c>
      <c r="D4" s="56">
        <f>Data!J3</f>
        <v>15658887.129999997</v>
      </c>
      <c r="E4" s="56">
        <f>Data!K3</f>
        <v>92782.771217919406</v>
      </c>
      <c r="F4" s="56">
        <f>Data!L3</f>
        <v>15751669.901217917</v>
      </c>
      <c r="G4" s="253">
        <f>Data!AV3</f>
        <v>430.20000000000005</v>
      </c>
      <c r="H4" s="253">
        <f>Data!AU3</f>
        <v>0</v>
      </c>
      <c r="I4" s="32">
        <f>Data!BG3</f>
        <v>28</v>
      </c>
      <c r="J4" s="32">
        <f>Data!AC3</f>
        <v>255</v>
      </c>
      <c r="K4" s="78">
        <f>Data!BC3</f>
        <v>2938.9</v>
      </c>
      <c r="L4" s="254">
        <f>Data!BZ3</f>
        <v>0</v>
      </c>
      <c r="M4" s="32">
        <f t="shared" ref="M4:M67" si="5">$R$19+G4*$R$20+H4*$R$21+I4*$R$22+J4*$R$23+K4*$R$24+L4*$R$25</f>
        <v>16134983.087175831</v>
      </c>
      <c r="N4" s="32">
        <f t="shared" si="0"/>
        <v>16042200.315957911</v>
      </c>
      <c r="O4" s="51">
        <f t="shared" si="1"/>
        <v>383313.18595791422</v>
      </c>
      <c r="P4" s="50">
        <f t="shared" si="2"/>
        <v>2.433476503518376E-2</v>
      </c>
      <c r="AB4" s="39"/>
      <c r="AC4" s="39"/>
      <c r="AD4" s="154"/>
      <c r="AE4" s="154"/>
      <c r="AF4" s="74"/>
      <c r="AG4" s="74"/>
      <c r="AH4" s="197"/>
      <c r="AI4" s="208"/>
      <c r="AJ4" s="74"/>
      <c r="AK4" s="197"/>
      <c r="AL4" s="197"/>
      <c r="AM4" s="68"/>
    </row>
    <row r="5" spans="1:42" x14ac:dyDescent="0.2">
      <c r="A5" s="2">
        <v>40603</v>
      </c>
      <c r="B5">
        <f t="shared" si="3"/>
        <v>2011</v>
      </c>
      <c r="C5">
        <f t="shared" si="4"/>
        <v>3</v>
      </c>
      <c r="D5" s="56">
        <f>Data!J4</f>
        <v>16577681.930000002</v>
      </c>
      <c r="E5" s="56">
        <f>Data!K4</f>
        <v>92782.771217919406</v>
      </c>
      <c r="F5" s="56">
        <f>Data!L4</f>
        <v>16670464.701217921</v>
      </c>
      <c r="G5" s="253">
        <f>Data!AV4</f>
        <v>324.79999999999995</v>
      </c>
      <c r="H5" s="253">
        <f>Data!AU4</f>
        <v>0</v>
      </c>
      <c r="I5" s="32">
        <f>Data!BG4</f>
        <v>31</v>
      </c>
      <c r="J5" s="32">
        <f>Data!AC4</f>
        <v>256</v>
      </c>
      <c r="K5" s="78">
        <f>Data!BC4</f>
        <v>2930.7</v>
      </c>
      <c r="L5" s="254">
        <f>Data!BZ4</f>
        <v>0</v>
      </c>
      <c r="M5" s="32">
        <f t="shared" si="5"/>
        <v>16636249.446781021</v>
      </c>
      <c r="N5" s="32">
        <f t="shared" si="0"/>
        <v>16543466.675563101</v>
      </c>
      <c r="O5" s="51">
        <f t="shared" si="1"/>
        <v>-34215.254436900839</v>
      </c>
      <c r="P5" s="50">
        <f t="shared" si="2"/>
        <v>2.05244755021143E-3</v>
      </c>
      <c r="Q5" s="150"/>
      <c r="R5" s="150"/>
      <c r="AB5" s="51"/>
      <c r="AC5" s="51"/>
      <c r="AD5" s="51"/>
      <c r="AE5" s="51"/>
      <c r="AF5" s="74"/>
      <c r="AG5" s="74"/>
      <c r="AH5" s="197"/>
      <c r="AI5" s="208"/>
      <c r="AJ5" s="74"/>
      <c r="AK5" s="197"/>
      <c r="AL5" s="197"/>
      <c r="AM5" s="67"/>
    </row>
    <row r="6" spans="1:42" x14ac:dyDescent="0.2">
      <c r="A6" s="2">
        <v>40634</v>
      </c>
      <c r="B6">
        <f t="shared" si="3"/>
        <v>2011</v>
      </c>
      <c r="C6">
        <f t="shared" si="4"/>
        <v>4</v>
      </c>
      <c r="D6" s="56">
        <f>Data!J5</f>
        <v>14870365.83</v>
      </c>
      <c r="E6" s="56">
        <f>Data!K5</f>
        <v>92782.771217919406</v>
      </c>
      <c r="F6" s="56">
        <f>Data!L5</f>
        <v>14963148.60121792</v>
      </c>
      <c r="G6" s="253">
        <f>Data!AV5</f>
        <v>106.70000000000002</v>
      </c>
      <c r="H6" s="253">
        <f>Data!AU5</f>
        <v>6.4</v>
      </c>
      <c r="I6" s="32">
        <f>Data!BG5</f>
        <v>30</v>
      </c>
      <c r="J6" s="32">
        <f>Data!AC5</f>
        <v>257</v>
      </c>
      <c r="K6" s="78">
        <f>Data!BC5</f>
        <v>2922.2</v>
      </c>
      <c r="L6" s="254">
        <f>Data!BZ5</f>
        <v>0</v>
      </c>
      <c r="M6" s="32">
        <f t="shared" si="5"/>
        <v>15178303.852549981</v>
      </c>
      <c r="N6" s="32">
        <f t="shared" si="0"/>
        <v>15085521.081332061</v>
      </c>
      <c r="O6" s="51">
        <f t="shared" si="1"/>
        <v>215155.25133206137</v>
      </c>
      <c r="P6" s="50">
        <f t="shared" si="2"/>
        <v>1.4379009195601311E-2</v>
      </c>
      <c r="AD6" s="74"/>
      <c r="AE6" s="69"/>
      <c r="AF6" s="39"/>
      <c r="AI6" s="209"/>
      <c r="AJ6" s="209"/>
      <c r="AM6" s="5"/>
      <c r="AN6" s="5"/>
      <c r="AP6" s="28"/>
    </row>
    <row r="7" spans="1:42" x14ac:dyDescent="0.2">
      <c r="A7" s="2">
        <v>40664</v>
      </c>
      <c r="B7">
        <f t="shared" si="3"/>
        <v>2011</v>
      </c>
      <c r="C7">
        <f t="shared" si="4"/>
        <v>5</v>
      </c>
      <c r="D7" s="56">
        <f>Data!J6</f>
        <v>15387555.400000006</v>
      </c>
      <c r="E7" s="56">
        <f>Data!K6</f>
        <v>92782.771217919406</v>
      </c>
      <c r="F7" s="56">
        <f>Data!L6</f>
        <v>15480338.171217926</v>
      </c>
      <c r="G7" s="253">
        <f>Data!AV6</f>
        <v>7.1</v>
      </c>
      <c r="H7" s="253">
        <f>Data!AU6</f>
        <v>86.7</v>
      </c>
      <c r="I7" s="32">
        <f>Data!BG6</f>
        <v>31</v>
      </c>
      <c r="J7" s="32">
        <f>Data!AC6</f>
        <v>263</v>
      </c>
      <c r="K7" s="78">
        <f>Data!BC6</f>
        <v>2920.1</v>
      </c>
      <c r="L7" s="254">
        <f>Data!BZ6</f>
        <v>0</v>
      </c>
      <c r="M7" s="32">
        <f t="shared" si="5"/>
        <v>15678787.880525563</v>
      </c>
      <c r="N7" s="32">
        <f t="shared" si="0"/>
        <v>15586005.109307643</v>
      </c>
      <c r="O7" s="51">
        <f t="shared" si="1"/>
        <v>198449.70930763707</v>
      </c>
      <c r="P7" s="50">
        <f t="shared" si="2"/>
        <v>1.2819468613199159E-2</v>
      </c>
      <c r="AD7" s="74"/>
      <c r="AE7" s="69"/>
      <c r="AF7" s="39"/>
      <c r="AI7" s="209"/>
      <c r="AJ7" s="209"/>
      <c r="AM7" s="5"/>
      <c r="AN7" s="5"/>
      <c r="AP7" s="28"/>
    </row>
    <row r="8" spans="1:42" x14ac:dyDescent="0.2">
      <c r="A8" s="2">
        <v>40695</v>
      </c>
      <c r="B8">
        <f t="shared" si="3"/>
        <v>2011</v>
      </c>
      <c r="C8">
        <f t="shared" si="4"/>
        <v>6</v>
      </c>
      <c r="D8" s="56">
        <f>Data!J7</f>
        <v>16284746.789999999</v>
      </c>
      <c r="E8" s="56">
        <f>Data!K7</f>
        <v>92782.771217919406</v>
      </c>
      <c r="F8" s="56">
        <f>Data!L7</f>
        <v>16377529.561217919</v>
      </c>
      <c r="G8" s="253">
        <f>Data!AV7</f>
        <v>0</v>
      </c>
      <c r="H8" s="253">
        <f>Data!AU7</f>
        <v>213.20000000000002</v>
      </c>
      <c r="I8" s="32">
        <f>Data!BG7</f>
        <v>30</v>
      </c>
      <c r="J8" s="32">
        <f>Data!AC7</f>
        <v>263</v>
      </c>
      <c r="K8" s="78">
        <f>Data!BC7</f>
        <v>2927.5</v>
      </c>
      <c r="L8" s="254">
        <f>Data!BZ7</f>
        <v>0</v>
      </c>
      <c r="M8" s="32">
        <f t="shared" si="5"/>
        <v>16158854.476047836</v>
      </c>
      <c r="N8" s="32">
        <f t="shared" si="0"/>
        <v>16066071.704829916</v>
      </c>
      <c r="O8" s="51">
        <f t="shared" si="1"/>
        <v>-218675.08517008275</v>
      </c>
      <c r="P8" s="50">
        <f t="shared" si="2"/>
        <v>1.335214107553233E-2</v>
      </c>
      <c r="AD8" s="74"/>
      <c r="AE8" s="69"/>
      <c r="AF8" s="39"/>
      <c r="AI8" s="209"/>
      <c r="AJ8" s="209"/>
      <c r="AM8" s="5"/>
      <c r="AN8" s="5"/>
      <c r="AP8" s="28"/>
    </row>
    <row r="9" spans="1:42" x14ac:dyDescent="0.2">
      <c r="A9" s="2">
        <v>40725</v>
      </c>
      <c r="B9">
        <f t="shared" si="3"/>
        <v>2011</v>
      </c>
      <c r="C9">
        <f t="shared" si="4"/>
        <v>7</v>
      </c>
      <c r="D9" s="56">
        <f>Data!J8</f>
        <v>16946151.27</v>
      </c>
      <c r="E9" s="56">
        <f>Data!K8</f>
        <v>92782.771217919406</v>
      </c>
      <c r="F9" s="56">
        <f>Data!L8</f>
        <v>17038934.041217919</v>
      </c>
      <c r="G9" s="253">
        <f>Data!AV8</f>
        <v>0</v>
      </c>
      <c r="H9" s="253">
        <f>Data!AU8</f>
        <v>384.2999999999999</v>
      </c>
      <c r="I9" s="32">
        <f>Data!BG8</f>
        <v>31</v>
      </c>
      <c r="J9" s="32">
        <f>Data!AC8</f>
        <v>265</v>
      </c>
      <c r="K9" s="78">
        <f>Data!BC8</f>
        <v>2923.6</v>
      </c>
      <c r="L9" s="254">
        <f>Data!BZ8</f>
        <v>0</v>
      </c>
      <c r="M9" s="32">
        <f t="shared" si="5"/>
        <v>17677929.038486186</v>
      </c>
      <c r="N9" s="32">
        <f t="shared" si="0"/>
        <v>17585146.267268267</v>
      </c>
      <c r="O9" s="51">
        <f t="shared" si="1"/>
        <v>638994.99726826698</v>
      </c>
      <c r="P9" s="50">
        <f t="shared" si="2"/>
        <v>3.750205240084329E-2</v>
      </c>
      <c r="AD9" s="74"/>
      <c r="AE9" s="69"/>
      <c r="AF9" s="39"/>
      <c r="AI9" s="209"/>
      <c r="AJ9" s="209"/>
      <c r="AM9" s="5"/>
      <c r="AN9" s="5"/>
      <c r="AP9" s="28"/>
    </row>
    <row r="10" spans="1:42" x14ac:dyDescent="0.2">
      <c r="A10" s="2">
        <v>40756</v>
      </c>
      <c r="B10">
        <f t="shared" si="3"/>
        <v>2011</v>
      </c>
      <c r="C10">
        <f t="shared" si="4"/>
        <v>8</v>
      </c>
      <c r="D10" s="56">
        <f>Data!J9</f>
        <v>16700144.319999998</v>
      </c>
      <c r="E10" s="56">
        <f>Data!K9</f>
        <v>92782.771217919406</v>
      </c>
      <c r="F10" s="56">
        <f>Data!L9</f>
        <v>16792927.091217916</v>
      </c>
      <c r="G10" s="253">
        <f>Data!AV9</f>
        <v>0</v>
      </c>
      <c r="H10" s="253">
        <f>Data!AU9</f>
        <v>308.2</v>
      </c>
      <c r="I10" s="32">
        <f>Data!BG9</f>
        <v>31</v>
      </c>
      <c r="J10" s="32">
        <f>Data!AC9</f>
        <v>267</v>
      </c>
      <c r="K10" s="78">
        <f>Data!BC9</f>
        <v>2920.2</v>
      </c>
      <c r="L10" s="254">
        <f>Data!BZ9</f>
        <v>0</v>
      </c>
      <c r="M10" s="32">
        <f t="shared" si="5"/>
        <v>17205728.477211777</v>
      </c>
      <c r="N10" s="32">
        <f t="shared" si="0"/>
        <v>17112945.705993857</v>
      </c>
      <c r="O10" s="51">
        <f t="shared" si="1"/>
        <v>412801.38599386066</v>
      </c>
      <c r="P10" s="50">
        <f t="shared" si="2"/>
        <v>2.4581860193375139E-2</v>
      </c>
      <c r="AD10" s="74"/>
      <c r="AE10" s="69"/>
      <c r="AF10" s="39"/>
      <c r="AI10" s="209"/>
      <c r="AJ10" s="209"/>
      <c r="AM10" s="5"/>
      <c r="AN10" s="5"/>
      <c r="AP10" s="28"/>
    </row>
    <row r="11" spans="1:42" x14ac:dyDescent="0.2">
      <c r="A11" s="2">
        <v>40787</v>
      </c>
      <c r="B11">
        <f t="shared" si="3"/>
        <v>2011</v>
      </c>
      <c r="C11">
        <f t="shared" si="4"/>
        <v>9</v>
      </c>
      <c r="D11" s="56">
        <f>Data!J10</f>
        <v>15666778.779999997</v>
      </c>
      <c r="E11" s="56">
        <f>Data!K10</f>
        <v>92782.771217919406</v>
      </c>
      <c r="F11" s="56">
        <f>Data!L10</f>
        <v>15759561.551217917</v>
      </c>
      <c r="G11" s="253">
        <f>Data!AV10</f>
        <v>0</v>
      </c>
      <c r="H11" s="253">
        <f>Data!AU10</f>
        <v>172.60000000000002</v>
      </c>
      <c r="I11" s="32">
        <f>Data!BG10</f>
        <v>30</v>
      </c>
      <c r="J11" s="32">
        <f>Data!AC10</f>
        <v>268</v>
      </c>
      <c r="K11" s="78">
        <f>Data!BC10</f>
        <v>2915.3</v>
      </c>
      <c r="L11" s="254">
        <f>Data!BZ10</f>
        <v>0</v>
      </c>
      <c r="M11" s="32">
        <f t="shared" si="5"/>
        <v>15955369.944562163</v>
      </c>
      <c r="N11" s="32">
        <f t="shared" si="0"/>
        <v>15862587.173344243</v>
      </c>
      <c r="O11" s="51">
        <f t="shared" si="1"/>
        <v>195808.39334424585</v>
      </c>
      <c r="P11" s="50">
        <f t="shared" si="2"/>
        <v>1.2424736101183827E-2</v>
      </c>
      <c r="AD11" s="74"/>
      <c r="AE11" s="69"/>
      <c r="AF11" s="39"/>
      <c r="AI11" s="209"/>
      <c r="AJ11" s="209"/>
      <c r="AM11" s="5"/>
      <c r="AN11" s="5"/>
      <c r="AP11" s="28"/>
    </row>
    <row r="12" spans="1:42" x14ac:dyDescent="0.2">
      <c r="A12" s="2">
        <v>40817</v>
      </c>
      <c r="B12">
        <f t="shared" si="3"/>
        <v>2011</v>
      </c>
      <c r="C12">
        <f t="shared" si="4"/>
        <v>10</v>
      </c>
      <c r="D12" s="56">
        <f>Data!J11</f>
        <v>15493508.160000006</v>
      </c>
      <c r="E12" s="56">
        <f>Data!K11</f>
        <v>92782.771217919406</v>
      </c>
      <c r="F12" s="56">
        <f>Data!L11</f>
        <v>15586290.931217926</v>
      </c>
      <c r="G12" s="253">
        <f>Data!AV11</f>
        <v>49.800000000000004</v>
      </c>
      <c r="H12" s="253">
        <f>Data!AU11</f>
        <v>41.5</v>
      </c>
      <c r="I12" s="32">
        <f>Data!BG11</f>
        <v>31</v>
      </c>
      <c r="J12" s="32">
        <f>Data!AC11</f>
        <v>270</v>
      </c>
      <c r="K12" s="78">
        <f>Data!BC11</f>
        <v>2906.1</v>
      </c>
      <c r="L12" s="254">
        <f>Data!BZ11</f>
        <v>0</v>
      </c>
      <c r="M12" s="32">
        <f t="shared" si="5"/>
        <v>15706268.556448996</v>
      </c>
      <c r="N12" s="32">
        <f t="shared" si="0"/>
        <v>15613485.785231076</v>
      </c>
      <c r="O12" s="51">
        <f t="shared" si="1"/>
        <v>119977.62523107044</v>
      </c>
      <c r="P12" s="50">
        <f t="shared" si="2"/>
        <v>7.6976379922927109E-3</v>
      </c>
      <c r="R12" t="s">
        <v>356</v>
      </c>
      <c r="W12" s="315" t="s">
        <v>349</v>
      </c>
      <c r="AD12" s="74"/>
      <c r="AE12" s="69"/>
      <c r="AF12" s="39"/>
      <c r="AI12" s="209"/>
      <c r="AJ12" s="209"/>
      <c r="AM12" s="5"/>
      <c r="AN12" s="5"/>
      <c r="AP12" s="28"/>
    </row>
    <row r="13" spans="1:42" x14ac:dyDescent="0.2">
      <c r="A13" s="2">
        <v>40848</v>
      </c>
      <c r="B13">
        <f t="shared" si="3"/>
        <v>2011</v>
      </c>
      <c r="C13">
        <f t="shared" si="4"/>
        <v>11</v>
      </c>
      <c r="D13" s="56">
        <f>Data!J12</f>
        <v>15848617.690000003</v>
      </c>
      <c r="E13" s="56">
        <f>Data!K12</f>
        <v>92782.771217919406</v>
      </c>
      <c r="F13" s="56">
        <f>Data!L12</f>
        <v>15941400.461217923</v>
      </c>
      <c r="G13" s="253">
        <f>Data!AV12</f>
        <v>115.8</v>
      </c>
      <c r="H13" s="253">
        <f>Data!AU12</f>
        <v>3.4000000000000004</v>
      </c>
      <c r="I13" s="32">
        <f>Data!BG12</f>
        <v>30</v>
      </c>
      <c r="J13" s="32">
        <f>Data!AC12</f>
        <v>271</v>
      </c>
      <c r="K13" s="78">
        <f>Data!BC12</f>
        <v>2901.5</v>
      </c>
      <c r="L13" s="254">
        <f>Data!BZ12</f>
        <v>0</v>
      </c>
      <c r="M13" s="32">
        <f t="shared" si="5"/>
        <v>15447209.521234453</v>
      </c>
      <c r="N13" s="32">
        <f t="shared" si="0"/>
        <v>15354426.750016533</v>
      </c>
      <c r="O13" s="51">
        <f t="shared" si="1"/>
        <v>-494190.93998347037</v>
      </c>
      <c r="P13" s="50">
        <f t="shared" si="2"/>
        <v>3.1000472084352505E-2</v>
      </c>
      <c r="Q13" s="149"/>
      <c r="R13" s="149"/>
      <c r="S13" s="149"/>
      <c r="T13" s="149"/>
      <c r="U13" s="149"/>
      <c r="V13" s="149"/>
      <c r="AD13" s="74"/>
      <c r="AE13" s="69"/>
      <c r="AF13" s="39"/>
      <c r="AI13" s="209"/>
      <c r="AJ13" s="209"/>
      <c r="AM13" s="5"/>
      <c r="AN13" s="5"/>
      <c r="AP13" s="28"/>
    </row>
    <row r="14" spans="1:42" x14ac:dyDescent="0.2">
      <c r="A14" s="2">
        <v>40878</v>
      </c>
      <c r="B14">
        <f t="shared" si="3"/>
        <v>2011</v>
      </c>
      <c r="C14">
        <f t="shared" si="4"/>
        <v>12</v>
      </c>
      <c r="D14" s="56">
        <f>Data!J13</f>
        <v>16723848.409999998</v>
      </c>
      <c r="E14" s="56">
        <f>Data!K13</f>
        <v>92782.771217919406</v>
      </c>
      <c r="F14" s="56">
        <f>Data!L13</f>
        <v>16816631.181217916</v>
      </c>
      <c r="G14" s="253">
        <f>Data!AV13</f>
        <v>286</v>
      </c>
      <c r="H14" s="253">
        <f>Data!AU13</f>
        <v>0</v>
      </c>
      <c r="I14" s="32">
        <f>Data!BG13</f>
        <v>31</v>
      </c>
      <c r="J14" s="32">
        <f>Data!AC13</f>
        <v>271</v>
      </c>
      <c r="K14" s="78">
        <f>Data!BC13</f>
        <v>2893.8</v>
      </c>
      <c r="L14" s="254">
        <f>Data!BZ13</f>
        <v>0</v>
      </c>
      <c r="M14" s="32">
        <f t="shared" si="5"/>
        <v>16630708.203187445</v>
      </c>
      <c r="N14" s="32">
        <f t="shared" si="0"/>
        <v>16537925.431969525</v>
      </c>
      <c r="O14" s="51">
        <f t="shared" si="1"/>
        <v>-185922.97803047113</v>
      </c>
      <c r="P14" s="50">
        <f t="shared" si="2"/>
        <v>1.1055899129079073E-2</v>
      </c>
      <c r="Q14" t="s">
        <v>354</v>
      </c>
      <c r="W14" s="315" t="s">
        <v>297</v>
      </c>
      <c r="AD14" s="74"/>
      <c r="AE14" s="69"/>
      <c r="AF14" s="39"/>
      <c r="AI14" s="209"/>
      <c r="AJ14" s="209"/>
      <c r="AM14" s="5"/>
      <c r="AN14" s="5"/>
      <c r="AP14" s="28"/>
    </row>
    <row r="15" spans="1:42" x14ac:dyDescent="0.2">
      <c r="A15" s="2">
        <v>40909</v>
      </c>
      <c r="B15">
        <f t="shared" si="3"/>
        <v>2012</v>
      </c>
      <c r="C15">
        <f t="shared" si="4"/>
        <v>1</v>
      </c>
      <c r="D15" s="56">
        <f>Data!J14</f>
        <v>16556508.93</v>
      </c>
      <c r="E15" s="56">
        <f>Data!K14</f>
        <v>228757.53349089678</v>
      </c>
      <c r="F15" s="56">
        <f>Data!L14</f>
        <v>16785266.463490896</v>
      </c>
      <c r="G15" s="253">
        <f>Data!AV14</f>
        <v>363.10000000000008</v>
      </c>
      <c r="H15" s="253">
        <f>Data!AU14</f>
        <v>0</v>
      </c>
      <c r="I15" s="32">
        <f>Data!BG14</f>
        <v>31</v>
      </c>
      <c r="J15" s="32">
        <f>Data!AC14</f>
        <v>271</v>
      </c>
      <c r="K15" s="78">
        <f>Data!BC14</f>
        <v>2892.7</v>
      </c>
      <c r="L15" s="254">
        <f>Data!BZ14</f>
        <v>0</v>
      </c>
      <c r="M15" s="32">
        <f t="shared" si="5"/>
        <v>17027016.552310996</v>
      </c>
      <c r="N15" s="32">
        <f t="shared" si="0"/>
        <v>16798259.0188201</v>
      </c>
      <c r="O15" s="51">
        <f t="shared" si="1"/>
        <v>241750.08882009983</v>
      </c>
      <c r="P15" s="50">
        <f t="shared" si="2"/>
        <v>1.4402517192439145E-2</v>
      </c>
      <c r="Q15" t="s">
        <v>298</v>
      </c>
      <c r="W15" s="315" t="s">
        <v>298</v>
      </c>
      <c r="X15" s="315"/>
      <c r="Y15" s="315"/>
      <c r="Z15" s="315"/>
      <c r="AA15" s="315"/>
      <c r="AB15" s="315"/>
      <c r="AD15" s="74"/>
      <c r="AE15" s="69"/>
      <c r="AF15" s="39"/>
      <c r="AI15" s="209"/>
      <c r="AJ15" s="209"/>
      <c r="AM15" s="5"/>
      <c r="AN15" s="5"/>
      <c r="AO15" s="210"/>
      <c r="AP15" s="28"/>
    </row>
    <row r="16" spans="1:42" ht="12.75" customHeight="1" x14ac:dyDescent="0.2">
      <c r="A16" s="2">
        <v>40940</v>
      </c>
      <c r="B16">
        <f t="shared" si="3"/>
        <v>2012</v>
      </c>
      <c r="C16">
        <f t="shared" si="4"/>
        <v>2</v>
      </c>
      <c r="D16" s="56">
        <f>Data!J15</f>
        <v>15850543.67</v>
      </c>
      <c r="E16" s="56">
        <f>Data!K15</f>
        <v>228757.53349089678</v>
      </c>
      <c r="F16" s="56">
        <f>Data!L15</f>
        <v>16079301.203490896</v>
      </c>
      <c r="G16" s="253">
        <f>Data!AV15</f>
        <v>299.70000000000005</v>
      </c>
      <c r="H16" s="253">
        <f>Data!AU15</f>
        <v>0</v>
      </c>
      <c r="I16" s="32">
        <f>Data!BG15</f>
        <v>29</v>
      </c>
      <c r="J16" s="32">
        <f>Data!AC15</f>
        <v>272</v>
      </c>
      <c r="K16" s="78">
        <f>Data!BC15</f>
        <v>2889.3</v>
      </c>
      <c r="L16" s="254">
        <f>Data!BZ15</f>
        <v>0</v>
      </c>
      <c r="M16" s="32">
        <f t="shared" si="5"/>
        <v>15999248.029334381</v>
      </c>
      <c r="N16" s="32">
        <f t="shared" si="0"/>
        <v>15770490.495843485</v>
      </c>
      <c r="O16" s="51">
        <f t="shared" si="1"/>
        <v>-80053.174156514928</v>
      </c>
      <c r="P16" s="50">
        <f t="shared" si="2"/>
        <v>4.9786475881884087E-3</v>
      </c>
      <c r="Q16" t="s">
        <v>355</v>
      </c>
      <c r="W16" s="315" t="s">
        <v>299</v>
      </c>
      <c r="X16" s="315"/>
      <c r="Y16" s="315"/>
      <c r="Z16" s="315"/>
      <c r="AA16" s="315"/>
      <c r="AB16" s="315"/>
      <c r="AD16" s="74"/>
      <c r="AE16" s="69"/>
      <c r="AF16" s="39"/>
      <c r="AI16" s="211"/>
      <c r="AJ16" s="209"/>
      <c r="AM16" s="5"/>
      <c r="AN16" s="5"/>
      <c r="AP16" s="28"/>
    </row>
    <row r="17" spans="1:43" ht="12.75" customHeight="1" x14ac:dyDescent="0.2">
      <c r="A17" s="2">
        <v>40969</v>
      </c>
      <c r="B17">
        <f t="shared" si="3"/>
        <v>2012</v>
      </c>
      <c r="C17">
        <f t="shared" si="4"/>
        <v>3</v>
      </c>
      <c r="D17" s="56">
        <f>Data!J16</f>
        <v>16308714.269999996</v>
      </c>
      <c r="E17" s="56">
        <f>Data!K16</f>
        <v>228757.53349089678</v>
      </c>
      <c r="F17" s="56">
        <f>Data!L16</f>
        <v>16537471.803490892</v>
      </c>
      <c r="G17" s="253">
        <f>Data!AV16</f>
        <v>145</v>
      </c>
      <c r="H17" s="253">
        <f>Data!AU16</f>
        <v>23.799999999999997</v>
      </c>
      <c r="I17" s="32">
        <f>Data!BG16</f>
        <v>31</v>
      </c>
      <c r="J17" s="32">
        <f>Data!AC16</f>
        <v>272</v>
      </c>
      <c r="K17" s="78">
        <f>Data!BC16</f>
        <v>2893.8</v>
      </c>
      <c r="L17" s="254">
        <f>Data!BZ16</f>
        <v>0</v>
      </c>
      <c r="M17" s="32">
        <f t="shared" si="5"/>
        <v>16078807.953727253</v>
      </c>
      <c r="N17" s="32">
        <f t="shared" si="0"/>
        <v>15850050.420236357</v>
      </c>
      <c r="O17" s="51">
        <f t="shared" si="1"/>
        <v>-458663.84976363927</v>
      </c>
      <c r="P17" s="50">
        <f t="shared" si="2"/>
        <v>2.7734822783904611E-2</v>
      </c>
      <c r="W17" s="315"/>
      <c r="X17" s="315"/>
      <c r="Y17" s="315"/>
      <c r="Z17" s="315"/>
      <c r="AA17" s="315"/>
      <c r="AB17" s="315"/>
      <c r="AD17" s="74"/>
      <c r="AE17" s="69"/>
      <c r="AF17" s="39"/>
      <c r="AI17" s="209"/>
      <c r="AJ17" s="209"/>
      <c r="AL17" s="28"/>
      <c r="AM17" s="5"/>
      <c r="AN17" s="5"/>
      <c r="AP17" s="28"/>
    </row>
    <row r="18" spans="1:43" ht="12.75" customHeight="1" x14ac:dyDescent="0.2">
      <c r="A18" s="2">
        <v>41000</v>
      </c>
      <c r="B18">
        <f t="shared" si="3"/>
        <v>2012</v>
      </c>
      <c r="C18">
        <f t="shared" si="4"/>
        <v>4</v>
      </c>
      <c r="D18" s="56">
        <f>Data!J17</f>
        <v>14651507.389999997</v>
      </c>
      <c r="E18" s="56">
        <f>Data!K17</f>
        <v>228757.53349089678</v>
      </c>
      <c r="F18" s="56">
        <f>Data!L17</f>
        <v>14880264.923490893</v>
      </c>
      <c r="G18" s="253">
        <f>Data!AV17</f>
        <v>100.89999999999999</v>
      </c>
      <c r="H18" s="253">
        <f>Data!AU17</f>
        <v>11.199999999999998</v>
      </c>
      <c r="I18" s="32">
        <f>Data!BG17</f>
        <v>30</v>
      </c>
      <c r="J18" s="32">
        <f>Data!AC17</f>
        <v>272</v>
      </c>
      <c r="K18" s="78">
        <f>Data!BC17</f>
        <v>2898.4</v>
      </c>
      <c r="L18" s="254">
        <f>Data!BZ17</f>
        <v>0</v>
      </c>
      <c r="M18" s="32">
        <f t="shared" si="5"/>
        <v>15431827.569131844</v>
      </c>
      <c r="N18" s="32">
        <f t="shared" si="0"/>
        <v>15203070.035640948</v>
      </c>
      <c r="O18" s="51">
        <f t="shared" si="1"/>
        <v>551562.64564095065</v>
      </c>
      <c r="P18" s="50">
        <f t="shared" si="2"/>
        <v>3.706672216367736E-2</v>
      </c>
      <c r="Q18" s="149"/>
      <c r="R18" s="149" t="s">
        <v>135</v>
      </c>
      <c r="S18" s="149" t="s">
        <v>136</v>
      </c>
      <c r="T18" t="s">
        <v>137</v>
      </c>
      <c r="U18" t="s">
        <v>138</v>
      </c>
      <c r="V18" s="149"/>
      <c r="W18" s="149"/>
      <c r="X18" s="149" t="s">
        <v>135</v>
      </c>
      <c r="Y18" s="149" t="s">
        <v>136</v>
      </c>
      <c r="Z18" s="315" t="s">
        <v>137</v>
      </c>
      <c r="AA18" s="315" t="s">
        <v>138</v>
      </c>
      <c r="AB18" s="319"/>
      <c r="AC18" s="51"/>
      <c r="AD18" s="69"/>
      <c r="AE18" s="51"/>
      <c r="AF18" s="77"/>
      <c r="AG18" s="77"/>
      <c r="AI18" s="60"/>
      <c r="AJ18" s="71"/>
      <c r="AK18" s="71"/>
      <c r="AL18"/>
      <c r="AM18" s="5"/>
      <c r="AN18" s="5"/>
      <c r="AP18" s="28"/>
    </row>
    <row r="19" spans="1:43" ht="12.75" customHeight="1" x14ac:dyDescent="0.2">
      <c r="A19" s="2">
        <v>41030</v>
      </c>
      <c r="B19">
        <f t="shared" si="3"/>
        <v>2012</v>
      </c>
      <c r="C19">
        <f t="shared" ref="C19:C82" si="6">MONTH(A19)</f>
        <v>5</v>
      </c>
      <c r="D19" s="56">
        <f>Data!J18</f>
        <v>16853445.379999999</v>
      </c>
      <c r="E19" s="56">
        <f>Data!K18</f>
        <v>228757.53349089678</v>
      </c>
      <c r="F19" s="56">
        <f>Data!L18</f>
        <v>17082202.913490895</v>
      </c>
      <c r="G19" s="253">
        <f>Data!AV18</f>
        <v>0</v>
      </c>
      <c r="H19" s="253">
        <f>Data!AU18</f>
        <v>149.10000000000002</v>
      </c>
      <c r="I19" s="32">
        <f>Data!BG18</f>
        <v>31</v>
      </c>
      <c r="J19" s="32">
        <f>Data!AC18</f>
        <v>273</v>
      </c>
      <c r="K19" s="78">
        <f>Data!BC18</f>
        <v>2901.7</v>
      </c>
      <c r="L19" s="254">
        <f>Data!BZ18</f>
        <v>0</v>
      </c>
      <c r="M19" s="32">
        <f t="shared" si="5"/>
        <v>16212945.95804921</v>
      </c>
      <c r="N19" s="32">
        <f t="shared" si="0"/>
        <v>15984188.424558314</v>
      </c>
      <c r="O19" s="51">
        <f t="shared" si="1"/>
        <v>-869256.95544168539</v>
      </c>
      <c r="P19" s="50">
        <f t="shared" si="2"/>
        <v>5.0886701196786406E-2</v>
      </c>
      <c r="Q19" t="s">
        <v>139</v>
      </c>
      <c r="R19">
        <v>-14474194.8682798</v>
      </c>
      <c r="S19">
        <v>2078604.8918774701</v>
      </c>
      <c r="T19">
        <v>-6.9634180718232397</v>
      </c>
      <c r="U19" s="130">
        <v>1.67249840643603E-10</v>
      </c>
      <c r="W19" s="315" t="s">
        <v>139</v>
      </c>
      <c r="X19" s="315">
        <v>-14427970.062420901</v>
      </c>
      <c r="Y19" s="315">
        <v>2078230.73323364</v>
      </c>
      <c r="Z19" s="315">
        <v>-6.9424293615230601</v>
      </c>
      <c r="AA19" s="316">
        <v>1.8619369107404799E-10</v>
      </c>
      <c r="AB19" s="315"/>
      <c r="AD19" s="7"/>
      <c r="AE19" s="7"/>
      <c r="AF19" s="154"/>
      <c r="AG19" s="154"/>
    </row>
    <row r="20" spans="1:43" ht="12.75" customHeight="1" x14ac:dyDescent="0.2">
      <c r="A20" s="2">
        <v>41061</v>
      </c>
      <c r="B20">
        <f t="shared" si="3"/>
        <v>2012</v>
      </c>
      <c r="C20">
        <f t="shared" si="6"/>
        <v>6</v>
      </c>
      <c r="D20" s="56">
        <f>Data!J19</f>
        <v>16649642.679999992</v>
      </c>
      <c r="E20" s="56">
        <f>Data!K19</f>
        <v>228757.53349089678</v>
      </c>
      <c r="F20" s="56">
        <f>Data!L19</f>
        <v>16878400.213490888</v>
      </c>
      <c r="G20" s="253">
        <f>Data!AV19</f>
        <v>0</v>
      </c>
      <c r="H20" s="253">
        <f>Data!AU19</f>
        <v>258.40000000000003</v>
      </c>
      <c r="I20" s="32">
        <f>Data!BG19</f>
        <v>30</v>
      </c>
      <c r="J20" s="32">
        <f>Data!AC19</f>
        <v>271</v>
      </c>
      <c r="K20" s="78">
        <f>Data!BC19</f>
        <v>2910.2</v>
      </c>
      <c r="L20" s="254">
        <f>Data!BZ19</f>
        <v>0</v>
      </c>
      <c r="M20" s="32">
        <f t="shared" si="5"/>
        <v>16573460.398995472</v>
      </c>
      <c r="N20" s="32">
        <f t="shared" si="0"/>
        <v>16344702.865504576</v>
      </c>
      <c r="O20" s="51">
        <f t="shared" si="1"/>
        <v>-304939.81449541636</v>
      </c>
      <c r="P20" s="50">
        <f t="shared" si="2"/>
        <v>1.8066867157924025E-2</v>
      </c>
      <c r="Q20" t="s">
        <v>119</v>
      </c>
      <c r="R20">
        <v>5200.7391147138896</v>
      </c>
      <c r="S20">
        <v>434.193311517474</v>
      </c>
      <c r="T20">
        <v>11.977934658960301</v>
      </c>
      <c r="U20" s="130">
        <v>1.72405100138434E-22</v>
      </c>
      <c r="W20" s="315" t="s">
        <v>119</v>
      </c>
      <c r="X20" s="315">
        <v>5198.3710475190701</v>
      </c>
      <c r="Y20" s="315">
        <v>434.14298705333601</v>
      </c>
      <c r="Z20" s="315">
        <v>11.9738685238291</v>
      </c>
      <c r="AA20" s="316">
        <v>1.76386451048639E-22</v>
      </c>
      <c r="AB20" s="315"/>
      <c r="AD20" s="7"/>
      <c r="AE20" s="7"/>
      <c r="AF20" s="7"/>
    </row>
    <row r="21" spans="1:43" ht="12.75" customHeight="1" x14ac:dyDescent="0.2">
      <c r="A21" s="2">
        <v>41091</v>
      </c>
      <c r="B21">
        <f t="shared" si="3"/>
        <v>2012</v>
      </c>
      <c r="C21">
        <f t="shared" si="6"/>
        <v>7</v>
      </c>
      <c r="D21" s="56">
        <f>Data!J20</f>
        <v>16931323.719999995</v>
      </c>
      <c r="E21" s="56">
        <f>Data!K20</f>
        <v>228757.53349089678</v>
      </c>
      <c r="F21" s="56">
        <f>Data!L20</f>
        <v>17160081.253490891</v>
      </c>
      <c r="G21" s="253">
        <f>Data!AV20</f>
        <v>0</v>
      </c>
      <c r="H21" s="253">
        <f>Data!AU20</f>
        <v>381.40000000000003</v>
      </c>
      <c r="I21" s="32">
        <f>Data!BG20</f>
        <v>31</v>
      </c>
      <c r="J21" s="32">
        <f>Data!AC20</f>
        <v>271</v>
      </c>
      <c r="K21" s="78">
        <f>Data!BC20</f>
        <v>2925.1</v>
      </c>
      <c r="L21" s="254">
        <f>Data!BZ20</f>
        <v>0</v>
      </c>
      <c r="M21" s="32">
        <f t="shared" si="5"/>
        <v>17806201.466628358</v>
      </c>
      <c r="N21" s="32">
        <f t="shared" si="0"/>
        <v>17577443.933137462</v>
      </c>
      <c r="O21" s="51">
        <f t="shared" si="1"/>
        <v>646120.21313746646</v>
      </c>
      <c r="P21" s="50">
        <f t="shared" si="2"/>
        <v>3.7652514786666619E-2</v>
      </c>
      <c r="Q21" t="s">
        <v>118</v>
      </c>
      <c r="R21">
        <v>6633.6148854459898</v>
      </c>
      <c r="S21">
        <v>599.36713273100497</v>
      </c>
      <c r="T21">
        <v>11.0676987829147</v>
      </c>
      <c r="U21" s="130">
        <v>2.8907235527025002E-20</v>
      </c>
      <c r="W21" s="315" t="s">
        <v>118</v>
      </c>
      <c r="X21" s="315">
        <v>6628.1046954197</v>
      </c>
      <c r="Y21" s="315">
        <v>599.29134898888196</v>
      </c>
      <c r="Z21" s="315">
        <v>11.059903845771499</v>
      </c>
      <c r="AA21" s="316">
        <v>3.0205064667750797E-20</v>
      </c>
      <c r="AB21" s="315"/>
      <c r="AD21" s="7"/>
      <c r="AE21" s="7"/>
      <c r="AF21" s="7"/>
    </row>
    <row r="22" spans="1:43" ht="12.75" customHeight="1" x14ac:dyDescent="0.2">
      <c r="A22" s="2">
        <v>41122</v>
      </c>
      <c r="B22">
        <f t="shared" si="3"/>
        <v>2012</v>
      </c>
      <c r="C22">
        <f t="shared" si="6"/>
        <v>8</v>
      </c>
      <c r="D22" s="56">
        <f>Data!J21</f>
        <v>16567283.779999997</v>
      </c>
      <c r="E22" s="56">
        <f>Data!K21</f>
        <v>228757.53349089678</v>
      </c>
      <c r="F22" s="56">
        <f>Data!L21</f>
        <v>16796041.313490894</v>
      </c>
      <c r="G22" s="253">
        <f>Data!AV21</f>
        <v>0</v>
      </c>
      <c r="H22" s="253">
        <f>Data!AU21</f>
        <v>296.10000000000002</v>
      </c>
      <c r="I22" s="32">
        <f>Data!BG21</f>
        <v>31</v>
      </c>
      <c r="J22" s="32">
        <f>Data!AC21</f>
        <v>270</v>
      </c>
      <c r="K22" s="78">
        <f>Data!BC21</f>
        <v>2942.6</v>
      </c>
      <c r="L22" s="254">
        <f>Data!BZ21</f>
        <v>0</v>
      </c>
      <c r="M22" s="32">
        <f t="shared" si="5"/>
        <v>17291103.949882273</v>
      </c>
      <c r="N22" s="32">
        <f t="shared" si="0"/>
        <v>17062346.416391376</v>
      </c>
      <c r="O22" s="51">
        <f t="shared" si="1"/>
        <v>495062.63639137894</v>
      </c>
      <c r="P22" s="50">
        <f t="shared" si="2"/>
        <v>2.9474959435455507E-2</v>
      </c>
      <c r="Q22" t="s">
        <v>34</v>
      </c>
      <c r="R22">
        <v>353567.63158546499</v>
      </c>
      <c r="S22">
        <v>50277.7506793129</v>
      </c>
      <c r="T22">
        <v>7.03228817535273</v>
      </c>
      <c r="U22" s="130">
        <v>1.17506897382249E-10</v>
      </c>
      <c r="W22" s="315" t="s">
        <v>34</v>
      </c>
      <c r="X22" s="315">
        <v>353725.04918807402</v>
      </c>
      <c r="Y22" s="315">
        <v>50247.526029926601</v>
      </c>
      <c r="Z22" s="315">
        <v>7.0396510462505297</v>
      </c>
      <c r="AA22" s="316">
        <v>1.13145767634352E-10</v>
      </c>
      <c r="AB22" s="315"/>
      <c r="AD22" s="7"/>
      <c r="AE22" s="7"/>
      <c r="AF22" s="7"/>
    </row>
    <row r="23" spans="1:43" ht="12.75" customHeight="1" x14ac:dyDescent="0.2">
      <c r="A23" s="2">
        <v>41153</v>
      </c>
      <c r="B23">
        <f t="shared" si="3"/>
        <v>2012</v>
      </c>
      <c r="C23">
        <f t="shared" si="6"/>
        <v>9</v>
      </c>
      <c r="D23" s="56">
        <f>Data!J22</f>
        <v>15411421.599999998</v>
      </c>
      <c r="E23" s="56">
        <f>Data!K22</f>
        <v>228757.53349089678</v>
      </c>
      <c r="F23" s="56">
        <f>Data!L22</f>
        <v>15640179.133490894</v>
      </c>
      <c r="G23" s="253">
        <f>Data!AV22</f>
        <v>0.5</v>
      </c>
      <c r="H23" s="253">
        <f>Data!AU22</f>
        <v>136.99999999999997</v>
      </c>
      <c r="I23" s="32">
        <f>Data!BG22</f>
        <v>30</v>
      </c>
      <c r="J23" s="32">
        <f>Data!AC22</f>
        <v>271</v>
      </c>
      <c r="K23" s="78">
        <f>Data!BC22</f>
        <v>2963.5</v>
      </c>
      <c r="L23" s="254">
        <f>Data!BZ22</f>
        <v>0</v>
      </c>
      <c r="M23" s="32">
        <f t="shared" si="5"/>
        <v>15996956.586817546</v>
      </c>
      <c r="N23" s="32">
        <f t="shared" si="0"/>
        <v>15768199.05332665</v>
      </c>
      <c r="O23" s="51">
        <f t="shared" si="1"/>
        <v>356777.45332665183</v>
      </c>
      <c r="P23" s="50">
        <f t="shared" si="2"/>
        <v>2.2811596355867245E-2</v>
      </c>
      <c r="Q23" t="s">
        <v>28</v>
      </c>
      <c r="R23">
        <v>23523.931440851</v>
      </c>
      <c r="S23">
        <v>4033.72692466015</v>
      </c>
      <c r="T23">
        <v>5.8318106010195399</v>
      </c>
      <c r="U23" s="130">
        <v>4.4014074002702601E-8</v>
      </c>
      <c r="W23" s="315" t="s">
        <v>28</v>
      </c>
      <c r="X23" s="315">
        <v>23627.618854366599</v>
      </c>
      <c r="Y23" s="315">
        <v>4034.7275532337499</v>
      </c>
      <c r="Z23" s="315">
        <v>5.8560630284514597</v>
      </c>
      <c r="AA23" s="316">
        <v>3.9257575445651397E-8</v>
      </c>
      <c r="AB23" s="315"/>
      <c r="AD23" s="7"/>
      <c r="AE23" s="7"/>
      <c r="AF23" s="7"/>
    </row>
    <row r="24" spans="1:43" ht="12.75" customHeight="1" x14ac:dyDescent="0.2">
      <c r="A24" s="2">
        <v>41183</v>
      </c>
      <c r="B24">
        <f t="shared" si="3"/>
        <v>2012</v>
      </c>
      <c r="C24">
        <f t="shared" si="6"/>
        <v>10</v>
      </c>
      <c r="D24" s="56">
        <f>Data!J23</f>
        <v>15760124.100000001</v>
      </c>
      <c r="E24" s="56">
        <f>Data!K23</f>
        <v>228757.53349089678</v>
      </c>
      <c r="F24" s="56">
        <f>Data!L23</f>
        <v>15988881.633490898</v>
      </c>
      <c r="G24" s="253">
        <f>Data!AV23</f>
        <v>48.9</v>
      </c>
      <c r="H24" s="253">
        <f>Data!AU23</f>
        <v>28.9</v>
      </c>
      <c r="I24" s="32">
        <f>Data!BG23</f>
        <v>31</v>
      </c>
      <c r="J24" s="32">
        <f>Data!AC23</f>
        <v>271</v>
      </c>
      <c r="K24" s="78">
        <f>Data!BC23</f>
        <v>2982.9</v>
      </c>
      <c r="L24" s="254">
        <f>Data!BZ23</f>
        <v>0</v>
      </c>
      <c r="M24" s="32">
        <f t="shared" si="5"/>
        <v>15967483.995570581</v>
      </c>
      <c r="N24" s="32">
        <f t="shared" si="0"/>
        <v>15738726.462079685</v>
      </c>
      <c r="O24" s="51">
        <f t="shared" si="1"/>
        <v>-21397.637920316309</v>
      </c>
      <c r="P24" s="50">
        <f t="shared" si="2"/>
        <v>1.3382823396163013E-3</v>
      </c>
      <c r="Q24" t="s">
        <v>93</v>
      </c>
      <c r="R24">
        <v>4244.2151099036</v>
      </c>
      <c r="S24">
        <v>693.35302502889999</v>
      </c>
      <c r="T24">
        <v>6.1212902470955397</v>
      </c>
      <c r="U24" s="130">
        <v>1.10644213288418E-8</v>
      </c>
      <c r="W24" s="315" t="s">
        <v>93</v>
      </c>
      <c r="X24" s="315">
        <v>4218.14905411371</v>
      </c>
      <c r="Y24" s="315">
        <v>693.51412660321</v>
      </c>
      <c r="Z24" s="315">
        <v>6.0822828148778303</v>
      </c>
      <c r="AA24" s="316">
        <v>1.33531235942946E-8</v>
      </c>
      <c r="AB24" s="315"/>
      <c r="AD24" s="7"/>
      <c r="AE24" s="7"/>
      <c r="AF24" s="7"/>
    </row>
    <row r="25" spans="1:43" ht="12.75" customHeight="1" x14ac:dyDescent="0.2">
      <c r="A25" s="2">
        <v>41214</v>
      </c>
      <c r="B25">
        <f t="shared" si="3"/>
        <v>2012</v>
      </c>
      <c r="C25">
        <f t="shared" si="6"/>
        <v>11</v>
      </c>
      <c r="D25" s="56">
        <f>Data!J24</f>
        <v>16203457.51</v>
      </c>
      <c r="E25" s="56">
        <f>Data!K24</f>
        <v>228757.53349089678</v>
      </c>
      <c r="F25" s="56">
        <f>Data!L24</f>
        <v>16432215.043490896</v>
      </c>
      <c r="G25" s="253">
        <f>Data!AV24</f>
        <v>197.7</v>
      </c>
      <c r="H25" s="253">
        <f>Data!AU24</f>
        <v>0.5</v>
      </c>
      <c r="I25" s="32">
        <f>Data!BG24</f>
        <v>30</v>
      </c>
      <c r="J25" s="32">
        <f>Data!AC24</f>
        <v>271</v>
      </c>
      <c r="K25" s="78">
        <f>Data!BC24</f>
        <v>3000.2</v>
      </c>
      <c r="L25" s="254">
        <f>Data!BZ24</f>
        <v>0</v>
      </c>
      <c r="M25" s="32">
        <f t="shared" si="5"/>
        <v>16272816.602909211</v>
      </c>
      <c r="N25" s="32">
        <f t="shared" si="0"/>
        <v>16044059.069418315</v>
      </c>
      <c r="O25" s="51">
        <f t="shared" si="1"/>
        <v>-159398.44058168493</v>
      </c>
      <c r="P25" s="50">
        <f t="shared" si="2"/>
        <v>9.7003623771845411E-3</v>
      </c>
      <c r="Q25" t="s">
        <v>53</v>
      </c>
      <c r="R25">
        <v>-1328322.3805786399</v>
      </c>
      <c r="S25">
        <v>376648.00676745799</v>
      </c>
      <c r="T25">
        <v>-3.5266943053245599</v>
      </c>
      <c r="U25">
        <v>5.8911863998046404E-4</v>
      </c>
      <c r="W25" s="315" t="s">
        <v>53</v>
      </c>
      <c r="X25" s="315">
        <v>-1350053.7855573399</v>
      </c>
      <c r="Y25" s="315">
        <v>376733.55192871002</v>
      </c>
      <c r="Z25" s="315">
        <v>-3.5835772488159301</v>
      </c>
      <c r="AA25" s="315">
        <v>4.8410458991495701E-4</v>
      </c>
      <c r="AB25" s="319"/>
      <c r="AC25" s="51"/>
      <c r="AD25" s="69"/>
      <c r="AE25" s="73"/>
      <c r="AF25" s="2"/>
      <c r="AG25" s="39"/>
      <c r="AJ25" s="2"/>
      <c r="AK25" s="74"/>
      <c r="AL25" s="74"/>
      <c r="AM25" s="74"/>
      <c r="AN25" s="2"/>
      <c r="AO25" s="74"/>
      <c r="AP25" s="74"/>
      <c r="AQ25" s="5"/>
    </row>
    <row r="26" spans="1:43" ht="12.75" customHeight="1" x14ac:dyDescent="0.2">
      <c r="A26" s="2">
        <v>41244</v>
      </c>
      <c r="B26">
        <f t="shared" si="3"/>
        <v>2012</v>
      </c>
      <c r="C26">
        <f t="shared" si="6"/>
        <v>12</v>
      </c>
      <c r="D26" s="56">
        <f>Data!J25</f>
        <v>16462599.949999996</v>
      </c>
      <c r="E26" s="56">
        <f>Data!K25</f>
        <v>228757.53349089678</v>
      </c>
      <c r="F26" s="56">
        <f>Data!L25</f>
        <v>16691357.483490892</v>
      </c>
      <c r="G26" s="253">
        <f>Data!AV25</f>
        <v>286.00000000000006</v>
      </c>
      <c r="H26" s="253">
        <f>Data!AU25</f>
        <v>0</v>
      </c>
      <c r="I26" s="32">
        <f>Data!BG25</f>
        <v>31</v>
      </c>
      <c r="J26" s="32">
        <f>Data!AC25</f>
        <v>271</v>
      </c>
      <c r="K26" s="78">
        <f>Data!BC25</f>
        <v>3005.9</v>
      </c>
      <c r="L26" s="254">
        <f>Data!BZ25</f>
        <v>0</v>
      </c>
      <c r="M26" s="32">
        <f t="shared" si="5"/>
        <v>17106484.717007637</v>
      </c>
      <c r="N26" s="32">
        <f t="shared" si="0"/>
        <v>16877727.183516741</v>
      </c>
      <c r="O26" s="51">
        <f t="shared" si="1"/>
        <v>415127.23351674527</v>
      </c>
      <c r="P26" s="50">
        <f t="shared" si="2"/>
        <v>2.4870789204972682E-2</v>
      </c>
      <c r="U26" s="2"/>
      <c r="W26" s="315"/>
      <c r="X26" s="315"/>
      <c r="Y26" s="315"/>
      <c r="Z26" s="315"/>
      <c r="AA26" s="318"/>
      <c r="AB26" s="319"/>
      <c r="AC26" s="51"/>
      <c r="AD26" s="69"/>
      <c r="AE26" s="73"/>
      <c r="AF26" s="2"/>
      <c r="AG26" s="39"/>
      <c r="AJ26" s="2"/>
      <c r="AK26" s="74"/>
      <c r="AL26" s="74"/>
      <c r="AM26" s="74"/>
      <c r="AN26" s="2"/>
      <c r="AO26" s="74"/>
      <c r="AP26" s="74"/>
      <c r="AQ26" s="5"/>
    </row>
    <row r="27" spans="1:43" ht="12.75" customHeight="1" x14ac:dyDescent="0.2">
      <c r="A27" s="2">
        <v>41275</v>
      </c>
      <c r="B27">
        <f t="shared" si="3"/>
        <v>2013</v>
      </c>
      <c r="C27">
        <f t="shared" si="6"/>
        <v>1</v>
      </c>
      <c r="D27" s="56">
        <f>Data!J26</f>
        <v>16989455.739999998</v>
      </c>
      <c r="E27" s="56">
        <f>Data!K26</f>
        <v>344677.17204248341</v>
      </c>
      <c r="F27" s="56">
        <f>Data!L26</f>
        <v>17334132.91204248</v>
      </c>
      <c r="G27" s="253">
        <f>Data!AV26</f>
        <v>376.50000000000006</v>
      </c>
      <c r="H27" s="253">
        <f>Data!AU26</f>
        <v>0</v>
      </c>
      <c r="I27" s="32">
        <f>Data!BG26</f>
        <v>31</v>
      </c>
      <c r="J27" s="32">
        <f>Data!AC26</f>
        <v>271</v>
      </c>
      <c r="K27" s="78">
        <f>Data!BC26</f>
        <v>3014.1</v>
      </c>
      <c r="L27" s="254">
        <f>Data!BZ26</f>
        <v>0</v>
      </c>
      <c r="M27" s="32">
        <f t="shared" si="5"/>
        <v>17611954.170790456</v>
      </c>
      <c r="N27" s="32">
        <f t="shared" si="0"/>
        <v>17267276.998747975</v>
      </c>
      <c r="O27" s="51">
        <f t="shared" si="1"/>
        <v>277821.25874797627</v>
      </c>
      <c r="P27" s="50">
        <f t="shared" si="2"/>
        <v>1.6027410206077657E-2</v>
      </c>
      <c r="Q27" t="s">
        <v>140</v>
      </c>
      <c r="U27" s="2"/>
      <c r="W27" s="315" t="s">
        <v>140</v>
      </c>
      <c r="X27" s="315"/>
      <c r="Y27" s="315"/>
      <c r="Z27" s="315"/>
      <c r="AA27" s="318"/>
      <c r="AB27" s="319"/>
      <c r="AC27" s="51"/>
      <c r="AD27" s="213"/>
      <c r="AE27" s="73"/>
      <c r="AF27" s="2"/>
      <c r="AG27" s="39"/>
      <c r="AJ27" s="2"/>
      <c r="AK27" s="74"/>
      <c r="AM27" s="5"/>
      <c r="AN27" s="2"/>
      <c r="AO27" s="74"/>
      <c r="AP27" s="5"/>
      <c r="AQ27" s="5"/>
    </row>
    <row r="28" spans="1:43" x14ac:dyDescent="0.2">
      <c r="A28" s="2">
        <v>41306</v>
      </c>
      <c r="B28">
        <f t="shared" si="3"/>
        <v>2013</v>
      </c>
      <c r="C28">
        <f t="shared" si="6"/>
        <v>2</v>
      </c>
      <c r="D28" s="56">
        <f>Data!J27</f>
        <v>16279005.990000002</v>
      </c>
      <c r="E28" s="56">
        <f>Data!K27</f>
        <v>344677.17204248341</v>
      </c>
      <c r="F28" s="56">
        <f>Data!L27</f>
        <v>16623683.162042486</v>
      </c>
      <c r="G28" s="253">
        <f>Data!AV27</f>
        <v>407.49999999999989</v>
      </c>
      <c r="H28" s="253">
        <f>Data!AU27</f>
        <v>0</v>
      </c>
      <c r="I28" s="32">
        <f>Data!BG27</f>
        <v>28</v>
      </c>
      <c r="J28" s="32">
        <f>Data!AC27</f>
        <v>271</v>
      </c>
      <c r="K28" s="78">
        <f>Data!BC27</f>
        <v>3018.3</v>
      </c>
      <c r="L28" s="254">
        <f>Data!BZ27</f>
        <v>0</v>
      </c>
      <c r="M28" s="32">
        <f t="shared" si="5"/>
        <v>16730299.892051788</v>
      </c>
      <c r="N28" s="32">
        <f t="shared" si="0"/>
        <v>16385622.720009305</v>
      </c>
      <c r="O28" s="51">
        <f t="shared" si="1"/>
        <v>106616.7300093025</v>
      </c>
      <c r="P28" s="50">
        <f t="shared" si="2"/>
        <v>6.4135443974741232E-3</v>
      </c>
      <c r="Q28" t="s">
        <v>141</v>
      </c>
      <c r="R28">
        <v>18188635.5690208</v>
      </c>
      <c r="S28" t="s">
        <v>142</v>
      </c>
      <c r="T28">
        <v>1567522.4440833901</v>
      </c>
      <c r="U28" s="2"/>
      <c r="W28" s="315" t="s">
        <v>141</v>
      </c>
      <c r="X28" s="315">
        <v>18186427.466997601</v>
      </c>
      <c r="Y28" s="315" t="s">
        <v>142</v>
      </c>
      <c r="Z28" s="315">
        <v>1565701.4226951101</v>
      </c>
      <c r="AA28" s="318"/>
      <c r="AB28" s="319"/>
      <c r="AC28" s="51"/>
      <c r="AD28" s="69"/>
      <c r="AE28" s="73"/>
      <c r="AF28" s="2"/>
      <c r="AG28" s="39"/>
      <c r="AJ28" s="2"/>
      <c r="AK28" s="74"/>
      <c r="AM28" s="5"/>
      <c r="AN28" s="2"/>
      <c r="AO28" s="74"/>
      <c r="AP28" s="5"/>
      <c r="AQ28" s="5"/>
    </row>
    <row r="29" spans="1:43" x14ac:dyDescent="0.2">
      <c r="A29" s="2">
        <v>41334</v>
      </c>
      <c r="B29">
        <f t="shared" si="3"/>
        <v>2013</v>
      </c>
      <c r="C29">
        <f t="shared" si="6"/>
        <v>3</v>
      </c>
      <c r="D29" s="56">
        <f>Data!J28</f>
        <v>17118643.850000001</v>
      </c>
      <c r="E29" s="56">
        <f>Data!K28</f>
        <v>344677.17204248341</v>
      </c>
      <c r="F29" s="56">
        <f>Data!L28</f>
        <v>17463321.022042483</v>
      </c>
      <c r="G29" s="253">
        <f>Data!AV28</f>
        <v>306.8</v>
      </c>
      <c r="H29" s="253">
        <f>Data!AU28</f>
        <v>0</v>
      </c>
      <c r="I29" s="32">
        <f>Data!BG28</f>
        <v>31</v>
      </c>
      <c r="J29" s="32">
        <f>Data!AC28</f>
        <v>272</v>
      </c>
      <c r="K29" s="78">
        <f>Data!BC28</f>
        <v>3023.1</v>
      </c>
      <c r="L29" s="254">
        <f>Data!BZ28</f>
        <v>0</v>
      </c>
      <c r="M29" s="32">
        <f t="shared" si="5"/>
        <v>17311184.521924879</v>
      </c>
      <c r="N29" s="32">
        <f t="shared" si="0"/>
        <v>16966507.349882398</v>
      </c>
      <c r="O29" s="51">
        <f t="shared" si="1"/>
        <v>-152136.50011760369</v>
      </c>
      <c r="P29" s="50">
        <f t="shared" si="2"/>
        <v>8.7117736612397252E-3</v>
      </c>
      <c r="Q29" t="s">
        <v>143</v>
      </c>
      <c r="R29">
        <v>36507745826032</v>
      </c>
      <c r="S29" t="s">
        <v>144</v>
      </c>
      <c r="T29">
        <v>540427.57757932402</v>
      </c>
      <c r="U29" s="2"/>
      <c r="W29" s="315" t="s">
        <v>143</v>
      </c>
      <c r="X29" s="315">
        <v>36486058102412</v>
      </c>
      <c r="Y29" s="315" t="s">
        <v>144</v>
      </c>
      <c r="Z29" s="315">
        <v>540267.03103122604</v>
      </c>
      <c r="AA29" s="318"/>
      <c r="AB29" s="319"/>
      <c r="AC29" s="51"/>
      <c r="AD29" s="69"/>
      <c r="AE29" s="73"/>
      <c r="AF29" s="2"/>
      <c r="AG29" s="39"/>
      <c r="AJ29" s="2"/>
      <c r="AK29" s="74"/>
      <c r="AM29" s="5"/>
      <c r="AN29" s="2"/>
      <c r="AO29" s="74"/>
      <c r="AP29" s="5"/>
      <c r="AQ29" s="5"/>
    </row>
    <row r="30" spans="1:43" x14ac:dyDescent="0.2">
      <c r="A30" s="2">
        <v>41365</v>
      </c>
      <c r="B30">
        <f t="shared" si="3"/>
        <v>2013</v>
      </c>
      <c r="C30">
        <f t="shared" si="6"/>
        <v>4</v>
      </c>
      <c r="D30" s="56">
        <f>Data!J29</f>
        <v>16317712.539999994</v>
      </c>
      <c r="E30" s="56">
        <f>Data!K29</f>
        <v>344677.17204248341</v>
      </c>
      <c r="F30" s="56">
        <f>Data!L29</f>
        <v>16662389.712042477</v>
      </c>
      <c r="G30" s="253">
        <f>Data!AV29</f>
        <v>135.19999999999999</v>
      </c>
      <c r="H30" s="253">
        <f>Data!AU29</f>
        <v>5.6000000000000014</v>
      </c>
      <c r="I30" s="32">
        <f>Data!BG29</f>
        <v>30</v>
      </c>
      <c r="J30" s="32">
        <f>Data!AC29</f>
        <v>273</v>
      </c>
      <c r="K30" s="78">
        <f>Data!BC29</f>
        <v>3031.4</v>
      </c>
      <c r="L30" s="254">
        <f>Data!BZ29</f>
        <v>0</v>
      </c>
      <c r="M30" s="32">
        <f t="shared" si="5"/>
        <v>16161069.218466062</v>
      </c>
      <c r="N30" s="32">
        <f t="shared" si="0"/>
        <v>15816392.046423579</v>
      </c>
      <c r="O30" s="51">
        <f t="shared" si="1"/>
        <v>-501320.49357641488</v>
      </c>
      <c r="P30" s="50">
        <f t="shared" si="2"/>
        <v>3.0086950445895135E-2</v>
      </c>
      <c r="Q30" t="s">
        <v>145</v>
      </c>
      <c r="R30">
        <v>0.88661466501236597</v>
      </c>
      <c r="S30" t="s">
        <v>146</v>
      </c>
      <c r="T30">
        <v>0.88117216893296002</v>
      </c>
      <c r="U30" s="2"/>
      <c r="W30" s="315" t="s">
        <v>145</v>
      </c>
      <c r="X30" s="315">
        <v>0.88641900885854397</v>
      </c>
      <c r="Y30" s="315" t="s">
        <v>146</v>
      </c>
      <c r="Z30" s="315">
        <v>0.88096712128375398</v>
      </c>
      <c r="AA30" s="318"/>
      <c r="AB30" s="319"/>
      <c r="AC30" s="51"/>
      <c r="AD30" s="213"/>
      <c r="AE30" s="73"/>
      <c r="AF30" s="2"/>
      <c r="AG30" s="39"/>
      <c r="AJ30" s="2"/>
      <c r="AK30" s="74"/>
      <c r="AM30" s="5"/>
      <c r="AN30" s="2"/>
      <c r="AO30" s="74"/>
      <c r="AP30" s="5"/>
      <c r="AQ30" s="5"/>
    </row>
    <row r="31" spans="1:43" x14ac:dyDescent="0.2">
      <c r="A31" s="2">
        <v>41395</v>
      </c>
      <c r="B31">
        <f t="shared" si="3"/>
        <v>2013</v>
      </c>
      <c r="C31">
        <f t="shared" si="6"/>
        <v>5</v>
      </c>
      <c r="D31" s="56">
        <f>Data!J30</f>
        <v>16555856.940000001</v>
      </c>
      <c r="E31" s="56">
        <f>Data!K30</f>
        <v>344677.17204248341</v>
      </c>
      <c r="F31" s="56">
        <f>Data!L30</f>
        <v>16900534.112042483</v>
      </c>
      <c r="G31" s="253">
        <f>Data!AV30</f>
        <v>14.4</v>
      </c>
      <c r="H31" s="253">
        <f>Data!AU30</f>
        <v>126.3</v>
      </c>
      <c r="I31" s="32">
        <f>Data!BG30</f>
        <v>31</v>
      </c>
      <c r="J31" s="32">
        <f>Data!AC30</f>
        <v>272</v>
      </c>
      <c r="K31" s="78">
        <f>Data!BC30</f>
        <v>3045.2</v>
      </c>
      <c r="L31" s="254">
        <f>Data!BZ30</f>
        <v>0</v>
      </c>
      <c r="M31" s="32">
        <f t="shared" si="5"/>
        <v>16722111.118743237</v>
      </c>
      <c r="N31" s="32">
        <f t="shared" si="0"/>
        <v>16377433.946700754</v>
      </c>
      <c r="O31" s="51">
        <f t="shared" si="1"/>
        <v>-178422.99329924583</v>
      </c>
      <c r="P31" s="50">
        <f t="shared" si="2"/>
        <v>1.0557239914217293E-2</v>
      </c>
      <c r="Q31" t="s">
        <v>295</v>
      </c>
      <c r="R31">
        <v>102.16878334668201</v>
      </c>
      <c r="S31" t="s">
        <v>148</v>
      </c>
      <c r="T31" s="130">
        <v>9.0321235182805594E-46</v>
      </c>
      <c r="U31" s="2"/>
      <c r="W31" s="315" t="s">
        <v>295</v>
      </c>
      <c r="X31" s="315">
        <v>101.957869584908</v>
      </c>
      <c r="Y31" s="315" t="s">
        <v>148</v>
      </c>
      <c r="Z31" s="316">
        <v>1.00478826861715E-45</v>
      </c>
      <c r="AA31" s="318"/>
      <c r="AB31" s="319"/>
      <c r="AC31" s="51"/>
      <c r="AD31" s="69"/>
      <c r="AE31" s="73"/>
      <c r="AF31" s="2"/>
      <c r="AG31" s="39"/>
      <c r="AJ31" s="2"/>
      <c r="AK31" s="74"/>
      <c r="AM31" s="5"/>
      <c r="AN31" s="2"/>
      <c r="AO31" s="74"/>
      <c r="AP31" s="5"/>
      <c r="AQ31" s="5"/>
    </row>
    <row r="32" spans="1:43" x14ac:dyDescent="0.2">
      <c r="A32" s="2">
        <v>41426</v>
      </c>
      <c r="B32">
        <f t="shared" si="3"/>
        <v>2013</v>
      </c>
      <c r="C32">
        <f t="shared" si="6"/>
        <v>6</v>
      </c>
      <c r="D32" s="56">
        <f>Data!J31</f>
        <v>16748419.359999999</v>
      </c>
      <c r="E32" s="56">
        <f>Data!K31</f>
        <v>344677.17204248341</v>
      </c>
      <c r="F32" s="56">
        <f>Data!L31</f>
        <v>17093096.532042481</v>
      </c>
      <c r="G32" s="253">
        <f>Data!AV31</f>
        <v>0</v>
      </c>
      <c r="H32" s="253">
        <f>Data!AU31</f>
        <v>207.00000000000006</v>
      </c>
      <c r="I32" s="32">
        <f>Data!BG31</f>
        <v>30</v>
      </c>
      <c r="J32" s="32">
        <f>Data!AC31</f>
        <v>273</v>
      </c>
      <c r="K32" s="78">
        <f>Data!BC31</f>
        <v>3060.2</v>
      </c>
      <c r="L32" s="254">
        <f>Data!BZ31</f>
        <v>0</v>
      </c>
      <c r="M32" s="32">
        <f t="shared" si="5"/>
        <v>16916172.723250791</v>
      </c>
      <c r="N32" s="32">
        <f t="shared" si="0"/>
        <v>16571495.551208308</v>
      </c>
      <c r="O32" s="51">
        <f t="shared" si="1"/>
        <v>-176923.80879168957</v>
      </c>
      <c r="P32" s="50">
        <f t="shared" si="2"/>
        <v>1.0350600223899201E-2</v>
      </c>
      <c r="Q32" t="s">
        <v>149</v>
      </c>
      <c r="R32">
        <v>-4.2309236454738497E-2</v>
      </c>
      <c r="S32" t="s">
        <v>150</v>
      </c>
      <c r="T32">
        <v>2.05963127469736</v>
      </c>
      <c r="U32" s="2"/>
      <c r="W32" s="315" t="s">
        <v>149</v>
      </c>
      <c r="X32" s="315">
        <v>-4.2801898643213598E-2</v>
      </c>
      <c r="Y32" s="315" t="s">
        <v>150</v>
      </c>
      <c r="Z32" s="315">
        <v>2.0605650495104402</v>
      </c>
      <c r="AA32" s="318"/>
      <c r="AB32" s="319"/>
      <c r="AC32" s="51"/>
      <c r="AD32" s="69"/>
      <c r="AE32" s="73"/>
      <c r="AF32" s="2"/>
      <c r="AG32" s="39"/>
      <c r="AJ32" s="2"/>
      <c r="AK32" s="74"/>
      <c r="AM32" s="5"/>
      <c r="AN32" s="2"/>
      <c r="AO32" s="74"/>
      <c r="AP32" s="5"/>
      <c r="AQ32" s="5"/>
    </row>
    <row r="33" spans="1:47" x14ac:dyDescent="0.2">
      <c r="A33" s="2">
        <v>41456</v>
      </c>
      <c r="B33">
        <f t="shared" si="3"/>
        <v>2013</v>
      </c>
      <c r="C33">
        <f t="shared" si="6"/>
        <v>7</v>
      </c>
      <c r="D33" s="56">
        <f>Data!J32</f>
        <v>17797829.260000005</v>
      </c>
      <c r="E33" s="56">
        <f>Data!K32</f>
        <v>344677.17204248341</v>
      </c>
      <c r="F33" s="56">
        <f>Data!L32</f>
        <v>18142506.432042487</v>
      </c>
      <c r="G33" s="253">
        <f>Data!AV32</f>
        <v>0</v>
      </c>
      <c r="H33" s="253">
        <f>Data!AU32</f>
        <v>319.3</v>
      </c>
      <c r="I33" s="32">
        <f>Data!BG32</f>
        <v>31</v>
      </c>
      <c r="J33" s="32">
        <f>Data!AC32</f>
        <v>271</v>
      </c>
      <c r="K33" s="78">
        <f>Data!BC32</f>
        <v>3066.1</v>
      </c>
      <c r="L33" s="254">
        <f>Data!BZ32</f>
        <v>0</v>
      </c>
      <c r="M33" s="32">
        <f t="shared" si="5"/>
        <v>17992688.312738568</v>
      </c>
      <c r="N33" s="32">
        <f t="shared" si="0"/>
        <v>17648011.140696086</v>
      </c>
      <c r="O33" s="51">
        <f t="shared" si="1"/>
        <v>-149818.11930391937</v>
      </c>
      <c r="P33" s="50">
        <f t="shared" si="2"/>
        <v>8.257851243713343E-3</v>
      </c>
      <c r="U33" s="2"/>
      <c r="AA33" s="2"/>
      <c r="AB33" s="51"/>
      <c r="AC33" s="51"/>
      <c r="AD33" s="213"/>
      <c r="AE33" s="73"/>
      <c r="AF33" s="2"/>
      <c r="AG33" s="39"/>
      <c r="AJ33" s="2"/>
      <c r="AK33" s="74"/>
      <c r="AM33" s="5"/>
      <c r="AN33" s="2"/>
      <c r="AO33" s="74"/>
      <c r="AP33" s="5"/>
      <c r="AQ33" s="5"/>
    </row>
    <row r="34" spans="1:47" x14ac:dyDescent="0.2">
      <c r="A34" s="2">
        <v>41487</v>
      </c>
      <c r="B34">
        <f t="shared" si="3"/>
        <v>2013</v>
      </c>
      <c r="C34">
        <f t="shared" si="6"/>
        <v>8</v>
      </c>
      <c r="D34" s="56">
        <f>Data!J33</f>
        <v>17433510.789999999</v>
      </c>
      <c r="E34" s="56">
        <f>Data!K33</f>
        <v>344677.17204248341</v>
      </c>
      <c r="F34" s="56">
        <f>Data!L33</f>
        <v>17778187.962042481</v>
      </c>
      <c r="G34" s="253">
        <f>Data!AV33</f>
        <v>0</v>
      </c>
      <c r="H34" s="253">
        <f>Data!AU33</f>
        <v>275.40000000000009</v>
      </c>
      <c r="I34" s="32">
        <f>Data!BG33</f>
        <v>31</v>
      </c>
      <c r="J34" s="32">
        <f>Data!AC33</f>
        <v>271</v>
      </c>
      <c r="K34" s="78">
        <f>Data!BC33</f>
        <v>3075.2</v>
      </c>
      <c r="L34" s="254">
        <f>Data!BZ33</f>
        <v>0</v>
      </c>
      <c r="M34" s="32">
        <f t="shared" si="5"/>
        <v>17740094.976767614</v>
      </c>
      <c r="N34" s="32">
        <f t="shared" si="0"/>
        <v>17395417.804725133</v>
      </c>
      <c r="O34" s="51">
        <f t="shared" si="1"/>
        <v>-38092.985274866223</v>
      </c>
      <c r="P34" s="50">
        <f t="shared" si="2"/>
        <v>2.1426809839223816E-3</v>
      </c>
      <c r="AA34" s="130"/>
      <c r="AB34" s="51"/>
      <c r="AC34" s="51"/>
      <c r="AD34" s="69"/>
      <c r="AE34" s="73"/>
      <c r="AF34" s="2"/>
      <c r="AG34" s="39"/>
      <c r="AJ34" s="2"/>
      <c r="AK34" s="74"/>
      <c r="AM34" s="5"/>
      <c r="AN34" s="2"/>
      <c r="AO34" s="74"/>
      <c r="AP34" s="5"/>
      <c r="AQ34" s="5"/>
    </row>
    <row r="35" spans="1:47" x14ac:dyDescent="0.2">
      <c r="A35" s="2">
        <v>41518</v>
      </c>
      <c r="B35">
        <f t="shared" si="3"/>
        <v>2013</v>
      </c>
      <c r="C35">
        <f t="shared" si="6"/>
        <v>9</v>
      </c>
      <c r="D35" s="56">
        <f>Data!J34</f>
        <v>16323800.050000003</v>
      </c>
      <c r="E35" s="56">
        <f>Data!K34</f>
        <v>344677.17204248341</v>
      </c>
      <c r="F35" s="56">
        <f>Data!L34</f>
        <v>16668477.222042486</v>
      </c>
      <c r="G35" s="253">
        <f>Data!AV34</f>
        <v>0</v>
      </c>
      <c r="H35" s="253">
        <f>Data!AU34</f>
        <v>125.1</v>
      </c>
      <c r="I35" s="32">
        <f>Data!BG34</f>
        <v>30</v>
      </c>
      <c r="J35" s="32">
        <f>Data!AC34</f>
        <v>272</v>
      </c>
      <c r="K35" s="78">
        <f>Data!BC34</f>
        <v>3080.1</v>
      </c>
      <c r="L35" s="254">
        <f>Data!BZ34</f>
        <v>0</v>
      </c>
      <c r="M35" s="32">
        <f t="shared" si="5"/>
        <v>16433815.613378994</v>
      </c>
      <c r="N35" s="32">
        <f t="shared" ref="N35:N66" si="7">M35-E35</f>
        <v>16089138.441336511</v>
      </c>
      <c r="O35" s="51">
        <f t="shared" ref="O35:O66" si="8">+M35-F35</f>
        <v>-234661.6086634919</v>
      </c>
      <c r="P35" s="50">
        <f t="shared" ref="P35:P66" si="9">ABS(O35/F35)</f>
        <v>1.4078167161735333E-2</v>
      </c>
      <c r="AA35" s="130"/>
      <c r="AB35" s="51"/>
      <c r="AC35" s="51"/>
      <c r="AD35" s="69"/>
      <c r="AE35" s="73"/>
      <c r="AF35" s="2"/>
      <c r="AG35" s="39"/>
      <c r="AJ35" s="2"/>
      <c r="AK35" s="74"/>
      <c r="AM35" s="5"/>
      <c r="AN35" s="2"/>
      <c r="AO35" s="74"/>
      <c r="AP35" s="5"/>
      <c r="AQ35" s="5"/>
    </row>
    <row r="36" spans="1:47" x14ac:dyDescent="0.2">
      <c r="A36" s="2">
        <v>41548</v>
      </c>
      <c r="B36">
        <f t="shared" si="3"/>
        <v>2013</v>
      </c>
      <c r="C36">
        <f t="shared" si="6"/>
        <v>10</v>
      </c>
      <c r="D36" s="56">
        <f>Data!J35</f>
        <v>16888949.909999996</v>
      </c>
      <c r="E36" s="56">
        <f>Data!K35</f>
        <v>344677.17204248341</v>
      </c>
      <c r="F36" s="56">
        <f>Data!L35</f>
        <v>17233627.082042478</v>
      </c>
      <c r="G36" s="253">
        <f>Data!AV35</f>
        <v>50.6</v>
      </c>
      <c r="H36" s="253">
        <f>Data!AU35</f>
        <v>37.9</v>
      </c>
      <c r="I36" s="32">
        <f>Data!BG35</f>
        <v>31</v>
      </c>
      <c r="J36" s="32">
        <f>Data!AC35</f>
        <v>274</v>
      </c>
      <c r="K36" s="78">
        <f>Data!BC35</f>
        <v>3079.6</v>
      </c>
      <c r="L36" s="254">
        <f>Data!BZ35</f>
        <v>0</v>
      </c>
      <c r="M36" s="32">
        <f t="shared" si="5"/>
        <v>16517015.181484841</v>
      </c>
      <c r="N36" s="32">
        <f t="shared" si="7"/>
        <v>16172338.009442357</v>
      </c>
      <c r="O36" s="51">
        <f t="shared" si="8"/>
        <v>-716611.90055763721</v>
      </c>
      <c r="P36" s="50">
        <f t="shared" si="9"/>
        <v>4.1582186799455016E-2</v>
      </c>
      <c r="U36" s="2"/>
      <c r="AA36" s="130"/>
      <c r="AB36" s="51"/>
      <c r="AC36" s="51"/>
      <c r="AE36" s="73"/>
      <c r="AF36" s="2"/>
      <c r="AG36" s="39"/>
      <c r="AJ36" s="2"/>
      <c r="AK36" s="74"/>
      <c r="AM36" s="5"/>
      <c r="AN36" s="2"/>
      <c r="AO36" s="74"/>
      <c r="AP36" s="5"/>
      <c r="AQ36" s="5"/>
    </row>
    <row r="37" spans="1:47" x14ac:dyDescent="0.2">
      <c r="A37" s="2">
        <v>41579</v>
      </c>
      <c r="B37">
        <f t="shared" si="3"/>
        <v>2013</v>
      </c>
      <c r="C37">
        <f t="shared" si="6"/>
        <v>11</v>
      </c>
      <c r="D37" s="56">
        <f>Data!J36</f>
        <v>16378559.519999998</v>
      </c>
      <c r="E37" s="56">
        <f>Data!K36</f>
        <v>344677.17204248341</v>
      </c>
      <c r="F37" s="56">
        <f>Data!L36</f>
        <v>16723236.692042481</v>
      </c>
      <c r="G37" s="253">
        <f>Data!AV36</f>
        <v>243.5</v>
      </c>
      <c r="H37" s="253">
        <f>Data!AU36</f>
        <v>0</v>
      </c>
      <c r="I37" s="32">
        <f>Data!BG36</f>
        <v>30</v>
      </c>
      <c r="J37" s="32">
        <f>Data!AC36</f>
        <v>273</v>
      </c>
      <c r="K37" s="78">
        <f>Data!BC36</f>
        <v>3076.6</v>
      </c>
      <c r="L37" s="254">
        <f>Data!BZ36</f>
        <v>0</v>
      </c>
      <c r="M37" s="32">
        <f t="shared" si="5"/>
        <v>16878999.544198722</v>
      </c>
      <c r="N37" s="32">
        <f t="shared" si="7"/>
        <v>16534322.372156238</v>
      </c>
      <c r="O37" s="51">
        <f t="shared" si="8"/>
        <v>155762.85215624049</v>
      </c>
      <c r="P37" s="50">
        <f t="shared" si="9"/>
        <v>9.3141570034919186E-3</v>
      </c>
      <c r="U37" s="2"/>
      <c r="AA37" s="130"/>
      <c r="AB37" s="5"/>
      <c r="AC37" s="5"/>
      <c r="AF37" s="2"/>
      <c r="AJ37" s="2"/>
      <c r="AK37" s="76"/>
      <c r="AM37" s="5"/>
      <c r="AN37" s="2"/>
      <c r="AO37" s="76"/>
      <c r="AP37" s="5"/>
      <c r="AQ37" s="5"/>
      <c r="AR37" s="29"/>
      <c r="AS37" s="29"/>
      <c r="AT37" s="29"/>
    </row>
    <row r="38" spans="1:47" x14ac:dyDescent="0.2">
      <c r="A38" s="2">
        <v>41609</v>
      </c>
      <c r="B38">
        <f t="shared" si="3"/>
        <v>2013</v>
      </c>
      <c r="C38">
        <f t="shared" si="6"/>
        <v>12</v>
      </c>
      <c r="D38" s="56">
        <f>Data!J37</f>
        <v>18347866.910000004</v>
      </c>
      <c r="E38" s="56">
        <f>Data!K37</f>
        <v>344677.17204248341</v>
      </c>
      <c r="F38" s="56">
        <f>Data!L37</f>
        <v>18692544.082042485</v>
      </c>
      <c r="G38" s="253">
        <f>Data!AV37</f>
        <v>439.89999999999992</v>
      </c>
      <c r="H38" s="253">
        <f>Data!AU37</f>
        <v>0</v>
      </c>
      <c r="I38" s="32">
        <f>Data!BG37</f>
        <v>31</v>
      </c>
      <c r="J38" s="32">
        <f>Data!AC37</f>
        <v>273</v>
      </c>
      <c r="K38" s="78">
        <f>Data!BC37</f>
        <v>3073.7</v>
      </c>
      <c r="L38" s="254">
        <f>Data!BZ37</f>
        <v>0</v>
      </c>
      <c r="M38" s="32">
        <f t="shared" si="5"/>
        <v>18241684.114095271</v>
      </c>
      <c r="N38" s="32">
        <f t="shared" si="7"/>
        <v>17897006.942052789</v>
      </c>
      <c r="O38" s="51">
        <f t="shared" si="8"/>
        <v>-450859.96794721484</v>
      </c>
      <c r="P38" s="50">
        <f t="shared" si="9"/>
        <v>2.4119775562297378E-2</v>
      </c>
      <c r="U38" s="130"/>
      <c r="AA38" s="130"/>
      <c r="AB38" s="5"/>
      <c r="AC38" s="5"/>
      <c r="AF38" s="2"/>
      <c r="AJ38" s="2"/>
      <c r="AK38" s="76"/>
      <c r="AM38" s="5"/>
      <c r="AN38" s="2"/>
      <c r="AO38" s="76"/>
      <c r="AP38" s="5"/>
      <c r="AQ38" s="5"/>
      <c r="AR38" s="29"/>
      <c r="AS38" s="29"/>
      <c r="AT38" s="29"/>
    </row>
    <row r="39" spans="1:47" x14ac:dyDescent="0.2">
      <c r="A39" s="2">
        <v>41640</v>
      </c>
      <c r="B39">
        <f t="shared" si="3"/>
        <v>2014</v>
      </c>
      <c r="C39">
        <f t="shared" si="6"/>
        <v>1</v>
      </c>
      <c r="D39" s="56">
        <f>Data!J38</f>
        <v>18474770.990000002</v>
      </c>
      <c r="E39" s="56">
        <f>Data!K38</f>
        <v>480728.51896375552</v>
      </c>
      <c r="F39" s="56">
        <f>Data!L38</f>
        <v>18955499.508963756</v>
      </c>
      <c r="G39" s="253">
        <f>Data!AV38</f>
        <v>577.90000000000009</v>
      </c>
      <c r="H39" s="253">
        <f>Data!AU38</f>
        <v>0</v>
      </c>
      <c r="I39" s="32">
        <f>Data!BG38</f>
        <v>31</v>
      </c>
      <c r="J39" s="32">
        <f>Data!AC38</f>
        <v>274</v>
      </c>
      <c r="K39" s="78">
        <f>Data!BC38</f>
        <v>3070.8</v>
      </c>
      <c r="L39" s="254">
        <f>Data!BZ38</f>
        <v>0</v>
      </c>
      <c r="M39" s="32">
        <f t="shared" si="5"/>
        <v>18970601.819547921</v>
      </c>
      <c r="N39" s="32">
        <f t="shared" si="7"/>
        <v>18489873.300584167</v>
      </c>
      <c r="O39" s="51">
        <f t="shared" si="8"/>
        <v>15102.310584165156</v>
      </c>
      <c r="P39" s="50">
        <f t="shared" si="9"/>
        <v>7.967244849983252E-4</v>
      </c>
      <c r="U39" s="130"/>
      <c r="AA39" s="2"/>
      <c r="AB39" s="5"/>
      <c r="AC39" s="5"/>
      <c r="AF39" s="2"/>
      <c r="AJ39" s="2"/>
      <c r="AK39" s="76"/>
      <c r="AM39" s="5"/>
      <c r="AN39" s="2"/>
      <c r="AO39" s="76"/>
      <c r="AP39" s="5"/>
      <c r="AQ39" s="5"/>
      <c r="AR39" s="29"/>
      <c r="AS39" s="29"/>
      <c r="AT39" s="29"/>
    </row>
    <row r="40" spans="1:47" x14ac:dyDescent="0.2">
      <c r="A40" s="2">
        <v>41671</v>
      </c>
      <c r="B40">
        <f t="shared" si="3"/>
        <v>2014</v>
      </c>
      <c r="C40">
        <f t="shared" si="6"/>
        <v>2</v>
      </c>
      <c r="D40" s="56">
        <f>Data!J39</f>
        <v>17309349.019999996</v>
      </c>
      <c r="E40" s="56">
        <f>Data!K39</f>
        <v>480728.51896375552</v>
      </c>
      <c r="F40" s="56">
        <f>Data!L39</f>
        <v>17790077.53896375</v>
      </c>
      <c r="G40" s="253">
        <f>Data!AV39</f>
        <v>513.09999999999991</v>
      </c>
      <c r="H40" s="253">
        <f>Data!AU39</f>
        <v>0</v>
      </c>
      <c r="I40" s="32">
        <f>Data!BG39</f>
        <v>28</v>
      </c>
      <c r="J40" s="32">
        <f>Data!AC39</f>
        <v>274</v>
      </c>
      <c r="K40" s="78">
        <f>Data!BC39</f>
        <v>3071.7</v>
      </c>
      <c r="L40" s="254">
        <f>Data!BZ39</f>
        <v>0</v>
      </c>
      <c r="M40" s="32">
        <f t="shared" si="5"/>
        <v>17576710.823756978</v>
      </c>
      <c r="N40" s="32">
        <f t="shared" si="7"/>
        <v>17095982.304793224</v>
      </c>
      <c r="O40" s="51">
        <f t="shared" si="8"/>
        <v>-213366.71520677209</v>
      </c>
      <c r="P40" s="50">
        <f t="shared" si="9"/>
        <v>1.1993579833446889E-2</v>
      </c>
      <c r="U40" s="130"/>
      <c r="AA40" s="2"/>
      <c r="AB40" s="5"/>
      <c r="AC40" s="5"/>
      <c r="AF40" s="2"/>
      <c r="AJ40" s="2"/>
      <c r="AK40" s="76"/>
      <c r="AM40" s="5"/>
      <c r="AN40" s="2"/>
      <c r="AO40" s="76"/>
      <c r="AP40" s="5"/>
      <c r="AQ40" s="5"/>
      <c r="AR40" s="29"/>
      <c r="AS40" s="29"/>
      <c r="AT40" s="29"/>
    </row>
    <row r="41" spans="1:47" x14ac:dyDescent="0.2">
      <c r="A41" s="2">
        <v>41699</v>
      </c>
      <c r="B41">
        <f t="shared" si="3"/>
        <v>2014</v>
      </c>
      <c r="C41">
        <f t="shared" si="6"/>
        <v>3</v>
      </c>
      <c r="D41" s="56">
        <f>Data!J40</f>
        <v>18435424.780000001</v>
      </c>
      <c r="E41" s="56">
        <f>Data!K40</f>
        <v>480728.51896375552</v>
      </c>
      <c r="F41" s="56">
        <f>Data!L40</f>
        <v>18916153.298963755</v>
      </c>
      <c r="G41" s="253">
        <f>Data!AV40</f>
        <v>442.59999999999991</v>
      </c>
      <c r="H41" s="253">
        <f>Data!AU40</f>
        <v>0</v>
      </c>
      <c r="I41" s="32">
        <f>Data!BG40</f>
        <v>31</v>
      </c>
      <c r="J41" s="32">
        <f>Data!AC40</f>
        <v>275</v>
      </c>
      <c r="K41" s="78">
        <f>Data!BC40</f>
        <v>3074.2</v>
      </c>
      <c r="L41" s="254">
        <f>Data!BZ40</f>
        <v>0</v>
      </c>
      <c r="M41" s="32">
        <f t="shared" si="5"/>
        <v>18304896.080141652</v>
      </c>
      <c r="N41" s="32">
        <f t="shared" si="7"/>
        <v>17824167.561177898</v>
      </c>
      <c r="O41" s="51">
        <f t="shared" si="8"/>
        <v>-611257.21882210299</v>
      </c>
      <c r="P41" s="50">
        <f t="shared" si="9"/>
        <v>3.2314033892693619E-2</v>
      </c>
      <c r="U41" s="130"/>
      <c r="AA41" s="2"/>
      <c r="AB41" s="5"/>
      <c r="AC41" s="5"/>
      <c r="AF41" s="2"/>
      <c r="AJ41" s="2"/>
      <c r="AK41" s="76"/>
      <c r="AM41" s="5"/>
      <c r="AN41" s="2"/>
      <c r="AO41" s="76"/>
      <c r="AP41" s="5"/>
      <c r="AQ41" s="5"/>
      <c r="AR41" s="29"/>
      <c r="AS41" s="29"/>
      <c r="AT41" s="29"/>
    </row>
    <row r="42" spans="1:47" x14ac:dyDescent="0.2">
      <c r="A42" s="2">
        <v>41730</v>
      </c>
      <c r="B42">
        <f t="shared" si="3"/>
        <v>2014</v>
      </c>
      <c r="C42">
        <f t="shared" si="6"/>
        <v>4</v>
      </c>
      <c r="D42" s="56">
        <f>Data!J41</f>
        <v>16625533.470000004</v>
      </c>
      <c r="E42" s="56">
        <f>Data!K41</f>
        <v>480728.51896375552</v>
      </c>
      <c r="F42" s="56">
        <f>Data!L41</f>
        <v>17106261.98896376</v>
      </c>
      <c r="G42" s="253">
        <f>Data!AV41</f>
        <v>126.49999999999997</v>
      </c>
      <c r="H42" s="253">
        <f>Data!AU41</f>
        <v>2.5999999999999996</v>
      </c>
      <c r="I42" s="32">
        <f>Data!BG41</f>
        <v>30</v>
      </c>
      <c r="J42" s="32">
        <f>Data!AC41</f>
        <v>276</v>
      </c>
      <c r="K42" s="78">
        <f>Data!BC41</f>
        <v>3082.6</v>
      </c>
      <c r="L42" s="254">
        <f>Data!BZ41</f>
        <v>0</v>
      </c>
      <c r="M42" s="32">
        <f t="shared" si="5"/>
        <v>16383797.551461328</v>
      </c>
      <c r="N42" s="32">
        <f t="shared" si="7"/>
        <v>15903069.032497572</v>
      </c>
      <c r="O42" s="51">
        <f t="shared" si="8"/>
        <v>-722464.43750243261</v>
      </c>
      <c r="P42" s="50">
        <f t="shared" si="9"/>
        <v>4.2233916326578899E-2</v>
      </c>
      <c r="U42" s="130"/>
      <c r="AA42" s="2"/>
      <c r="AB42" s="5"/>
      <c r="AC42" s="5"/>
      <c r="AF42" s="2"/>
      <c r="AJ42" s="2"/>
      <c r="AK42" s="76"/>
      <c r="AM42" s="5"/>
      <c r="AN42" s="2"/>
      <c r="AO42" s="76"/>
      <c r="AP42" s="5"/>
      <c r="AQ42" s="5"/>
      <c r="AR42" s="29"/>
      <c r="AS42" s="29"/>
      <c r="AT42" s="29"/>
    </row>
    <row r="43" spans="1:47" x14ac:dyDescent="0.2">
      <c r="A43" s="2">
        <v>41760</v>
      </c>
      <c r="B43">
        <f t="shared" si="3"/>
        <v>2014</v>
      </c>
      <c r="C43">
        <f t="shared" si="6"/>
        <v>5</v>
      </c>
      <c r="D43" s="56">
        <f>Data!J42</f>
        <v>16304922.880000003</v>
      </c>
      <c r="E43" s="56">
        <f>Data!K42</f>
        <v>480728.51896375552</v>
      </c>
      <c r="F43" s="56">
        <f>Data!L42</f>
        <v>16785651.398963757</v>
      </c>
      <c r="G43" s="253">
        <f>Data!AV42</f>
        <v>7.2000000000000011</v>
      </c>
      <c r="H43" s="253">
        <f>Data!AU42</f>
        <v>92</v>
      </c>
      <c r="I43" s="32">
        <f>Data!BG42</f>
        <v>31</v>
      </c>
      <c r="J43" s="32">
        <f>Data!AC42</f>
        <v>278</v>
      </c>
      <c r="K43" s="78">
        <f>Data!BC42</f>
        <v>3070.2</v>
      </c>
      <c r="L43" s="254">
        <f>Data!BZ42</f>
        <v>0</v>
      </c>
      <c r="M43" s="32">
        <f t="shared" si="5"/>
        <v>16704381.772939196</v>
      </c>
      <c r="N43" s="32">
        <f t="shared" si="7"/>
        <v>16223653.25397544</v>
      </c>
      <c r="O43" s="51">
        <f t="shared" si="8"/>
        <v>-81269.626024561003</v>
      </c>
      <c r="P43" s="50">
        <f t="shared" si="9"/>
        <v>4.8416128807237165E-3</v>
      </c>
      <c r="U43" s="130"/>
      <c r="AA43" s="2"/>
      <c r="AB43" s="5"/>
      <c r="AC43" s="5"/>
      <c r="AF43" s="2"/>
      <c r="AJ43" s="2"/>
      <c r="AK43" s="76"/>
      <c r="AM43" s="5"/>
      <c r="AN43" s="2"/>
      <c r="AO43" s="76"/>
      <c r="AP43" s="5"/>
      <c r="AQ43" s="5"/>
      <c r="AR43" s="29"/>
      <c r="AS43" s="29"/>
      <c r="AT43" s="29"/>
    </row>
    <row r="44" spans="1:47" x14ac:dyDescent="0.2">
      <c r="A44" s="2">
        <v>41791</v>
      </c>
      <c r="B44">
        <f t="shared" si="3"/>
        <v>2014</v>
      </c>
      <c r="C44">
        <f t="shared" si="6"/>
        <v>6</v>
      </c>
      <c r="D44" s="56">
        <f>Data!J43</f>
        <v>16672277.809999999</v>
      </c>
      <c r="E44" s="56">
        <f>Data!K43</f>
        <v>480728.51896375552</v>
      </c>
      <c r="F44" s="56">
        <f>Data!L43</f>
        <v>17153006.328963753</v>
      </c>
      <c r="G44" s="253">
        <f>Data!AV43</f>
        <v>0</v>
      </c>
      <c r="H44" s="253">
        <f>Data!AU43</f>
        <v>234</v>
      </c>
      <c r="I44" s="32">
        <f>Data!BG43</f>
        <v>30</v>
      </c>
      <c r="J44" s="32">
        <f>Data!AC43</f>
        <v>279</v>
      </c>
      <c r="K44" s="78">
        <f>Data!BC43</f>
        <v>3046.3</v>
      </c>
      <c r="L44" s="254">
        <f>Data!BZ43</f>
        <v>0</v>
      </c>
      <c r="M44" s="32">
        <f t="shared" si="5"/>
        <v>17177429.323775277</v>
      </c>
      <c r="N44" s="32">
        <f t="shared" si="7"/>
        <v>16696700.804811521</v>
      </c>
      <c r="O44" s="51">
        <f t="shared" si="8"/>
        <v>24422.994811523706</v>
      </c>
      <c r="P44" s="50">
        <f t="shared" si="9"/>
        <v>1.4238317378968254E-3</v>
      </c>
      <c r="U44" s="130"/>
      <c r="Z44" s="130"/>
      <c r="AA44" s="2"/>
      <c r="AB44" s="5"/>
      <c r="AC44" s="5"/>
      <c r="AF44" s="2"/>
      <c r="AJ44" s="2"/>
      <c r="AK44" s="76"/>
      <c r="AM44" s="5"/>
      <c r="AN44" s="2"/>
      <c r="AO44" s="76"/>
      <c r="AP44" s="5"/>
      <c r="AQ44" s="5"/>
      <c r="AR44" s="29"/>
      <c r="AS44" s="29"/>
      <c r="AT44" s="29"/>
    </row>
    <row r="45" spans="1:47" x14ac:dyDescent="0.2">
      <c r="A45" s="2">
        <v>41821</v>
      </c>
      <c r="B45">
        <f t="shared" si="3"/>
        <v>2014</v>
      </c>
      <c r="C45">
        <f t="shared" si="6"/>
        <v>7</v>
      </c>
      <c r="D45" s="56">
        <f>Data!J44</f>
        <v>16686928.109999999</v>
      </c>
      <c r="E45" s="56">
        <f>Data!K44</f>
        <v>480728.51896375552</v>
      </c>
      <c r="F45" s="56">
        <f>Data!L44</f>
        <v>17167656.628963754</v>
      </c>
      <c r="G45" s="253">
        <f>Data!AV44</f>
        <v>0</v>
      </c>
      <c r="H45" s="253">
        <f>Data!AU44</f>
        <v>253</v>
      </c>
      <c r="I45" s="32">
        <f>Data!BG44</f>
        <v>31</v>
      </c>
      <c r="J45" s="32">
        <f>Data!AC44</f>
        <v>282</v>
      </c>
      <c r="K45" s="78">
        <f>Data!BC44</f>
        <v>3021.9</v>
      </c>
      <c r="L45" s="254">
        <f>Data!BZ44</f>
        <v>0</v>
      </c>
      <c r="M45" s="32">
        <f t="shared" si="5"/>
        <v>17624048.583825123</v>
      </c>
      <c r="N45" s="32">
        <f t="shared" si="7"/>
        <v>17143320.064861368</v>
      </c>
      <c r="O45" s="51">
        <f t="shared" si="8"/>
        <v>456391.95486136898</v>
      </c>
      <c r="P45" s="50">
        <f t="shared" si="9"/>
        <v>2.6584406056408702E-2</v>
      </c>
      <c r="T45" s="130"/>
      <c r="AA45" s="2"/>
      <c r="AB45" s="5"/>
      <c r="AC45" s="5"/>
      <c r="AF45" s="2"/>
      <c r="AJ45" s="2"/>
      <c r="AK45" s="76"/>
      <c r="AM45" s="5"/>
      <c r="AN45" s="2"/>
      <c r="AO45" s="76"/>
      <c r="AP45" s="5"/>
      <c r="AQ45" s="5"/>
      <c r="AR45" s="29"/>
      <c r="AS45" s="29"/>
      <c r="AT45" s="29"/>
    </row>
    <row r="46" spans="1:47" x14ac:dyDescent="0.2">
      <c r="A46" s="2">
        <v>41852</v>
      </c>
      <c r="B46">
        <f t="shared" si="3"/>
        <v>2014</v>
      </c>
      <c r="C46">
        <f t="shared" si="6"/>
        <v>8</v>
      </c>
      <c r="D46" s="56">
        <f>Data!J45</f>
        <v>16611492.549999997</v>
      </c>
      <c r="E46" s="56">
        <f>Data!K45</f>
        <v>480728.51896375552</v>
      </c>
      <c r="F46" s="56">
        <f>Data!L45</f>
        <v>17092221.068963751</v>
      </c>
      <c r="G46" s="253">
        <f>Data!AV45</f>
        <v>0</v>
      </c>
      <c r="H46" s="253">
        <f>Data!AU45</f>
        <v>259</v>
      </c>
      <c r="I46" s="32">
        <f>Data!BG45</f>
        <v>31</v>
      </c>
      <c r="J46" s="32">
        <f>Data!AC45</f>
        <v>283</v>
      </c>
      <c r="K46" s="78">
        <f>Data!BC45</f>
        <v>3010.9</v>
      </c>
      <c r="L46" s="254">
        <f>Data!BZ45</f>
        <v>0</v>
      </c>
      <c r="M46" s="32">
        <f t="shared" si="5"/>
        <v>17640687.838369709</v>
      </c>
      <c r="N46" s="32">
        <f t="shared" si="7"/>
        <v>17159959.319405954</v>
      </c>
      <c r="O46" s="51">
        <f t="shared" si="8"/>
        <v>548466.76940595731</v>
      </c>
      <c r="P46" s="50">
        <f t="shared" si="9"/>
        <v>3.2088677486267099E-2</v>
      </c>
      <c r="T46" s="130"/>
      <c r="AA46" s="2"/>
      <c r="AB46" s="5"/>
      <c r="AC46" s="5"/>
      <c r="AF46" s="2"/>
      <c r="AJ46" s="2"/>
      <c r="AK46" s="76"/>
      <c r="AM46" s="5"/>
      <c r="AN46" s="2"/>
      <c r="AO46" s="76"/>
      <c r="AP46" s="5"/>
      <c r="AQ46" s="5"/>
      <c r="AR46" s="29"/>
      <c r="AS46" s="29"/>
      <c r="AT46" s="29"/>
      <c r="AU46" s="29"/>
    </row>
    <row r="47" spans="1:47" x14ac:dyDescent="0.2">
      <c r="A47" s="2">
        <v>41883</v>
      </c>
      <c r="B47">
        <f t="shared" si="3"/>
        <v>2014</v>
      </c>
      <c r="C47">
        <f t="shared" si="6"/>
        <v>9</v>
      </c>
      <c r="D47" s="56">
        <f>Data!J46</f>
        <v>16361292.15</v>
      </c>
      <c r="E47" s="56">
        <f>Data!K46</f>
        <v>480728.51896375552</v>
      </c>
      <c r="F47" s="56">
        <f>Data!L46</f>
        <v>16842020.668963756</v>
      </c>
      <c r="G47" s="253">
        <f>Data!AV46</f>
        <v>0.79999999999999893</v>
      </c>
      <c r="H47" s="253">
        <f>Data!AU46</f>
        <v>148.69999999999999</v>
      </c>
      <c r="I47" s="32">
        <f>Data!BG46</f>
        <v>30</v>
      </c>
      <c r="J47" s="32">
        <f>Data!AC46</f>
        <v>283</v>
      </c>
      <c r="K47" s="78">
        <f>Data!BC46</f>
        <v>3013.7</v>
      </c>
      <c r="L47" s="254">
        <f>Data!BZ46</f>
        <v>0</v>
      </c>
      <c r="M47" s="32">
        <f t="shared" si="5"/>
        <v>16571476.878519051</v>
      </c>
      <c r="N47" s="32">
        <f t="shared" si="7"/>
        <v>16090748.359555295</v>
      </c>
      <c r="O47" s="51">
        <f t="shared" si="8"/>
        <v>-270543.79044470564</v>
      </c>
      <c r="P47" s="50">
        <f t="shared" si="9"/>
        <v>1.6063618241679279E-2</v>
      </c>
      <c r="AA47" s="2"/>
      <c r="AB47" s="5"/>
      <c r="AC47" s="5"/>
      <c r="AF47" s="2"/>
      <c r="AJ47" s="2"/>
      <c r="AK47" s="76"/>
      <c r="AM47" s="5"/>
      <c r="AN47" s="2"/>
      <c r="AO47" s="60"/>
      <c r="AP47" s="5"/>
      <c r="AQ47" s="5"/>
      <c r="AR47" s="29"/>
      <c r="AS47" s="29"/>
      <c r="AT47" s="29"/>
    </row>
    <row r="48" spans="1:47" x14ac:dyDescent="0.2">
      <c r="A48" s="2">
        <v>41913</v>
      </c>
      <c r="B48">
        <f t="shared" si="3"/>
        <v>2014</v>
      </c>
      <c r="C48">
        <f t="shared" si="6"/>
        <v>10</v>
      </c>
      <c r="D48" s="56">
        <f>Data!J47</f>
        <v>16487938.609999999</v>
      </c>
      <c r="E48" s="56">
        <f>Data!K47</f>
        <v>480728.51896375552</v>
      </c>
      <c r="F48" s="56">
        <f>Data!L47</f>
        <v>16968667.128963754</v>
      </c>
      <c r="G48" s="253">
        <f>Data!AV47</f>
        <v>36.099999999999994</v>
      </c>
      <c r="H48" s="253">
        <f>Data!AU47</f>
        <v>38.1</v>
      </c>
      <c r="I48" s="32">
        <f>Data!BG47</f>
        <v>31</v>
      </c>
      <c r="J48" s="32">
        <f>Data!AC47</f>
        <v>282</v>
      </c>
      <c r="K48" s="78">
        <f>Data!BC47</f>
        <v>3027.3</v>
      </c>
      <c r="L48" s="254">
        <f>Data!BZ47</f>
        <v>0</v>
      </c>
      <c r="M48" s="32">
        <f t="shared" si="5"/>
        <v>16409150.188577428</v>
      </c>
      <c r="N48" s="32">
        <f t="shared" si="7"/>
        <v>15928421.669613672</v>
      </c>
      <c r="O48" s="51">
        <f t="shared" si="8"/>
        <v>-559516.94038632512</v>
      </c>
      <c r="P48" s="50">
        <f t="shared" si="9"/>
        <v>3.2973535053397784E-2</v>
      </c>
      <c r="AA48" s="2"/>
      <c r="AB48" s="5"/>
      <c r="AC48" s="5"/>
      <c r="AF48" s="2"/>
      <c r="AJ48" s="2"/>
      <c r="AK48" s="76"/>
      <c r="AM48" s="5"/>
      <c r="AN48" s="2"/>
      <c r="AO48" s="76"/>
      <c r="AP48" s="5"/>
      <c r="AQ48" s="5"/>
      <c r="AR48" s="29"/>
      <c r="AS48" s="29"/>
      <c r="AT48" s="29"/>
    </row>
    <row r="49" spans="1:46" x14ac:dyDescent="0.2">
      <c r="A49" s="2">
        <v>41944</v>
      </c>
      <c r="B49">
        <f t="shared" si="3"/>
        <v>2014</v>
      </c>
      <c r="C49">
        <f t="shared" si="6"/>
        <v>11</v>
      </c>
      <c r="D49" s="56">
        <f>Data!J48</f>
        <v>17004284.760000002</v>
      </c>
      <c r="E49" s="56">
        <f>Data!K48</f>
        <v>480728.51896375552</v>
      </c>
      <c r="F49" s="56">
        <f>Data!L48</f>
        <v>17485013.278963756</v>
      </c>
      <c r="G49" s="253">
        <f>Data!AV48</f>
        <v>244.20000000000002</v>
      </c>
      <c r="H49" s="253">
        <f>Data!AU48</f>
        <v>0</v>
      </c>
      <c r="I49" s="32">
        <f>Data!BG48</f>
        <v>30</v>
      </c>
      <c r="J49" s="32">
        <f>Data!AC48</f>
        <v>284</v>
      </c>
      <c r="K49" s="78">
        <f>Data!BC48</f>
        <v>3036.7</v>
      </c>
      <c r="L49" s="254">
        <f>Data!BZ48</f>
        <v>0</v>
      </c>
      <c r="M49" s="32">
        <f t="shared" si="5"/>
        <v>16972059.124543227</v>
      </c>
      <c r="N49" s="32">
        <f t="shared" si="7"/>
        <v>16491330.605579471</v>
      </c>
      <c r="O49" s="51">
        <f t="shared" si="8"/>
        <v>-512954.15442052856</v>
      </c>
      <c r="P49" s="50">
        <f t="shared" si="9"/>
        <v>2.9336789525785743E-2</v>
      </c>
      <c r="AA49" s="2"/>
      <c r="AB49" s="5"/>
      <c r="AC49" s="5"/>
      <c r="AF49" s="2"/>
      <c r="AJ49" s="2"/>
      <c r="AK49" s="76"/>
      <c r="AM49" s="5"/>
      <c r="AN49" s="2"/>
      <c r="AO49" s="76"/>
      <c r="AP49" s="5"/>
      <c r="AQ49" s="5"/>
      <c r="AR49" s="29"/>
      <c r="AS49" s="29"/>
      <c r="AT49" s="29"/>
    </row>
    <row r="50" spans="1:46" x14ac:dyDescent="0.2">
      <c r="A50" s="2">
        <v>41974</v>
      </c>
      <c r="B50">
        <f t="shared" si="3"/>
        <v>2014</v>
      </c>
      <c r="C50">
        <f t="shared" si="6"/>
        <v>12</v>
      </c>
      <c r="D50" s="56">
        <f>Data!J49</f>
        <v>17950454.600000001</v>
      </c>
      <c r="E50" s="56">
        <f>Data!K49</f>
        <v>480728.51896375552</v>
      </c>
      <c r="F50" s="56">
        <f>Data!L49</f>
        <v>18431183.118963756</v>
      </c>
      <c r="G50" s="253">
        <f>Data!AV49</f>
        <v>309.30000000000007</v>
      </c>
      <c r="H50" s="253">
        <f>Data!AU49</f>
        <v>0</v>
      </c>
      <c r="I50" s="32">
        <f>Data!BG49</f>
        <v>31</v>
      </c>
      <c r="J50" s="32">
        <f>Data!AC49</f>
        <v>284</v>
      </c>
      <c r="K50" s="78">
        <f>Data!BC49</f>
        <v>3034.6</v>
      </c>
      <c r="L50" s="254">
        <f>Data!BZ49</f>
        <v>0</v>
      </c>
      <c r="M50" s="32">
        <f t="shared" si="5"/>
        <v>17655282.02076577</v>
      </c>
      <c r="N50" s="32">
        <f t="shared" si="7"/>
        <v>17174553.501802016</v>
      </c>
      <c r="O50" s="51">
        <f t="shared" si="8"/>
        <v>-775901.09819798544</v>
      </c>
      <c r="P50" s="50">
        <f t="shared" si="9"/>
        <v>4.2097194368367188E-2</v>
      </c>
      <c r="T50" s="130"/>
      <c r="AA50" s="2"/>
      <c r="AB50" s="5"/>
      <c r="AC50" s="5"/>
      <c r="AF50" s="2"/>
      <c r="AJ50" s="2"/>
      <c r="AK50" s="76"/>
      <c r="AM50" s="5"/>
      <c r="AN50" s="2"/>
      <c r="AO50" s="76"/>
      <c r="AP50" s="5"/>
      <c r="AQ50" s="5"/>
      <c r="AR50" s="29"/>
      <c r="AS50" s="29"/>
      <c r="AT50" s="29"/>
    </row>
    <row r="51" spans="1:46" x14ac:dyDescent="0.2">
      <c r="A51" s="2">
        <v>42005</v>
      </c>
      <c r="B51">
        <f t="shared" si="3"/>
        <v>2015</v>
      </c>
      <c r="C51">
        <f t="shared" si="6"/>
        <v>1</v>
      </c>
      <c r="D51" s="56">
        <f>Data!J50</f>
        <v>18875685.754216857</v>
      </c>
      <c r="E51" s="56">
        <f>Data!K50</f>
        <v>555044.66445330705</v>
      </c>
      <c r="F51" s="56">
        <f>Data!L50</f>
        <v>19430730.418670163</v>
      </c>
      <c r="G51" s="253">
        <f>Data!AV50</f>
        <v>544.4</v>
      </c>
      <c r="H51" s="253">
        <f>Data!AU50</f>
        <v>0</v>
      </c>
      <c r="I51" s="32">
        <f>Data!BG50</f>
        <v>31</v>
      </c>
      <c r="J51" s="32">
        <f>Data!AC50</f>
        <v>286</v>
      </c>
      <c r="K51" s="78">
        <f>Data!BC50</f>
        <v>3029.1</v>
      </c>
      <c r="L51" s="254">
        <f>Data!BZ50</f>
        <v>0</v>
      </c>
      <c r="M51" s="32">
        <f t="shared" si="5"/>
        <v>18901680.466412235</v>
      </c>
      <c r="N51" s="32">
        <f t="shared" si="7"/>
        <v>18346635.80195893</v>
      </c>
      <c r="O51" s="51">
        <f t="shared" si="8"/>
        <v>-529049.95225792751</v>
      </c>
      <c r="P51" s="50">
        <f t="shared" si="9"/>
        <v>2.7227486607996263E-2</v>
      </c>
      <c r="AA51" s="2"/>
      <c r="AB51" s="5"/>
      <c r="AC51" s="5"/>
      <c r="AF51" s="2"/>
      <c r="AJ51" s="2"/>
      <c r="AK51" s="76"/>
      <c r="AM51" s="5"/>
      <c r="AN51" s="2"/>
      <c r="AO51" s="76"/>
      <c r="AP51" s="5"/>
      <c r="AQ51" s="5"/>
      <c r="AR51" s="29"/>
      <c r="AS51" s="29"/>
      <c r="AT51" s="29"/>
    </row>
    <row r="52" spans="1:46" x14ac:dyDescent="0.2">
      <c r="A52" s="2">
        <v>42036</v>
      </c>
      <c r="B52">
        <f t="shared" si="3"/>
        <v>2015</v>
      </c>
      <c r="C52">
        <f t="shared" si="6"/>
        <v>2</v>
      </c>
      <c r="D52" s="56">
        <f>Data!J51</f>
        <v>17783706.236144584</v>
      </c>
      <c r="E52" s="56">
        <f>Data!K51</f>
        <v>555044.66445330705</v>
      </c>
      <c r="F52" s="56">
        <f>Data!L51</f>
        <v>18338750.900597889</v>
      </c>
      <c r="G52" s="253">
        <f>Data!AV51</f>
        <v>632.80000000000007</v>
      </c>
      <c r="H52" s="253">
        <f>Data!AU51</f>
        <v>0</v>
      </c>
      <c r="I52" s="32">
        <f>Data!BG51</f>
        <v>28</v>
      </c>
      <c r="J52" s="32">
        <f>Data!AC51</f>
        <v>287</v>
      </c>
      <c r="K52" s="78">
        <f>Data!BC51</f>
        <v>3035.1</v>
      </c>
      <c r="L52" s="254">
        <f>Data!BZ51</f>
        <v>0</v>
      </c>
      <c r="M52" s="32">
        <f t="shared" si="5"/>
        <v>18349712.131496824</v>
      </c>
      <c r="N52" s="32">
        <f t="shared" si="7"/>
        <v>17794667.467043519</v>
      </c>
      <c r="O52" s="51">
        <f t="shared" si="8"/>
        <v>10961.230898935348</v>
      </c>
      <c r="P52" s="50">
        <f t="shared" si="9"/>
        <v>5.9770869664727184E-4</v>
      </c>
      <c r="AA52" s="2"/>
      <c r="AB52" s="5"/>
      <c r="AC52" s="5"/>
      <c r="AF52" s="2"/>
      <c r="AJ52" s="2"/>
      <c r="AK52" s="76"/>
      <c r="AM52" s="5"/>
      <c r="AN52" s="2"/>
      <c r="AO52" s="76"/>
      <c r="AP52" s="5"/>
      <c r="AQ52" s="5"/>
      <c r="AR52" s="29"/>
      <c r="AS52" s="29"/>
      <c r="AT52" s="29"/>
    </row>
    <row r="53" spans="1:46" x14ac:dyDescent="0.2">
      <c r="A53" s="2">
        <v>42064</v>
      </c>
      <c r="B53">
        <f t="shared" si="3"/>
        <v>2015</v>
      </c>
      <c r="C53">
        <f t="shared" si="6"/>
        <v>3</v>
      </c>
      <c r="D53" s="56">
        <f>Data!J52</f>
        <v>18252320.722891562</v>
      </c>
      <c r="E53" s="56">
        <f>Data!K52</f>
        <v>555044.66445330705</v>
      </c>
      <c r="F53" s="56">
        <f>Data!L52</f>
        <v>18807365.387344867</v>
      </c>
      <c r="G53" s="253">
        <f>Data!AV52</f>
        <v>367.49999999999994</v>
      </c>
      <c r="H53" s="253">
        <f>Data!AU52</f>
        <v>0</v>
      </c>
      <c r="I53" s="32">
        <f>Data!BG52</f>
        <v>31</v>
      </c>
      <c r="J53" s="32">
        <f>Data!AC52</f>
        <v>288</v>
      </c>
      <c r="K53" s="78">
        <f>Data!BC52</f>
        <v>3054.2</v>
      </c>
      <c r="L53" s="254">
        <f>Data!BZ52</f>
        <v>0</v>
      </c>
      <c r="M53" s="32">
        <f t="shared" si="5"/>
        <v>18135247.379159629</v>
      </c>
      <c r="N53" s="32">
        <f t="shared" si="7"/>
        <v>17580202.714706324</v>
      </c>
      <c r="O53" s="51">
        <f t="shared" si="8"/>
        <v>-672118.00818523765</v>
      </c>
      <c r="P53" s="50">
        <f t="shared" si="9"/>
        <v>3.573695700289279E-2</v>
      </c>
      <c r="AA53" s="2"/>
      <c r="AB53" s="5"/>
      <c r="AC53" s="5"/>
      <c r="AF53" s="2"/>
      <c r="AJ53" s="2"/>
      <c r="AK53" s="76"/>
      <c r="AM53" s="5"/>
      <c r="AN53" s="2"/>
      <c r="AO53" s="76"/>
      <c r="AP53" s="5"/>
      <c r="AQ53" s="5"/>
      <c r="AR53" s="29"/>
      <c r="AS53" s="29"/>
      <c r="AT53" s="29"/>
    </row>
    <row r="54" spans="1:46" x14ac:dyDescent="0.2">
      <c r="A54" s="2">
        <v>42095</v>
      </c>
      <c r="B54">
        <f t="shared" si="3"/>
        <v>2015</v>
      </c>
      <c r="C54">
        <f t="shared" si="6"/>
        <v>4</v>
      </c>
      <c r="D54" s="56">
        <f>Data!J53</f>
        <v>16479411.932530126</v>
      </c>
      <c r="E54" s="56">
        <f>Data!K53</f>
        <v>555044.66445330705</v>
      </c>
      <c r="F54" s="56">
        <f>Data!L53</f>
        <v>17034456.596983433</v>
      </c>
      <c r="G54" s="253">
        <f>Data!AV53</f>
        <v>94.399999999999991</v>
      </c>
      <c r="H54" s="253">
        <f>Data!AU53</f>
        <v>7.1999999999999993</v>
      </c>
      <c r="I54" s="32">
        <f>Data!BG53</f>
        <v>30</v>
      </c>
      <c r="J54" s="32">
        <f>Data!AC53</f>
        <v>290</v>
      </c>
      <c r="K54" s="78">
        <f>Data!BC53</f>
        <v>3066.7</v>
      </c>
      <c r="L54" s="254">
        <f>Data!BZ53</f>
        <v>0</v>
      </c>
      <c r="M54" s="32">
        <f t="shared" si="5"/>
        <v>16509220.474276513</v>
      </c>
      <c r="N54" s="32">
        <f t="shared" si="7"/>
        <v>15954175.809823206</v>
      </c>
      <c r="O54" s="51">
        <f t="shared" si="8"/>
        <v>-525236.12270691991</v>
      </c>
      <c r="P54" s="50">
        <f t="shared" si="9"/>
        <v>3.0833746865745748E-2</v>
      </c>
      <c r="AA54" s="2"/>
      <c r="AB54" s="5"/>
      <c r="AC54" s="5"/>
      <c r="AF54" s="2"/>
      <c r="AJ54" s="2"/>
      <c r="AK54" s="76"/>
      <c r="AM54" s="5"/>
      <c r="AN54" s="2"/>
      <c r="AO54" s="76"/>
      <c r="AP54" s="5"/>
      <c r="AQ54" s="5"/>
      <c r="AR54" s="29"/>
      <c r="AS54" s="29"/>
      <c r="AT54" s="29"/>
    </row>
    <row r="55" spans="1:46" x14ac:dyDescent="0.2">
      <c r="A55" s="2">
        <v>42125</v>
      </c>
      <c r="B55">
        <f t="shared" si="3"/>
        <v>2015</v>
      </c>
      <c r="C55">
        <f t="shared" si="6"/>
        <v>5</v>
      </c>
      <c r="D55" s="56">
        <f>Data!J54</f>
        <v>16982291.479518067</v>
      </c>
      <c r="E55" s="56">
        <f>Data!K54</f>
        <v>555044.66445330705</v>
      </c>
      <c r="F55" s="56">
        <f>Data!L54</f>
        <v>17537336.143971372</v>
      </c>
      <c r="G55" s="253">
        <f>Data!AV54</f>
        <v>1.5</v>
      </c>
      <c r="H55" s="253">
        <f>Data!AU54</f>
        <v>142.1</v>
      </c>
      <c r="I55" s="32">
        <f>Data!BG54</f>
        <v>31</v>
      </c>
      <c r="J55" s="32">
        <f>Data!AC54</f>
        <v>291</v>
      </c>
      <c r="K55" s="78">
        <f>Data!BC54</f>
        <v>3084</v>
      </c>
      <c r="L55" s="254">
        <f>Data!BZ54</f>
        <v>0</v>
      </c>
      <c r="M55" s="32">
        <f t="shared" si="5"/>
        <v>17371462.942993905</v>
      </c>
      <c r="N55" s="32">
        <f t="shared" si="7"/>
        <v>16816418.2785406</v>
      </c>
      <c r="O55" s="51">
        <f t="shared" si="8"/>
        <v>-165873.200977467</v>
      </c>
      <c r="P55" s="50">
        <f t="shared" si="9"/>
        <v>9.4582894241031865E-3</v>
      </c>
      <c r="AA55" s="2"/>
      <c r="AB55" s="5"/>
      <c r="AC55" s="5"/>
      <c r="AF55" s="2"/>
      <c r="AJ55" s="2"/>
      <c r="AK55" s="76"/>
      <c r="AM55" s="5"/>
      <c r="AN55" s="2"/>
      <c r="AO55" s="76"/>
      <c r="AP55" s="5"/>
      <c r="AQ55" s="5"/>
      <c r="AR55" s="29"/>
      <c r="AS55" s="29"/>
      <c r="AT55" s="29"/>
    </row>
    <row r="56" spans="1:46" x14ac:dyDescent="0.2">
      <c r="A56" s="2">
        <v>42156</v>
      </c>
      <c r="B56">
        <f t="shared" si="3"/>
        <v>2015</v>
      </c>
      <c r="C56">
        <f t="shared" si="6"/>
        <v>6</v>
      </c>
      <c r="D56" s="56">
        <f>Data!J55</f>
        <v>16646153.06024096</v>
      </c>
      <c r="E56" s="56">
        <f>Data!K55</f>
        <v>555044.66445330705</v>
      </c>
      <c r="F56" s="56">
        <f>Data!L55</f>
        <v>17201197.724694267</v>
      </c>
      <c r="G56" s="253">
        <f>Data!AV55</f>
        <v>0</v>
      </c>
      <c r="H56" s="253">
        <f>Data!AU55</f>
        <v>178.69999999999996</v>
      </c>
      <c r="I56" s="32">
        <f>Data!BG55</f>
        <v>30</v>
      </c>
      <c r="J56" s="32">
        <f>Data!AC55</f>
        <v>291</v>
      </c>
      <c r="K56" s="78">
        <f>Data!BC55</f>
        <v>3102.9</v>
      </c>
      <c r="L56" s="254">
        <f>Data!BZ55</f>
        <v>0</v>
      </c>
      <c r="M56" s="32">
        <f t="shared" si="5"/>
        <v>17333100.173120871</v>
      </c>
      <c r="N56" s="32">
        <f t="shared" si="7"/>
        <v>16778055.508667566</v>
      </c>
      <c r="O56" s="51">
        <f t="shared" si="8"/>
        <v>131902.44842660427</v>
      </c>
      <c r="P56" s="50">
        <f t="shared" si="9"/>
        <v>7.6682130243316358E-3</v>
      </c>
      <c r="AA56" s="2"/>
      <c r="AB56" s="5"/>
      <c r="AC56" s="5"/>
      <c r="AF56" s="2"/>
      <c r="AJ56" s="2"/>
      <c r="AK56" s="76"/>
      <c r="AM56" s="5"/>
      <c r="AN56" s="2"/>
      <c r="AO56" s="76"/>
      <c r="AP56" s="5"/>
      <c r="AQ56" s="5"/>
      <c r="AR56" s="29"/>
      <c r="AS56" s="29"/>
      <c r="AT56" s="29"/>
    </row>
    <row r="57" spans="1:46" x14ac:dyDescent="0.2">
      <c r="A57" s="2">
        <v>42186</v>
      </c>
      <c r="B57">
        <f t="shared" si="3"/>
        <v>2015</v>
      </c>
      <c r="C57">
        <f t="shared" si="6"/>
        <v>7</v>
      </c>
      <c r="D57" s="56">
        <f>Data!J56</f>
        <v>17538166.997590359</v>
      </c>
      <c r="E57" s="56">
        <f>Data!K56</f>
        <v>555044.66445330705</v>
      </c>
      <c r="F57" s="56">
        <f>Data!L56</f>
        <v>18093211.662043665</v>
      </c>
      <c r="G57" s="253">
        <f>Data!AV56</f>
        <v>0</v>
      </c>
      <c r="H57" s="253">
        <f>Data!AU56</f>
        <v>296.3</v>
      </c>
      <c r="I57" s="32">
        <f>Data!BG56</f>
        <v>31</v>
      </c>
      <c r="J57" s="32">
        <f>Data!AC56</f>
        <v>292</v>
      </c>
      <c r="K57" s="78">
        <f>Data!BC56</f>
        <v>3132</v>
      </c>
      <c r="L57" s="254">
        <f>Data!BZ56</f>
        <v>0</v>
      </c>
      <c r="M57" s="32">
        <f t="shared" si="5"/>
        <v>18613811.50637383</v>
      </c>
      <c r="N57" s="32">
        <f t="shared" si="7"/>
        <v>18058766.841920525</v>
      </c>
      <c r="O57" s="51">
        <f t="shared" si="8"/>
        <v>520599.84433016554</v>
      </c>
      <c r="P57" s="50">
        <f t="shared" si="9"/>
        <v>2.8773213625875569E-2</v>
      </c>
      <c r="AA57" s="2"/>
      <c r="AB57" s="5"/>
      <c r="AC57" s="5"/>
      <c r="AF57" s="2"/>
      <c r="AJ57" s="2"/>
      <c r="AK57" s="76"/>
      <c r="AM57" s="5"/>
      <c r="AN57" s="2"/>
      <c r="AO57" s="76"/>
      <c r="AP57" s="5"/>
      <c r="AQ57" s="5"/>
      <c r="AR57" s="29"/>
      <c r="AS57" s="29"/>
      <c r="AT57" s="29"/>
    </row>
    <row r="58" spans="1:46" x14ac:dyDescent="0.2">
      <c r="A58" s="2">
        <v>42217</v>
      </c>
      <c r="B58">
        <f t="shared" si="3"/>
        <v>2015</v>
      </c>
      <c r="C58">
        <f t="shared" si="6"/>
        <v>8</v>
      </c>
      <c r="D58" s="56">
        <f>Data!J57</f>
        <v>17093829.031325299</v>
      </c>
      <c r="E58" s="56">
        <f>Data!K57</f>
        <v>555044.66445330705</v>
      </c>
      <c r="F58" s="56">
        <f>Data!L57</f>
        <v>17648873.695778605</v>
      </c>
      <c r="G58" s="253">
        <f>Data!AV57</f>
        <v>0</v>
      </c>
      <c r="H58" s="253">
        <f>Data!AU57</f>
        <v>270.19999999999993</v>
      </c>
      <c r="I58" s="32">
        <f>Data!BG57</f>
        <v>31</v>
      </c>
      <c r="J58" s="32">
        <f>Data!AC57</f>
        <v>292</v>
      </c>
      <c r="K58" s="78">
        <f>Data!BC57</f>
        <v>3151.5</v>
      </c>
      <c r="L58" s="254">
        <f>Data!BZ57</f>
        <v>0</v>
      </c>
      <c r="M58" s="32">
        <f t="shared" si="5"/>
        <v>18523436.352506809</v>
      </c>
      <c r="N58" s="32">
        <f t="shared" si="7"/>
        <v>17968391.688053504</v>
      </c>
      <c r="O58" s="51">
        <f t="shared" si="8"/>
        <v>874562.65672820434</v>
      </c>
      <c r="P58" s="50">
        <f t="shared" si="9"/>
        <v>4.9553454333881322E-2</v>
      </c>
      <c r="AA58" s="2"/>
      <c r="AB58" s="5"/>
      <c r="AC58" s="5"/>
      <c r="AF58" s="2"/>
      <c r="AJ58" s="2"/>
      <c r="AK58" s="76"/>
      <c r="AM58" s="5"/>
      <c r="AN58" s="2"/>
      <c r="AO58" s="76"/>
      <c r="AP58" s="5"/>
      <c r="AQ58" s="5"/>
      <c r="AR58" s="29"/>
      <c r="AS58" s="29"/>
      <c r="AT58" s="29"/>
    </row>
    <row r="59" spans="1:46" x14ac:dyDescent="0.2">
      <c r="A59" s="2">
        <v>42248</v>
      </c>
      <c r="B59">
        <f t="shared" si="3"/>
        <v>2015</v>
      </c>
      <c r="C59">
        <f t="shared" si="6"/>
        <v>9</v>
      </c>
      <c r="D59" s="56">
        <f>Data!J58</f>
        <v>17292395.55662651</v>
      </c>
      <c r="E59" s="56">
        <f>Data!K58</f>
        <v>555044.66445330705</v>
      </c>
      <c r="F59" s="56">
        <f>Data!L58</f>
        <v>17847440.221079815</v>
      </c>
      <c r="G59" s="253">
        <f>Data!AV58</f>
        <v>0</v>
      </c>
      <c r="H59" s="253">
        <f>Data!AU58</f>
        <v>230.8</v>
      </c>
      <c r="I59" s="32">
        <f>Data!BG58</f>
        <v>30</v>
      </c>
      <c r="J59" s="32">
        <f>Data!AC58</f>
        <v>292</v>
      </c>
      <c r="K59" s="78">
        <f>Data!BC58</f>
        <v>3155.1</v>
      </c>
      <c r="L59" s="254">
        <f>Data!BZ58</f>
        <v>0</v>
      </c>
      <c r="M59" s="32">
        <f t="shared" si="5"/>
        <v>17923783.468830425</v>
      </c>
      <c r="N59" s="32">
        <f t="shared" si="7"/>
        <v>17368738.80437712</v>
      </c>
      <c r="O59" s="51">
        <f t="shared" si="8"/>
        <v>76343.247750610113</v>
      </c>
      <c r="P59" s="50">
        <f t="shared" si="9"/>
        <v>4.2775460685079217E-3</v>
      </c>
      <c r="AA59" s="2"/>
      <c r="AB59" s="5"/>
      <c r="AC59" s="5"/>
      <c r="AF59" s="2"/>
      <c r="AJ59" s="2"/>
      <c r="AK59" s="76"/>
      <c r="AM59" s="5"/>
      <c r="AN59" s="2"/>
      <c r="AO59" s="76"/>
      <c r="AP59" s="5"/>
      <c r="AQ59" s="5"/>
      <c r="AR59" s="29"/>
      <c r="AS59" s="29"/>
      <c r="AT59" s="29"/>
    </row>
    <row r="60" spans="1:46" x14ac:dyDescent="0.2">
      <c r="A60" s="2">
        <v>42278</v>
      </c>
      <c r="B60">
        <f t="shared" si="3"/>
        <v>2015</v>
      </c>
      <c r="C60">
        <f t="shared" si="6"/>
        <v>10</v>
      </c>
      <c r="D60" s="56">
        <f>Data!J59</f>
        <v>16272895.431325302</v>
      </c>
      <c r="E60" s="56">
        <f>Data!K59</f>
        <v>555044.66445330705</v>
      </c>
      <c r="F60" s="56">
        <f>Data!L59</f>
        <v>16827940.095778607</v>
      </c>
      <c r="G60" s="253">
        <f>Data!AV59</f>
        <v>48.199999999999989</v>
      </c>
      <c r="H60" s="253">
        <f>Data!AU59</f>
        <v>21.3</v>
      </c>
      <c r="I60" s="32">
        <f>Data!BG59</f>
        <v>31</v>
      </c>
      <c r="J60" s="32">
        <f>Data!AC59</f>
        <v>292</v>
      </c>
      <c r="K60" s="78">
        <f>Data!BC59</f>
        <v>3149.2</v>
      </c>
      <c r="L60" s="254">
        <f>Data!BZ59</f>
        <v>0</v>
      </c>
      <c r="M60" s="32">
        <f t="shared" si="5"/>
        <v>17113243.538095731</v>
      </c>
      <c r="N60" s="32">
        <f t="shared" si="7"/>
        <v>16558198.873642424</v>
      </c>
      <c r="O60" s="51">
        <f t="shared" si="8"/>
        <v>285303.44231712446</v>
      </c>
      <c r="P60" s="50">
        <f t="shared" si="9"/>
        <v>1.6954151292034526E-2</v>
      </c>
      <c r="AA60" s="2"/>
      <c r="AB60" s="5"/>
      <c r="AC60" s="5"/>
      <c r="AF60" s="2"/>
      <c r="AJ60" s="2"/>
      <c r="AK60" s="76"/>
      <c r="AM60" s="5"/>
      <c r="AN60" s="2"/>
      <c r="AO60" s="76"/>
      <c r="AP60" s="5"/>
      <c r="AQ60" s="5"/>
      <c r="AR60" s="29"/>
      <c r="AS60" s="29"/>
      <c r="AT60" s="29"/>
    </row>
    <row r="61" spans="1:46" x14ac:dyDescent="0.2">
      <c r="A61" s="2">
        <v>42309</v>
      </c>
      <c r="B61">
        <f t="shared" si="3"/>
        <v>2015</v>
      </c>
      <c r="C61">
        <f t="shared" si="6"/>
        <v>11</v>
      </c>
      <c r="D61" s="56">
        <f>Data!J60</f>
        <v>16129527.980722889</v>
      </c>
      <c r="E61" s="56">
        <f>Data!K60</f>
        <v>555044.66445330705</v>
      </c>
      <c r="F61" s="56">
        <f>Data!L60</f>
        <v>16684572.645176196</v>
      </c>
      <c r="G61" s="253">
        <f>Data!AV60</f>
        <v>121.9</v>
      </c>
      <c r="H61" s="253">
        <f>Data!AU60</f>
        <v>7.3999999999999986</v>
      </c>
      <c r="I61" s="32">
        <f>Data!BG60</f>
        <v>30</v>
      </c>
      <c r="J61" s="32">
        <f>Data!AC60</f>
        <v>293</v>
      </c>
      <c r="K61" s="78">
        <f>Data!BC60</f>
        <v>3140.6</v>
      </c>
      <c r="L61" s="254">
        <f>Data!BZ60</f>
        <v>0</v>
      </c>
      <c r="M61" s="32">
        <f t="shared" si="5"/>
        <v>17037786.81385266</v>
      </c>
      <c r="N61" s="32">
        <f t="shared" si="7"/>
        <v>16482742.149399353</v>
      </c>
      <c r="O61" s="51">
        <f t="shared" si="8"/>
        <v>353214.16867646389</v>
      </c>
      <c r="P61" s="50">
        <f t="shared" si="9"/>
        <v>2.1170105832982442E-2</v>
      </c>
      <c r="AA61" s="2"/>
      <c r="AB61" s="5"/>
      <c r="AC61" s="5"/>
      <c r="AM61" s="5"/>
      <c r="AN61" s="5"/>
      <c r="AO61" s="5"/>
      <c r="AP61" s="5"/>
      <c r="AR61" s="29"/>
      <c r="AS61" s="29"/>
      <c r="AT61" s="29"/>
    </row>
    <row r="62" spans="1:46" x14ac:dyDescent="0.2">
      <c r="A62" s="2">
        <v>42339</v>
      </c>
      <c r="B62">
        <f t="shared" si="3"/>
        <v>2015</v>
      </c>
      <c r="C62">
        <f t="shared" si="6"/>
        <v>12</v>
      </c>
      <c r="D62" s="56">
        <f>Data!J61</f>
        <v>16103160.144578312</v>
      </c>
      <c r="E62" s="56">
        <f>Data!K61</f>
        <v>555044.66445330705</v>
      </c>
      <c r="F62" s="56">
        <f>Data!L61</f>
        <v>16658204.809031619</v>
      </c>
      <c r="G62" s="253">
        <f>Data!AV61</f>
        <v>182</v>
      </c>
      <c r="H62" s="253">
        <f>Data!AU61</f>
        <v>0</v>
      </c>
      <c r="I62" s="32">
        <f>Data!BG61</f>
        <v>31</v>
      </c>
      <c r="J62" s="32">
        <f>Data!AC61</f>
        <v>293</v>
      </c>
      <c r="K62" s="78">
        <f>Data!BC61</f>
        <v>3147.5</v>
      </c>
      <c r="L62" s="254">
        <f>Data!BZ61</f>
        <v>0</v>
      </c>
      <c r="M62" s="32">
        <f t="shared" si="5"/>
        <v>17684115.200338468</v>
      </c>
      <c r="N62" s="32">
        <f t="shared" si="7"/>
        <v>17129070.535885163</v>
      </c>
      <c r="O62" s="51">
        <f t="shared" si="8"/>
        <v>1025910.3913068492</v>
      </c>
      <c r="P62" s="50">
        <f t="shared" si="9"/>
        <v>6.158589134110231E-2</v>
      </c>
    </row>
    <row r="63" spans="1:46" x14ac:dyDescent="0.2">
      <c r="A63" s="2">
        <v>42370</v>
      </c>
      <c r="B63">
        <f t="shared" si="3"/>
        <v>2016</v>
      </c>
      <c r="C63">
        <f t="shared" si="6"/>
        <v>1</v>
      </c>
      <c r="D63" s="56">
        <f>Data!J62</f>
        <v>17735240.327710841</v>
      </c>
      <c r="E63" s="56">
        <f>Data!K62</f>
        <v>657746.90431909065</v>
      </c>
      <c r="F63" s="56">
        <f>Data!L62</f>
        <v>18392987.23202993</v>
      </c>
      <c r="G63" s="253">
        <f>Data!AV62</f>
        <v>422.40000000000009</v>
      </c>
      <c r="H63" s="253">
        <f>Data!AU62</f>
        <v>0</v>
      </c>
      <c r="I63" s="32">
        <f>Data!BG62</f>
        <v>31</v>
      </c>
      <c r="J63" s="32">
        <f>Data!AC62</f>
        <v>292</v>
      </c>
      <c r="K63" s="78">
        <f>Data!BC62</f>
        <v>3154.2</v>
      </c>
      <c r="L63" s="254">
        <f>Data!BZ62</f>
        <v>0</v>
      </c>
      <c r="M63" s="32">
        <f t="shared" si="5"/>
        <v>18939285.193311188</v>
      </c>
      <c r="N63" s="32">
        <f t="shared" si="7"/>
        <v>18281538.288992099</v>
      </c>
      <c r="O63" s="51">
        <f t="shared" si="8"/>
        <v>546297.96128125861</v>
      </c>
      <c r="P63" s="50">
        <f t="shared" si="9"/>
        <v>2.9701426657325353E-2</v>
      </c>
    </row>
    <row r="64" spans="1:46" x14ac:dyDescent="0.2">
      <c r="A64" s="2">
        <v>42401</v>
      </c>
      <c r="B64">
        <f t="shared" si="3"/>
        <v>2016</v>
      </c>
      <c r="C64">
        <f t="shared" si="6"/>
        <v>2</v>
      </c>
      <c r="D64" s="56">
        <f>Data!J63</f>
        <v>16845185.012048196</v>
      </c>
      <c r="E64" s="56">
        <f>Data!K63</f>
        <v>657746.90431909065</v>
      </c>
      <c r="F64" s="56">
        <f>Data!L63</f>
        <v>17502931.916367285</v>
      </c>
      <c r="G64" s="253">
        <f>Data!AV63</f>
        <v>356.40000000000003</v>
      </c>
      <c r="H64" s="253">
        <f>Data!AU63</f>
        <v>0</v>
      </c>
      <c r="I64" s="32">
        <f>Data!BG63</f>
        <v>29</v>
      </c>
      <c r="J64" s="32">
        <f>Data!AC63</f>
        <v>290</v>
      </c>
      <c r="K64" s="78">
        <f>Data!BC63</f>
        <v>3149.3</v>
      </c>
      <c r="L64" s="254">
        <f>Data!BZ63</f>
        <v>0</v>
      </c>
      <c r="M64" s="32">
        <f t="shared" si="5"/>
        <v>17821056.631648913</v>
      </c>
      <c r="N64" s="32">
        <f t="shared" si="7"/>
        <v>17163309.727329824</v>
      </c>
      <c r="O64" s="51">
        <f t="shared" si="8"/>
        <v>318124.71528162807</v>
      </c>
      <c r="P64" s="50">
        <f t="shared" si="9"/>
        <v>1.8175510068924185E-2</v>
      </c>
    </row>
    <row r="65" spans="1:16" x14ac:dyDescent="0.2">
      <c r="A65" s="2">
        <v>42430</v>
      </c>
      <c r="B65">
        <f t="shared" si="3"/>
        <v>2016</v>
      </c>
      <c r="C65">
        <f t="shared" si="6"/>
        <v>3</v>
      </c>
      <c r="D65" s="56">
        <f>Data!J64</f>
        <v>16957889.127710842</v>
      </c>
      <c r="E65" s="56">
        <f>Data!K64</f>
        <v>657746.90431909065</v>
      </c>
      <c r="F65" s="56">
        <f>Data!L64</f>
        <v>17615636.032029931</v>
      </c>
      <c r="G65" s="253">
        <f>Data!AV64</f>
        <v>232.90000000000003</v>
      </c>
      <c r="H65" s="253">
        <f>Data!AU64</f>
        <v>0.80000000000000071</v>
      </c>
      <c r="I65" s="32">
        <f>Data!BG64</f>
        <v>31</v>
      </c>
      <c r="J65" s="32">
        <f>Data!AC64</f>
        <v>293</v>
      </c>
      <c r="K65" s="78">
        <f>Data!BC64</f>
        <v>3140</v>
      </c>
      <c r="L65" s="254">
        <f>Data!BZ64</f>
        <v>0</v>
      </c>
      <c r="M65" s="32">
        <f t="shared" si="5"/>
        <v>17922308.099861484</v>
      </c>
      <c r="N65" s="32">
        <f t="shared" si="7"/>
        <v>17264561.195542395</v>
      </c>
      <c r="O65" s="51">
        <f t="shared" si="8"/>
        <v>306672.06783155352</v>
      </c>
      <c r="P65" s="50">
        <f t="shared" si="9"/>
        <v>1.7409082889425158E-2</v>
      </c>
    </row>
    <row r="66" spans="1:16" x14ac:dyDescent="0.2">
      <c r="A66" s="2">
        <v>42461</v>
      </c>
      <c r="B66">
        <f t="shared" si="3"/>
        <v>2016</v>
      </c>
      <c r="C66">
        <f t="shared" si="6"/>
        <v>4</v>
      </c>
      <c r="D66" s="56">
        <f>Data!J65</f>
        <v>16234178.226506023</v>
      </c>
      <c r="E66" s="56">
        <f>Data!K65</f>
        <v>657746.90431909065</v>
      </c>
      <c r="F66" s="56">
        <f>Data!L65</f>
        <v>16891925.130825114</v>
      </c>
      <c r="G66" s="253">
        <f>Data!AV65</f>
        <v>167.70000000000005</v>
      </c>
      <c r="H66" s="253">
        <f>Data!AU65</f>
        <v>4.9000000000000004</v>
      </c>
      <c r="I66" s="32">
        <f>Data!BG65</f>
        <v>30</v>
      </c>
      <c r="J66" s="32">
        <f>Data!AC65</f>
        <v>293</v>
      </c>
      <c r="K66" s="78">
        <f>Data!BC65</f>
        <v>3137.9</v>
      </c>
      <c r="L66" s="254">
        <f>Data!BZ65</f>
        <v>0</v>
      </c>
      <c r="M66" s="32">
        <f t="shared" si="5"/>
        <v>17247937.247296207</v>
      </c>
      <c r="N66" s="32">
        <f t="shared" si="7"/>
        <v>16590190.342977116</v>
      </c>
      <c r="O66" s="51">
        <f t="shared" si="8"/>
        <v>356012.11647109315</v>
      </c>
      <c r="P66" s="50">
        <f t="shared" si="9"/>
        <v>2.1075875823142673E-2</v>
      </c>
    </row>
    <row r="67" spans="1:16" x14ac:dyDescent="0.2">
      <c r="A67" s="2">
        <v>42491</v>
      </c>
      <c r="B67">
        <f t="shared" si="3"/>
        <v>2016</v>
      </c>
      <c r="C67">
        <f t="shared" si="6"/>
        <v>5</v>
      </c>
      <c r="D67" s="56">
        <f>Data!J66</f>
        <v>15945008.597590361</v>
      </c>
      <c r="E67" s="56">
        <f>Data!K66</f>
        <v>657746.90431909065</v>
      </c>
      <c r="F67" s="56">
        <f>Data!L66</f>
        <v>16602755.501909452</v>
      </c>
      <c r="G67" s="253">
        <f>Data!AV66</f>
        <v>12.600000000000001</v>
      </c>
      <c r="H67" s="253">
        <f>Data!AU66</f>
        <v>116.69999999999999</v>
      </c>
      <c r="I67" s="32">
        <f>Data!BG66</f>
        <v>31</v>
      </c>
      <c r="J67" s="32">
        <f>Data!AC66</f>
        <v>295</v>
      </c>
      <c r="K67" s="78">
        <f>Data!BC66</f>
        <v>3144.8</v>
      </c>
      <c r="L67" s="254">
        <f>Data!BZ66</f>
        <v>0</v>
      </c>
      <c r="M67" s="32">
        <f t="shared" si="5"/>
        <v>17612841.333522443</v>
      </c>
      <c r="N67" s="32">
        <f t="shared" ref="N67:N98" si="10">M67-E67</f>
        <v>16955094.429203354</v>
      </c>
      <c r="O67" s="51">
        <f t="shared" ref="O67:O98" si="11">+M67-F67</f>
        <v>1010085.8316129912</v>
      </c>
      <c r="P67" s="50">
        <f t="shared" ref="P67:P98" si="12">ABS(O67/F67)</f>
        <v>6.0838445250658728E-2</v>
      </c>
    </row>
    <row r="68" spans="1:16" x14ac:dyDescent="0.2">
      <c r="A68" s="2">
        <v>42522</v>
      </c>
      <c r="B68">
        <f t="shared" ref="B68:B127" si="13">YEAR(A68)</f>
        <v>2016</v>
      </c>
      <c r="C68">
        <f t="shared" si="6"/>
        <v>6</v>
      </c>
      <c r="D68" s="56">
        <f>Data!J67</f>
        <v>16837420.39518071</v>
      </c>
      <c r="E68" s="56">
        <f>Data!K67</f>
        <v>657746.90431909065</v>
      </c>
      <c r="F68" s="56">
        <f>Data!L67</f>
        <v>17495167.299499799</v>
      </c>
      <c r="G68" s="253">
        <f>Data!AV67</f>
        <v>0</v>
      </c>
      <c r="H68" s="253">
        <f>Data!AU67</f>
        <v>240.59999999999997</v>
      </c>
      <c r="I68" s="32">
        <f>Data!BG67</f>
        <v>30</v>
      </c>
      <c r="J68" s="32">
        <f>Data!AC67</f>
        <v>299</v>
      </c>
      <c r="K68" s="78">
        <f>Data!BC67</f>
        <v>3155.8</v>
      </c>
      <c r="L68" s="254">
        <f>Data!BZ67</f>
        <v>0</v>
      </c>
      <c r="M68" s="32">
        <f t="shared" ref="M68:M127" si="14">$R$19+G68*$R$20+H68*$R$21+I68*$R$22+J68*$R$23+K68*$R$24+L68*$R$25</f>
        <v>18156431.365370683</v>
      </c>
      <c r="N68" s="32">
        <f t="shared" si="10"/>
        <v>17498684.461051594</v>
      </c>
      <c r="O68" s="51">
        <f t="shared" si="11"/>
        <v>661264.06587088481</v>
      </c>
      <c r="P68" s="50">
        <f t="shared" si="12"/>
        <v>3.7796955842187965E-2</v>
      </c>
    </row>
    <row r="69" spans="1:16" x14ac:dyDescent="0.2">
      <c r="A69" s="2">
        <v>42552</v>
      </c>
      <c r="B69">
        <f t="shared" si="13"/>
        <v>2016</v>
      </c>
      <c r="C69">
        <f t="shared" si="6"/>
        <v>7</v>
      </c>
      <c r="D69" s="56">
        <f>Data!J68</f>
        <v>17715629.291566268</v>
      </c>
      <c r="E69" s="56">
        <f>Data!K68</f>
        <v>657746.90431909065</v>
      </c>
      <c r="F69" s="56">
        <f>Data!L68</f>
        <v>18373376.195885357</v>
      </c>
      <c r="G69" s="253">
        <f>Data!AV68</f>
        <v>0</v>
      </c>
      <c r="H69" s="253">
        <f>Data!AU68</f>
        <v>362.9</v>
      </c>
      <c r="I69" s="32">
        <f>Data!BG68</f>
        <v>31</v>
      </c>
      <c r="J69" s="32">
        <f>Data!AC68</f>
        <v>300</v>
      </c>
      <c r="K69" s="78">
        <f>Data!BC68</f>
        <v>3152.3</v>
      </c>
      <c r="L69" s="254">
        <f>Data!BZ68</f>
        <v>0</v>
      </c>
      <c r="M69" s="32">
        <f t="shared" si="14"/>
        <v>19329959.276002385</v>
      </c>
      <c r="N69" s="32">
        <f t="shared" si="10"/>
        <v>18672212.371683296</v>
      </c>
      <c r="O69" s="51">
        <f t="shared" si="11"/>
        <v>956583.08011702821</v>
      </c>
      <c r="P69" s="50">
        <f t="shared" si="12"/>
        <v>5.206354400620454E-2</v>
      </c>
    </row>
    <row r="70" spans="1:16" x14ac:dyDescent="0.2">
      <c r="A70" s="2">
        <v>42583</v>
      </c>
      <c r="B70">
        <f t="shared" si="13"/>
        <v>2016</v>
      </c>
      <c r="C70">
        <f t="shared" si="6"/>
        <v>8</v>
      </c>
      <c r="D70" s="56">
        <f>Data!J69</f>
        <v>18536229.59036145</v>
      </c>
      <c r="E70" s="56">
        <f>Data!K69</f>
        <v>657746.90431909065</v>
      </c>
      <c r="F70" s="56">
        <f>Data!L69</f>
        <v>19193976.494680539</v>
      </c>
      <c r="G70" s="253">
        <f>Data!AV69</f>
        <v>0</v>
      </c>
      <c r="H70" s="253">
        <f>Data!AU69</f>
        <v>381.40000000000009</v>
      </c>
      <c r="I70" s="32">
        <f>Data!BG69</f>
        <v>31</v>
      </c>
      <c r="J70" s="32">
        <f>Data!AC69</f>
        <v>301</v>
      </c>
      <c r="K70" s="78">
        <f>Data!BC69</f>
        <v>3149.1</v>
      </c>
      <c r="L70" s="254">
        <f>Data!BZ69</f>
        <v>0</v>
      </c>
      <c r="M70" s="32">
        <f t="shared" si="14"/>
        <v>19462623.594472293</v>
      </c>
      <c r="N70" s="32">
        <f t="shared" si="10"/>
        <v>18804876.690153204</v>
      </c>
      <c r="O70" s="51">
        <f t="shared" si="11"/>
        <v>268647.09979175404</v>
      </c>
      <c r="P70" s="50">
        <f t="shared" si="12"/>
        <v>1.3996427465992129E-2</v>
      </c>
    </row>
    <row r="71" spans="1:16" x14ac:dyDescent="0.2">
      <c r="A71" s="2">
        <v>42614</v>
      </c>
      <c r="B71">
        <f t="shared" si="13"/>
        <v>2016</v>
      </c>
      <c r="C71">
        <f t="shared" si="6"/>
        <v>9</v>
      </c>
      <c r="D71" s="56">
        <f>Data!J70</f>
        <v>17232312.954216857</v>
      </c>
      <c r="E71" s="56">
        <f>Data!K70</f>
        <v>657746.90431909065</v>
      </c>
      <c r="F71" s="56">
        <f>Data!L70</f>
        <v>17890059.858535945</v>
      </c>
      <c r="G71" s="253">
        <f>Data!AV70</f>
        <v>0</v>
      </c>
      <c r="H71" s="253">
        <f>Data!AU70</f>
        <v>223.5</v>
      </c>
      <c r="I71" s="32">
        <f>Data!BG70</f>
        <v>30</v>
      </c>
      <c r="J71" s="32">
        <f>Data!AC70</f>
        <v>300</v>
      </c>
      <c r="K71" s="78">
        <f>Data!BC70</f>
        <v>3140.2</v>
      </c>
      <c r="L71" s="254">
        <f>Data!BZ70</f>
        <v>0</v>
      </c>
      <c r="M71" s="32">
        <f t="shared" si="14"/>
        <v>18000310.726555914</v>
      </c>
      <c r="N71" s="32">
        <f t="shared" si="10"/>
        <v>17342563.822236825</v>
      </c>
      <c r="O71" s="51">
        <f t="shared" si="11"/>
        <v>110250.86801996827</v>
      </c>
      <c r="P71" s="50">
        <f t="shared" si="12"/>
        <v>6.1626886042733895E-3</v>
      </c>
    </row>
    <row r="72" spans="1:16" x14ac:dyDescent="0.2">
      <c r="A72" s="2">
        <v>42644</v>
      </c>
      <c r="B72">
        <f t="shared" si="13"/>
        <v>2016</v>
      </c>
      <c r="C72">
        <f t="shared" si="6"/>
        <v>10</v>
      </c>
      <c r="D72" s="56">
        <f>Data!J71</f>
        <v>16281343.142168675</v>
      </c>
      <c r="E72" s="56">
        <f>Data!K71</f>
        <v>657746.90431909065</v>
      </c>
      <c r="F72" s="56">
        <f>Data!L71</f>
        <v>16939090.046487764</v>
      </c>
      <c r="G72" s="253">
        <f>Data!AV71</f>
        <v>45.400000000000006</v>
      </c>
      <c r="H72" s="253">
        <f>Data!AU71</f>
        <v>69.3</v>
      </c>
      <c r="I72" s="32">
        <f>Data!BG71</f>
        <v>31</v>
      </c>
      <c r="J72" s="32">
        <f>Data!AC71</f>
        <v>302</v>
      </c>
      <c r="K72" s="78">
        <f>Data!BC71</f>
        <v>3134.2</v>
      </c>
      <c r="L72" s="254">
        <f>Data!BZ71</f>
        <v>0</v>
      </c>
      <c r="M72" s="32">
        <f t="shared" si="14"/>
        <v>17588671.070835896</v>
      </c>
      <c r="N72" s="32">
        <f t="shared" si="10"/>
        <v>16930924.166516807</v>
      </c>
      <c r="O72" s="51">
        <f t="shared" si="11"/>
        <v>649581.02434813231</v>
      </c>
      <c r="P72" s="50">
        <f t="shared" si="12"/>
        <v>3.8348047183491989E-2</v>
      </c>
    </row>
    <row r="73" spans="1:16" x14ac:dyDescent="0.2">
      <c r="A73" s="2">
        <v>42675</v>
      </c>
      <c r="B73">
        <f t="shared" si="13"/>
        <v>2016</v>
      </c>
      <c r="C73">
        <f t="shared" si="6"/>
        <v>11</v>
      </c>
      <c r="D73" s="56">
        <f>Data!J72</f>
        <v>16390339.113253012</v>
      </c>
      <c r="E73" s="56">
        <f>Data!K72</f>
        <v>657746.90431909065</v>
      </c>
      <c r="F73" s="56">
        <f>Data!L72</f>
        <v>17048086.017572101</v>
      </c>
      <c r="G73" s="253">
        <f>Data!AV72</f>
        <v>108.59999999999997</v>
      </c>
      <c r="H73" s="253">
        <f>Data!AU72</f>
        <v>3.0999999999999996</v>
      </c>
      <c r="I73" s="32">
        <f>Data!BG72</f>
        <v>30</v>
      </c>
      <c r="J73" s="32">
        <f>Data!AC72</f>
        <v>303</v>
      </c>
      <c r="K73" s="78">
        <f>Data!BC72</f>
        <v>3130.5</v>
      </c>
      <c r="L73" s="254">
        <f>Data!BZ72</f>
        <v>0</v>
      </c>
      <c r="M73" s="32">
        <f t="shared" si="14"/>
        <v>17132465.181418031</v>
      </c>
      <c r="N73" s="32">
        <f t="shared" si="10"/>
        <v>16474718.277098941</v>
      </c>
      <c r="O73" s="51">
        <f t="shared" si="11"/>
        <v>84379.163845930248</v>
      </c>
      <c r="P73" s="50">
        <f t="shared" si="12"/>
        <v>4.9494801797080028E-3</v>
      </c>
    </row>
    <row r="74" spans="1:16" x14ac:dyDescent="0.2">
      <c r="A74" s="2">
        <v>42705</v>
      </c>
      <c r="B74">
        <f t="shared" si="13"/>
        <v>2016</v>
      </c>
      <c r="C74">
        <f t="shared" si="6"/>
        <v>12</v>
      </c>
      <c r="D74" s="56">
        <f>Data!J73</f>
        <v>18004813.812048193</v>
      </c>
      <c r="E74" s="56">
        <f>Data!K73</f>
        <v>657746.90431909065</v>
      </c>
      <c r="F74" s="56">
        <f>Data!L73</f>
        <v>18662560.716367282</v>
      </c>
      <c r="G74" s="253">
        <f>Data!AV73</f>
        <v>359.99999999999994</v>
      </c>
      <c r="H74" s="253">
        <f>Data!AU73</f>
        <v>0</v>
      </c>
      <c r="I74" s="32">
        <f>Data!BG73</f>
        <v>31</v>
      </c>
      <c r="J74" s="32">
        <f>Data!AC73</f>
        <v>304</v>
      </c>
      <c r="K74" s="78">
        <f>Data!BC73</f>
        <v>3127.9</v>
      </c>
      <c r="L74" s="254">
        <f>Data!BZ73</f>
        <v>0</v>
      </c>
      <c r="M74" s="32">
        <f t="shared" si="14"/>
        <v>18785423.392452788</v>
      </c>
      <c r="N74" s="32">
        <f t="shared" si="10"/>
        <v>18127676.488133699</v>
      </c>
      <c r="O74" s="51">
        <f t="shared" si="11"/>
        <v>122862.67608550563</v>
      </c>
      <c r="P74" s="50">
        <f t="shared" si="12"/>
        <v>6.583377166336753E-3</v>
      </c>
    </row>
    <row r="75" spans="1:16" x14ac:dyDescent="0.2">
      <c r="A75" s="2">
        <v>42736</v>
      </c>
      <c r="B75">
        <f t="shared" si="13"/>
        <v>2017</v>
      </c>
      <c r="C75">
        <f t="shared" si="6"/>
        <v>1</v>
      </c>
      <c r="D75" s="56">
        <f>Data!J74</f>
        <v>18633488.665060241</v>
      </c>
      <c r="E75" s="56">
        <f>Data!K74</f>
        <v>1025745.4165349469</v>
      </c>
      <c r="F75" s="56">
        <f>Data!L74</f>
        <v>19659234.081595186</v>
      </c>
      <c r="G75" s="253">
        <f>Data!AV74</f>
        <v>360.90000000000003</v>
      </c>
      <c r="H75" s="253">
        <f>Data!AU74</f>
        <v>0</v>
      </c>
      <c r="I75" s="32">
        <f>Data!BG74</f>
        <v>31</v>
      </c>
      <c r="J75" s="32">
        <f>Data!AC74</f>
        <v>304</v>
      </c>
      <c r="K75" s="78">
        <f>Data!BC74</f>
        <v>3136.5</v>
      </c>
      <c r="L75" s="254">
        <f>Data!BZ74</f>
        <v>0</v>
      </c>
      <c r="M75" s="32">
        <f t="shared" si="14"/>
        <v>18826604.307601202</v>
      </c>
      <c r="N75" s="32">
        <f t="shared" si="10"/>
        <v>17800858.891066257</v>
      </c>
      <c r="O75" s="51">
        <f t="shared" si="11"/>
        <v>-832629.77399398386</v>
      </c>
      <c r="P75" s="50">
        <f t="shared" si="12"/>
        <v>4.2353113582053792E-2</v>
      </c>
    </row>
    <row r="76" spans="1:16" x14ac:dyDescent="0.2">
      <c r="A76" s="2">
        <v>42767</v>
      </c>
      <c r="B76">
        <f t="shared" si="13"/>
        <v>2017</v>
      </c>
      <c r="C76">
        <f t="shared" si="6"/>
        <v>2</v>
      </c>
      <c r="D76" s="56">
        <f>Data!J75</f>
        <v>16411229.214457829</v>
      </c>
      <c r="E76" s="56">
        <f>Data!K75</f>
        <v>1025745.4165349469</v>
      </c>
      <c r="F76" s="56">
        <f>Data!L75</f>
        <v>17436974.630992774</v>
      </c>
      <c r="G76" s="253">
        <f>Data!AV75</f>
        <v>287.3</v>
      </c>
      <c r="H76" s="253">
        <f>Data!AU75</f>
        <v>0</v>
      </c>
      <c r="I76" s="32">
        <f>Data!BG75</f>
        <v>28</v>
      </c>
      <c r="J76" s="32">
        <f>Data!AC75</f>
        <v>306</v>
      </c>
      <c r="K76" s="78">
        <f>Data!BC75</f>
        <v>3152.5</v>
      </c>
      <c r="L76" s="254">
        <f>Data!BZ75</f>
        <v>0</v>
      </c>
      <c r="M76" s="32">
        <f t="shared" si="14"/>
        <v>17498082.318642028</v>
      </c>
      <c r="N76" s="32">
        <f t="shared" si="10"/>
        <v>16472336.90210708</v>
      </c>
      <c r="O76" s="51">
        <f t="shared" si="11"/>
        <v>61107.687649253756</v>
      </c>
      <c r="P76" s="50">
        <f t="shared" si="12"/>
        <v>3.5044891067651102E-3</v>
      </c>
    </row>
    <row r="77" spans="1:16" x14ac:dyDescent="0.2">
      <c r="A77" s="2">
        <v>42795</v>
      </c>
      <c r="B77">
        <f t="shared" si="13"/>
        <v>2017</v>
      </c>
      <c r="C77">
        <f t="shared" si="6"/>
        <v>3</v>
      </c>
      <c r="D77" s="56">
        <f>Data!J76</f>
        <v>18608676.597590368</v>
      </c>
      <c r="E77" s="56">
        <f>Data!K76</f>
        <v>1025745.4165349469</v>
      </c>
      <c r="F77" s="56">
        <f>Data!L76</f>
        <v>19634422.014125314</v>
      </c>
      <c r="G77" s="253">
        <f>Data!AV76</f>
        <v>327.10000000000002</v>
      </c>
      <c r="H77" s="253">
        <f>Data!AU76</f>
        <v>0</v>
      </c>
      <c r="I77" s="32">
        <f>Data!BG76</f>
        <v>31</v>
      </c>
      <c r="J77" s="32">
        <f>Data!AC76</f>
        <v>307</v>
      </c>
      <c r="K77" s="78">
        <f>Data!BC76</f>
        <v>3168.5</v>
      </c>
      <c r="L77" s="254">
        <f>Data!BZ76</f>
        <v>0</v>
      </c>
      <c r="M77" s="32">
        <f t="shared" si="14"/>
        <v>18857206.003363341</v>
      </c>
      <c r="N77" s="32">
        <f t="shared" si="10"/>
        <v>17831460.586828396</v>
      </c>
      <c r="O77" s="51">
        <f t="shared" si="11"/>
        <v>-777216.01076197252</v>
      </c>
      <c r="P77" s="50">
        <f t="shared" si="12"/>
        <v>3.9584359050795132E-2</v>
      </c>
    </row>
    <row r="78" spans="1:16" x14ac:dyDescent="0.2">
      <c r="A78" s="2">
        <v>42826</v>
      </c>
      <c r="B78">
        <f t="shared" si="13"/>
        <v>2017</v>
      </c>
      <c r="C78">
        <f t="shared" si="6"/>
        <v>4</v>
      </c>
      <c r="D78" s="56">
        <f>Data!J77</f>
        <v>15988040.308433732</v>
      </c>
      <c r="E78" s="56">
        <f>Data!K77</f>
        <v>1025745.4165349469</v>
      </c>
      <c r="F78" s="56">
        <f>Data!L77</f>
        <v>17013785.724968679</v>
      </c>
      <c r="G78" s="253">
        <f>Data!AV77</f>
        <v>57.499999999999986</v>
      </c>
      <c r="H78" s="253">
        <f>Data!AU77</f>
        <v>20.5</v>
      </c>
      <c r="I78" s="32">
        <f>Data!BG77</f>
        <v>30</v>
      </c>
      <c r="J78" s="32">
        <f>Data!AC77</f>
        <v>307</v>
      </c>
      <c r="K78" s="78">
        <f>Data!BC77</f>
        <v>3177</v>
      </c>
      <c r="L78" s="254">
        <f>Data!BZ77</f>
        <v>0</v>
      </c>
      <c r="M78" s="32">
        <f t="shared" si="14"/>
        <v>17273584.040036835</v>
      </c>
      <c r="N78" s="32">
        <f t="shared" si="10"/>
        <v>16247838.623501888</v>
      </c>
      <c r="O78" s="51">
        <f t="shared" si="11"/>
        <v>259798.31506815553</v>
      </c>
      <c r="P78" s="50">
        <f t="shared" si="12"/>
        <v>1.5269871107338975E-2</v>
      </c>
    </row>
    <row r="79" spans="1:16" x14ac:dyDescent="0.2">
      <c r="A79" s="2">
        <v>42856</v>
      </c>
      <c r="B79">
        <f t="shared" si="13"/>
        <v>2017</v>
      </c>
      <c r="C79">
        <f t="shared" si="6"/>
        <v>5</v>
      </c>
      <c r="D79" s="56">
        <f>Data!J78</f>
        <v>17068131.836144567</v>
      </c>
      <c r="E79" s="56">
        <f>Data!K78</f>
        <v>1025745.4165349469</v>
      </c>
      <c r="F79" s="56">
        <f>Data!L78</f>
        <v>18093877.252679512</v>
      </c>
      <c r="G79" s="253">
        <f>Data!AV78</f>
        <v>22.200000000000003</v>
      </c>
      <c r="H79" s="253">
        <f>Data!AU78</f>
        <v>63.900000000000013</v>
      </c>
      <c r="I79" s="32">
        <f>Data!BG78</f>
        <v>31</v>
      </c>
      <c r="J79" s="32">
        <f>Data!AC78</f>
        <v>324</v>
      </c>
      <c r="K79" s="78">
        <f>Data!BC78</f>
        <v>3185.7</v>
      </c>
      <c r="L79" s="254">
        <f>Data!BZ78</f>
        <v>0</v>
      </c>
      <c r="M79" s="32">
        <f t="shared" si="14"/>
        <v>18168295.972851884</v>
      </c>
      <c r="N79" s="32">
        <f t="shared" si="10"/>
        <v>17142550.556316938</v>
      </c>
      <c r="O79" s="51">
        <f t="shared" si="11"/>
        <v>74418.720172371715</v>
      </c>
      <c r="P79" s="50">
        <f t="shared" si="12"/>
        <v>4.1129227933361318E-3</v>
      </c>
    </row>
    <row r="80" spans="1:16" x14ac:dyDescent="0.2">
      <c r="A80" s="2">
        <v>42887</v>
      </c>
      <c r="B80">
        <f t="shared" si="13"/>
        <v>2017</v>
      </c>
      <c r="C80">
        <f t="shared" si="6"/>
        <v>6</v>
      </c>
      <c r="D80" s="56">
        <f>Data!J79</f>
        <v>18289433.233734939</v>
      </c>
      <c r="E80" s="56">
        <f>Data!K79</f>
        <v>1025745.4165349469</v>
      </c>
      <c r="F80" s="56">
        <f>Data!L79</f>
        <v>19315178.650269885</v>
      </c>
      <c r="G80" s="253">
        <f>Data!AV79</f>
        <v>0</v>
      </c>
      <c r="H80" s="253">
        <f>Data!AU79</f>
        <v>221.49999999999997</v>
      </c>
      <c r="I80" s="32">
        <f>Data!BG79</f>
        <v>30</v>
      </c>
      <c r="J80" s="32">
        <f>Data!AC79</f>
        <v>325</v>
      </c>
      <c r="K80" s="78">
        <f>Data!BC79</f>
        <v>3186.9</v>
      </c>
      <c r="L80" s="254">
        <f>Data!BZ79</f>
        <v>0</v>
      </c>
      <c r="M80" s="32">
        <f t="shared" si="14"/>
        <v>18773346.628438793</v>
      </c>
      <c r="N80" s="32">
        <f t="shared" si="10"/>
        <v>17747601.211903848</v>
      </c>
      <c r="O80" s="51">
        <f t="shared" si="11"/>
        <v>-541832.02183109149</v>
      </c>
      <c r="P80" s="50">
        <f t="shared" si="12"/>
        <v>2.8052136179621649E-2</v>
      </c>
    </row>
    <row r="81" spans="1:30" x14ac:dyDescent="0.2">
      <c r="A81" s="2">
        <v>42917</v>
      </c>
      <c r="B81">
        <f t="shared" si="13"/>
        <v>2017</v>
      </c>
      <c r="C81">
        <f t="shared" si="6"/>
        <v>7</v>
      </c>
      <c r="D81" s="56">
        <f>Data!J80</f>
        <v>18523386.361445796</v>
      </c>
      <c r="E81" s="56">
        <f>Data!K80</f>
        <v>1025745.4165349469</v>
      </c>
      <c r="F81" s="56">
        <f>Data!L80</f>
        <v>19549131.777980741</v>
      </c>
      <c r="G81" s="253">
        <f>Data!AV80</f>
        <v>0</v>
      </c>
      <c r="H81" s="253">
        <f>Data!AU80</f>
        <v>302.50000000000006</v>
      </c>
      <c r="I81" s="32">
        <f>Data!BG80</f>
        <v>31</v>
      </c>
      <c r="J81" s="32">
        <f>Data!AC80</f>
        <v>325</v>
      </c>
      <c r="K81" s="78">
        <f>Data!BC80</f>
        <v>3187.6</v>
      </c>
      <c r="L81" s="254">
        <f>Data!BZ80</f>
        <v>0</v>
      </c>
      <c r="M81" s="32">
        <f t="shared" si="14"/>
        <v>19667208.016322315</v>
      </c>
      <c r="N81" s="32">
        <f t="shared" si="10"/>
        <v>18641462.599787369</v>
      </c>
      <c r="O81" s="51">
        <f t="shared" si="11"/>
        <v>118076.23834157363</v>
      </c>
      <c r="P81" s="50">
        <f t="shared" si="12"/>
        <v>6.0399735232522893E-3</v>
      </c>
    </row>
    <row r="82" spans="1:30" x14ac:dyDescent="0.2">
      <c r="A82" s="2">
        <v>42948</v>
      </c>
      <c r="B82">
        <f t="shared" si="13"/>
        <v>2017</v>
      </c>
      <c r="C82">
        <f t="shared" si="6"/>
        <v>8</v>
      </c>
      <c r="D82" s="56">
        <f>Data!J81</f>
        <v>18386586.149397578</v>
      </c>
      <c r="E82" s="56">
        <f>Data!K81</f>
        <v>1025745.4165349469</v>
      </c>
      <c r="F82" s="56">
        <f>Data!L81</f>
        <v>19412331.565932523</v>
      </c>
      <c r="G82" s="253">
        <f>Data!AV81</f>
        <v>0</v>
      </c>
      <c r="H82" s="253">
        <f>Data!AU81</f>
        <v>249.60000000000005</v>
      </c>
      <c r="I82" s="32">
        <f>Data!BG81</f>
        <v>31</v>
      </c>
      <c r="J82" s="32">
        <f>Data!AC81</f>
        <v>326</v>
      </c>
      <c r="K82" s="78">
        <f>Data!BC81</f>
        <v>3194.3</v>
      </c>
      <c r="L82" s="254">
        <f>Data!BZ81</f>
        <v>0</v>
      </c>
      <c r="M82" s="32">
        <f t="shared" si="14"/>
        <v>19368249.96155943</v>
      </c>
      <c r="N82" s="32">
        <f t="shared" si="10"/>
        <v>18342504.545024484</v>
      </c>
      <c r="O82" s="51">
        <f t="shared" si="11"/>
        <v>-44081.604373093694</v>
      </c>
      <c r="P82" s="50">
        <f t="shared" si="12"/>
        <v>2.2708042165555356E-3</v>
      </c>
    </row>
    <row r="83" spans="1:30" x14ac:dyDescent="0.2">
      <c r="A83" s="2">
        <v>42979</v>
      </c>
      <c r="B83">
        <f t="shared" si="13"/>
        <v>2017</v>
      </c>
      <c r="C83">
        <f t="shared" ref="C83:C127" si="15">MONTH(A83)</f>
        <v>9</v>
      </c>
      <c r="D83" s="56">
        <f>Data!J82</f>
        <v>18228570.718072273</v>
      </c>
      <c r="E83" s="56">
        <f>Data!K82</f>
        <v>1025745.4165349469</v>
      </c>
      <c r="F83" s="56">
        <f>Data!L82</f>
        <v>19254316.134607218</v>
      </c>
      <c r="G83" s="253">
        <f>Data!AV82</f>
        <v>0</v>
      </c>
      <c r="H83" s="253">
        <f>Data!AU82</f>
        <v>203.9</v>
      </c>
      <c r="I83" s="32">
        <f>Data!BG82</f>
        <v>30</v>
      </c>
      <c r="J83" s="32">
        <f>Data!AC82</f>
        <v>325</v>
      </c>
      <c r="K83" s="78">
        <f>Data!BC82</f>
        <v>3212.3</v>
      </c>
      <c r="L83" s="254">
        <f>Data!BZ82</f>
        <v>0</v>
      </c>
      <c r="M83" s="32">
        <f t="shared" si="14"/>
        <v>18764398.070246495</v>
      </c>
      <c r="N83" s="32">
        <f t="shared" si="10"/>
        <v>17738652.65371155</v>
      </c>
      <c r="O83" s="51">
        <f t="shared" si="11"/>
        <v>-489918.0643607229</v>
      </c>
      <c r="P83" s="50">
        <f t="shared" si="12"/>
        <v>2.5444584005772951E-2</v>
      </c>
      <c r="AD83"/>
    </row>
    <row r="84" spans="1:30" x14ac:dyDescent="0.2">
      <c r="A84" s="2">
        <v>43009</v>
      </c>
      <c r="B84">
        <f t="shared" si="13"/>
        <v>2017</v>
      </c>
      <c r="C84">
        <f t="shared" si="15"/>
        <v>10</v>
      </c>
      <c r="D84" s="56">
        <f>Data!J83</f>
        <v>17434652.356626499</v>
      </c>
      <c r="E84" s="56">
        <f>Data!K83</f>
        <v>1025745.4165349469</v>
      </c>
      <c r="F84" s="56">
        <f>Data!L83</f>
        <v>18460397.773161445</v>
      </c>
      <c r="G84" s="253">
        <f>Data!AV83</f>
        <v>24.199999999999996</v>
      </c>
      <c r="H84" s="253">
        <f>Data!AU83</f>
        <v>84.3</v>
      </c>
      <c r="I84" s="32">
        <f>Data!BG83</f>
        <v>31</v>
      </c>
      <c r="J84" s="32">
        <f>Data!AC83</f>
        <v>325</v>
      </c>
      <c r="K84" s="78">
        <f>Data!BC83</f>
        <v>3234.8</v>
      </c>
      <c r="L84" s="254">
        <f>Data!BZ83</f>
        <v>0</v>
      </c>
      <c r="M84" s="32">
        <f t="shared" si="14"/>
        <v>18545938.088081531</v>
      </c>
      <c r="N84" s="32">
        <f t="shared" si="10"/>
        <v>17520192.671546586</v>
      </c>
      <c r="O84" s="51">
        <f t="shared" si="11"/>
        <v>85540.314920086414</v>
      </c>
      <c r="P84" s="50">
        <f t="shared" si="12"/>
        <v>4.6337200298277844E-3</v>
      </c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</row>
    <row r="85" spans="1:30" x14ac:dyDescent="0.2">
      <c r="A85" s="2">
        <v>43040</v>
      </c>
      <c r="B85">
        <f t="shared" si="13"/>
        <v>2017</v>
      </c>
      <c r="C85">
        <f t="shared" si="15"/>
        <v>11</v>
      </c>
      <c r="D85" s="56">
        <f>Data!J84</f>
        <v>17640730.698795177</v>
      </c>
      <c r="E85" s="56">
        <f>Data!K84</f>
        <v>1025745.4165349469</v>
      </c>
      <c r="F85" s="56">
        <f>Data!L84</f>
        <v>18666476.115330122</v>
      </c>
      <c r="G85" s="253">
        <f>Data!AV84</f>
        <v>191.20000000000005</v>
      </c>
      <c r="H85" s="253">
        <f>Data!AU84</f>
        <v>0</v>
      </c>
      <c r="I85" s="32">
        <f>Data!BG84</f>
        <v>30</v>
      </c>
      <c r="J85" s="32">
        <f>Data!AC84</f>
        <v>328</v>
      </c>
      <c r="K85" s="78">
        <f>Data!BC84</f>
        <v>3248.6</v>
      </c>
      <c r="L85" s="254">
        <f>Data!BZ84</f>
        <v>0</v>
      </c>
      <c r="M85" s="32">
        <f t="shared" si="14"/>
        <v>18630822.116649408</v>
      </c>
      <c r="N85" s="32">
        <f t="shared" si="10"/>
        <v>17605076.700114463</v>
      </c>
      <c r="O85" s="51">
        <f t="shared" si="11"/>
        <v>-35653.998680714518</v>
      </c>
      <c r="P85" s="50">
        <f t="shared" si="12"/>
        <v>1.9100551416575697E-3</v>
      </c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</row>
    <row r="86" spans="1:30" x14ac:dyDescent="0.2">
      <c r="A86" s="2">
        <v>43070</v>
      </c>
      <c r="B86">
        <f t="shared" si="13"/>
        <v>2017</v>
      </c>
      <c r="C86">
        <f t="shared" si="15"/>
        <v>12</v>
      </c>
      <c r="D86" s="56">
        <f>Data!J85</f>
        <v>18421065.821686748</v>
      </c>
      <c r="E86" s="56">
        <f>Data!K85</f>
        <v>1025745.4165349469</v>
      </c>
      <c r="F86" s="56">
        <f>Data!L85</f>
        <v>19446811.238221694</v>
      </c>
      <c r="G86" s="253">
        <f>Data!AV85</f>
        <v>470.5</v>
      </c>
      <c r="H86" s="253">
        <f>Data!AU85</f>
        <v>0</v>
      </c>
      <c r="I86" s="32">
        <f>Data!BG85</f>
        <v>31</v>
      </c>
      <c r="J86" s="32">
        <f>Data!AC85</f>
        <v>329</v>
      </c>
      <c r="K86" s="78">
        <f>Data!BC85</f>
        <v>3264.9</v>
      </c>
      <c r="L86" s="254">
        <f>Data!BZ85</f>
        <v>0</v>
      </c>
      <c r="M86" s="32">
        <f t="shared" si="14"/>
        <v>20529660.820706744</v>
      </c>
      <c r="N86" s="32">
        <f t="shared" si="10"/>
        <v>19503915.404171798</v>
      </c>
      <c r="O86" s="51">
        <f t="shared" si="11"/>
        <v>1082849.58248505</v>
      </c>
      <c r="P86" s="50">
        <f t="shared" si="12"/>
        <v>5.5682629363767645E-2</v>
      </c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</row>
    <row r="87" spans="1:30" x14ac:dyDescent="0.2">
      <c r="A87" s="2">
        <v>43101</v>
      </c>
      <c r="B87">
        <f t="shared" si="13"/>
        <v>2018</v>
      </c>
      <c r="C87">
        <f t="shared" si="15"/>
        <v>1</v>
      </c>
      <c r="D87" s="56">
        <f>Data!J86</f>
        <v>19760806.669879515</v>
      </c>
      <c r="E87" s="56">
        <f>Data!K86</f>
        <v>1423583.7771266622</v>
      </c>
      <c r="F87" s="56">
        <f>Data!L86</f>
        <v>21184390.447006177</v>
      </c>
      <c r="G87" s="253">
        <f>Data!AV86</f>
        <v>484.2999999999999</v>
      </c>
      <c r="H87" s="253">
        <f>Data!AU86</f>
        <v>0</v>
      </c>
      <c r="I87" s="32">
        <f>Data!BG86</f>
        <v>31</v>
      </c>
      <c r="J87" s="32">
        <f>Data!AC86</f>
        <v>327</v>
      </c>
      <c r="K87" s="78">
        <f>Data!BC86</f>
        <v>3268.4</v>
      </c>
      <c r="L87" s="254">
        <f>Data!BZ86</f>
        <v>0</v>
      </c>
      <c r="M87" s="32">
        <f t="shared" si="14"/>
        <v>20569237.910492755</v>
      </c>
      <c r="N87" s="32">
        <f t="shared" si="10"/>
        <v>19145654.133366093</v>
      </c>
      <c r="O87" s="51">
        <f t="shared" si="11"/>
        <v>-615152.53651342168</v>
      </c>
      <c r="P87" s="50">
        <f t="shared" si="12"/>
        <v>2.9038009757809971E-2</v>
      </c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</row>
    <row r="88" spans="1:30" x14ac:dyDescent="0.2">
      <c r="A88" s="2">
        <v>43132</v>
      </c>
      <c r="B88">
        <f t="shared" si="13"/>
        <v>2018</v>
      </c>
      <c r="C88">
        <f t="shared" si="15"/>
        <v>2</v>
      </c>
      <c r="D88" s="56">
        <f>Data!J87</f>
        <v>17343083.026506029</v>
      </c>
      <c r="E88" s="56">
        <f>Data!K87</f>
        <v>1423583.7771266622</v>
      </c>
      <c r="F88" s="56">
        <f>Data!L87</f>
        <v>18766666.803632692</v>
      </c>
      <c r="G88" s="253">
        <f>Data!AV87</f>
        <v>331.00000000000011</v>
      </c>
      <c r="H88" s="253">
        <f>Data!AU87</f>
        <v>0</v>
      </c>
      <c r="I88" s="32">
        <f>Data!BG87</f>
        <v>28</v>
      </c>
      <c r="J88" s="32">
        <f>Data!AC87</f>
        <v>328</v>
      </c>
      <c r="K88" s="78">
        <f>Data!BC87</f>
        <v>3267.8</v>
      </c>
      <c r="L88" s="254">
        <f>Data!BZ87</f>
        <v>0</v>
      </c>
      <c r="M88" s="32">
        <f t="shared" si="14"/>
        <v>18732239.11182563</v>
      </c>
      <c r="N88" s="32">
        <f t="shared" si="10"/>
        <v>17308655.334698968</v>
      </c>
      <c r="O88" s="51">
        <f t="shared" si="11"/>
        <v>-34427.691807061434</v>
      </c>
      <c r="P88" s="50">
        <f t="shared" si="12"/>
        <v>1.834512871534396E-3</v>
      </c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</row>
    <row r="89" spans="1:30" x14ac:dyDescent="0.2">
      <c r="A89" s="2">
        <v>43160</v>
      </c>
      <c r="B89">
        <f t="shared" si="13"/>
        <v>2018</v>
      </c>
      <c r="C89">
        <f t="shared" si="15"/>
        <v>3</v>
      </c>
      <c r="D89" s="56">
        <f>Data!J88</f>
        <v>16274077.571084337</v>
      </c>
      <c r="E89" s="56">
        <f>Data!K88</f>
        <v>1423583.7771266622</v>
      </c>
      <c r="F89" s="56">
        <f>Data!L88</f>
        <v>17697661.348210998</v>
      </c>
      <c r="G89" s="253">
        <f>Data!AV88</f>
        <v>306.00000000000006</v>
      </c>
      <c r="H89" s="253">
        <f>Data!AU88</f>
        <v>0</v>
      </c>
      <c r="I89" s="32">
        <f>Data!BG88</f>
        <v>31</v>
      </c>
      <c r="J89" s="32">
        <f>Data!AC88</f>
        <v>331</v>
      </c>
      <c r="K89" s="78">
        <f>Data!BC88</f>
        <v>3257.5</v>
      </c>
      <c r="L89" s="254">
        <f>Data!BZ88</f>
        <v>0</v>
      </c>
      <c r="M89" s="32">
        <f t="shared" si="14"/>
        <v>19689779.907404721</v>
      </c>
      <c r="N89" s="32">
        <f t="shared" si="10"/>
        <v>18266196.130278058</v>
      </c>
      <c r="O89" s="51">
        <f t="shared" si="11"/>
        <v>1992118.5591937229</v>
      </c>
      <c r="P89" s="50">
        <f t="shared" si="12"/>
        <v>0.11256394390183651</v>
      </c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</row>
    <row r="90" spans="1:30" x14ac:dyDescent="0.2">
      <c r="A90" s="2">
        <v>43191</v>
      </c>
      <c r="B90">
        <f t="shared" si="13"/>
        <v>2018</v>
      </c>
      <c r="C90">
        <f t="shared" si="15"/>
        <v>4</v>
      </c>
      <c r="D90" s="56">
        <f>Data!J89</f>
        <v>17860673.320481922</v>
      </c>
      <c r="E90" s="56">
        <f>Data!K89</f>
        <v>1423583.7771266622</v>
      </c>
      <c r="F90" s="56">
        <f>Data!L89</f>
        <v>19284257.097608585</v>
      </c>
      <c r="G90" s="253">
        <f>Data!AV89</f>
        <v>200</v>
      </c>
      <c r="H90" s="253">
        <f>Data!AU89</f>
        <v>0</v>
      </c>
      <c r="I90" s="32">
        <f>Data!BG89</f>
        <v>30</v>
      </c>
      <c r="J90" s="32">
        <f>Data!AC89</f>
        <v>332</v>
      </c>
      <c r="K90" s="78">
        <f>Data!BC89</f>
        <v>3252.9</v>
      </c>
      <c r="L90" s="254">
        <f>Data!BZ89</f>
        <v>0</v>
      </c>
      <c r="M90" s="32">
        <f t="shared" si="14"/>
        <v>18788934.471594881</v>
      </c>
      <c r="N90" s="32">
        <f t="shared" si="10"/>
        <v>17365350.694468219</v>
      </c>
      <c r="O90" s="51">
        <f t="shared" si="11"/>
        <v>-495322.62601370364</v>
      </c>
      <c r="P90" s="50">
        <f t="shared" si="12"/>
        <v>2.5685336153038946E-2</v>
      </c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</row>
    <row r="91" spans="1:30" x14ac:dyDescent="0.2">
      <c r="A91" s="2">
        <v>43221</v>
      </c>
      <c r="B91">
        <f t="shared" si="13"/>
        <v>2018</v>
      </c>
      <c r="C91">
        <f t="shared" si="15"/>
        <v>5</v>
      </c>
      <c r="D91" s="56">
        <f>Data!J90</f>
        <v>18372275.971084341</v>
      </c>
      <c r="E91" s="56">
        <f>Data!K90</f>
        <v>1423583.7771266622</v>
      </c>
      <c r="F91" s="56">
        <f>Data!L90</f>
        <v>19795859.748211004</v>
      </c>
      <c r="G91" s="253">
        <f>Data!AV90</f>
        <v>1.9000000000000004</v>
      </c>
      <c r="H91" s="253">
        <f>Data!AU90</f>
        <v>158.9</v>
      </c>
      <c r="I91" s="32">
        <f>Data!BG90</f>
        <v>31</v>
      </c>
      <c r="J91" s="32">
        <f>Data!AC90</f>
        <v>333</v>
      </c>
      <c r="K91" s="78">
        <f>Data!BC90</f>
        <v>3249.3</v>
      </c>
      <c r="L91" s="254">
        <f>Data!BZ90</f>
        <v>0</v>
      </c>
      <c r="M91" s="32">
        <f t="shared" si="14"/>
        <v>19174561.84689809</v>
      </c>
      <c r="N91" s="32">
        <f t="shared" si="10"/>
        <v>17750978.069771428</v>
      </c>
      <c r="O91" s="51">
        <f t="shared" si="11"/>
        <v>-621297.90131291375</v>
      </c>
      <c r="P91" s="50">
        <f t="shared" si="12"/>
        <v>3.1385244652941222E-2</v>
      </c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</row>
    <row r="92" spans="1:30" x14ac:dyDescent="0.2">
      <c r="A92" s="2">
        <v>43252</v>
      </c>
      <c r="B92">
        <f t="shared" si="13"/>
        <v>2018</v>
      </c>
      <c r="C92">
        <f t="shared" si="15"/>
        <v>6</v>
      </c>
      <c r="D92" s="56">
        <f>Data!J91</f>
        <v>19648875.142168682</v>
      </c>
      <c r="E92" s="56">
        <f>Data!K91</f>
        <v>1423583.7771266622</v>
      </c>
      <c r="F92" s="56">
        <f>Data!L91</f>
        <v>21072458.919295345</v>
      </c>
      <c r="G92" s="253">
        <f>Data!AV91</f>
        <v>0</v>
      </c>
      <c r="H92" s="253">
        <f>Data!AU91</f>
        <v>225.70000000000002</v>
      </c>
      <c r="I92" s="32">
        <f>Data!BG91</f>
        <v>30</v>
      </c>
      <c r="J92" s="32">
        <f>Data!AC91</f>
        <v>333</v>
      </c>
      <c r="K92" s="78">
        <f>Data!BC91</f>
        <v>3254.6</v>
      </c>
      <c r="L92" s="254">
        <f>Data!BZ91</f>
        <v>0</v>
      </c>
      <c r="M92" s="32">
        <f t="shared" si="14"/>
        <v>19276732.625424951</v>
      </c>
      <c r="N92" s="32">
        <f t="shared" si="10"/>
        <v>17853148.848298289</v>
      </c>
      <c r="O92" s="51">
        <f t="shared" si="11"/>
        <v>-1795726.2938703932</v>
      </c>
      <c r="P92" s="50">
        <f t="shared" si="12"/>
        <v>8.5216741944914021E-2</v>
      </c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</row>
    <row r="93" spans="1:30" x14ac:dyDescent="0.2">
      <c r="A93" s="2">
        <v>43282</v>
      </c>
      <c r="B93">
        <f t="shared" si="13"/>
        <v>2018</v>
      </c>
      <c r="C93">
        <f t="shared" si="15"/>
        <v>7</v>
      </c>
      <c r="D93" s="56">
        <f>Data!J92</f>
        <v>19458868.327710845</v>
      </c>
      <c r="E93" s="56">
        <f>Data!K92</f>
        <v>1423583.7771266622</v>
      </c>
      <c r="F93" s="56">
        <f>Data!L92</f>
        <v>20882452.104837507</v>
      </c>
      <c r="G93" s="253">
        <f>Data!AV92</f>
        <v>0</v>
      </c>
      <c r="H93" s="253">
        <f>Data!AU92</f>
        <v>353.79999999999995</v>
      </c>
      <c r="I93" s="32">
        <f>Data!BG92</f>
        <v>31</v>
      </c>
      <c r="J93" s="32">
        <f>Data!AC92</f>
        <v>335</v>
      </c>
      <c r="K93" s="78">
        <f>Data!BC92</f>
        <v>3268.2</v>
      </c>
      <c r="L93" s="254">
        <f>Data!BZ92</f>
        <v>0</v>
      </c>
      <c r="M93" s="32">
        <f t="shared" si="14"/>
        <v>20584835.512212437</v>
      </c>
      <c r="N93" s="32">
        <f t="shared" si="10"/>
        <v>19161251.735085774</v>
      </c>
      <c r="O93" s="51">
        <f t="shared" si="11"/>
        <v>-297616.59262507036</v>
      </c>
      <c r="P93" s="50">
        <f t="shared" si="12"/>
        <v>1.4251994503850734E-2</v>
      </c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</row>
    <row r="94" spans="1:30" x14ac:dyDescent="0.2">
      <c r="A94" s="2">
        <v>43313</v>
      </c>
      <c r="B94">
        <f t="shared" si="13"/>
        <v>2018</v>
      </c>
      <c r="C94">
        <f t="shared" si="15"/>
        <v>8</v>
      </c>
      <c r="D94" s="56">
        <f>Data!J93</f>
        <v>20075782.737349391</v>
      </c>
      <c r="E94" s="56">
        <f>Data!K93</f>
        <v>1423583.7771266622</v>
      </c>
      <c r="F94" s="56">
        <f>Data!L93</f>
        <v>21499366.514476053</v>
      </c>
      <c r="G94" s="253">
        <f>Data!AV93</f>
        <v>0</v>
      </c>
      <c r="H94" s="253">
        <f>Data!AU93</f>
        <v>347.2</v>
      </c>
      <c r="I94" s="32">
        <f>Data!BG93</f>
        <v>31</v>
      </c>
      <c r="J94" s="32">
        <f>Data!AC93</f>
        <v>329</v>
      </c>
      <c r="K94" s="78">
        <f>Data!BC93</f>
        <v>3263.2</v>
      </c>
      <c r="L94" s="254">
        <f>Data!BZ93</f>
        <v>0</v>
      </c>
      <c r="M94" s="32">
        <f t="shared" si="14"/>
        <v>20378688.989773866</v>
      </c>
      <c r="N94" s="32">
        <f t="shared" si="10"/>
        <v>18955105.212647203</v>
      </c>
      <c r="O94" s="51">
        <f t="shared" si="11"/>
        <v>-1120677.5247021876</v>
      </c>
      <c r="P94" s="50">
        <f t="shared" si="12"/>
        <v>5.2126071898332807E-2</v>
      </c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</row>
    <row r="95" spans="1:30" x14ac:dyDescent="0.2">
      <c r="A95" s="2">
        <v>43344</v>
      </c>
      <c r="B95">
        <f t="shared" si="13"/>
        <v>2018</v>
      </c>
      <c r="C95">
        <f t="shared" si="15"/>
        <v>9</v>
      </c>
      <c r="D95" s="56">
        <f>Data!J94</f>
        <v>18418754.37108434</v>
      </c>
      <c r="E95" s="56">
        <f>Data!K94</f>
        <v>1423583.7771266622</v>
      </c>
      <c r="F95" s="56">
        <f>Data!L94</f>
        <v>19842338.148211002</v>
      </c>
      <c r="G95" s="253">
        <f>Data!AV94</f>
        <v>0</v>
      </c>
      <c r="H95" s="253">
        <f>Data!AU94</f>
        <v>210.59999999999997</v>
      </c>
      <c r="I95" s="32">
        <f>Data!BG94</f>
        <v>30</v>
      </c>
      <c r="J95" s="32">
        <f>Data!AC94</f>
        <v>326</v>
      </c>
      <c r="K95" s="78">
        <f>Data!BC94</f>
        <v>3255.6</v>
      </c>
      <c r="L95" s="254">
        <f>Data!BZ94</f>
        <v>0</v>
      </c>
      <c r="M95" s="32">
        <f t="shared" si="14"/>
        <v>19016141.735678662</v>
      </c>
      <c r="N95" s="32">
        <f t="shared" si="10"/>
        <v>17592557.958551999</v>
      </c>
      <c r="O95" s="51">
        <f t="shared" si="11"/>
        <v>-826196.41253234074</v>
      </c>
      <c r="P95" s="50">
        <f t="shared" si="12"/>
        <v>4.1638057287458896E-2</v>
      </c>
      <c r="AC95" s="5"/>
    </row>
    <row r="96" spans="1:30" x14ac:dyDescent="0.2">
      <c r="A96" s="2">
        <v>43374</v>
      </c>
      <c r="B96">
        <f t="shared" si="13"/>
        <v>2018</v>
      </c>
      <c r="C96">
        <f t="shared" si="15"/>
        <v>10</v>
      </c>
      <c r="D96" s="56">
        <f>Data!J95</f>
        <v>17903378.053012051</v>
      </c>
      <c r="E96" s="56">
        <f>Data!K95</f>
        <v>1423583.7771266622</v>
      </c>
      <c r="F96" s="56">
        <f>Data!L95</f>
        <v>19326961.830138713</v>
      </c>
      <c r="G96" s="253">
        <f>Data!AV95</f>
        <v>81.899999999999977</v>
      </c>
      <c r="H96" s="253">
        <f>Data!AU95</f>
        <v>30.9</v>
      </c>
      <c r="I96" s="32">
        <f>Data!BG95</f>
        <v>31</v>
      </c>
      <c r="J96" s="32">
        <f>Data!AC95</f>
        <v>326</v>
      </c>
      <c r="K96" s="78">
        <f>Data!BC95</f>
        <v>3254.2</v>
      </c>
      <c r="L96" s="254">
        <f>Data!BZ95</f>
        <v>0</v>
      </c>
      <c r="M96" s="32">
        <f t="shared" si="14"/>
        <v>18597647.404690683</v>
      </c>
      <c r="N96" s="32">
        <f t="shared" si="10"/>
        <v>17174063.62756402</v>
      </c>
      <c r="O96" s="51">
        <f t="shared" si="11"/>
        <v>-729314.42544803023</v>
      </c>
      <c r="P96" s="50">
        <f t="shared" si="12"/>
        <v>3.7735596099265217E-2</v>
      </c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1:38" x14ac:dyDescent="0.2">
      <c r="A97" s="2">
        <v>43405</v>
      </c>
      <c r="B97">
        <f t="shared" si="13"/>
        <v>2018</v>
      </c>
      <c r="C97">
        <f t="shared" si="15"/>
        <v>11</v>
      </c>
      <c r="D97" s="56">
        <f>Data!J96</f>
        <v>18069580.289156623</v>
      </c>
      <c r="E97" s="56">
        <f>Data!K96</f>
        <v>1423583.7771266622</v>
      </c>
      <c r="F97" s="56">
        <f>Data!L96</f>
        <v>19493164.066283286</v>
      </c>
      <c r="G97" s="253">
        <f>Data!AV96</f>
        <v>256.49999999999994</v>
      </c>
      <c r="H97" s="253">
        <f>Data!AU96</f>
        <v>0.40000000000000036</v>
      </c>
      <c r="I97" s="32">
        <f>Data!BG96</f>
        <v>30</v>
      </c>
      <c r="J97" s="32">
        <f>Data!AC96</f>
        <v>328</v>
      </c>
      <c r="K97" s="78">
        <f>Data!BC96</f>
        <v>3272.2</v>
      </c>
      <c r="L97" s="254">
        <f>Data!BZ96</f>
        <v>0</v>
      </c>
      <c r="M97" s="32">
        <f t="shared" si="14"/>
        <v>19073247.303388126</v>
      </c>
      <c r="N97" s="32">
        <f t="shared" si="10"/>
        <v>17649663.526261464</v>
      </c>
      <c r="O97" s="51">
        <f t="shared" si="11"/>
        <v>-419916.76289515942</v>
      </c>
      <c r="P97" s="50">
        <f t="shared" si="12"/>
        <v>2.1541744658142813E-2</v>
      </c>
    </row>
    <row r="98" spans="1:38" x14ac:dyDescent="0.2">
      <c r="A98" s="2">
        <v>43435</v>
      </c>
      <c r="B98">
        <f t="shared" si="13"/>
        <v>2018</v>
      </c>
      <c r="C98">
        <f t="shared" si="15"/>
        <v>12</v>
      </c>
      <c r="D98" s="56">
        <f>Data!J97</f>
        <v>18620637.38795181</v>
      </c>
      <c r="E98" s="56">
        <f>Data!K97</f>
        <v>1423583.7771266622</v>
      </c>
      <c r="F98" s="56">
        <f>Data!L97</f>
        <v>20044221.165078472</v>
      </c>
      <c r="G98" s="253">
        <f>Data!AV97</f>
        <v>315.60000000000002</v>
      </c>
      <c r="H98" s="253">
        <f>Data!AU97</f>
        <v>0</v>
      </c>
      <c r="I98" s="32">
        <f>Data!BG97</f>
        <v>31</v>
      </c>
      <c r="J98" s="32">
        <f>Data!AC97</f>
        <v>328</v>
      </c>
      <c r="K98" s="78">
        <f>Data!BC97</f>
        <v>3285.5</v>
      </c>
      <c r="L98" s="254">
        <f>Data!BZ97</f>
        <v>0</v>
      </c>
      <c r="M98" s="32">
        <f t="shared" si="14"/>
        <v>19787973.231660724</v>
      </c>
      <c r="N98" s="32">
        <f t="shared" si="10"/>
        <v>18364389.454534061</v>
      </c>
      <c r="O98" s="51">
        <f t="shared" si="11"/>
        <v>-256247.93341774866</v>
      </c>
      <c r="P98" s="50">
        <f t="shared" si="12"/>
        <v>1.2784130214257963E-2</v>
      </c>
      <c r="Q98" s="41"/>
    </row>
    <row r="99" spans="1:38" s="9" customFormat="1" x14ac:dyDescent="0.2">
      <c r="A99" s="2">
        <v>43466</v>
      </c>
      <c r="B99">
        <f t="shared" si="13"/>
        <v>2019</v>
      </c>
      <c r="C99">
        <f t="shared" si="15"/>
        <v>1</v>
      </c>
      <c r="D99" s="56">
        <f>Data!J98</f>
        <v>20021565.956626497</v>
      </c>
      <c r="E99" s="56">
        <f>Data!K98</f>
        <v>1598997.2617911876</v>
      </c>
      <c r="F99" s="56">
        <f>Data!L98</f>
        <v>21620563.218417685</v>
      </c>
      <c r="G99" s="253">
        <f>Data!AV98</f>
        <v>516.5</v>
      </c>
      <c r="H99" s="253">
        <f>Data!AU98</f>
        <v>0</v>
      </c>
      <c r="I99" s="32">
        <f>Data!BG98</f>
        <v>31</v>
      </c>
      <c r="J99" s="32">
        <f>Data!AC98</f>
        <v>326</v>
      </c>
      <c r="K99" s="78">
        <f>Data!BC98</f>
        <v>3291.7</v>
      </c>
      <c r="L99" s="254">
        <f>Data!BZ98</f>
        <v>0</v>
      </c>
      <c r="M99" s="32">
        <f t="shared" si="14"/>
        <v>20812067.990606442</v>
      </c>
      <c r="N99" s="32">
        <f t="shared" ref="N99:N127" si="16">M99-E99</f>
        <v>19213070.728815254</v>
      </c>
      <c r="O99" s="51">
        <f t="shared" ref="O99:O127" si="17">+M99-F99</f>
        <v>-808495.22781124339</v>
      </c>
      <c r="P99" s="50">
        <f t="shared" ref="P99:P127" si="18">ABS(O99/F99)</f>
        <v>3.7394734801474504E-2</v>
      </c>
      <c r="Q99" s="41"/>
      <c r="R99" s="1"/>
      <c r="S99" s="1"/>
      <c r="T99" s="1"/>
      <c r="U99"/>
      <c r="V99"/>
      <c r="W99"/>
      <c r="X99"/>
      <c r="Y99"/>
      <c r="Z99"/>
      <c r="AA99"/>
      <c r="AB99"/>
      <c r="AC99"/>
      <c r="AD99" s="39"/>
      <c r="AE99" s="39"/>
      <c r="AF99" s="39"/>
      <c r="AG99" s="39"/>
      <c r="AH99" s="39"/>
      <c r="AI99" s="39"/>
      <c r="AJ99" s="39"/>
      <c r="AK99" s="39"/>
      <c r="AL99" s="39"/>
    </row>
    <row r="100" spans="1:38" x14ac:dyDescent="0.2">
      <c r="A100" s="2">
        <v>43497</v>
      </c>
      <c r="B100">
        <f t="shared" si="13"/>
        <v>2019</v>
      </c>
      <c r="C100">
        <f t="shared" si="15"/>
        <v>2</v>
      </c>
      <c r="D100" s="56">
        <f>Data!J99</f>
        <v>17820036.587951798</v>
      </c>
      <c r="E100" s="56">
        <f>Data!K99</f>
        <v>1598997.2617911876</v>
      </c>
      <c r="F100" s="56">
        <f>Data!L99</f>
        <v>19419033.849742986</v>
      </c>
      <c r="G100" s="253">
        <f>Data!AV99</f>
        <v>397.7000000000001</v>
      </c>
      <c r="H100" s="253">
        <f>Data!AU99</f>
        <v>0</v>
      </c>
      <c r="I100" s="32">
        <f>Data!BG99</f>
        <v>28</v>
      </c>
      <c r="J100" s="32">
        <f>Data!AC99</f>
        <v>328</v>
      </c>
      <c r="K100" s="78">
        <f>Data!BC99</f>
        <v>3307</v>
      </c>
      <c r="L100" s="254">
        <f>Data!BZ99</f>
        <v>0</v>
      </c>
      <c r="M100" s="32">
        <f t="shared" si="14"/>
        <v>19245501.643085271</v>
      </c>
      <c r="N100" s="32">
        <f t="shared" si="16"/>
        <v>17646504.381294083</v>
      </c>
      <c r="O100" s="51">
        <f t="shared" si="17"/>
        <v>-173532.20665771514</v>
      </c>
      <c r="P100" s="50">
        <f t="shared" si="18"/>
        <v>8.9361915737127089E-3</v>
      </c>
      <c r="R100" s="1"/>
      <c r="S100" s="1"/>
      <c r="T100" s="1"/>
    </row>
    <row r="101" spans="1:38" x14ac:dyDescent="0.2">
      <c r="A101" s="2">
        <v>43525</v>
      </c>
      <c r="B101">
        <f t="shared" si="13"/>
        <v>2019</v>
      </c>
      <c r="C101">
        <f t="shared" si="15"/>
        <v>3</v>
      </c>
      <c r="D101" s="56">
        <f>Data!J100</f>
        <v>18868347.971084334</v>
      </c>
      <c r="E101" s="56">
        <f>Data!K100</f>
        <v>1598997.2617911876</v>
      </c>
      <c r="F101" s="56">
        <f>Data!L100</f>
        <v>20467345.232875522</v>
      </c>
      <c r="G101" s="253">
        <f>Data!AV100</f>
        <v>345.9</v>
      </c>
      <c r="H101" s="253">
        <f>Data!AU100</f>
        <v>0</v>
      </c>
      <c r="I101" s="32">
        <f>Data!BG100</f>
        <v>31</v>
      </c>
      <c r="J101" s="32">
        <f>Data!AC100</f>
        <v>332</v>
      </c>
      <c r="K101" s="78">
        <f>Data!BC100</f>
        <v>3322.8</v>
      </c>
      <c r="L101" s="254">
        <f>Data!BZ100</f>
        <v>0</v>
      </c>
      <c r="M101" s="32">
        <f t="shared" si="14"/>
        <v>20197960.57619936</v>
      </c>
      <c r="N101" s="32">
        <f t="shared" si="16"/>
        <v>18598963.314408172</v>
      </c>
      <c r="O101" s="51">
        <f t="shared" si="17"/>
        <v>-269384.65667616203</v>
      </c>
      <c r="P101" s="50">
        <f t="shared" si="18"/>
        <v>1.3161680404132965E-2</v>
      </c>
      <c r="Q101" s="41"/>
      <c r="R101" s="1"/>
      <c r="S101" s="1"/>
      <c r="T101" s="1"/>
    </row>
    <row r="102" spans="1:38" x14ac:dyDescent="0.2">
      <c r="A102" s="2">
        <v>43556</v>
      </c>
      <c r="B102">
        <f t="shared" si="13"/>
        <v>2019</v>
      </c>
      <c r="C102">
        <f t="shared" si="15"/>
        <v>4</v>
      </c>
      <c r="D102" s="56">
        <f>Data!J101</f>
        <v>17363850.910843372</v>
      </c>
      <c r="E102" s="56">
        <f>Data!K101</f>
        <v>1598997.2617911876</v>
      </c>
      <c r="F102" s="56">
        <f>Data!L101</f>
        <v>18962848.172634561</v>
      </c>
      <c r="G102" s="253">
        <f>Data!AV101</f>
        <v>111.89999999999998</v>
      </c>
      <c r="H102" s="253">
        <f>Data!AU101</f>
        <v>1.9000000000000004</v>
      </c>
      <c r="I102" s="32">
        <f>Data!BG101</f>
        <v>30</v>
      </c>
      <c r="J102" s="32">
        <f>Data!AC101</f>
        <v>339</v>
      </c>
      <c r="K102" s="78">
        <f>Data!BC101</f>
        <v>3341.2</v>
      </c>
      <c r="L102" s="254">
        <f>Data!BZ101</f>
        <v>0</v>
      </c>
      <c r="M102" s="32">
        <f t="shared" si="14"/>
        <v>18882784.938161381</v>
      </c>
      <c r="N102" s="32">
        <f t="shared" si="16"/>
        <v>17283787.676370192</v>
      </c>
      <c r="O102" s="51">
        <f t="shared" si="17"/>
        <v>-80063.234473180026</v>
      </c>
      <c r="P102" s="50">
        <f t="shared" si="18"/>
        <v>4.2221101885274769E-3</v>
      </c>
      <c r="R102" s="1"/>
      <c r="S102" s="1"/>
      <c r="T102" s="1"/>
    </row>
    <row r="103" spans="1:38" x14ac:dyDescent="0.2">
      <c r="A103" s="2">
        <v>43586</v>
      </c>
      <c r="B103">
        <f t="shared" si="13"/>
        <v>2019</v>
      </c>
      <c r="C103">
        <f t="shared" si="15"/>
        <v>5</v>
      </c>
      <c r="D103" s="56">
        <f>Data!J102</f>
        <v>17505961.4939759</v>
      </c>
      <c r="E103" s="56">
        <f>Data!K102</f>
        <v>1598997.2617911876</v>
      </c>
      <c r="F103" s="56">
        <f>Data!L102</f>
        <v>19104958.755767088</v>
      </c>
      <c r="G103" s="253">
        <f>Data!AV102</f>
        <v>20.6</v>
      </c>
      <c r="H103" s="253">
        <f>Data!AU102</f>
        <v>39.799999999999997</v>
      </c>
      <c r="I103" s="32">
        <f>Data!BG102</f>
        <v>31</v>
      </c>
      <c r="J103" s="32">
        <f>Data!AC102</f>
        <v>342</v>
      </c>
      <c r="K103" s="78">
        <f>Data!BC102</f>
        <v>3355</v>
      </c>
      <c r="L103" s="254">
        <f>Data!BZ102</f>
        <v>0</v>
      </c>
      <c r="M103" s="32">
        <f t="shared" si="14"/>
        <v>19142081.05557109</v>
      </c>
      <c r="N103" s="32">
        <f t="shared" si="16"/>
        <v>17543083.793779902</v>
      </c>
      <c r="O103" s="51">
        <f t="shared" si="17"/>
        <v>37122.299804002047</v>
      </c>
      <c r="P103" s="50">
        <f t="shared" si="18"/>
        <v>1.9430714443597625E-3</v>
      </c>
      <c r="Q103" s="41"/>
      <c r="R103" s="1"/>
      <c r="S103" s="1"/>
      <c r="T103" s="1"/>
    </row>
    <row r="104" spans="1:38" x14ac:dyDescent="0.2">
      <c r="A104" s="2">
        <v>43617</v>
      </c>
      <c r="B104">
        <f t="shared" si="13"/>
        <v>2019</v>
      </c>
      <c r="C104">
        <f t="shared" si="15"/>
        <v>6</v>
      </c>
      <c r="D104" s="56">
        <f>Data!J103</f>
        <v>17272766.390361439</v>
      </c>
      <c r="E104" s="56">
        <f>Data!K103</f>
        <v>1598997.2617911876</v>
      </c>
      <c r="F104" s="56">
        <f>Data!L103</f>
        <v>18871763.652152628</v>
      </c>
      <c r="G104" s="253">
        <f>Data!AV103</f>
        <v>0</v>
      </c>
      <c r="H104" s="253">
        <f>Data!AU103</f>
        <v>186.2</v>
      </c>
      <c r="I104" s="32">
        <f>Data!BG103</f>
        <v>30</v>
      </c>
      <c r="J104" s="32">
        <f>Data!AC103</f>
        <v>343</v>
      </c>
      <c r="K104" s="78">
        <f>Data!BC103</f>
        <v>3367.5</v>
      </c>
      <c r="L104" s="254">
        <f>Data!BZ103</f>
        <v>0</v>
      </c>
      <c r="M104" s="32">
        <f t="shared" si="14"/>
        <v>19729116.03776646</v>
      </c>
      <c r="N104" s="32">
        <f t="shared" si="16"/>
        <v>18130118.775975272</v>
      </c>
      <c r="O104" s="51">
        <f t="shared" si="17"/>
        <v>857352.38561383262</v>
      </c>
      <c r="P104" s="50">
        <f t="shared" si="18"/>
        <v>4.5430432545504981E-2</v>
      </c>
      <c r="Q104" s="41"/>
      <c r="R104" s="1"/>
      <c r="S104" s="1"/>
      <c r="T104" s="1"/>
    </row>
    <row r="105" spans="1:38" x14ac:dyDescent="0.2">
      <c r="A105" s="2">
        <v>43647</v>
      </c>
      <c r="B105">
        <f t="shared" si="13"/>
        <v>2019</v>
      </c>
      <c r="C105">
        <f t="shared" si="15"/>
        <v>7</v>
      </c>
      <c r="D105" s="56">
        <f>Data!J104</f>
        <v>20011928.221686758</v>
      </c>
      <c r="E105" s="56">
        <f>Data!K104</f>
        <v>1598997.2617911876</v>
      </c>
      <c r="F105" s="56">
        <f>Data!L104</f>
        <v>21610925.483477946</v>
      </c>
      <c r="G105" s="253">
        <f>Data!AV104</f>
        <v>0</v>
      </c>
      <c r="H105" s="253">
        <f>Data!AU104</f>
        <v>352.89999999999992</v>
      </c>
      <c r="I105" s="32">
        <f>Data!BG104</f>
        <v>31</v>
      </c>
      <c r="J105" s="32">
        <f>Data!AC104</f>
        <v>346</v>
      </c>
      <c r="K105" s="78">
        <f>Data!BC104</f>
        <v>3382.6</v>
      </c>
      <c r="L105" s="254">
        <f>Data!BZ104</f>
        <v>0</v>
      </c>
      <c r="M105" s="32">
        <f t="shared" si="14"/>
        <v>21323166.713237867</v>
      </c>
      <c r="N105" s="32">
        <f t="shared" si="16"/>
        <v>19724169.451446678</v>
      </c>
      <c r="O105" s="51">
        <f t="shared" si="17"/>
        <v>-287758.77024007961</v>
      </c>
      <c r="P105" s="50">
        <f t="shared" si="18"/>
        <v>1.3315430218852861E-2</v>
      </c>
      <c r="Q105" s="41"/>
      <c r="R105" s="1"/>
      <c r="S105" s="1"/>
      <c r="T105" s="1"/>
    </row>
    <row r="106" spans="1:38" x14ac:dyDescent="0.2">
      <c r="A106" s="2">
        <v>43678</v>
      </c>
      <c r="B106">
        <f t="shared" si="13"/>
        <v>2019</v>
      </c>
      <c r="C106">
        <f t="shared" si="15"/>
        <v>8</v>
      </c>
      <c r="D106" s="56">
        <f>Data!J105</f>
        <v>18900005.146987949</v>
      </c>
      <c r="E106" s="56">
        <f>Data!K105</f>
        <v>1598997.2617911876</v>
      </c>
      <c r="F106" s="56">
        <f>Data!L105</f>
        <v>20499002.408779137</v>
      </c>
      <c r="G106" s="253">
        <f>Data!AV105</f>
        <v>0</v>
      </c>
      <c r="H106" s="253">
        <f>Data!AU105</f>
        <v>288.39999999999998</v>
      </c>
      <c r="I106" s="32">
        <f>Data!BG105</f>
        <v>31</v>
      </c>
      <c r="J106" s="32">
        <f>Data!AC105</f>
        <v>347</v>
      </c>
      <c r="K106" s="78">
        <f>Data!BC105</f>
        <v>3394.4</v>
      </c>
      <c r="L106" s="254">
        <f>Data!BZ105</f>
        <v>0</v>
      </c>
      <c r="M106" s="32">
        <f t="shared" si="14"/>
        <v>20968904.222864315</v>
      </c>
      <c r="N106" s="32">
        <f t="shared" si="16"/>
        <v>19369906.961073127</v>
      </c>
      <c r="O106" s="51">
        <f t="shared" si="17"/>
        <v>469901.81408517808</v>
      </c>
      <c r="P106" s="50">
        <f t="shared" si="18"/>
        <v>2.2923155220662472E-2</v>
      </c>
      <c r="Q106" s="41"/>
      <c r="R106" s="1"/>
      <c r="S106" s="1"/>
      <c r="T106" s="1"/>
    </row>
    <row r="107" spans="1:38" x14ac:dyDescent="0.2">
      <c r="A107" s="2">
        <v>43709</v>
      </c>
      <c r="B107">
        <f t="shared" si="13"/>
        <v>2019</v>
      </c>
      <c r="C107">
        <f t="shared" si="15"/>
        <v>9</v>
      </c>
      <c r="D107" s="56">
        <f>Data!J106</f>
        <v>17525598.293975905</v>
      </c>
      <c r="E107" s="56">
        <f>Data!K106</f>
        <v>1598997.2617911876</v>
      </c>
      <c r="F107" s="56">
        <f>Data!L106</f>
        <v>19124595.555767093</v>
      </c>
      <c r="G107" s="253">
        <f>Data!AV106</f>
        <v>0</v>
      </c>
      <c r="H107" s="253">
        <f>Data!AU106</f>
        <v>167.2</v>
      </c>
      <c r="I107" s="32">
        <f>Data!BG106</f>
        <v>30</v>
      </c>
      <c r="J107" s="32">
        <f>Data!AC106</f>
        <v>348</v>
      </c>
      <c r="K107" s="78">
        <f>Data!BC106</f>
        <v>3416.8</v>
      </c>
      <c r="L107" s="254">
        <f>Data!BZ106</f>
        <v>0</v>
      </c>
      <c r="M107" s="32">
        <f t="shared" si="14"/>
        <v>19929936.817065489</v>
      </c>
      <c r="N107" s="32">
        <f t="shared" si="16"/>
        <v>18330939.5552743</v>
      </c>
      <c r="O107" s="51">
        <f t="shared" si="17"/>
        <v>805341.26129839569</v>
      </c>
      <c r="P107" s="50">
        <f t="shared" si="18"/>
        <v>4.2110237518489226E-2</v>
      </c>
      <c r="R107" s="1"/>
      <c r="S107" s="1"/>
      <c r="T107" s="1"/>
    </row>
    <row r="108" spans="1:38" x14ac:dyDescent="0.2">
      <c r="A108" s="2">
        <v>43739</v>
      </c>
      <c r="B108">
        <f t="shared" si="13"/>
        <v>2019</v>
      </c>
      <c r="C108">
        <f t="shared" si="15"/>
        <v>10</v>
      </c>
      <c r="D108" s="56">
        <f>Data!J107</f>
        <v>17638446.88192771</v>
      </c>
      <c r="E108" s="56">
        <f>Data!K107</f>
        <v>1598997.2617911876</v>
      </c>
      <c r="F108" s="56">
        <f>Data!L107</f>
        <v>19237444.143718898</v>
      </c>
      <c r="G108" s="253">
        <f>Data!AV107</f>
        <v>26.599999999999998</v>
      </c>
      <c r="H108" s="253">
        <f>Data!AU107</f>
        <v>21.800000000000004</v>
      </c>
      <c r="I108" s="32">
        <f>Data!BG107</f>
        <v>31</v>
      </c>
      <c r="J108" s="32">
        <f>Data!AC107</f>
        <v>351</v>
      </c>
      <c r="K108" s="78">
        <f>Data!BC107</f>
        <v>3419.9</v>
      </c>
      <c r="L108" s="254">
        <f>Data!BZ107</f>
        <v>0</v>
      </c>
      <c r="M108" s="32">
        <f t="shared" si="14"/>
        <v>19541045.365921751</v>
      </c>
      <c r="N108" s="32">
        <f t="shared" si="16"/>
        <v>17942048.104130562</v>
      </c>
      <c r="O108" s="51">
        <f t="shared" si="17"/>
        <v>303601.22220285237</v>
      </c>
      <c r="P108" s="50">
        <f t="shared" si="18"/>
        <v>1.5781785768146303E-2</v>
      </c>
      <c r="Q108" s="41"/>
      <c r="R108" s="1"/>
      <c r="S108" s="1"/>
      <c r="T108" s="1"/>
    </row>
    <row r="109" spans="1:38" x14ac:dyDescent="0.2">
      <c r="A109" s="2">
        <v>43770</v>
      </c>
      <c r="B109">
        <f t="shared" si="13"/>
        <v>2019</v>
      </c>
      <c r="C109">
        <f t="shared" si="15"/>
        <v>11</v>
      </c>
      <c r="D109" s="56">
        <f>Data!J108</f>
        <v>18056629.359036144</v>
      </c>
      <c r="E109" s="56">
        <f>Data!K108</f>
        <v>1598997.2617911876</v>
      </c>
      <c r="F109" s="56">
        <f>Data!L108</f>
        <v>19655626.620827332</v>
      </c>
      <c r="G109" s="253">
        <f>Data!AV108</f>
        <v>273.3</v>
      </c>
      <c r="H109" s="253">
        <f>Data!AU108</f>
        <v>0</v>
      </c>
      <c r="I109" s="32">
        <f>Data!BG108</f>
        <v>30</v>
      </c>
      <c r="J109" s="32">
        <f>Data!AC108</f>
        <v>353</v>
      </c>
      <c r="K109" s="78">
        <f>Data!BC108</f>
        <v>3426.4</v>
      </c>
      <c r="L109" s="254">
        <f>Data!BZ108</f>
        <v>0</v>
      </c>
      <c r="M109" s="32">
        <f t="shared" si="14"/>
        <v>20400522.530529555</v>
      </c>
      <c r="N109" s="32">
        <f t="shared" si="16"/>
        <v>18801525.268738367</v>
      </c>
      <c r="O109" s="51">
        <f t="shared" si="17"/>
        <v>744895.90970222279</v>
      </c>
      <c r="P109" s="50">
        <f t="shared" si="18"/>
        <v>3.7897337188574916E-2</v>
      </c>
      <c r="R109" s="1"/>
      <c r="S109" s="1"/>
      <c r="T109" s="1"/>
    </row>
    <row r="110" spans="1:38" x14ac:dyDescent="0.2">
      <c r="A110" s="2">
        <v>43800</v>
      </c>
      <c r="B110">
        <f t="shared" si="13"/>
        <v>2019</v>
      </c>
      <c r="C110">
        <f t="shared" si="15"/>
        <v>12</v>
      </c>
      <c r="D110" s="56">
        <f>Data!J109</f>
        <v>19169682.92048192</v>
      </c>
      <c r="E110" s="56">
        <f>Data!K109</f>
        <v>1598997.2617911876</v>
      </c>
      <c r="F110" s="56">
        <f>Data!L109</f>
        <v>20768680.182273109</v>
      </c>
      <c r="G110" s="253">
        <f>Data!AV109</f>
        <v>334.4</v>
      </c>
      <c r="H110" s="253">
        <f>Data!AU109</f>
        <v>0</v>
      </c>
      <c r="I110" s="32">
        <f>Data!BG109</f>
        <v>31</v>
      </c>
      <c r="J110" s="32">
        <f>Data!AC109</f>
        <v>353</v>
      </c>
      <c r="K110" s="78">
        <f>Data!BC109</f>
        <v>3428.7</v>
      </c>
      <c r="L110" s="254">
        <f>Data!BZ109</f>
        <v>0</v>
      </c>
      <c r="M110" s="32">
        <f t="shared" si="14"/>
        <v>21081617.016776815</v>
      </c>
      <c r="N110" s="32">
        <f t="shared" si="16"/>
        <v>19482619.754985627</v>
      </c>
      <c r="O110" s="51">
        <f t="shared" si="17"/>
        <v>312936.83450370654</v>
      </c>
      <c r="P110" s="50">
        <f t="shared" si="18"/>
        <v>1.5067728510298431E-2</v>
      </c>
      <c r="Q110" s="41"/>
      <c r="R110" s="1"/>
      <c r="S110" s="1"/>
      <c r="T110" s="1"/>
    </row>
    <row r="111" spans="1:38" x14ac:dyDescent="0.2">
      <c r="A111" s="2">
        <v>43831</v>
      </c>
      <c r="B111">
        <f t="shared" si="13"/>
        <v>2020</v>
      </c>
      <c r="C111">
        <f t="shared" si="15"/>
        <v>1</v>
      </c>
      <c r="D111" s="56">
        <f>Data!J110</f>
        <v>20604412.97349399</v>
      </c>
      <c r="E111" s="56">
        <f>Data!K110</f>
        <v>1636084.1636250485</v>
      </c>
      <c r="F111" s="56">
        <f>Data!L110</f>
        <v>22240497.13711904</v>
      </c>
      <c r="G111" s="253">
        <f>Data!AV110</f>
        <v>357</v>
      </c>
      <c r="H111" s="253">
        <f>Data!AU110</f>
        <v>0</v>
      </c>
      <c r="I111" s="32">
        <f>Data!BG110</f>
        <v>31</v>
      </c>
      <c r="J111" s="32">
        <f>Data!AC110</f>
        <v>351</v>
      </c>
      <c r="K111" s="78">
        <f>Data!BC110</f>
        <v>3450.5</v>
      </c>
      <c r="L111" s="254">
        <f>Data!BZ110</f>
        <v>0</v>
      </c>
      <c r="M111" s="32">
        <f t="shared" si="14"/>
        <v>21244629.747283548</v>
      </c>
      <c r="N111" s="32">
        <f t="shared" si="16"/>
        <v>19608545.583658502</v>
      </c>
      <c r="O111" s="51">
        <f t="shared" si="17"/>
        <v>-995867.38983549178</v>
      </c>
      <c r="P111" s="50">
        <f t="shared" si="18"/>
        <v>4.4777209056779795E-2</v>
      </c>
      <c r="Q111" s="41"/>
      <c r="AD111" s="39"/>
      <c r="AE111" s="39"/>
      <c r="AF111" s="39"/>
    </row>
    <row r="112" spans="1:38" x14ac:dyDescent="0.2">
      <c r="A112" s="2">
        <v>43862</v>
      </c>
      <c r="B112">
        <f t="shared" si="13"/>
        <v>2020</v>
      </c>
      <c r="C112">
        <f t="shared" si="15"/>
        <v>2</v>
      </c>
      <c r="D112" s="56">
        <f>Data!J111</f>
        <v>18719034.313253012</v>
      </c>
      <c r="E112" s="56">
        <f>Data!K111</f>
        <v>1636084.1636250485</v>
      </c>
      <c r="F112" s="56">
        <f>Data!L111</f>
        <v>20355118.476878062</v>
      </c>
      <c r="G112" s="253">
        <f>Data!AV111</f>
        <v>379.79999999999995</v>
      </c>
      <c r="H112" s="253">
        <f>Data!AU111</f>
        <v>0</v>
      </c>
      <c r="I112" s="32">
        <f>Data!BG111</f>
        <v>29</v>
      </c>
      <c r="J112" s="32">
        <f>Data!AC111</f>
        <v>352</v>
      </c>
      <c r="K112" s="78">
        <f>Data!BC111</f>
        <v>3456.6</v>
      </c>
      <c r="L112" s="254">
        <f>Data!BZ111</f>
        <v>0</v>
      </c>
      <c r="M112" s="32">
        <f t="shared" si="14"/>
        <v>20705484.979539357</v>
      </c>
      <c r="N112" s="32">
        <f t="shared" si="16"/>
        <v>19069400.815914311</v>
      </c>
      <c r="O112" s="51">
        <f t="shared" si="17"/>
        <v>350366.50266129524</v>
      </c>
      <c r="P112" s="50">
        <f t="shared" si="18"/>
        <v>1.7212697782097715E-2</v>
      </c>
      <c r="Q112" s="41"/>
    </row>
    <row r="113" spans="1:17" x14ac:dyDescent="0.2">
      <c r="A113" s="2">
        <v>43891</v>
      </c>
      <c r="B113">
        <f t="shared" si="13"/>
        <v>2020</v>
      </c>
      <c r="C113">
        <f t="shared" si="15"/>
        <v>3</v>
      </c>
      <c r="D113" s="56">
        <f>Data!J112</f>
        <v>18127337.445783131</v>
      </c>
      <c r="E113" s="56">
        <f>Data!K112</f>
        <v>1636084.1636250485</v>
      </c>
      <c r="F113" s="56">
        <f>Data!L112</f>
        <v>19763421.609408177</v>
      </c>
      <c r="G113" s="253">
        <f>Data!AV112</f>
        <v>214.70000000000005</v>
      </c>
      <c r="H113" s="253">
        <f>Data!AU112</f>
        <v>0.5</v>
      </c>
      <c r="I113" s="32">
        <f>Data!BG112</f>
        <v>31</v>
      </c>
      <c r="J113" s="32">
        <f>Data!AC112</f>
        <v>352</v>
      </c>
      <c r="K113" s="78">
        <f>Data!BC112</f>
        <v>3387</v>
      </c>
      <c r="L113" s="254">
        <f>Data!BZ112</f>
        <v>0.5</v>
      </c>
      <c r="M113" s="32">
        <f t="shared" si="14"/>
        <v>19597736.460375138</v>
      </c>
      <c r="N113" s="32">
        <f t="shared" si="16"/>
        <v>17961652.296750091</v>
      </c>
      <c r="O113" s="51">
        <f t="shared" si="17"/>
        <v>-165685.14903303981</v>
      </c>
      <c r="P113" s="50">
        <f t="shared" si="18"/>
        <v>8.3834243031159685E-3</v>
      </c>
      <c r="Q113" s="41"/>
    </row>
    <row r="114" spans="1:17" x14ac:dyDescent="0.2">
      <c r="A114" s="2">
        <v>43922</v>
      </c>
      <c r="B114">
        <f t="shared" si="13"/>
        <v>2020</v>
      </c>
      <c r="C114">
        <f t="shared" si="15"/>
        <v>4</v>
      </c>
      <c r="D114" s="56">
        <f>Data!J113</f>
        <v>15453046.390361452</v>
      </c>
      <c r="E114" s="56">
        <f>Data!K113</f>
        <v>1636084.1636250485</v>
      </c>
      <c r="F114" s="56">
        <f>Data!L113</f>
        <v>17089130.553986501</v>
      </c>
      <c r="G114" s="253">
        <f>Data!AV113</f>
        <v>125.50000000000001</v>
      </c>
      <c r="H114" s="253">
        <f>Data!AU113</f>
        <v>0</v>
      </c>
      <c r="I114" s="32">
        <f>Data!BG113</f>
        <v>30</v>
      </c>
      <c r="J114" s="32">
        <f>Data!AC113</f>
        <v>351</v>
      </c>
      <c r="K114" s="78">
        <f>Data!BC113</f>
        <v>3205.9</v>
      </c>
      <c r="L114" s="254">
        <f>Data!BZ113</f>
        <v>1</v>
      </c>
      <c r="M114" s="32">
        <f t="shared" si="14"/>
        <v>17320633.614180755</v>
      </c>
      <c r="N114" s="32">
        <f t="shared" si="16"/>
        <v>15684549.450555706</v>
      </c>
      <c r="O114" s="51">
        <f t="shared" si="17"/>
        <v>231503.06019425392</v>
      </c>
      <c r="P114" s="50">
        <f t="shared" si="18"/>
        <v>1.3546801545164015E-2</v>
      </c>
      <c r="Q114" s="41"/>
    </row>
    <row r="115" spans="1:17" x14ac:dyDescent="0.2">
      <c r="A115" s="2">
        <v>43952</v>
      </c>
      <c r="B115">
        <f t="shared" si="13"/>
        <v>2020</v>
      </c>
      <c r="C115">
        <f t="shared" si="15"/>
        <v>5</v>
      </c>
      <c r="D115" s="56">
        <f>Data!J114</f>
        <v>15454141.214457823</v>
      </c>
      <c r="E115" s="56">
        <f>Data!K114</f>
        <v>1636084.1636250485</v>
      </c>
      <c r="F115" s="56">
        <f>Data!L114</f>
        <v>17090225.378082871</v>
      </c>
      <c r="G115" s="253">
        <f>Data!AV114</f>
        <v>57.5</v>
      </c>
      <c r="H115" s="253">
        <f>Data!AU114</f>
        <v>84.300000000000011</v>
      </c>
      <c r="I115" s="32">
        <f>Data!BG114</f>
        <v>31</v>
      </c>
      <c r="J115" s="32">
        <f>Data!AC114</f>
        <v>353</v>
      </c>
      <c r="K115" s="78">
        <f>Data!BC114</f>
        <v>3004.2</v>
      </c>
      <c r="L115" s="254">
        <f>Data!BZ114</f>
        <v>1</v>
      </c>
      <c r="M115" s="32">
        <f t="shared" si="14"/>
        <v>17070754.39602292</v>
      </c>
      <c r="N115" s="32">
        <f t="shared" si="16"/>
        <v>15434670.232397871</v>
      </c>
      <c r="O115" s="51">
        <f t="shared" si="17"/>
        <v>-19470.982059951872</v>
      </c>
      <c r="P115" s="50">
        <f t="shared" si="18"/>
        <v>1.1393051659179503E-3</v>
      </c>
      <c r="Q115" s="41"/>
    </row>
    <row r="116" spans="1:17" x14ac:dyDescent="0.2">
      <c r="A116" s="2">
        <v>43983</v>
      </c>
      <c r="B116">
        <f t="shared" si="13"/>
        <v>2020</v>
      </c>
      <c r="C116">
        <f t="shared" si="15"/>
        <v>6</v>
      </c>
      <c r="D116" s="56">
        <f>Data!J115</f>
        <v>16762170.409638558</v>
      </c>
      <c r="E116" s="56">
        <f>Data!K115</f>
        <v>1636084.1636250485</v>
      </c>
      <c r="F116" s="56">
        <f>Data!L115</f>
        <v>18398254.573263608</v>
      </c>
      <c r="G116" s="253">
        <f>Data!AV115</f>
        <v>0</v>
      </c>
      <c r="H116" s="253">
        <f>Data!AU115</f>
        <v>253.90000000000003</v>
      </c>
      <c r="I116" s="32">
        <f>Data!BG115</f>
        <v>30</v>
      </c>
      <c r="J116" s="32">
        <f>Data!AC115</f>
        <v>349</v>
      </c>
      <c r="K116" s="78">
        <f>Data!BC115</f>
        <v>2937.8</v>
      </c>
      <c r="L116" s="254">
        <f>Data!BZ115</f>
        <v>0.5</v>
      </c>
      <c r="M116" s="32">
        <f t="shared" si="14"/>
        <v>17831454.931141365</v>
      </c>
      <c r="N116" s="32">
        <f t="shared" si="16"/>
        <v>16195370.767516317</v>
      </c>
      <c r="O116" s="51">
        <f t="shared" si="17"/>
        <v>-566799.6421222426</v>
      </c>
      <c r="P116" s="50">
        <f t="shared" si="18"/>
        <v>3.0807250756597168E-2</v>
      </c>
      <c r="Q116" s="41"/>
    </row>
    <row r="117" spans="1:17" x14ac:dyDescent="0.2">
      <c r="A117" s="2">
        <v>44013</v>
      </c>
      <c r="B117">
        <f t="shared" si="13"/>
        <v>2020</v>
      </c>
      <c r="C117">
        <f t="shared" si="15"/>
        <v>7</v>
      </c>
      <c r="D117" s="56">
        <f>Data!J116</f>
        <v>18797709.561445773</v>
      </c>
      <c r="E117" s="56">
        <f>Data!K116</f>
        <v>1636084.1636250485</v>
      </c>
      <c r="F117" s="56">
        <f>Data!L116</f>
        <v>20433793.725070819</v>
      </c>
      <c r="G117" s="253">
        <f>Data!AV116</f>
        <v>0</v>
      </c>
      <c r="H117" s="253">
        <f>Data!AU116</f>
        <v>401.70000000000005</v>
      </c>
      <c r="I117" s="32">
        <f>Data!BG116</f>
        <v>31</v>
      </c>
      <c r="J117" s="32">
        <f>Data!AC116</f>
        <v>351</v>
      </c>
      <c r="K117" s="78">
        <f>Data!BC116</f>
        <v>2995.2</v>
      </c>
      <c r="L117" s="254">
        <f>Data!BZ116</f>
        <v>0.5</v>
      </c>
      <c r="M117" s="32">
        <f t="shared" si="14"/>
        <v>19456136.652985916</v>
      </c>
      <c r="N117" s="32">
        <f t="shared" si="16"/>
        <v>17820052.489360869</v>
      </c>
      <c r="O117" s="51">
        <f t="shared" si="17"/>
        <v>-977657.07208490372</v>
      </c>
      <c r="P117" s="50">
        <f t="shared" si="18"/>
        <v>4.7845108218225164E-2</v>
      </c>
      <c r="Q117" s="41"/>
    </row>
    <row r="118" spans="1:17" x14ac:dyDescent="0.2">
      <c r="A118" s="2">
        <v>44044</v>
      </c>
      <c r="B118">
        <f t="shared" si="13"/>
        <v>2020</v>
      </c>
      <c r="C118">
        <f t="shared" si="15"/>
        <v>8</v>
      </c>
      <c r="D118" s="56">
        <f>Data!J117</f>
        <v>17872126.101204827</v>
      </c>
      <c r="E118" s="56">
        <f>Data!K117</f>
        <v>1636084.1636250485</v>
      </c>
      <c r="F118" s="56">
        <f>Data!L117</f>
        <v>19508210.264829874</v>
      </c>
      <c r="G118" s="253">
        <f>Data!AV117</f>
        <v>0</v>
      </c>
      <c r="H118" s="253">
        <f>Data!AU117</f>
        <v>311.89999999999998</v>
      </c>
      <c r="I118" s="32">
        <f>Data!BG117</f>
        <v>31</v>
      </c>
      <c r="J118" s="32">
        <f>Data!AC117</f>
        <v>353</v>
      </c>
      <c r="K118" s="78">
        <f>Data!BC117</f>
        <v>3117.5</v>
      </c>
      <c r="L118" s="254">
        <f>Data!BZ117</f>
        <v>0.5</v>
      </c>
      <c r="M118" s="32">
        <f t="shared" si="14"/>
        <v>19426553.407095775</v>
      </c>
      <c r="N118" s="32">
        <f t="shared" si="16"/>
        <v>17790469.243470728</v>
      </c>
      <c r="O118" s="51">
        <f t="shared" si="17"/>
        <v>-81656.85773409903</v>
      </c>
      <c r="P118" s="50">
        <f t="shared" si="18"/>
        <v>4.1857687930149622E-3</v>
      </c>
      <c r="Q118" s="41"/>
    </row>
    <row r="119" spans="1:17" x14ac:dyDescent="0.2">
      <c r="A119" s="2">
        <v>44075</v>
      </c>
      <c r="B119">
        <f t="shared" si="13"/>
        <v>2020</v>
      </c>
      <c r="C119">
        <f t="shared" si="15"/>
        <v>9</v>
      </c>
      <c r="D119" s="56">
        <f>Data!J118</f>
        <v>16777886.004819278</v>
      </c>
      <c r="E119" s="56">
        <f>Data!K118</f>
        <v>1636084.1636250485</v>
      </c>
      <c r="F119" s="56">
        <f>Data!L118</f>
        <v>18413970.168444328</v>
      </c>
      <c r="G119" s="253">
        <f>Data!AV118</f>
        <v>1.1999999999999993</v>
      </c>
      <c r="H119" s="253">
        <f>Data!AU118</f>
        <v>148.99999999999997</v>
      </c>
      <c r="I119" s="32">
        <f>Data!BG118</f>
        <v>30</v>
      </c>
      <c r="J119" s="32">
        <f>Data!AC118</f>
        <v>353</v>
      </c>
      <c r="K119" s="78">
        <f>Data!BC118</f>
        <v>3214</v>
      </c>
      <c r="L119" s="254">
        <f>Data!BZ118</f>
        <v>0.5</v>
      </c>
      <c r="M119" s="32">
        <f t="shared" si="14"/>
        <v>18408177.555714514</v>
      </c>
      <c r="N119" s="32">
        <f t="shared" si="16"/>
        <v>16772093.392089466</v>
      </c>
      <c r="O119" s="51">
        <f t="shared" si="17"/>
        <v>-5792.6127298139036</v>
      </c>
      <c r="P119" s="50">
        <f t="shared" si="18"/>
        <v>3.1457706713029191E-4</v>
      </c>
      <c r="Q119" s="41"/>
    </row>
    <row r="120" spans="1:17" x14ac:dyDescent="0.2">
      <c r="A120" s="2">
        <v>44105</v>
      </c>
      <c r="B120">
        <f t="shared" si="13"/>
        <v>2020</v>
      </c>
      <c r="C120">
        <f t="shared" si="15"/>
        <v>10</v>
      </c>
      <c r="D120" s="56">
        <f>Data!J119</f>
        <v>16717313.840963854</v>
      </c>
      <c r="E120" s="56">
        <f>Data!K119</f>
        <v>1636084.1636250485</v>
      </c>
      <c r="F120" s="56">
        <f>Data!L119</f>
        <v>18353398.004588902</v>
      </c>
      <c r="G120" s="253">
        <f>Data!AV119</f>
        <v>60.7</v>
      </c>
      <c r="H120" s="253">
        <f>Data!AU119</f>
        <v>14.599999999999998</v>
      </c>
      <c r="I120" s="32">
        <f>Data!BG119</f>
        <v>31</v>
      </c>
      <c r="J120" s="32">
        <f>Data!AC119</f>
        <v>353</v>
      </c>
      <c r="K120" s="78">
        <f>Data!BC119</f>
        <v>3300.1</v>
      </c>
      <c r="L120" s="254">
        <f>Data!BZ119</f>
        <v>0.5</v>
      </c>
      <c r="M120" s="32">
        <f t="shared" si="14"/>
        <v>18545058.24498421</v>
      </c>
      <c r="N120" s="32">
        <f t="shared" si="16"/>
        <v>16908974.081359163</v>
      </c>
      <c r="O120" s="51">
        <f t="shared" si="17"/>
        <v>191660.24039530754</v>
      </c>
      <c r="P120" s="50">
        <f t="shared" si="18"/>
        <v>1.0442765985208118E-2</v>
      </c>
      <c r="Q120" s="41"/>
    </row>
    <row r="121" spans="1:17" x14ac:dyDescent="0.2">
      <c r="A121" s="2">
        <v>44136</v>
      </c>
      <c r="B121">
        <f t="shared" si="13"/>
        <v>2020</v>
      </c>
      <c r="C121">
        <f t="shared" si="15"/>
        <v>11</v>
      </c>
      <c r="D121" s="56">
        <f>Data!J120</f>
        <v>16714084.106024083</v>
      </c>
      <c r="E121" s="56">
        <f>Data!K120</f>
        <v>1636084.1636250485</v>
      </c>
      <c r="F121" s="56">
        <f>Data!L120</f>
        <v>18350168.269649133</v>
      </c>
      <c r="G121" s="253">
        <f>Data!AV120</f>
        <v>127.39999999999999</v>
      </c>
      <c r="H121" s="253">
        <f>Data!AU120</f>
        <v>16</v>
      </c>
      <c r="I121" s="32">
        <f>Data!BG120</f>
        <v>30</v>
      </c>
      <c r="J121" s="32">
        <f>Data!AC120</f>
        <v>357</v>
      </c>
      <c r="K121" s="78">
        <f>Data!BC120</f>
        <v>3351.5</v>
      </c>
      <c r="L121" s="254">
        <f>Data!BZ120</f>
        <v>0.5</v>
      </c>
      <c r="M121" s="32">
        <f t="shared" si="14"/>
        <v>18859915.355602242</v>
      </c>
      <c r="N121" s="32">
        <f t="shared" si="16"/>
        <v>17223831.191977195</v>
      </c>
      <c r="O121" s="51">
        <f t="shared" si="17"/>
        <v>509747.08595310897</v>
      </c>
      <c r="P121" s="50">
        <f t="shared" si="18"/>
        <v>2.7778878016951048E-2</v>
      </c>
      <c r="Q121" s="41"/>
    </row>
    <row r="122" spans="1:17" x14ac:dyDescent="0.2">
      <c r="A122" s="2">
        <v>44166</v>
      </c>
      <c r="B122">
        <f t="shared" si="13"/>
        <v>2020</v>
      </c>
      <c r="C122">
        <f t="shared" si="15"/>
        <v>12</v>
      </c>
      <c r="D122" s="56">
        <f>Data!J121</f>
        <v>17734017.175903622</v>
      </c>
      <c r="E122" s="56">
        <f>Data!K121</f>
        <v>1636084.1636250485</v>
      </c>
      <c r="F122" s="56">
        <f>Data!L121</f>
        <v>19370101.339528672</v>
      </c>
      <c r="G122" s="253">
        <f>Data!AV121</f>
        <v>319.30000000000007</v>
      </c>
      <c r="H122" s="253">
        <f>Data!AU121</f>
        <v>0</v>
      </c>
      <c r="I122" s="32">
        <f>Data!BG121</f>
        <v>31</v>
      </c>
      <c r="J122" s="32">
        <f>Data!AC121</f>
        <v>358</v>
      </c>
      <c r="K122" s="78">
        <f>Data!BC121</f>
        <v>3348.3</v>
      </c>
      <c r="L122" s="254">
        <f>Data!BZ121</f>
        <v>0.5</v>
      </c>
      <c r="M122" s="32">
        <f t="shared" si="14"/>
        <v>20115309.428223327</v>
      </c>
      <c r="N122" s="32">
        <f t="shared" si="16"/>
        <v>18479225.26459828</v>
      </c>
      <c r="O122" s="51">
        <f t="shared" si="17"/>
        <v>745208.08869465441</v>
      </c>
      <c r="P122" s="50">
        <f t="shared" si="18"/>
        <v>3.8472080018182669E-2</v>
      </c>
      <c r="Q122" s="41"/>
    </row>
    <row r="123" spans="1:17" x14ac:dyDescent="0.2">
      <c r="A123" s="2">
        <v>44197</v>
      </c>
      <c r="B123">
        <f t="shared" si="13"/>
        <v>2021</v>
      </c>
      <c r="C123">
        <f t="shared" si="15"/>
        <v>1</v>
      </c>
      <c r="D123" s="56">
        <f>Data!J122</f>
        <v>19055053.03132531</v>
      </c>
      <c r="E123" s="56">
        <f>Data!K122</f>
        <v>1631076.9652312491</v>
      </c>
      <c r="F123" s="56">
        <f>Data!L122</f>
        <v>20686129.996556558</v>
      </c>
      <c r="G123" s="253">
        <f>Data!AV122</f>
        <v>392</v>
      </c>
      <c r="H123" s="253">
        <f>Data!AU122</f>
        <v>0</v>
      </c>
      <c r="I123" s="32">
        <f>Data!BG122</f>
        <v>31</v>
      </c>
      <c r="J123" s="32">
        <f>Data!AC122</f>
        <v>359</v>
      </c>
      <c r="K123" s="78">
        <f>Data!BC122</f>
        <v>3310.5</v>
      </c>
      <c r="L123" s="254">
        <f>Data!BZ122</f>
        <v>0.5</v>
      </c>
      <c r="M123" s="32">
        <f t="shared" si="14"/>
        <v>20356495.762149516</v>
      </c>
      <c r="N123" s="32">
        <f t="shared" si="16"/>
        <v>18725418.796918266</v>
      </c>
      <c r="O123" s="51">
        <f t="shared" si="17"/>
        <v>-329634.23440704122</v>
      </c>
      <c r="P123" s="50">
        <f t="shared" si="18"/>
        <v>1.5935036396943873E-2</v>
      </c>
    </row>
    <row r="124" spans="1:17" x14ac:dyDescent="0.2">
      <c r="A124" s="2">
        <v>44228</v>
      </c>
      <c r="B124">
        <f t="shared" si="13"/>
        <v>2021</v>
      </c>
      <c r="C124">
        <f t="shared" si="15"/>
        <v>2</v>
      </c>
      <c r="D124" s="56">
        <f>Data!J123</f>
        <v>17768826.322891563</v>
      </c>
      <c r="E124" s="56">
        <f>Data!K123</f>
        <v>1631076.9652312491</v>
      </c>
      <c r="F124" s="56">
        <f>Data!L123</f>
        <v>19399903.28812281</v>
      </c>
      <c r="G124" s="253">
        <f>Data!AV123</f>
        <v>429.7</v>
      </c>
      <c r="H124" s="253">
        <f>Data!AU123</f>
        <v>0</v>
      </c>
      <c r="I124" s="32">
        <f>Data!BG123</f>
        <v>28</v>
      </c>
      <c r="J124" s="32">
        <f>Data!AC123</f>
        <v>359</v>
      </c>
      <c r="K124" s="78">
        <f>Data!BC123</f>
        <v>3272.2</v>
      </c>
      <c r="L124" s="254">
        <f>Data!BZ123</f>
        <v>0.5</v>
      </c>
      <c r="M124" s="32">
        <f t="shared" si="14"/>
        <v>19329307.293308526</v>
      </c>
      <c r="N124" s="32">
        <f t="shared" si="16"/>
        <v>17698230.328077279</v>
      </c>
      <c r="O124" s="51">
        <f t="shared" si="17"/>
        <v>-70595.994814284146</v>
      </c>
      <c r="P124" s="50">
        <f t="shared" si="18"/>
        <v>3.6389869457496256E-3</v>
      </c>
    </row>
    <row r="125" spans="1:17" x14ac:dyDescent="0.2">
      <c r="A125" s="2">
        <v>44256</v>
      </c>
      <c r="B125">
        <f t="shared" si="13"/>
        <v>2021</v>
      </c>
      <c r="C125">
        <f t="shared" si="15"/>
        <v>3</v>
      </c>
      <c r="D125" s="56">
        <f>Data!J124</f>
        <v>17829411.836144578</v>
      </c>
      <c r="E125" s="56">
        <f>Data!K124</f>
        <v>1631076.9652312491</v>
      </c>
      <c r="F125" s="56">
        <f>Data!L124</f>
        <v>19460488.801375829</v>
      </c>
      <c r="G125" s="253">
        <f>Data!AV124</f>
        <v>222.10000000000002</v>
      </c>
      <c r="H125" s="253">
        <f>Data!AU124</f>
        <v>3</v>
      </c>
      <c r="I125" s="32">
        <f>Data!BG124</f>
        <v>31</v>
      </c>
      <c r="J125" s="32">
        <f>Data!AC124</f>
        <v>359</v>
      </c>
      <c r="K125" s="78">
        <f>Data!BC124</f>
        <v>3271.6</v>
      </c>
      <c r="L125" s="254">
        <f>Data!BZ124</f>
        <v>0.5</v>
      </c>
      <c r="M125" s="32">
        <f t="shared" si="14"/>
        <v>19327691.063440714</v>
      </c>
      <c r="N125" s="32">
        <f t="shared" si="16"/>
        <v>17696614.098209463</v>
      </c>
      <c r="O125" s="51">
        <f t="shared" si="17"/>
        <v>-132797.73793511465</v>
      </c>
      <c r="P125" s="50">
        <f t="shared" si="18"/>
        <v>6.8239672338408089E-3</v>
      </c>
    </row>
    <row r="126" spans="1:17" x14ac:dyDescent="0.2">
      <c r="A126" s="2">
        <v>44287</v>
      </c>
      <c r="B126">
        <f t="shared" si="13"/>
        <v>2021</v>
      </c>
      <c r="C126">
        <f t="shared" si="15"/>
        <v>4</v>
      </c>
      <c r="D126" s="56">
        <f>Data!J125</f>
        <v>16123617.619277105</v>
      </c>
      <c r="E126" s="56">
        <f>Data!K125</f>
        <v>1631076.9652312491</v>
      </c>
      <c r="F126" s="56">
        <f>Data!L125</f>
        <v>17754694.584508352</v>
      </c>
      <c r="G126" s="253">
        <f>Data!AV125</f>
        <v>87.600000000000023</v>
      </c>
      <c r="H126" s="253">
        <f>Data!AU125</f>
        <v>11.9</v>
      </c>
      <c r="I126" s="32">
        <f>Data!BG125</f>
        <v>30</v>
      </c>
      <c r="J126" s="32">
        <f>Data!AC125</f>
        <v>359</v>
      </c>
      <c r="K126" s="78">
        <f>Data!BC125</f>
        <v>3276.5</v>
      </c>
      <c r="L126" s="254">
        <f>Data!BZ125</f>
        <v>0.5</v>
      </c>
      <c r="M126" s="32">
        <f t="shared" si="14"/>
        <v>18354459.847445231</v>
      </c>
      <c r="N126" s="32">
        <f t="shared" si="16"/>
        <v>16723382.882213982</v>
      </c>
      <c r="O126" s="51">
        <f t="shared" si="17"/>
        <v>599765.26293687895</v>
      </c>
      <c r="P126" s="50">
        <f t="shared" si="18"/>
        <v>3.3780657846978514E-2</v>
      </c>
    </row>
    <row r="127" spans="1:17" x14ac:dyDescent="0.2">
      <c r="A127" s="2">
        <v>44317</v>
      </c>
      <c r="B127">
        <f t="shared" si="13"/>
        <v>2021</v>
      </c>
      <c r="C127">
        <f t="shared" si="15"/>
        <v>5</v>
      </c>
      <c r="D127" s="56">
        <f>Data!J126</f>
        <v>16293057.002409624</v>
      </c>
      <c r="E127" s="56">
        <f>Data!K126</f>
        <v>1631076.9652312491</v>
      </c>
      <c r="F127" s="56">
        <f>Data!L126</f>
        <v>17924133.967640873</v>
      </c>
      <c r="G127" s="253">
        <f>Data!AV126</f>
        <v>25.399999999999995</v>
      </c>
      <c r="H127" s="253">
        <f>Data!AU126</f>
        <v>99.40000000000002</v>
      </c>
      <c r="I127" s="32">
        <f>Data!BG126</f>
        <v>31</v>
      </c>
      <c r="J127" s="32">
        <f>Data!AC126</f>
        <v>359</v>
      </c>
      <c r="K127" s="78">
        <f>Data!BC126</f>
        <v>3278.1</v>
      </c>
      <c r="L127" s="254">
        <f>Data!BZ126</f>
        <v>0.5</v>
      </c>
      <c r="M127" s="32">
        <f t="shared" si="14"/>
        <v>18971773.552747861</v>
      </c>
      <c r="N127" s="32">
        <f t="shared" si="16"/>
        <v>17340696.587516613</v>
      </c>
      <c r="O127" s="51">
        <f t="shared" si="17"/>
        <v>1047639.5851069875</v>
      </c>
      <c r="P127" s="50">
        <f t="shared" si="18"/>
        <v>5.8448546914363138E-2</v>
      </c>
    </row>
    <row r="128" spans="1:17" x14ac:dyDescent="0.2">
      <c r="A128" s="2">
        <v>44348</v>
      </c>
      <c r="B128">
        <f t="shared" ref="B128:B134" si="19">YEAR(A128)</f>
        <v>2021</v>
      </c>
      <c r="C128">
        <f t="shared" ref="C128:C134" si="20">MONTH(A128)</f>
        <v>6</v>
      </c>
      <c r="D128" s="56">
        <f>Data!J127</f>
        <v>17880539.209638555</v>
      </c>
      <c r="E128" s="56">
        <f>Data!K127</f>
        <v>1631076.9652312491</v>
      </c>
      <c r="F128" s="56">
        <f>Data!L127</f>
        <v>19511616.174869806</v>
      </c>
      <c r="G128" s="253">
        <f>Data!AV127</f>
        <v>0</v>
      </c>
      <c r="H128" s="253">
        <f>Data!AU127</f>
        <v>295.00000000000006</v>
      </c>
      <c r="I128" s="32">
        <f>Data!BG127</f>
        <v>30</v>
      </c>
      <c r="J128" s="32">
        <f>Data!AC127</f>
        <v>360</v>
      </c>
      <c r="K128" s="78">
        <f>Data!BC127</f>
        <v>3288.5</v>
      </c>
      <c r="L128" s="254">
        <f>Data!BZ127</f>
        <v>0.5</v>
      </c>
      <c r="M128" s="32">
        <f t="shared" ref="M128:M134" si="21">$R$19+G128*$R$20+H128*$R$21+I128*$R$22+J128*$R$23+K128*$R$24+L128*$R$25</f>
        <v>19851305.987825748</v>
      </c>
      <c r="N128" s="32">
        <f t="shared" ref="N128:N134" si="22">M128-E128</f>
        <v>18220229.022594497</v>
      </c>
      <c r="O128" s="51">
        <f t="shared" ref="O128:O134" si="23">+M128-F128</f>
        <v>339689.812955942</v>
      </c>
      <c r="P128" s="50">
        <f t="shared" ref="P128:P134" si="24">ABS(O128/F128)</f>
        <v>1.7409619475471701E-2</v>
      </c>
    </row>
    <row r="129" spans="1:17" x14ac:dyDescent="0.2">
      <c r="A129" s="2">
        <v>44378</v>
      </c>
      <c r="B129">
        <f t="shared" si="19"/>
        <v>2021</v>
      </c>
      <c r="C129">
        <f t="shared" si="20"/>
        <v>7</v>
      </c>
      <c r="D129" s="56">
        <f>Data!J128</f>
        <v>18099821.706024084</v>
      </c>
      <c r="E129" s="56">
        <f>Data!K128</f>
        <v>1631076.9652312491</v>
      </c>
      <c r="F129" s="56">
        <f>Data!L128</f>
        <v>19730898.671255335</v>
      </c>
      <c r="G129" s="253">
        <f>Data!AV128</f>
        <v>0</v>
      </c>
      <c r="H129" s="253">
        <f>Data!AU128</f>
        <v>290.3</v>
      </c>
      <c r="I129" s="32">
        <f>Data!BG128</f>
        <v>31</v>
      </c>
      <c r="J129" s="32">
        <f>Data!AC128</f>
        <v>360</v>
      </c>
      <c r="K129" s="78">
        <f>Data!BC128</f>
        <v>3332.9</v>
      </c>
      <c r="L129" s="254">
        <f>Data!BZ128</f>
        <v>0.5</v>
      </c>
      <c r="M129" s="32">
        <f t="shared" si="21"/>
        <v>20362138.780329335</v>
      </c>
      <c r="N129" s="32">
        <f t="shared" si="22"/>
        <v>18731061.815098085</v>
      </c>
      <c r="O129" s="51">
        <f t="shared" si="23"/>
        <v>631240.10907400027</v>
      </c>
      <c r="P129" s="50">
        <f t="shared" si="24"/>
        <v>3.1992466212074418E-2</v>
      </c>
    </row>
    <row r="130" spans="1:17" x14ac:dyDescent="0.2">
      <c r="A130" s="2">
        <v>44409</v>
      </c>
      <c r="B130">
        <f t="shared" si="19"/>
        <v>2021</v>
      </c>
      <c r="C130">
        <f t="shared" si="20"/>
        <v>8</v>
      </c>
      <c r="D130" s="56">
        <f>Data!J129</f>
        <v>19993946.689156614</v>
      </c>
      <c r="E130" s="56">
        <f>Data!K129</f>
        <v>1631076.9652312491</v>
      </c>
      <c r="F130" s="56">
        <f>Data!L129</f>
        <v>21625023.654387861</v>
      </c>
      <c r="G130" s="253">
        <f>Data!AV129</f>
        <v>0</v>
      </c>
      <c r="H130" s="253">
        <f>Data!AU129</f>
        <v>365.40000000000003</v>
      </c>
      <c r="I130" s="32">
        <f>Data!BG129</f>
        <v>31</v>
      </c>
      <c r="J130" s="32">
        <f>Data!AC129</f>
        <v>331</v>
      </c>
      <c r="K130" s="78">
        <f>Data!BC129</f>
        <v>3403.5</v>
      </c>
      <c r="L130" s="254">
        <f>Data!BZ129</f>
        <v>0.5</v>
      </c>
      <c r="M130" s="32">
        <f t="shared" si="21"/>
        <v>20477770.833200842</v>
      </c>
      <c r="N130" s="32">
        <f t="shared" si="22"/>
        <v>18846693.867969595</v>
      </c>
      <c r="O130" s="51">
        <f t="shared" si="23"/>
        <v>-1147252.8211870193</v>
      </c>
      <c r="P130" s="50">
        <f t="shared" si="24"/>
        <v>5.305209555015835E-2</v>
      </c>
    </row>
    <row r="131" spans="1:17" x14ac:dyDescent="0.2">
      <c r="A131" s="2">
        <v>44440</v>
      </c>
      <c r="B131">
        <f t="shared" si="19"/>
        <v>2021</v>
      </c>
      <c r="C131">
        <f t="shared" si="20"/>
        <v>9</v>
      </c>
      <c r="D131" s="56">
        <f>Data!J130</f>
        <v>17725189.908433735</v>
      </c>
      <c r="E131" s="56">
        <f>Data!K130</f>
        <v>1631076.9652312491</v>
      </c>
      <c r="F131" s="56">
        <f>Data!L130</f>
        <v>19356266.873664983</v>
      </c>
      <c r="G131" s="253">
        <f>Data!AV130</f>
        <v>0</v>
      </c>
      <c r="H131" s="253">
        <f>Data!AU130</f>
        <v>169.29999999999998</v>
      </c>
      <c r="I131" s="32">
        <f>Data!BG130</f>
        <v>30</v>
      </c>
      <c r="J131" s="32">
        <f>Data!AC130</f>
        <v>320</v>
      </c>
      <c r="K131" s="78">
        <f>Data!BC130</f>
        <v>3457.1</v>
      </c>
      <c r="L131" s="254">
        <f>Data!BZ130</f>
        <v>0.5</v>
      </c>
      <c r="M131" s="32">
        <f t="shared" si="21"/>
        <v>18792078.006620891</v>
      </c>
      <c r="N131" s="32">
        <f t="shared" si="22"/>
        <v>17161001.041389644</v>
      </c>
      <c r="O131" s="51">
        <f t="shared" si="23"/>
        <v>-564188.86704409122</v>
      </c>
      <c r="P131" s="50">
        <f t="shared" si="24"/>
        <v>2.9147607373180721E-2</v>
      </c>
    </row>
    <row r="132" spans="1:17" x14ac:dyDescent="0.2">
      <c r="A132" s="2">
        <v>44470</v>
      </c>
      <c r="B132">
        <f t="shared" si="19"/>
        <v>2021</v>
      </c>
      <c r="C132">
        <f t="shared" si="20"/>
        <v>10</v>
      </c>
      <c r="D132" s="56">
        <f>Data!J131</f>
        <v>17543608.713253014</v>
      </c>
      <c r="E132" s="56">
        <f>Data!K131</f>
        <v>1631076.9652312491</v>
      </c>
      <c r="F132" s="56">
        <f>Data!L131</f>
        <v>19174685.678484261</v>
      </c>
      <c r="G132" s="253">
        <f>Data!AV131</f>
        <v>20.499999999999996</v>
      </c>
      <c r="H132" s="253">
        <f>Data!AU131</f>
        <v>86.499999999999986</v>
      </c>
      <c r="I132" s="32">
        <f>Data!BG131</f>
        <v>31</v>
      </c>
      <c r="J132" s="32">
        <f>Data!AC131</f>
        <v>320</v>
      </c>
      <c r="K132" s="78">
        <f>Data!BC131</f>
        <v>3499.8</v>
      </c>
      <c r="L132" s="254">
        <f>Data!BZ131</f>
        <v>0.5</v>
      </c>
      <c r="M132" s="32">
        <f t="shared" si="21"/>
        <v>18884225.462735951</v>
      </c>
      <c r="N132" s="32">
        <f t="shared" si="22"/>
        <v>17253148.497504704</v>
      </c>
      <c r="O132" s="51">
        <f t="shared" si="23"/>
        <v>-290460.21574831009</v>
      </c>
      <c r="P132" s="50">
        <f t="shared" si="24"/>
        <v>1.5148108324624734E-2</v>
      </c>
    </row>
    <row r="133" spans="1:17" x14ac:dyDescent="0.2">
      <c r="A133" s="2">
        <v>44501</v>
      </c>
      <c r="B133">
        <f t="shared" si="19"/>
        <v>2021</v>
      </c>
      <c r="C133">
        <f t="shared" si="20"/>
        <v>11</v>
      </c>
      <c r="D133" s="56">
        <f>Data!J132</f>
        <v>17668488.221686747</v>
      </c>
      <c r="E133" s="56">
        <f>Data!K132</f>
        <v>1631076.9652312491</v>
      </c>
      <c r="F133" s="56">
        <f>Data!L132</f>
        <v>19299565.186917998</v>
      </c>
      <c r="G133" s="253">
        <f>Data!AV132</f>
        <v>175.30000000000004</v>
      </c>
      <c r="H133" s="253">
        <f>Data!AU132</f>
        <v>0</v>
      </c>
      <c r="I133" s="32">
        <f>Data!BG132</f>
        <v>30</v>
      </c>
      <c r="J133" s="32">
        <f>Data!AC132</f>
        <v>322</v>
      </c>
      <c r="K133" s="78">
        <f>Data!BC132</f>
        <v>3513.1</v>
      </c>
      <c r="L133" s="254">
        <f>Data!BZ132</f>
        <v>0.5</v>
      </c>
      <c r="M133" s="32">
        <f t="shared" si="21"/>
        <v>18865420.482360534</v>
      </c>
      <c r="N133" s="32">
        <f t="shared" si="22"/>
        <v>17234343.517129287</v>
      </c>
      <c r="O133" s="51">
        <f t="shared" si="23"/>
        <v>-434144.70455746353</v>
      </c>
      <c r="P133" s="50">
        <f t="shared" si="24"/>
        <v>2.2495051072536278E-2</v>
      </c>
    </row>
    <row r="134" spans="1:17" x14ac:dyDescent="0.2">
      <c r="A134" s="2">
        <v>44531</v>
      </c>
      <c r="B134">
        <f t="shared" si="19"/>
        <v>2021</v>
      </c>
      <c r="C134">
        <f t="shared" si="20"/>
        <v>12</v>
      </c>
      <c r="D134" s="56">
        <f>Data!J133</f>
        <v>18227991.315662645</v>
      </c>
      <c r="E134" s="56">
        <f>Data!K133</f>
        <v>1631076.9652312491</v>
      </c>
      <c r="F134" s="56">
        <f>Data!L133</f>
        <v>19859068.280893892</v>
      </c>
      <c r="G134" s="253">
        <f>Data!AV133</f>
        <v>257.8</v>
      </c>
      <c r="H134" s="253">
        <f>Data!AU133</f>
        <v>0</v>
      </c>
      <c r="I134" s="32">
        <f>Data!BG133</f>
        <v>31</v>
      </c>
      <c r="J134" s="32">
        <f>Data!AC133</f>
        <v>327</v>
      </c>
      <c r="K134" s="78">
        <f>Data!BC133</f>
        <v>3539.2</v>
      </c>
      <c r="L134" s="254">
        <f>Data!BZ133</f>
        <v>0.5</v>
      </c>
      <c r="M134" s="32">
        <f t="shared" si="21"/>
        <v>19876442.762482636</v>
      </c>
      <c r="N134" s="32">
        <f t="shared" si="22"/>
        <v>18245365.797251388</v>
      </c>
      <c r="O134" s="51">
        <f t="shared" si="23"/>
        <v>17374.481588743627</v>
      </c>
      <c r="P134" s="50">
        <f t="shared" si="24"/>
        <v>8.7488906040266508E-4</v>
      </c>
      <c r="Q134" s="28" t="s">
        <v>52</v>
      </c>
    </row>
    <row r="135" spans="1:17" x14ac:dyDescent="0.2">
      <c r="A135" s="2">
        <v>44562</v>
      </c>
      <c r="B135">
        <f t="shared" ref="B135:B158" si="25">YEAR(A135)</f>
        <v>2022</v>
      </c>
      <c r="C135">
        <f t="shared" ref="C135:C158" si="26">MONTH(A135)</f>
        <v>1</v>
      </c>
      <c r="D135" s="56"/>
      <c r="E135" s="56">
        <f>'Historic CDM'!O16/12</f>
        <v>1574860.9824182142</v>
      </c>
      <c r="G135" s="55">
        <f ca="1">Weather!DF61</f>
        <v>439.5</v>
      </c>
      <c r="H135" s="55">
        <f ca="1">Weather!CS61</f>
        <v>0</v>
      </c>
      <c r="I135" s="32">
        <f t="shared" ref="I135:I158" si="27">I87</f>
        <v>31</v>
      </c>
      <c r="J135" s="156">
        <f>'Rate Class Customer Model'!H60</f>
        <v>327.72813357770286</v>
      </c>
      <c r="K135" s="51">
        <f>Economic!F134</f>
        <v>3428.0227500000001</v>
      </c>
      <c r="L135" s="198">
        <f>Q135*0.5</f>
        <v>0.375</v>
      </c>
      <c r="M135" s="32">
        <f t="shared" ref="M135:M157" ca="1" si="28">$R$19+G135*$R$20+H135*$R$21+I135*$R$22+J135*$R$23+K135*$R$24+L135*$R$25</f>
        <v>20532725.757232614</v>
      </c>
      <c r="N135" s="32">
        <f t="shared" ref="N135:N158" ca="1" si="29">M135-E135</f>
        <v>18957864.774814401</v>
      </c>
      <c r="O135" s="51"/>
      <c r="P135" s="50"/>
      <c r="Q135">
        <f>'GS &lt; 50 kW'!Q135</f>
        <v>0.75</v>
      </c>
    </row>
    <row r="136" spans="1:17" x14ac:dyDescent="0.2">
      <c r="A136" s="2">
        <v>44593</v>
      </c>
      <c r="B136">
        <f t="shared" si="25"/>
        <v>2022</v>
      </c>
      <c r="C136">
        <f t="shared" si="26"/>
        <v>2</v>
      </c>
      <c r="D136" s="56"/>
      <c r="E136" s="56">
        <f>E135</f>
        <v>1574860.9824182142</v>
      </c>
      <c r="G136" s="55">
        <f ca="1">Weather!DF62</f>
        <v>403.5</v>
      </c>
      <c r="H136" s="55">
        <f ca="1">Weather!CS62</f>
        <v>0</v>
      </c>
      <c r="I136" s="32">
        <f t="shared" si="27"/>
        <v>28</v>
      </c>
      <c r="J136" s="156">
        <f>'Rate Class Customer Model'!H61</f>
        <v>328.62518858474152</v>
      </c>
      <c r="K136" s="51">
        <f>Economic!F135</f>
        <v>3388.3631</v>
      </c>
      <c r="L136" s="198">
        <f t="shared" ref="L136:L158" si="30">Q136*0.5</f>
        <v>0.375</v>
      </c>
      <c r="M136" s="32">
        <f t="shared" ca="1" si="28"/>
        <v>19137574.429047279</v>
      </c>
      <c r="N136" s="32">
        <f t="shared" ca="1" si="29"/>
        <v>17562713.446629066</v>
      </c>
      <c r="O136" s="51"/>
      <c r="P136" s="50"/>
      <c r="Q136">
        <f>Q135</f>
        <v>0.75</v>
      </c>
    </row>
    <row r="137" spans="1:17" x14ac:dyDescent="0.2">
      <c r="A137" s="2">
        <v>44621</v>
      </c>
      <c r="B137">
        <f t="shared" si="25"/>
        <v>2022</v>
      </c>
      <c r="C137">
        <f t="shared" si="26"/>
        <v>3</v>
      </c>
      <c r="D137" s="56"/>
      <c r="E137" s="56">
        <f t="shared" ref="E137:E146" si="31">E136</f>
        <v>1574860.9824182142</v>
      </c>
      <c r="G137" s="55">
        <f ca="1">Weather!DF63</f>
        <v>291.06</v>
      </c>
      <c r="H137" s="55">
        <f ca="1">Weather!CS63</f>
        <v>2.8099999999999996</v>
      </c>
      <c r="I137" s="32">
        <f t="shared" si="27"/>
        <v>31</v>
      </c>
      <c r="J137" s="156">
        <f>'Rate Class Customer Model'!H62</f>
        <v>329.52469900406618</v>
      </c>
      <c r="K137" s="51">
        <f>Economic!F136</f>
        <v>3387.7418000000002</v>
      </c>
      <c r="L137" s="198">
        <f t="shared" si="30"/>
        <v>0.375</v>
      </c>
      <c r="M137" s="32">
        <f t="shared" ca="1" si="28"/>
        <v>19650669.766160086</v>
      </c>
      <c r="N137" s="32">
        <f t="shared" ca="1" si="29"/>
        <v>18075808.783741873</v>
      </c>
      <c r="O137" s="51"/>
      <c r="P137" s="50"/>
      <c r="Q137">
        <f t="shared" ref="Q137:Q158" si="32">Q136</f>
        <v>0.75</v>
      </c>
    </row>
    <row r="138" spans="1:17" x14ac:dyDescent="0.2">
      <c r="A138" s="2">
        <v>44652</v>
      </c>
      <c r="B138">
        <f t="shared" si="25"/>
        <v>2022</v>
      </c>
      <c r="C138">
        <f t="shared" si="26"/>
        <v>4</v>
      </c>
      <c r="D138" s="56"/>
      <c r="E138" s="56">
        <f t="shared" si="31"/>
        <v>1574860.9824182142</v>
      </c>
      <c r="G138" s="55">
        <f ca="1">Weather!DF64</f>
        <v>120.71999999999998</v>
      </c>
      <c r="H138" s="55">
        <f ca="1">Weather!CS64</f>
        <v>6.58</v>
      </c>
      <c r="I138" s="32">
        <f t="shared" si="27"/>
        <v>30</v>
      </c>
      <c r="J138" s="156">
        <f>'Rate Class Customer Model'!H63</f>
        <v>330.42667155661303</v>
      </c>
      <c r="K138" s="51">
        <f>Economic!F137</f>
        <v>3392.8157500000002</v>
      </c>
      <c r="L138" s="198">
        <f t="shared" si="30"/>
        <v>0.375</v>
      </c>
      <c r="M138" s="32">
        <f t="shared" ca="1" si="28"/>
        <v>18478969.837636929</v>
      </c>
      <c r="N138" s="32">
        <f t="shared" ca="1" si="29"/>
        <v>16904108.855218716</v>
      </c>
      <c r="O138" s="51"/>
      <c r="P138" s="50"/>
      <c r="Q138">
        <f t="shared" si="32"/>
        <v>0.75</v>
      </c>
    </row>
    <row r="139" spans="1:17" x14ac:dyDescent="0.2">
      <c r="A139" s="2">
        <v>44682</v>
      </c>
      <c r="B139">
        <f t="shared" si="25"/>
        <v>2022</v>
      </c>
      <c r="C139">
        <f t="shared" si="26"/>
        <v>5</v>
      </c>
      <c r="D139" s="56"/>
      <c r="E139" s="56">
        <f t="shared" si="31"/>
        <v>1574860.9824182142</v>
      </c>
      <c r="G139" s="55">
        <f ca="1">Weather!DF65</f>
        <v>16.330000000000002</v>
      </c>
      <c r="H139" s="55">
        <f ca="1">Weather!CS65</f>
        <v>107.25</v>
      </c>
      <c r="I139" s="32">
        <f t="shared" si="27"/>
        <v>31</v>
      </c>
      <c r="J139" s="156">
        <f>'Rate Class Customer Model'!H64</f>
        <v>331.33111298171485</v>
      </c>
      <c r="K139" s="51">
        <f>Economic!F138</f>
        <v>3394.4725500000004</v>
      </c>
      <c r="L139" s="198">
        <f t="shared" si="30"/>
        <v>0.375</v>
      </c>
      <c r="M139" s="32">
        <f t="shared" ca="1" si="28"/>
        <v>18985746.157225706</v>
      </c>
      <c r="N139" s="32">
        <f t="shared" ca="1" si="29"/>
        <v>17410885.174807493</v>
      </c>
      <c r="O139" s="51"/>
      <c r="P139" s="50"/>
      <c r="Q139">
        <f t="shared" si="32"/>
        <v>0.75</v>
      </c>
    </row>
    <row r="140" spans="1:17" x14ac:dyDescent="0.2">
      <c r="A140" s="2">
        <v>44713</v>
      </c>
      <c r="B140">
        <f t="shared" si="25"/>
        <v>2022</v>
      </c>
      <c r="C140">
        <f t="shared" si="26"/>
        <v>6</v>
      </c>
      <c r="D140" s="56"/>
      <c r="E140" s="56">
        <f t="shared" si="31"/>
        <v>1574860.9824182142</v>
      </c>
      <c r="G140" s="55">
        <f ca="1">Weather!DF66</f>
        <v>0</v>
      </c>
      <c r="H140" s="55">
        <f ca="1">Weather!CS66</f>
        <v>230.10000000000005</v>
      </c>
      <c r="I140" s="32">
        <f t="shared" si="27"/>
        <v>30</v>
      </c>
      <c r="J140" s="156">
        <f>'Rate Class Customer Model'!H65</f>
        <v>332.23803003715119</v>
      </c>
      <c r="K140" s="51">
        <f>Economic!F139</f>
        <v>3405.2417500000001</v>
      </c>
      <c r="L140" s="198">
        <f t="shared" si="30"/>
        <v>0.375</v>
      </c>
      <c r="M140" s="32">
        <f t="shared" ca="1" si="28"/>
        <v>19429231.100570202</v>
      </c>
      <c r="N140" s="32">
        <f t="shared" ca="1" si="29"/>
        <v>17854370.118151989</v>
      </c>
      <c r="O140" s="51"/>
      <c r="P140" s="50"/>
      <c r="Q140">
        <f t="shared" si="32"/>
        <v>0.75</v>
      </c>
    </row>
    <row r="141" spans="1:17" x14ac:dyDescent="0.2">
      <c r="A141" s="2">
        <v>44743</v>
      </c>
      <c r="B141">
        <f t="shared" si="25"/>
        <v>2022</v>
      </c>
      <c r="C141">
        <f t="shared" si="26"/>
        <v>7</v>
      </c>
      <c r="D141" s="56"/>
      <c r="E141" s="56">
        <f t="shared" si="31"/>
        <v>1574860.9824182142</v>
      </c>
      <c r="G141" s="55">
        <f ca="1">Weather!DF67</f>
        <v>0</v>
      </c>
      <c r="H141" s="55">
        <f ca="1">Weather!CS67</f>
        <v>331.41</v>
      </c>
      <c r="I141" s="32">
        <f t="shared" si="27"/>
        <v>31</v>
      </c>
      <c r="J141" s="156">
        <f>'Rate Class Customer Model'!H66</f>
        <v>333.14742949919895</v>
      </c>
      <c r="K141" s="51">
        <f>Economic!F140</f>
        <v>3451.2179500000002</v>
      </c>
      <c r="L141" s="198">
        <f t="shared" si="30"/>
        <v>0.375</v>
      </c>
      <c r="M141" s="32">
        <f t="shared" ca="1" si="28"/>
        <v>20671375.789533708</v>
      </c>
      <c r="N141" s="32">
        <f t="shared" ca="1" si="29"/>
        <v>19096514.807115495</v>
      </c>
      <c r="O141" s="51"/>
      <c r="P141" s="50"/>
      <c r="Q141">
        <f t="shared" si="32"/>
        <v>0.75</v>
      </c>
    </row>
    <row r="142" spans="1:17" x14ac:dyDescent="0.2">
      <c r="A142" s="2">
        <v>44774</v>
      </c>
      <c r="B142">
        <f t="shared" si="25"/>
        <v>2022</v>
      </c>
      <c r="C142">
        <f t="shared" si="26"/>
        <v>8</v>
      </c>
      <c r="D142" s="56"/>
      <c r="E142" s="56">
        <f t="shared" si="31"/>
        <v>1574860.9824182142</v>
      </c>
      <c r="G142" s="55">
        <f ca="1">Weather!DF68</f>
        <v>0</v>
      </c>
      <c r="H142" s="55">
        <f ca="1">Weather!CS68</f>
        <v>304.46000000000004</v>
      </c>
      <c r="I142" s="32">
        <f t="shared" si="27"/>
        <v>31</v>
      </c>
      <c r="J142" s="156">
        <f>'Rate Class Customer Model'!H67</f>
        <v>334.05931816268304</v>
      </c>
      <c r="K142" s="51">
        <f>Economic!F141</f>
        <v>3524.3242500000001</v>
      </c>
      <c r="L142" s="198">
        <f t="shared" si="30"/>
        <v>0.375</v>
      </c>
      <c r="M142" s="32">
        <f t="shared" ca="1" si="28"/>
        <v>20824329.937861573</v>
      </c>
      <c r="N142" s="32">
        <f t="shared" ca="1" si="29"/>
        <v>19249468.95544336</v>
      </c>
      <c r="O142" s="51"/>
      <c r="P142" s="50"/>
      <c r="Q142">
        <f t="shared" si="32"/>
        <v>0.75</v>
      </c>
    </row>
    <row r="143" spans="1:17" x14ac:dyDescent="0.2">
      <c r="A143" s="2">
        <v>44805</v>
      </c>
      <c r="B143">
        <f t="shared" si="25"/>
        <v>2022</v>
      </c>
      <c r="C143">
        <f t="shared" si="26"/>
        <v>9</v>
      </c>
      <c r="D143" s="56"/>
      <c r="E143" s="56">
        <f t="shared" si="31"/>
        <v>1574860.9824182142</v>
      </c>
      <c r="G143" s="55">
        <f ca="1">Weather!DF69</f>
        <v>0.24999999999999983</v>
      </c>
      <c r="H143" s="55">
        <f ca="1">Weather!CS69</f>
        <v>176.51</v>
      </c>
      <c r="I143" s="32">
        <f t="shared" si="27"/>
        <v>30</v>
      </c>
      <c r="J143" s="156">
        <f>'Rate Class Customer Model'!H68</f>
        <v>334.97370284102715</v>
      </c>
      <c r="K143" s="51">
        <f>Economic!F142</f>
        <v>3579.8270500000003</v>
      </c>
      <c r="L143" s="198">
        <f t="shared" si="30"/>
        <v>0.375</v>
      </c>
      <c r="M143" s="32">
        <f t="shared" ca="1" si="28"/>
        <v>19880367.211347863</v>
      </c>
      <c r="N143" s="32">
        <f t="shared" ca="1" si="29"/>
        <v>18305506.22892965</v>
      </c>
      <c r="O143" s="51"/>
      <c r="P143" s="50"/>
      <c r="Q143">
        <f t="shared" si="32"/>
        <v>0.75</v>
      </c>
    </row>
    <row r="144" spans="1:17" x14ac:dyDescent="0.2">
      <c r="A144" s="2">
        <v>44835</v>
      </c>
      <c r="B144">
        <f t="shared" si="25"/>
        <v>2022</v>
      </c>
      <c r="C144">
        <f t="shared" si="26"/>
        <v>10</v>
      </c>
      <c r="D144" s="56"/>
      <c r="E144" s="56">
        <f t="shared" si="31"/>
        <v>1574860.9824182142</v>
      </c>
      <c r="G144" s="55">
        <f ca="1">Weather!DF70</f>
        <v>44.309999999999995</v>
      </c>
      <c r="H144" s="55">
        <f ca="1">Weather!CS70</f>
        <v>43.36</v>
      </c>
      <c r="I144" s="32">
        <f t="shared" si="27"/>
        <v>31</v>
      </c>
      <c r="J144" s="156">
        <f>'Rate Class Customer Model'!H69</f>
        <v>335.89059036630448</v>
      </c>
      <c r="K144" s="51">
        <f>Economic!F143</f>
        <v>3624.0429000000004</v>
      </c>
      <c r="L144" s="198">
        <f t="shared" si="30"/>
        <v>0.375</v>
      </c>
      <c r="M144" s="32">
        <f t="shared" ca="1" si="28"/>
        <v>19789043.964281313</v>
      </c>
      <c r="N144" s="32">
        <f t="shared" ca="1" si="29"/>
        <v>18214182.9818631</v>
      </c>
      <c r="O144" s="51"/>
      <c r="P144" s="50"/>
      <c r="Q144">
        <f t="shared" si="32"/>
        <v>0.75</v>
      </c>
    </row>
    <row r="145" spans="1:17" x14ac:dyDescent="0.2">
      <c r="A145" s="2">
        <v>44866</v>
      </c>
      <c r="B145">
        <f t="shared" si="25"/>
        <v>2022</v>
      </c>
      <c r="C145">
        <f t="shared" si="26"/>
        <v>11</v>
      </c>
      <c r="D145" s="56"/>
      <c r="E145" s="56">
        <f t="shared" si="31"/>
        <v>1574860.9824182142</v>
      </c>
      <c r="G145" s="55">
        <f ca="1">Weather!DF71</f>
        <v>193.95999999999998</v>
      </c>
      <c r="H145" s="55">
        <f ca="1">Weather!CS71</f>
        <v>2.7399999999999998</v>
      </c>
      <c r="I145" s="32">
        <f t="shared" si="27"/>
        <v>30</v>
      </c>
      <c r="J145" s="156">
        <f>'Rate Class Customer Model'!H70</f>
        <v>336.80998758928905</v>
      </c>
      <c r="K145" s="51">
        <f>Economic!F144</f>
        <v>3637.8150500000002</v>
      </c>
      <c r="L145" s="198">
        <f t="shared" si="30"/>
        <v>0.375</v>
      </c>
      <c r="M145" s="32">
        <f t="shared" ca="1" si="28"/>
        <v>20024389.308932222</v>
      </c>
      <c r="N145" s="32">
        <f t="shared" ca="1" si="29"/>
        <v>18449528.326514009</v>
      </c>
      <c r="O145" s="51"/>
      <c r="P145" s="50"/>
      <c r="Q145">
        <f t="shared" si="32"/>
        <v>0.75</v>
      </c>
    </row>
    <row r="146" spans="1:17" x14ac:dyDescent="0.2">
      <c r="A146" s="2">
        <v>44896</v>
      </c>
      <c r="B146">
        <f t="shared" si="25"/>
        <v>2022</v>
      </c>
      <c r="C146">
        <f t="shared" si="26"/>
        <v>12</v>
      </c>
      <c r="D146" s="56"/>
      <c r="E146" s="56">
        <f t="shared" si="31"/>
        <v>1574860.9824182142</v>
      </c>
      <c r="G146" s="55">
        <f ca="1">Weather!DF72</f>
        <v>327.48000000000008</v>
      </c>
      <c r="H146" s="55">
        <f ca="1">Weather!CS72</f>
        <v>0</v>
      </c>
      <c r="I146" s="32">
        <f t="shared" si="27"/>
        <v>31</v>
      </c>
      <c r="J146" s="156">
        <f>'Rate Class Customer Model'!H71</f>
        <v>337.73190137950678</v>
      </c>
      <c r="K146" s="51">
        <f>Economic!F145</f>
        <v>3664.8416000000002</v>
      </c>
      <c r="L146" s="198">
        <f t="shared" si="30"/>
        <v>0.375</v>
      </c>
      <c r="M146" s="32">
        <f t="shared" ca="1" si="28"/>
        <v>21190577.051002186</v>
      </c>
      <c r="N146" s="32">
        <f t="shared" ca="1" si="29"/>
        <v>19615716.068583973</v>
      </c>
      <c r="O146" s="51"/>
      <c r="P146" s="50"/>
      <c r="Q146">
        <f t="shared" si="32"/>
        <v>0.75</v>
      </c>
    </row>
    <row r="147" spans="1:17" x14ac:dyDescent="0.2">
      <c r="A147" s="2">
        <v>44927</v>
      </c>
      <c r="B147">
        <f t="shared" si="25"/>
        <v>2023</v>
      </c>
      <c r="C147">
        <f t="shared" si="26"/>
        <v>1</v>
      </c>
      <c r="D147" s="56"/>
      <c r="E147" s="56">
        <f>'Historic CDM'!O17/12</f>
        <v>1485110.1636557465</v>
      </c>
      <c r="G147" s="55">
        <f t="shared" ref="G147:H158" ca="1" si="33">G135</f>
        <v>439.5</v>
      </c>
      <c r="H147" s="55">
        <f t="shared" ca="1" si="33"/>
        <v>0</v>
      </c>
      <c r="I147" s="32">
        <f t="shared" si="27"/>
        <v>31</v>
      </c>
      <c r="J147" s="156">
        <f>'Rate Class Customer Model'!H72</f>
        <v>338.65633862528671</v>
      </c>
      <c r="K147" s="51">
        <f>Economic!F146</f>
        <v>3489.7271595000002</v>
      </c>
      <c r="L147" s="198">
        <f t="shared" si="30"/>
        <v>0.25</v>
      </c>
      <c r="M147" s="32">
        <f t="shared" ca="1" si="28"/>
        <v>21217727.188263446</v>
      </c>
      <c r="N147" s="32">
        <f t="shared" ca="1" si="29"/>
        <v>19732617.024607699</v>
      </c>
      <c r="O147" s="51"/>
      <c r="P147" s="50"/>
      <c r="Q147">
        <f>'GS &lt; 50 kW'!Q147</f>
        <v>0.5</v>
      </c>
    </row>
    <row r="148" spans="1:17" x14ac:dyDescent="0.2">
      <c r="A148" s="2">
        <v>44958</v>
      </c>
      <c r="B148">
        <f t="shared" si="25"/>
        <v>2023</v>
      </c>
      <c r="C148">
        <f t="shared" si="26"/>
        <v>2</v>
      </c>
      <c r="D148" s="56"/>
      <c r="E148" s="56">
        <f>E147</f>
        <v>1485110.1636557465</v>
      </c>
      <c r="G148" s="55">
        <f t="shared" ca="1" si="33"/>
        <v>403.5</v>
      </c>
      <c r="H148" s="55">
        <f t="shared" ca="1" si="33"/>
        <v>0</v>
      </c>
      <c r="I148" s="32">
        <f t="shared" si="27"/>
        <v>28</v>
      </c>
      <c r="J148" s="156">
        <f>'Rate Class Customer Model'!H73</f>
        <v>339.58330623381266</v>
      </c>
      <c r="K148" s="51">
        <f>Economic!F147</f>
        <v>3449.3536358000001</v>
      </c>
      <c r="L148" s="198">
        <f t="shared" si="30"/>
        <v>0.25</v>
      </c>
      <c r="M148" s="32">
        <f t="shared" ca="1" si="28"/>
        <v>19820249.688520614</v>
      </c>
      <c r="N148" s="32">
        <f t="shared" ca="1" si="29"/>
        <v>18335139.524864867</v>
      </c>
      <c r="O148" s="51"/>
      <c r="P148" s="50"/>
      <c r="Q148">
        <f t="shared" si="32"/>
        <v>0.5</v>
      </c>
    </row>
    <row r="149" spans="1:17" x14ac:dyDescent="0.2">
      <c r="A149" s="2">
        <v>44986</v>
      </c>
      <c r="B149">
        <f t="shared" si="25"/>
        <v>2023</v>
      </c>
      <c r="C149">
        <f t="shared" si="26"/>
        <v>3</v>
      </c>
      <c r="D149" s="56"/>
      <c r="E149" s="56">
        <f t="shared" ref="E149:E158" si="34">E148</f>
        <v>1485110.1636557465</v>
      </c>
      <c r="G149" s="55">
        <f t="shared" ca="1" si="33"/>
        <v>291.06</v>
      </c>
      <c r="H149" s="55">
        <f t="shared" ca="1" si="33"/>
        <v>2.8099999999999996</v>
      </c>
      <c r="I149" s="32">
        <f t="shared" si="27"/>
        <v>31</v>
      </c>
      <c r="J149" s="156">
        <f>'Rate Class Customer Model'!H74</f>
        <v>340.51281113117466</v>
      </c>
      <c r="K149" s="51">
        <f>Economic!F148</f>
        <v>3448.7211524000004</v>
      </c>
      <c r="L149" s="198">
        <f t="shared" si="30"/>
        <v>0.25</v>
      </c>
      <c r="M149" s="32">
        <f t="shared" ca="1" si="28"/>
        <v>20334003.148923118</v>
      </c>
      <c r="N149" s="32">
        <f t="shared" ca="1" si="29"/>
        <v>18848892.985267371</v>
      </c>
      <c r="O149" s="51"/>
      <c r="P149" s="50"/>
      <c r="Q149">
        <f t="shared" si="32"/>
        <v>0.5</v>
      </c>
    </row>
    <row r="150" spans="1:17" x14ac:dyDescent="0.2">
      <c r="A150" s="2">
        <v>45017</v>
      </c>
      <c r="B150">
        <f t="shared" si="25"/>
        <v>2023</v>
      </c>
      <c r="C150">
        <f t="shared" si="26"/>
        <v>4</v>
      </c>
      <c r="D150" s="56"/>
      <c r="E150" s="56">
        <f t="shared" si="34"/>
        <v>1485110.1636557465</v>
      </c>
      <c r="G150" s="55">
        <f t="shared" ca="1" si="33"/>
        <v>120.71999999999998</v>
      </c>
      <c r="H150" s="55">
        <f t="shared" ca="1" si="33"/>
        <v>6.58</v>
      </c>
      <c r="I150" s="32">
        <f t="shared" si="27"/>
        <v>30</v>
      </c>
      <c r="J150" s="156">
        <f>'Rate Class Customer Model'!H75</f>
        <v>341.44486026242083</v>
      </c>
      <c r="K150" s="51">
        <f>Economic!F149</f>
        <v>3453.8864335000003</v>
      </c>
      <c r="L150" s="198">
        <f t="shared" si="30"/>
        <v>0.25</v>
      </c>
      <c r="M150" s="32">
        <f t="shared" ca="1" si="28"/>
        <v>19163398.368609883</v>
      </c>
      <c r="N150" s="32">
        <f t="shared" ca="1" si="29"/>
        <v>17678288.204954136</v>
      </c>
      <c r="O150" s="51"/>
      <c r="P150" s="50"/>
      <c r="Q150">
        <f t="shared" si="32"/>
        <v>0.5</v>
      </c>
    </row>
    <row r="151" spans="1:17" x14ac:dyDescent="0.2">
      <c r="A151" s="2">
        <v>45047</v>
      </c>
      <c r="B151">
        <f t="shared" si="25"/>
        <v>2023</v>
      </c>
      <c r="C151">
        <f t="shared" si="26"/>
        <v>5</v>
      </c>
      <c r="D151" s="56"/>
      <c r="E151" s="56">
        <f t="shared" si="34"/>
        <v>1485110.1636557465</v>
      </c>
      <c r="G151" s="55">
        <f t="shared" ca="1" si="33"/>
        <v>16.330000000000002</v>
      </c>
      <c r="H151" s="55">
        <f t="shared" ca="1" si="33"/>
        <v>107.25</v>
      </c>
      <c r="I151" s="32">
        <f t="shared" si="27"/>
        <v>31</v>
      </c>
      <c r="J151" s="156">
        <f>'Rate Class Customer Model'!H76</f>
        <v>342.37946059160925</v>
      </c>
      <c r="K151" s="51">
        <f>Economic!F150</f>
        <v>3455.5730559000003</v>
      </c>
      <c r="L151" s="198">
        <f t="shared" si="30"/>
        <v>0.25</v>
      </c>
      <c r="M151" s="32">
        <f t="shared" ca="1" si="28"/>
        <v>19671010.716871418</v>
      </c>
      <c r="N151" s="32">
        <f t="shared" ca="1" si="29"/>
        <v>18185900.553215671</v>
      </c>
      <c r="O151" s="51"/>
      <c r="P151" s="50"/>
      <c r="Q151">
        <f t="shared" si="32"/>
        <v>0.5</v>
      </c>
    </row>
    <row r="152" spans="1:17" x14ac:dyDescent="0.2">
      <c r="A152" s="2">
        <v>45078</v>
      </c>
      <c r="B152">
        <f t="shared" si="25"/>
        <v>2023</v>
      </c>
      <c r="C152">
        <f t="shared" si="26"/>
        <v>6</v>
      </c>
      <c r="D152" s="56"/>
      <c r="E152" s="56">
        <f t="shared" si="34"/>
        <v>1485110.1636557465</v>
      </c>
      <c r="G152" s="55">
        <f t="shared" ca="1" si="33"/>
        <v>0</v>
      </c>
      <c r="H152" s="55">
        <f t="shared" ca="1" si="33"/>
        <v>230.10000000000005</v>
      </c>
      <c r="I152" s="32">
        <f t="shared" si="27"/>
        <v>30</v>
      </c>
      <c r="J152" s="156">
        <f>'Rate Class Customer Model'!H77</f>
        <v>343.31661910185989</v>
      </c>
      <c r="K152" s="51">
        <f>Economic!F151</f>
        <v>3466.5361015000003</v>
      </c>
      <c r="L152" s="198">
        <f t="shared" si="30"/>
        <v>0.25</v>
      </c>
      <c r="M152" s="32">
        <f t="shared" ca="1" si="28"/>
        <v>20116029.780550145</v>
      </c>
      <c r="N152" s="32">
        <f t="shared" ca="1" si="29"/>
        <v>18630919.616894398</v>
      </c>
      <c r="O152" s="51"/>
      <c r="P152" s="50"/>
      <c r="Q152">
        <f t="shared" si="32"/>
        <v>0.5</v>
      </c>
    </row>
    <row r="153" spans="1:17" x14ac:dyDescent="0.2">
      <c r="A153" s="2">
        <v>45108</v>
      </c>
      <c r="B153">
        <f t="shared" si="25"/>
        <v>2023</v>
      </c>
      <c r="C153">
        <f t="shared" si="26"/>
        <v>7</v>
      </c>
      <c r="D153" s="56"/>
      <c r="E153" s="56">
        <f t="shared" si="34"/>
        <v>1485110.1636557465</v>
      </c>
      <c r="G153" s="55">
        <f t="shared" ca="1" si="33"/>
        <v>0</v>
      </c>
      <c r="H153" s="55">
        <f t="shared" ca="1" si="33"/>
        <v>331.41</v>
      </c>
      <c r="I153" s="32">
        <f t="shared" si="27"/>
        <v>31</v>
      </c>
      <c r="J153" s="156">
        <f>'Rate Class Customer Model'!H78</f>
        <v>344.25634279540691</v>
      </c>
      <c r="K153" s="51">
        <f>Economic!F152</f>
        <v>3513.3398731000002</v>
      </c>
      <c r="L153" s="198">
        <f t="shared" si="30"/>
        <v>0.25</v>
      </c>
      <c r="M153" s="32">
        <f t="shared" ca="1" si="28"/>
        <v>21362400.206545681</v>
      </c>
      <c r="N153" s="32">
        <f t="shared" ca="1" si="29"/>
        <v>19877290.042889934</v>
      </c>
      <c r="O153" s="51"/>
      <c r="P153" s="50"/>
      <c r="Q153">
        <f t="shared" si="32"/>
        <v>0.5</v>
      </c>
    </row>
    <row r="154" spans="1:17" x14ac:dyDescent="0.2">
      <c r="A154" s="2">
        <v>45139</v>
      </c>
      <c r="B154">
        <f t="shared" si="25"/>
        <v>2023</v>
      </c>
      <c r="C154">
        <f t="shared" si="26"/>
        <v>8</v>
      </c>
      <c r="D154" s="56"/>
      <c r="E154" s="56">
        <f t="shared" si="34"/>
        <v>1485110.1636557465</v>
      </c>
      <c r="G154" s="55">
        <f t="shared" ca="1" si="33"/>
        <v>0</v>
      </c>
      <c r="H154" s="55">
        <f t="shared" ca="1" si="33"/>
        <v>304.46000000000004</v>
      </c>
      <c r="I154" s="32">
        <f t="shared" si="27"/>
        <v>31</v>
      </c>
      <c r="J154" s="156">
        <f>'Rate Class Customer Model'!H79</f>
        <v>345.19863869365093</v>
      </c>
      <c r="K154" s="51">
        <f>Economic!F153</f>
        <v>3587.7620865000004</v>
      </c>
      <c r="L154" s="198">
        <f t="shared" si="30"/>
        <v>0.25</v>
      </c>
      <c r="M154" s="32">
        <f t="shared" ca="1" si="28"/>
        <v>21521654.67211495</v>
      </c>
      <c r="N154" s="32">
        <f t="shared" ca="1" si="29"/>
        <v>20036544.508459203</v>
      </c>
      <c r="O154" s="51"/>
      <c r="P154" s="50"/>
      <c r="Q154">
        <f t="shared" si="32"/>
        <v>0.5</v>
      </c>
    </row>
    <row r="155" spans="1:17" x14ac:dyDescent="0.2">
      <c r="A155" s="2">
        <v>45170</v>
      </c>
      <c r="B155">
        <f t="shared" si="25"/>
        <v>2023</v>
      </c>
      <c r="C155">
        <f t="shared" si="26"/>
        <v>9</v>
      </c>
      <c r="D155" s="56"/>
      <c r="E155" s="56">
        <f t="shared" si="34"/>
        <v>1485110.1636557465</v>
      </c>
      <c r="G155" s="55">
        <f t="shared" ca="1" si="33"/>
        <v>0.24999999999999983</v>
      </c>
      <c r="H155" s="55">
        <f t="shared" ca="1" si="33"/>
        <v>176.51</v>
      </c>
      <c r="I155" s="32">
        <f t="shared" si="27"/>
        <v>30</v>
      </c>
      <c r="J155" s="156">
        <f>'Rate Class Customer Model'!H80</f>
        <v>346.14351383721151</v>
      </c>
      <c r="K155" s="51">
        <f>Economic!F154</f>
        <v>3644.2639369000003</v>
      </c>
      <c r="L155" s="198">
        <f t="shared" si="30"/>
        <v>0.25</v>
      </c>
      <c r="M155" s="32">
        <f t="shared" ca="1" si="28"/>
        <v>20582649.386017825</v>
      </c>
      <c r="N155" s="32">
        <f t="shared" ca="1" si="29"/>
        <v>19097539.222362079</v>
      </c>
      <c r="O155" s="51"/>
      <c r="P155" s="50"/>
      <c r="Q155">
        <f t="shared" si="32"/>
        <v>0.5</v>
      </c>
    </row>
    <row r="156" spans="1:17" x14ac:dyDescent="0.2">
      <c r="A156" s="2">
        <v>45200</v>
      </c>
      <c r="B156">
        <f t="shared" si="25"/>
        <v>2023</v>
      </c>
      <c r="C156">
        <f t="shared" si="26"/>
        <v>10</v>
      </c>
      <c r="D156" s="56"/>
      <c r="E156" s="56">
        <f t="shared" si="34"/>
        <v>1485110.1636557465</v>
      </c>
      <c r="G156" s="55">
        <f t="shared" ca="1" si="33"/>
        <v>44.309999999999995</v>
      </c>
      <c r="H156" s="55">
        <f t="shared" ca="1" si="33"/>
        <v>43.36</v>
      </c>
      <c r="I156" s="32">
        <f t="shared" si="27"/>
        <v>31</v>
      </c>
      <c r="J156" s="156">
        <f>'Rate Class Customer Model'!H81</f>
        <v>347.09097528597971</v>
      </c>
      <c r="K156" s="51">
        <f>Economic!F155</f>
        <v>3689.2756722000004</v>
      </c>
      <c r="L156" s="198">
        <f t="shared" si="30"/>
        <v>0.25</v>
      </c>
      <c r="M156" s="32">
        <f t="shared" ca="1" si="28"/>
        <v>20495423.266247362</v>
      </c>
      <c r="N156" s="32">
        <f t="shared" ca="1" si="29"/>
        <v>19010313.102591615</v>
      </c>
      <c r="O156" s="51"/>
      <c r="P156" s="50"/>
      <c r="Q156">
        <f t="shared" si="32"/>
        <v>0.5</v>
      </c>
    </row>
    <row r="157" spans="1:17" x14ac:dyDescent="0.2">
      <c r="A157" s="2">
        <v>45231</v>
      </c>
      <c r="B157">
        <f t="shared" si="25"/>
        <v>2023</v>
      </c>
      <c r="C157">
        <f t="shared" si="26"/>
        <v>11</v>
      </c>
      <c r="D157" s="56"/>
      <c r="E157" s="56">
        <f t="shared" si="34"/>
        <v>1485110.1636557465</v>
      </c>
      <c r="G157" s="55">
        <f t="shared" ca="1" si="33"/>
        <v>193.95999999999998</v>
      </c>
      <c r="H157" s="55">
        <f t="shared" ca="1" si="33"/>
        <v>2.7399999999999998</v>
      </c>
      <c r="I157" s="32">
        <f t="shared" si="27"/>
        <v>30</v>
      </c>
      <c r="J157" s="156">
        <f>'Rate Class Customer Model'!H82</f>
        <v>348.0410301191709</v>
      </c>
      <c r="K157" s="51">
        <f>Economic!F156</f>
        <v>3703.2957209000001</v>
      </c>
      <c r="L157" s="198">
        <f t="shared" si="30"/>
        <v>0.25</v>
      </c>
      <c r="M157" s="32">
        <f t="shared" ca="1" si="28"/>
        <v>20732541.93382718</v>
      </c>
      <c r="N157" s="32">
        <f t="shared" ca="1" si="29"/>
        <v>19247431.770171434</v>
      </c>
      <c r="O157" s="51"/>
      <c r="P157" s="50"/>
      <c r="Q157">
        <f t="shared" si="32"/>
        <v>0.5</v>
      </c>
    </row>
    <row r="158" spans="1:17" x14ac:dyDescent="0.2">
      <c r="A158" s="2">
        <v>45261</v>
      </c>
      <c r="B158">
        <f t="shared" si="25"/>
        <v>2023</v>
      </c>
      <c r="C158">
        <f t="shared" si="26"/>
        <v>12</v>
      </c>
      <c r="D158" s="56"/>
      <c r="E158" s="56">
        <f t="shared" si="34"/>
        <v>1485110.1636557465</v>
      </c>
      <c r="G158" s="55">
        <f t="shared" ca="1" si="33"/>
        <v>327.48000000000008</v>
      </c>
      <c r="H158" s="55">
        <f t="shared" ca="1" si="33"/>
        <v>0</v>
      </c>
      <c r="I158" s="32">
        <f t="shared" si="27"/>
        <v>31</v>
      </c>
      <c r="J158" s="156">
        <f>'Rate Class Customer Model'!H83</f>
        <v>348.99368543537759</v>
      </c>
      <c r="K158" s="51">
        <f>Economic!F157</f>
        <v>3730.8087488000001</v>
      </c>
      <c r="L158" s="198">
        <f t="shared" si="30"/>
        <v>0.25</v>
      </c>
      <c r="M158" s="32">
        <f ca="1">$R$19+G158*$R$20+H158*$R$21+I158*$R$22+J158*$R$23+K158*$R$24+L158*$R$25</f>
        <v>21901517.554300707</v>
      </c>
      <c r="N158" s="32">
        <f t="shared" ca="1" si="29"/>
        <v>20416407.39064496</v>
      </c>
      <c r="O158" s="51"/>
      <c r="P158" s="50"/>
      <c r="Q158">
        <f t="shared" si="32"/>
        <v>0.5</v>
      </c>
    </row>
    <row r="159" spans="1:17" x14ac:dyDescent="0.2">
      <c r="A159" s="2"/>
      <c r="B159" s="2"/>
      <c r="C159" s="2"/>
      <c r="D159" s="56"/>
      <c r="E159" s="56"/>
      <c r="G159" s="52"/>
      <c r="H159" s="52"/>
      <c r="I159" s="32"/>
      <c r="J159" s="32"/>
      <c r="M159" s="32"/>
      <c r="N159" s="32"/>
      <c r="O159" s="51"/>
      <c r="P159" s="116">
        <f>AVERAGE(P3:P134)</f>
        <v>2.3265419637395781E-2</v>
      </c>
    </row>
    <row r="160" spans="1:17" x14ac:dyDescent="0.2">
      <c r="A160" s="2"/>
      <c r="B160" s="2"/>
      <c r="C160" s="2"/>
      <c r="D160" s="2"/>
      <c r="E160" s="2"/>
      <c r="G160" s="52"/>
      <c r="H160" s="52"/>
      <c r="I160" s="32"/>
      <c r="J160" s="32"/>
      <c r="M160" s="32"/>
      <c r="N160" s="32"/>
      <c r="O160" s="51"/>
      <c r="P160" s="50"/>
    </row>
    <row r="161" spans="1:38" x14ac:dyDescent="0.2">
      <c r="A161" s="2"/>
      <c r="B161" s="2"/>
      <c r="C161" s="2"/>
      <c r="D161" s="2"/>
      <c r="E161" s="2"/>
      <c r="G161" s="52"/>
      <c r="H161" s="52"/>
      <c r="I161" s="32"/>
      <c r="J161" s="32"/>
      <c r="M161" s="32"/>
      <c r="N161" s="32"/>
      <c r="O161" s="51"/>
      <c r="P161" s="50"/>
    </row>
    <row r="162" spans="1:38" x14ac:dyDescent="0.2">
      <c r="A162" s="2"/>
      <c r="B162" s="2"/>
      <c r="C162" s="2"/>
      <c r="D162" s="2"/>
      <c r="E162" s="2"/>
      <c r="G162" s="52"/>
      <c r="H162" s="52"/>
      <c r="I162" s="32"/>
      <c r="J162" s="32"/>
      <c r="M162" s="32"/>
      <c r="N162" s="32"/>
      <c r="O162" s="51"/>
      <c r="P162" s="50"/>
    </row>
    <row r="163" spans="1:38" x14ac:dyDescent="0.2">
      <c r="A163" s="2"/>
      <c r="B163" s="2"/>
      <c r="C163" s="2"/>
      <c r="D163" s="2"/>
      <c r="E163" s="2"/>
      <c r="I163" s="26"/>
      <c r="K163" s="26"/>
      <c r="L163" s="26"/>
      <c r="AD163" s="39"/>
      <c r="AE163" s="39"/>
      <c r="AF163" s="39"/>
    </row>
    <row r="164" spans="1:38" x14ac:dyDescent="0.2">
      <c r="A164" s="2"/>
      <c r="B164" s="2"/>
      <c r="C164" s="2"/>
      <c r="D164" s="2"/>
      <c r="E164" s="2"/>
      <c r="I164" s="26"/>
      <c r="K164" s="26"/>
      <c r="L164" s="26"/>
      <c r="N164" s="26"/>
      <c r="AD164"/>
      <c r="AE164"/>
      <c r="AF164"/>
      <c r="AG164"/>
      <c r="AH164"/>
      <c r="AI164"/>
      <c r="AJ164"/>
      <c r="AK164"/>
      <c r="AL164"/>
    </row>
    <row r="165" spans="1:38" x14ac:dyDescent="0.2">
      <c r="A165" s="2"/>
      <c r="B165" s="2"/>
      <c r="C165" s="2"/>
      <c r="D165" s="2"/>
      <c r="E165" s="2"/>
      <c r="I165" s="26"/>
      <c r="K165" s="26"/>
      <c r="L165" s="26"/>
      <c r="AD165"/>
      <c r="AE165"/>
      <c r="AF165"/>
      <c r="AG165"/>
      <c r="AH165"/>
      <c r="AI165"/>
      <c r="AJ165"/>
      <c r="AK165"/>
      <c r="AL165"/>
    </row>
    <row r="166" spans="1:38" x14ac:dyDescent="0.2">
      <c r="A166" s="2"/>
      <c r="B166" s="2"/>
      <c r="C166" s="2"/>
      <c r="D166" s="148" t="s">
        <v>288</v>
      </c>
      <c r="E166" s="148" t="s">
        <v>270</v>
      </c>
      <c r="F166" s="39" t="s">
        <v>271</v>
      </c>
      <c r="M166" s="57"/>
      <c r="O166" s="80" t="s">
        <v>289</v>
      </c>
      <c r="P166" s="80" t="s">
        <v>270</v>
      </c>
      <c r="Q166" s="80" t="s">
        <v>290</v>
      </c>
      <c r="AD166"/>
      <c r="AE166"/>
      <c r="AF166"/>
      <c r="AG166"/>
      <c r="AH166"/>
      <c r="AI166"/>
      <c r="AJ166"/>
      <c r="AK166"/>
      <c r="AL166"/>
    </row>
    <row r="167" spans="1:38" x14ac:dyDescent="0.2">
      <c r="A167" s="11">
        <v>2011</v>
      </c>
      <c r="B167" s="11"/>
      <c r="C167" s="11"/>
      <c r="D167" s="41">
        <f>SUMIF(B:B,A167,D:D)</f>
        <v>192782769.75999996</v>
      </c>
      <c r="E167" s="41">
        <f>SUMIF(B:B,A167,E:E)</f>
        <v>1113393.2546150328</v>
      </c>
      <c r="F167" s="5">
        <f>SUMIF(B:B,A167,F:F)</f>
        <v>193896163.01461503</v>
      </c>
      <c r="M167" s="57"/>
      <c r="O167" s="5">
        <f t="shared" ref="O167:O179" si="35">SUMIF(B:B,A167,M:M)</f>
        <v>196114402.68143189</v>
      </c>
      <c r="P167" s="57">
        <f>'Historic CDM'!O5</f>
        <v>1113393.2546150328</v>
      </c>
      <c r="Q167" s="57">
        <f t="shared" ref="Q167:Q179" si="36">SUMIF(B:B,A167,N:N)</f>
        <v>195001009.42681688</v>
      </c>
      <c r="AD167"/>
      <c r="AE167"/>
      <c r="AF167"/>
      <c r="AG167"/>
      <c r="AH167"/>
      <c r="AI167"/>
      <c r="AJ167"/>
      <c r="AK167"/>
      <c r="AL167"/>
    </row>
    <row r="168" spans="1:38" x14ac:dyDescent="0.2">
      <c r="A168" s="11">
        <f>A167+1</f>
        <v>2012</v>
      </c>
      <c r="B168" s="11"/>
      <c r="C168" s="11"/>
      <c r="D168" s="41">
        <f t="shared" ref="D168:D176" si="37">SUMIF(B:B,A168,D:D)</f>
        <v>194206572.97999996</v>
      </c>
      <c r="E168" s="41">
        <f t="shared" ref="E168:E177" si="38">SUMIF(B:B,A168,E:E)</f>
        <v>2745090.4018907608</v>
      </c>
      <c r="F168" s="5">
        <f t="shared" ref="F168:F177" si="39">SUMIF(B:B,A168,F:F)</f>
        <v>196951663.38189071</v>
      </c>
      <c r="M168" s="57"/>
      <c r="O168" s="5">
        <f t="shared" si="35"/>
        <v>197764353.78036475</v>
      </c>
      <c r="P168" s="57">
        <f>'Historic CDM'!O6</f>
        <v>2745090.4018907612</v>
      </c>
      <c r="Q168" s="57">
        <f t="shared" si="36"/>
        <v>195019263.378474</v>
      </c>
      <c r="AD168"/>
      <c r="AE168"/>
      <c r="AF168"/>
      <c r="AG168"/>
      <c r="AH168"/>
      <c r="AI168"/>
      <c r="AJ168"/>
      <c r="AK168"/>
      <c r="AL168"/>
    </row>
    <row r="169" spans="1:38" x14ac:dyDescent="0.2">
      <c r="A169" s="11">
        <f t="shared" ref="A169:A179" si="40">A168+1</f>
        <v>2013</v>
      </c>
      <c r="B169" s="11"/>
      <c r="C169" s="11"/>
      <c r="D169" s="41">
        <f t="shared" si="37"/>
        <v>203179610.86000001</v>
      </c>
      <c r="E169" s="41">
        <f t="shared" si="38"/>
        <v>4136126.0645098011</v>
      </c>
      <c r="F169" s="5">
        <f t="shared" si="39"/>
        <v>207315736.92450976</v>
      </c>
      <c r="M169" s="57"/>
      <c r="O169" s="5">
        <f t="shared" si="35"/>
        <v>205257089.38789123</v>
      </c>
      <c r="P169" s="57">
        <f>'Historic CDM'!O7</f>
        <v>4136126.0645098006</v>
      </c>
      <c r="Q169" s="57">
        <f t="shared" si="36"/>
        <v>201120963.32338142</v>
      </c>
      <c r="AD169"/>
      <c r="AE169"/>
      <c r="AF169"/>
      <c r="AG169"/>
      <c r="AH169"/>
      <c r="AI169"/>
      <c r="AJ169"/>
      <c r="AK169"/>
      <c r="AL169"/>
    </row>
    <row r="170" spans="1:38" x14ac:dyDescent="0.2">
      <c r="A170" s="11">
        <f t="shared" si="40"/>
        <v>2014</v>
      </c>
      <c r="D170" s="41">
        <f t="shared" si="37"/>
        <v>204924669.72999999</v>
      </c>
      <c r="E170" s="41">
        <f t="shared" si="38"/>
        <v>5768742.227565065</v>
      </c>
      <c r="F170" s="5">
        <f t="shared" si="39"/>
        <v>210693411.95756504</v>
      </c>
      <c r="M170" s="57"/>
      <c r="O170" s="5">
        <f t="shared" si="35"/>
        <v>207990522.00622264</v>
      </c>
      <c r="P170" s="57">
        <f>'Historic CDM'!O8</f>
        <v>5768742.227565066</v>
      </c>
      <c r="Q170" s="57">
        <f t="shared" si="36"/>
        <v>202221779.77865759</v>
      </c>
      <c r="AD170"/>
      <c r="AE170"/>
      <c r="AF170"/>
      <c r="AG170"/>
      <c r="AH170"/>
      <c r="AI170"/>
      <c r="AJ170"/>
      <c r="AK170"/>
      <c r="AL170"/>
    </row>
    <row r="171" spans="1:38" x14ac:dyDescent="0.2">
      <c r="A171" s="11">
        <f t="shared" si="40"/>
        <v>2015</v>
      </c>
      <c r="B171" s="11"/>
      <c r="C171" s="11"/>
      <c r="D171" s="41">
        <f t="shared" si="37"/>
        <v>205449544.32771084</v>
      </c>
      <c r="E171" s="41">
        <f t="shared" si="38"/>
        <v>6660535.9734396851</v>
      </c>
      <c r="F171" s="5">
        <f t="shared" si="39"/>
        <v>212110080.3011505</v>
      </c>
      <c r="M171" s="57"/>
      <c r="O171" s="5">
        <f t="shared" si="35"/>
        <v>213496600.44745797</v>
      </c>
      <c r="P171" s="57">
        <f>'Historic CDM'!O9</f>
        <v>6660535.9734396851</v>
      </c>
      <c r="Q171" s="57">
        <f t="shared" si="36"/>
        <v>206836064.47401822</v>
      </c>
      <c r="AD171"/>
      <c r="AE171"/>
      <c r="AF171"/>
      <c r="AG171"/>
      <c r="AH171"/>
      <c r="AI171"/>
      <c r="AJ171"/>
      <c r="AK171"/>
      <c r="AL171"/>
    </row>
    <row r="172" spans="1:38" x14ac:dyDescent="0.2">
      <c r="A172" s="11">
        <f t="shared" si="40"/>
        <v>2016</v>
      </c>
      <c r="D172" s="41">
        <f t="shared" si="37"/>
        <v>204715589.59036142</v>
      </c>
      <c r="E172" s="41">
        <f t="shared" si="38"/>
        <v>7892962.8518290883</v>
      </c>
      <c r="F172" s="5">
        <f t="shared" si="39"/>
        <v>212608552.4421905</v>
      </c>
      <c r="M172" s="57"/>
      <c r="O172" s="5">
        <f t="shared" si="35"/>
        <v>217999313.11274821</v>
      </c>
      <c r="P172" s="57">
        <f>'Historic CDM'!O10</f>
        <v>7892962.8518290874</v>
      </c>
      <c r="Q172" s="57">
        <f t="shared" si="36"/>
        <v>210106350.26091918</v>
      </c>
      <c r="AD172"/>
      <c r="AE172"/>
      <c r="AF172"/>
      <c r="AG172"/>
      <c r="AH172"/>
      <c r="AI172"/>
      <c r="AJ172"/>
      <c r="AK172"/>
      <c r="AL172"/>
    </row>
    <row r="173" spans="1:38" x14ac:dyDescent="0.2">
      <c r="A173" s="11">
        <f t="shared" si="40"/>
        <v>2017</v>
      </c>
      <c r="B173" s="11"/>
      <c r="C173" s="11"/>
      <c r="D173" s="41">
        <f t="shared" si="37"/>
        <v>213633991.96144572</v>
      </c>
      <c r="E173" s="41">
        <f t="shared" si="38"/>
        <v>12308944.998419365</v>
      </c>
      <c r="F173" s="5">
        <f t="shared" si="39"/>
        <v>225942936.95986509</v>
      </c>
      <c r="M173" s="57"/>
      <c r="O173" s="5">
        <f t="shared" si="35"/>
        <v>224903396.34450004</v>
      </c>
      <c r="P173" s="57">
        <f>'Historic CDM'!O11</f>
        <v>12308944.998419363</v>
      </c>
      <c r="Q173" s="57">
        <f t="shared" si="36"/>
        <v>212594451.34608066</v>
      </c>
      <c r="AD173"/>
      <c r="AE173"/>
      <c r="AF173"/>
      <c r="AG173"/>
      <c r="AH173"/>
      <c r="AI173"/>
      <c r="AJ173"/>
      <c r="AK173"/>
      <c r="AL173"/>
    </row>
    <row r="174" spans="1:38" x14ac:dyDescent="0.2">
      <c r="A174" s="11">
        <f t="shared" si="40"/>
        <v>2018</v>
      </c>
      <c r="D174" s="41">
        <f t="shared" si="37"/>
        <v>221806792.86746988</v>
      </c>
      <c r="E174" s="41">
        <f t="shared" si="38"/>
        <v>17083005.325519945</v>
      </c>
      <c r="F174" s="5">
        <f t="shared" si="39"/>
        <v>238889798.19298983</v>
      </c>
      <c r="M174" s="57"/>
      <c r="O174" s="5">
        <f t="shared" si="35"/>
        <v>233670020.05104554</v>
      </c>
      <c r="P174" s="57">
        <f>'Historic CDM'!O12</f>
        <v>17083005.325519945</v>
      </c>
      <c r="Q174" s="57">
        <f t="shared" si="36"/>
        <v>216587014.72552556</v>
      </c>
      <c r="AD174"/>
      <c r="AE174"/>
      <c r="AF174"/>
      <c r="AG174"/>
      <c r="AH174"/>
      <c r="AI174"/>
      <c r="AJ174"/>
      <c r="AK174"/>
      <c r="AL174"/>
    </row>
    <row r="175" spans="1:38" x14ac:dyDescent="0.2">
      <c r="A175" s="11">
        <f t="shared" si="40"/>
        <v>2019</v>
      </c>
      <c r="B175" s="11"/>
      <c r="C175" s="11"/>
      <c r="D175" s="41">
        <f t="shared" si="37"/>
        <v>220154820.13493976</v>
      </c>
      <c r="E175" s="41">
        <f t="shared" si="38"/>
        <v>19187967.141494256</v>
      </c>
      <c r="F175" s="5">
        <f t="shared" si="39"/>
        <v>239342787.27643397</v>
      </c>
      <c r="M175" s="57"/>
      <c r="O175" s="5">
        <f t="shared" si="35"/>
        <v>241254704.90778577</v>
      </c>
      <c r="P175" s="57">
        <f>'Historic CDM'!O13</f>
        <v>19187967.141494252</v>
      </c>
      <c r="Q175" s="57">
        <f t="shared" si="36"/>
        <v>222066737.76629153</v>
      </c>
      <c r="AD175"/>
      <c r="AE175"/>
      <c r="AF175"/>
      <c r="AG175"/>
      <c r="AH175"/>
      <c r="AI175"/>
      <c r="AJ175"/>
      <c r="AK175"/>
      <c r="AL175"/>
    </row>
    <row r="176" spans="1:38" x14ac:dyDescent="0.2">
      <c r="A176" s="11">
        <f t="shared" si="40"/>
        <v>2020</v>
      </c>
      <c r="D176" s="41">
        <f t="shared" si="37"/>
        <v>209733279.5373494</v>
      </c>
      <c r="E176" s="41">
        <f t="shared" si="38"/>
        <v>19633009.963500582</v>
      </c>
      <c r="F176" s="5">
        <f t="shared" si="39"/>
        <v>229366289.50085002</v>
      </c>
      <c r="M176" s="57"/>
      <c r="O176" s="5">
        <f t="shared" si="35"/>
        <v>228581844.77314907</v>
      </c>
      <c r="P176" s="57">
        <f>'Historic CDM'!O14</f>
        <v>19633009.963500582</v>
      </c>
      <c r="Q176" s="57">
        <f t="shared" si="36"/>
        <v>208948834.80964848</v>
      </c>
      <c r="R176" s="5"/>
      <c r="AD176"/>
      <c r="AE176"/>
      <c r="AF176"/>
      <c r="AG176"/>
      <c r="AH176"/>
      <c r="AI176"/>
      <c r="AJ176"/>
      <c r="AK176"/>
      <c r="AL176"/>
    </row>
    <row r="177" spans="1:38" x14ac:dyDescent="0.2">
      <c r="A177" s="11">
        <f t="shared" si="40"/>
        <v>2021</v>
      </c>
      <c r="B177" s="11"/>
      <c r="C177" s="11"/>
      <c r="D177" s="41">
        <f>SUMIF(B:B,A177,D:D)</f>
        <v>214209551.57590359</v>
      </c>
      <c r="E177" s="41">
        <f t="shared" si="38"/>
        <v>19572923.582774989</v>
      </c>
      <c r="F177" s="5">
        <f t="shared" si="39"/>
        <v>233782475.15867856</v>
      </c>
      <c r="M177" s="57"/>
      <c r="O177" s="5">
        <f t="shared" si="35"/>
        <v>233449109.8346478</v>
      </c>
      <c r="P177" s="57">
        <f>'Historic CDM'!O15</f>
        <v>19572923.582774989</v>
      </c>
      <c r="Q177" s="57">
        <f t="shared" si="36"/>
        <v>213876186.25187284</v>
      </c>
      <c r="R177" s="5"/>
      <c r="AD177"/>
      <c r="AE177"/>
      <c r="AF177"/>
      <c r="AG177"/>
      <c r="AH177"/>
      <c r="AI177"/>
      <c r="AJ177"/>
      <c r="AK177"/>
      <c r="AL177"/>
    </row>
    <row r="178" spans="1:38" x14ac:dyDescent="0.2">
      <c r="A178" s="11">
        <f t="shared" si="40"/>
        <v>2022</v>
      </c>
      <c r="B178" s="11"/>
      <c r="C178" s="11"/>
      <c r="D178" s="41"/>
      <c r="E178" s="41"/>
      <c r="M178" s="57"/>
      <c r="O178" s="5">
        <f t="shared" ca="1" si="35"/>
        <v>238595000.31083167</v>
      </c>
      <c r="P178" s="57">
        <f>'Historic CDM'!O16</f>
        <v>18898331.789018571</v>
      </c>
      <c r="Q178" s="57">
        <f t="shared" ca="1" si="36"/>
        <v>219696668.52181309</v>
      </c>
      <c r="AD178"/>
      <c r="AE178"/>
      <c r="AF178"/>
      <c r="AG178"/>
      <c r="AH178"/>
      <c r="AI178"/>
      <c r="AJ178"/>
      <c r="AK178"/>
      <c r="AL178"/>
    </row>
    <row r="179" spans="1:38" x14ac:dyDescent="0.2">
      <c r="A179" s="11">
        <f t="shared" si="40"/>
        <v>2023</v>
      </c>
      <c r="D179" s="41"/>
      <c r="E179" s="41"/>
      <c r="I179" s="43"/>
      <c r="J179" s="43"/>
      <c r="M179" s="54"/>
      <c r="N179" s="43"/>
      <c r="O179" s="5">
        <f t="shared" ca="1" si="35"/>
        <v>246918605.91079232</v>
      </c>
      <c r="P179" s="57">
        <f>'Historic CDM'!O17</f>
        <v>17821321.963868957</v>
      </c>
      <c r="Q179" s="57">
        <f t="shared" ca="1" si="36"/>
        <v>229097283.94692335</v>
      </c>
      <c r="R179" s="79"/>
      <c r="AD179"/>
      <c r="AE179"/>
      <c r="AF179"/>
      <c r="AG179"/>
      <c r="AH179"/>
      <c r="AI179"/>
      <c r="AJ179"/>
      <c r="AK179"/>
      <c r="AL179"/>
    </row>
    <row r="180" spans="1:38" x14ac:dyDescent="0.2">
      <c r="A180" s="28" t="s">
        <v>300</v>
      </c>
      <c r="B180" s="28"/>
      <c r="C180" s="28"/>
      <c r="D180" s="28"/>
      <c r="E180" s="28"/>
      <c r="J180" s="57"/>
      <c r="N180" s="5"/>
      <c r="O180" s="5"/>
      <c r="P180" s="5"/>
      <c r="Q180" s="1"/>
      <c r="AD180"/>
      <c r="AE180"/>
      <c r="AF180"/>
      <c r="AG180"/>
      <c r="AH180"/>
      <c r="AI180"/>
      <c r="AJ180"/>
      <c r="AK180"/>
      <c r="AL180"/>
    </row>
    <row r="181" spans="1:38" x14ac:dyDescent="0.2">
      <c r="J181" s="57"/>
      <c r="Q181" s="1"/>
      <c r="AD181"/>
      <c r="AE181"/>
      <c r="AF181"/>
      <c r="AG181"/>
      <c r="AH181"/>
      <c r="AI181"/>
      <c r="AJ181"/>
      <c r="AK181"/>
      <c r="AL181"/>
    </row>
    <row r="182" spans="1:38" x14ac:dyDescent="0.2">
      <c r="G182" s="53"/>
      <c r="H182" s="43"/>
      <c r="I182" s="43"/>
      <c r="J182" s="54"/>
      <c r="K182" s="43"/>
      <c r="L182" s="43"/>
      <c r="Q182" s="41"/>
    </row>
    <row r="184" spans="1:38" x14ac:dyDescent="0.2">
      <c r="Q184" s="41"/>
    </row>
    <row r="185" spans="1:38" x14ac:dyDescent="0.2">
      <c r="Q185" s="41"/>
    </row>
    <row r="190" spans="1:38" x14ac:dyDescent="0.2">
      <c r="AD190" s="39"/>
      <c r="AE190" s="39"/>
      <c r="AF190" s="39"/>
    </row>
  </sheetData>
  <mergeCells count="1">
    <mergeCell ref="A1:G1"/>
  </mergeCells>
  <phoneticPr fontId="0" type="noConversion"/>
  <pageMargins left="0.39370078740157483" right="0.74803149606299213" top="0.55118110236220474" bottom="0.55118110236220474" header="0.51181102362204722" footer="0.51181102362204722"/>
  <pageSetup orientation="portrait" r:id="rId1"/>
  <headerFooter alignWithMargins="0"/>
  <rowBreaks count="1" manualBreakCount="1">
    <brk id="110" max="38" man="1"/>
  </rowBreaks>
  <colBreaks count="2" manualBreakCount="2">
    <brk id="16" max="1048575" man="1"/>
    <brk id="26" max="222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113"/>
  <sheetViews>
    <sheetView zoomScaleNormal="100" workbookViewId="0">
      <pane xSplit="1" ySplit="2" topLeftCell="B3" activePane="bottomRight" state="frozen"/>
      <selection activeCell="V159" sqref="V159"/>
      <selection pane="topRight" activeCell="V159" sqref="V159"/>
      <selection pane="bottomLeft" activeCell="V159" sqref="V159"/>
      <selection pane="bottomRight" activeCell="M29" sqref="M29"/>
    </sheetView>
  </sheetViews>
  <sheetFormatPr defaultRowHeight="12.75" x14ac:dyDescent="0.2"/>
  <cols>
    <col min="1" max="1" width="28.140625" bestFit="1" customWidth="1"/>
    <col min="2" max="2" width="15.7109375" style="5" customWidth="1"/>
    <col min="3" max="3" width="15" style="5" customWidth="1"/>
    <col min="4" max="4" width="14.85546875" style="5" bestFit="1" customWidth="1"/>
    <col min="5" max="5" width="15.42578125" style="5" bestFit="1" customWidth="1"/>
    <col min="6" max="6" width="14.140625" style="5" customWidth="1"/>
    <col min="7" max="7" width="20.85546875" style="5" customWidth="1"/>
    <col min="8" max="8" width="14.140625" style="5" customWidth="1"/>
    <col min="9" max="9" width="14.7109375" style="5" customWidth="1"/>
    <col min="10" max="10" width="12.5703125" style="5" customWidth="1"/>
    <col min="11" max="11" width="13.28515625" style="5" bestFit="1" customWidth="1"/>
    <col min="12" max="12" width="11.140625" style="5" bestFit="1" customWidth="1"/>
    <col min="13" max="13" width="11.7109375" style="5" bestFit="1" customWidth="1"/>
    <col min="14" max="14" width="10.7109375" style="5" bestFit="1" customWidth="1"/>
    <col min="15" max="15" width="9.140625" style="5"/>
    <col min="16" max="16" width="11.140625" style="5" bestFit="1" customWidth="1"/>
  </cols>
  <sheetData>
    <row r="1" spans="1:10" x14ac:dyDescent="0.2">
      <c r="C1" s="324" t="s">
        <v>301</v>
      </c>
      <c r="D1" s="324"/>
      <c r="E1" s="324"/>
      <c r="F1" s="324"/>
      <c r="G1" s="324"/>
      <c r="H1" s="324"/>
      <c r="I1" s="324"/>
      <c r="J1" s="324"/>
    </row>
    <row r="2" spans="1:10" ht="42" customHeight="1" x14ac:dyDescent="0.2">
      <c r="B2" s="44"/>
      <c r="C2" s="45" t="s">
        <v>302</v>
      </c>
      <c r="D2" s="46" t="s">
        <v>303</v>
      </c>
      <c r="E2" s="46" t="s">
        <v>304</v>
      </c>
      <c r="F2" s="46" t="s">
        <v>305</v>
      </c>
      <c r="G2" s="46" t="s">
        <v>201</v>
      </c>
      <c r="H2" s="47" t="s">
        <v>306</v>
      </c>
      <c r="I2" s="47" t="s">
        <v>202</v>
      </c>
      <c r="J2" s="47" t="s">
        <v>307</v>
      </c>
    </row>
    <row r="4" spans="1:10" x14ac:dyDescent="0.2">
      <c r="A4" s="3"/>
    </row>
    <row r="5" spans="1:10" ht="15" x14ac:dyDescent="0.25">
      <c r="A5" s="3"/>
      <c r="C5" s="325"/>
      <c r="D5" s="326"/>
      <c r="E5" s="326"/>
      <c r="F5" s="327"/>
      <c r="G5" s="325"/>
      <c r="H5" s="326"/>
      <c r="I5" s="326"/>
      <c r="J5" s="327"/>
    </row>
    <row r="6" spans="1:10" x14ac:dyDescent="0.2">
      <c r="A6" s="3">
        <v>2011</v>
      </c>
      <c r="B6" s="5">
        <f t="shared" ref="B6:B18" si="0">SUM(C6:J6)</f>
        <v>754466669.81999993</v>
      </c>
      <c r="C6" s="48">
        <f>SUMIF(Data!$B:$B,'Rate Class Energy Model'!$A6,Data!D:D)</f>
        <v>268725506.51999998</v>
      </c>
      <c r="D6" s="48">
        <f>SUMIF(Data!$B:$B,'Rate Class Energy Model'!$A6,Data!G:G)</f>
        <v>83338833.540000021</v>
      </c>
      <c r="E6" s="48">
        <f>SUMIF(Data!$B:$B,'Rate Class Energy Model'!$A6,Data!J:J)</f>
        <v>192782769.75999996</v>
      </c>
      <c r="F6" s="48">
        <v>121407487</v>
      </c>
      <c r="G6" s="48">
        <v>80336534</v>
      </c>
      <c r="H6" s="48">
        <v>6418516</v>
      </c>
      <c r="I6" s="48">
        <v>158082</v>
      </c>
      <c r="J6" s="48">
        <v>1298941</v>
      </c>
    </row>
    <row r="7" spans="1:10" x14ac:dyDescent="0.2">
      <c r="A7" s="3">
        <f>A6+1</f>
        <v>2012</v>
      </c>
      <c r="B7" s="5">
        <f t="shared" si="0"/>
        <v>783449113.69999993</v>
      </c>
      <c r="C7" s="48">
        <f>SUMIF(Data!B:B,'Rate Class Energy Model'!A7,Data!D:D)</f>
        <v>281220954.64999998</v>
      </c>
      <c r="D7" s="48">
        <f>SUMIF(Data!$B:$B,'Rate Class Energy Model'!$A7,Data!G:G)</f>
        <v>84168273.069999993</v>
      </c>
      <c r="E7" s="48">
        <f>SUMIF(Data!$B:$B,'Rate Class Energy Model'!$A7,Data!J:J)</f>
        <v>194206572.97999996</v>
      </c>
      <c r="F7" s="48">
        <v>128979851</v>
      </c>
      <c r="G7" s="48">
        <v>86554626</v>
      </c>
      <c r="H7" s="48">
        <v>6834941</v>
      </c>
      <c r="I7" s="48">
        <v>155804</v>
      </c>
      <c r="J7" s="48">
        <v>1328091</v>
      </c>
    </row>
    <row r="8" spans="1:10" x14ac:dyDescent="0.2">
      <c r="A8" s="3">
        <f t="shared" ref="A8:A18" si="1">A7+1</f>
        <v>2013</v>
      </c>
      <c r="B8" s="5">
        <f t="shared" si="0"/>
        <v>814644301.5</v>
      </c>
      <c r="C8" s="48">
        <f>SUMIF(Data!B:B,'Rate Class Energy Model'!A8,Data!D:D)</f>
        <v>287291133.52999997</v>
      </c>
      <c r="D8" s="48">
        <f>SUMIF(Data!$B:$B,'Rate Class Energy Model'!$A8,Data!G:G)</f>
        <v>87021883.129999995</v>
      </c>
      <c r="E8" s="48">
        <f>SUMIF(Data!$B:$B,'Rate Class Energy Model'!$A8,Data!J:J)</f>
        <v>203179610.86000001</v>
      </c>
      <c r="F8" s="48">
        <v>100652663.27</v>
      </c>
      <c r="G8" s="48">
        <v>127931414.90000002</v>
      </c>
      <c r="H8" s="48">
        <v>7077824.8700000001</v>
      </c>
      <c r="I8" s="48">
        <v>153123.74</v>
      </c>
      <c r="J8" s="48">
        <v>1336647.2</v>
      </c>
    </row>
    <row r="9" spans="1:10" x14ac:dyDescent="0.2">
      <c r="A9" s="3">
        <f t="shared" si="1"/>
        <v>2014</v>
      </c>
      <c r="B9" s="5">
        <f t="shared" si="0"/>
        <v>836470876.05999994</v>
      </c>
      <c r="C9" s="48">
        <f>SUMIF(Data!B:B,'Rate Class Energy Model'!A9,Data!D:D)</f>
        <v>290591982.63</v>
      </c>
      <c r="D9" s="48">
        <f>SUMIF(Data!$B:$B,'Rate Class Energy Model'!$A9,Data!G:G)</f>
        <v>88384426.730000004</v>
      </c>
      <c r="E9" s="48">
        <f>SUMIF(Data!$B:$B,'Rate Class Energy Model'!$A9,Data!J:J)</f>
        <v>204924669.72999999</v>
      </c>
      <c r="F9" s="48">
        <v>110411188.92</v>
      </c>
      <c r="G9" s="48">
        <v>133427900.34</v>
      </c>
      <c r="H9" s="48">
        <v>7239934.3099999996</v>
      </c>
      <c r="I9" s="48">
        <v>151002.67000000001</v>
      </c>
      <c r="J9" s="48">
        <v>1339770.73</v>
      </c>
    </row>
    <row r="10" spans="1:10" x14ac:dyDescent="0.2">
      <c r="A10" s="3">
        <f t="shared" si="1"/>
        <v>2015</v>
      </c>
      <c r="B10" s="5">
        <f t="shared" si="0"/>
        <v>848069009.06884122</v>
      </c>
      <c r="C10" s="48">
        <f>SUMIF(Data!B:B,'Rate Class Energy Model'!A10,Data!D:D)</f>
        <v>295940879.87469882</v>
      </c>
      <c r="D10" s="48">
        <f>SUMIF(Data!$B:$B,'Rate Class Energy Model'!$A10,Data!G:G)</f>
        <v>88333188.626506001</v>
      </c>
      <c r="E10" s="48">
        <f>SUMIF(Data!$B:$B,'Rate Class Energy Model'!$A10,Data!J:J)</f>
        <v>205449544.32771084</v>
      </c>
      <c r="F10" s="48">
        <f>SUMIF(Data!$B:$B,'Rate Class Energy Model'!$A10,Data!M:M)</f>
        <v>112974658.04233061</v>
      </c>
      <c r="G10" s="48">
        <f>SUMIF(Data!$B:$B,'Rate Class Energy Model'!$A10,Data!P:P)</f>
        <v>136606296.6878854</v>
      </c>
      <c r="H10" s="48">
        <f>SUMIF(Data!$B:$B,'Rate Class Energy Model'!$A10,Data!U:U)</f>
        <v>7608033.2626506016</v>
      </c>
      <c r="I10" s="48">
        <f>SUMIF(Data!$B:$B,'Rate Class Energy Model'!$A10,Data!T:T)</f>
        <v>145491.2470588235</v>
      </c>
      <c r="J10" s="48">
        <v>1010917</v>
      </c>
    </row>
    <row r="11" spans="1:10" x14ac:dyDescent="0.2">
      <c r="A11" s="3">
        <f t="shared" si="1"/>
        <v>2016</v>
      </c>
      <c r="B11" s="5">
        <f t="shared" si="0"/>
        <v>873235927.80642521</v>
      </c>
      <c r="C11" s="48">
        <f>SUMIF(Data!B:B,'Rate Class Energy Model'!A11,Data!D:D)</f>
        <v>310749015.99036139</v>
      </c>
      <c r="D11" s="48">
        <f>SUMIF(Data!$B:$B,'Rate Class Energy Model'!$A11,Data!G:G)</f>
        <v>88749928.414457858</v>
      </c>
      <c r="E11" s="48">
        <f>SUMIF(Data!$B:$B,'Rate Class Energy Model'!$A11,Data!J:J)</f>
        <v>204715589.59036142</v>
      </c>
      <c r="F11" s="48">
        <f>SUMIF(Data!$B:$B,'Rate Class Energy Model'!$A11,Data!M:M)</f>
        <v>119969236.41206953</v>
      </c>
      <c r="G11" s="48">
        <f>SUMIF(Data!$B:$B,'Rate Class Energy Model'!$A11,Data!P:P)</f>
        <v>140016226.34772229</v>
      </c>
      <c r="H11" s="48">
        <f>SUMIF(Data!$B:$B,'Rate Class Energy Model'!$A11,Data!U:U)</f>
        <v>7791989.3204819262</v>
      </c>
      <c r="I11" s="48">
        <f>SUMIF(Data!$B:$B,'Rate Class Energy Model'!$A11,Data!T:T)</f>
        <v>143844.56470588219</v>
      </c>
      <c r="J11" s="48">
        <f>SUMIF(Data!$B:$B,'Rate Class Energy Model'!$A11,Data!S:S)</f>
        <v>1100097.1662650602</v>
      </c>
    </row>
    <row r="12" spans="1:10" x14ac:dyDescent="0.2">
      <c r="A12" s="3">
        <f t="shared" si="1"/>
        <v>2017</v>
      </c>
      <c r="B12" s="5">
        <f t="shared" si="0"/>
        <v>859270211.18686926</v>
      </c>
      <c r="C12" s="48">
        <f>SUMIF(Data!B:B,'Rate Class Energy Model'!A12,Data!D:D)</f>
        <v>294253405.64819276</v>
      </c>
      <c r="D12" s="48">
        <f>SUMIF(Data!$B:$B,'Rate Class Energy Model'!$A12,Data!G:G)</f>
        <v>82899471.903614432</v>
      </c>
      <c r="E12" s="48">
        <f>SUMIF(Data!$B:$B,'Rate Class Energy Model'!$A12,Data!J:J)</f>
        <v>213633991.96144572</v>
      </c>
      <c r="F12" s="48">
        <f>SUMIF(Data!$B:$B,'Rate Class Energy Model'!$A12,Data!M:M)</f>
        <v>121918931.97074634</v>
      </c>
      <c r="G12" s="48">
        <f>SUMIF(Data!$B:$B,'Rate Class Energy Model'!$A12,Data!P:P)</f>
        <v>137562121.61328822</v>
      </c>
      <c r="H12" s="48">
        <f>SUMIF(Data!$B:$B,'Rate Class Energy Model'!$A12,Data!U:U)</f>
        <v>7758774.5638554217</v>
      </c>
      <c r="I12" s="48">
        <f>SUMIF(Data!$B:$B,'Rate Class Energy Model'!$A12,Data!T:T)</f>
        <v>142197.88235294091</v>
      </c>
      <c r="J12" s="48">
        <f>SUMIF(Data!$B:$B,'Rate Class Energy Model'!$A12,Data!S:S)</f>
        <v>1101315.643373494</v>
      </c>
    </row>
    <row r="13" spans="1:10" x14ac:dyDescent="0.2">
      <c r="A13" s="3">
        <f t="shared" si="1"/>
        <v>2018</v>
      </c>
      <c r="B13" s="5">
        <f t="shared" si="0"/>
        <v>909512508.6674726</v>
      </c>
      <c r="C13" s="48">
        <f>SUMIF(Data!B:B,'Rate Class Energy Model'!A13,Data!D:D)</f>
        <v>323623192.28915668</v>
      </c>
      <c r="D13" s="48">
        <f>SUMIF(Data!$B:$B,'Rate Class Energy Model'!$A13,Data!G:G)</f>
        <v>86093744.838554204</v>
      </c>
      <c r="E13" s="48">
        <f>SUMIF(Data!$B:$B,'Rate Class Energy Model'!$A13,Data!J:J)</f>
        <v>221806792.86746988</v>
      </c>
      <c r="F13" s="48">
        <f>SUMIF(Data!$B:$B,'Rate Class Energy Model'!$A13,Data!M:M)</f>
        <v>130413203.88434154</v>
      </c>
      <c r="G13" s="48">
        <f>SUMIF(Data!$B:$B,'Rate Class Energy Model'!$A13,Data!P:P)</f>
        <v>138505562.38313109</v>
      </c>
      <c r="H13" s="48">
        <f>SUMIF(Data!$B:$B,'Rate Class Energy Model'!$A13,Data!U:U)</f>
        <v>7837155.3349397583</v>
      </c>
      <c r="I13" s="48">
        <f>SUMIF(Data!$B:$B,'Rate Class Energy Model'!$A13,Data!T:T)</f>
        <v>140551.19999999966</v>
      </c>
      <c r="J13" s="48">
        <f>SUMIF(Data!$B:$B,'Rate Class Energy Model'!$A13,Data!S:S)</f>
        <v>1092305.8698795179</v>
      </c>
    </row>
    <row r="14" spans="1:10" x14ac:dyDescent="0.2">
      <c r="A14" s="3">
        <f t="shared" si="1"/>
        <v>2019</v>
      </c>
      <c r="B14" s="5">
        <f t="shared" si="0"/>
        <v>907143690.21844316</v>
      </c>
      <c r="C14" s="48">
        <f>SUMIF(Data!B:B,'Rate Class Energy Model'!A14,Data!D:D)</f>
        <v>316413176.16385555</v>
      </c>
      <c r="D14" s="48">
        <f>SUMIF(Data!$B:$B,'Rate Class Energy Model'!$A14,Data!G:G)</f>
        <v>83808650.746987954</v>
      </c>
      <c r="E14" s="48">
        <f>SUMIF(Data!$B:$B,'Rate Class Energy Model'!$A14,Data!J:J)</f>
        <v>220154820.13493976</v>
      </c>
      <c r="F14" s="48">
        <f>SUMIF(Data!$B:$B,'Rate Class Energy Model'!$A14,Data!M:M)</f>
        <v>134423430.54196733</v>
      </c>
      <c r="G14" s="48">
        <f>SUMIF(Data!$B:$B,'Rate Class Energy Model'!$A14,Data!P:P)</f>
        <v>144434637.29858762</v>
      </c>
      <c r="H14" s="48">
        <f>SUMIF(Data!$B:$B,'Rate Class Energy Model'!$A14,Data!U:U)</f>
        <v>6707353.0024096388</v>
      </c>
      <c r="I14" s="48">
        <f>SUMIF(Data!$B:$B,'Rate Class Energy Model'!$A14,Data!T:T)</f>
        <v>138904.51764705841</v>
      </c>
      <c r="J14" s="48">
        <f>SUMIF(Data!$B:$B,'Rate Class Energy Model'!$A14,Data!S:S)</f>
        <v>1062717.8120481926</v>
      </c>
    </row>
    <row r="15" spans="1:10" x14ac:dyDescent="0.2">
      <c r="A15" s="3">
        <f t="shared" si="1"/>
        <v>2020</v>
      </c>
      <c r="B15" s="5">
        <f>SUM(C15:J15)</f>
        <v>907891652.55668497</v>
      </c>
      <c r="C15" s="48">
        <f>SUMIF(Data!B:B,'Rate Class Energy Model'!A15,Data!D:D)</f>
        <v>353805930.95903623</v>
      </c>
      <c r="D15" s="48">
        <f>SUMIF(Data!$B:$B,'Rate Class Energy Model'!$A15,Data!G:G)</f>
        <v>79694764.992771059</v>
      </c>
      <c r="E15" s="48">
        <f>SUMIF(Data!$B:$B,'Rate Class Energy Model'!$A15,Data!J:J)</f>
        <v>209733279.5373494</v>
      </c>
      <c r="F15" s="48">
        <f>SUMIF(Data!$B:$B,'Rate Class Energy Model'!$A15,Data!M:M)</f>
        <v>128841062.06228508</v>
      </c>
      <c r="G15" s="48">
        <f>SUMIF(Data!$B:$B,'Rate Class Energy Model'!$A15,Data!P:P)</f>
        <v>129179340.58086331</v>
      </c>
      <c r="H15" s="48">
        <f>SUMIF(Data!$B:$B,'Rate Class Energy Model'!$A15,Data!U:U)</f>
        <v>5438441.1759036137</v>
      </c>
      <c r="I15" s="48">
        <f>SUMIF(Data!$B:$B,'Rate Class Energy Model'!$A15,Data!T:T)</f>
        <v>137566.58823529384</v>
      </c>
      <c r="J15" s="48">
        <f>SUMIF(Data!$B:$B,'Rate Class Energy Model'!$A15,Data!S:S)</f>
        <v>1061266.6602409636</v>
      </c>
    </row>
    <row r="16" spans="1:10" x14ac:dyDescent="0.2">
      <c r="A16" s="3">
        <f t="shared" si="1"/>
        <v>2021</v>
      </c>
      <c r="B16" s="5">
        <f>SUM(C16:J16)</f>
        <v>936433540.89398074</v>
      </c>
      <c r="C16" s="48">
        <f>SUMIF(Data!B:B,'Rate Class Energy Model'!A16,Data!D:D)</f>
        <v>360408160.45301205</v>
      </c>
      <c r="D16" s="48">
        <f>SUMIF(Data!$B:$B,'Rate Class Energy Model'!$A16,Data!G:G)</f>
        <v>85479169.763855413</v>
      </c>
      <c r="E16" s="48">
        <f>SUMIF(Data!$B:$B,'Rate Class Energy Model'!$A16,Data!J:J)</f>
        <v>214209551.57590359</v>
      </c>
      <c r="F16" s="48">
        <f>SUMIF(Data!$B:$B,'Rate Class Energy Model'!$A16,Data!M:M)</f>
        <v>132400892.43957959</v>
      </c>
      <c r="G16" s="48">
        <f>SUMIF(Data!$B:$B,'Rate Class Energy Model'!$A16,Data!P:P)</f>
        <v>137730887.895365</v>
      </c>
      <c r="H16" s="48">
        <f>SUMIF(Data!$B:$B,'Rate Class Energy Model'!$A16,Data!U:U)</f>
        <v>5029763.2289156616</v>
      </c>
      <c r="I16" s="48">
        <f>SUMIF(Data!$B:$B,'Rate Class Energy Model'!$A16,Data!T:T)</f>
        <v>138218.4</v>
      </c>
      <c r="J16" s="48">
        <f>SUMIF(Data!$B:$B,'Rate Class Energy Model'!$A16,Data!S:S)</f>
        <v>1036897.1373493974</v>
      </c>
    </row>
    <row r="17" spans="1:10" x14ac:dyDescent="0.2">
      <c r="A17" s="3">
        <f t="shared" si="1"/>
        <v>2022</v>
      </c>
      <c r="B17" s="152">
        <f ca="1">SUM(C17:J17)</f>
        <v>916127875.12233996</v>
      </c>
      <c r="C17" s="224">
        <f ca="1">Residential!Q177</f>
        <v>355214199.86930895</v>
      </c>
      <c r="D17" s="224">
        <f ca="1">'GS &lt; 50 kW'!P177</f>
        <v>88812585.500644907</v>
      </c>
      <c r="E17" s="224">
        <f ca="1">'GS &gt; 50 kW'!Q178</f>
        <v>219696668.52181309</v>
      </c>
      <c r="F17" s="224">
        <f>F41</f>
        <v>108681342.23086476</v>
      </c>
      <c r="G17" s="153">
        <f>G41</f>
        <v>137482509.95424706</v>
      </c>
      <c r="H17" s="153">
        <f>H38*'Rate Class Customer Model'!Q40</f>
        <v>5051905.8805661034</v>
      </c>
      <c r="I17" s="153">
        <f>I38*'Rate Class Customer Model'!T40</f>
        <v>136514.01728512658</v>
      </c>
      <c r="J17" s="153">
        <f>J38*'Rate Class Customer Model'!W40</f>
        <v>1052149.1476099852</v>
      </c>
    </row>
    <row r="18" spans="1:10" x14ac:dyDescent="0.2">
      <c r="A18" s="3">
        <f t="shared" si="1"/>
        <v>2023</v>
      </c>
      <c r="B18" s="152">
        <f t="shared" ca="1" si="0"/>
        <v>927191463.96448863</v>
      </c>
      <c r="C18" s="224">
        <f ca="1">Residential!Q178</f>
        <v>354611865.30394888</v>
      </c>
      <c r="D18" s="224">
        <f ca="1">'GS &lt; 50 kW'!P178</f>
        <v>91038318.766824484</v>
      </c>
      <c r="E18" s="224">
        <f ca="1">'GS &gt; 50 kW'!Q179</f>
        <v>229097283.94692335</v>
      </c>
      <c r="F18" s="224">
        <f>F42</f>
        <v>108681342.23086476</v>
      </c>
      <c r="G18" s="153">
        <f>G42</f>
        <v>137482509.95424706</v>
      </c>
      <c r="H18" s="153">
        <f>H39*'Rate Class Customer Model'!Q41</f>
        <v>5077521.8495792095</v>
      </c>
      <c r="I18" s="153">
        <f>I39*'Rate Class Customer Model'!T41</f>
        <v>134830.65145685265</v>
      </c>
      <c r="J18" s="153">
        <f>J39*'Rate Class Customer Model'!W41</f>
        <v>1067791.2606439681</v>
      </c>
    </row>
    <row r="19" spans="1:10" x14ac:dyDescent="0.2">
      <c r="A19" s="3"/>
      <c r="B19" s="152"/>
      <c r="C19" s="223"/>
      <c r="D19" s="223"/>
      <c r="E19" s="223"/>
      <c r="F19" s="223"/>
      <c r="G19" s="152"/>
      <c r="H19" s="152"/>
      <c r="I19" s="152"/>
      <c r="J19" s="152"/>
    </row>
    <row r="20" spans="1:10" x14ac:dyDescent="0.2">
      <c r="A20" s="12" t="s">
        <v>308</v>
      </c>
      <c r="C20" s="5">
        <f>'CDM Forecast'!I45</f>
        <v>1186506.8036179999</v>
      </c>
      <c r="D20" s="5">
        <f>'CDM Forecast'!J45</f>
        <v>3301337.770131859</v>
      </c>
      <c r="E20" s="5">
        <f>'CDM Forecast'!K45</f>
        <v>8236461.1556725316</v>
      </c>
      <c r="F20" s="5">
        <f>'CDM Forecast'!L45</f>
        <v>5063931.0557399914</v>
      </c>
      <c r="G20" s="5">
        <f>'CDM Forecast'!M45</f>
        <v>6351209.7982819034</v>
      </c>
    </row>
    <row r="21" spans="1:10" x14ac:dyDescent="0.2">
      <c r="A21" s="28" t="s">
        <v>309</v>
      </c>
      <c r="B21" s="152"/>
    </row>
    <row r="22" spans="1:10" x14ac:dyDescent="0.2">
      <c r="A22">
        <v>2022</v>
      </c>
      <c r="B22" s="152">
        <f t="shared" ref="B22" ca="1" si="2">SUM(C22:J22)</f>
        <v>891988428.53889561</v>
      </c>
      <c r="C22" s="153">
        <f ca="1">C17-C20</f>
        <v>354027693.06569093</v>
      </c>
      <c r="D22" s="153">
        <f ca="1">D17-D20</f>
        <v>85511247.730513051</v>
      </c>
      <c r="E22" s="153">
        <f t="shared" ref="E22:J22" ca="1" si="3">E17-E20</f>
        <v>211460207.36614057</v>
      </c>
      <c r="F22" s="153">
        <f t="shared" si="3"/>
        <v>103617411.17512476</v>
      </c>
      <c r="G22" s="153">
        <f t="shared" si="3"/>
        <v>131131300.15596515</v>
      </c>
      <c r="H22" s="153">
        <f t="shared" si="3"/>
        <v>5051905.8805661034</v>
      </c>
      <c r="I22" s="153">
        <f t="shared" si="3"/>
        <v>136514.01728512658</v>
      </c>
      <c r="J22" s="153">
        <f t="shared" si="3"/>
        <v>1052149.1476099852</v>
      </c>
    </row>
    <row r="23" spans="1:10" x14ac:dyDescent="0.2">
      <c r="A23">
        <v>2023</v>
      </c>
      <c r="B23" s="152">
        <f t="shared" ref="B23" ca="1" si="4">SUM(C23:J23)</f>
        <v>903052017.38104427</v>
      </c>
      <c r="C23" s="153">
        <f t="shared" ref="C23:J23" ca="1" si="5">C18-C20</f>
        <v>353425358.50033087</v>
      </c>
      <c r="D23" s="153">
        <f t="shared" ca="1" si="5"/>
        <v>87736980.996692628</v>
      </c>
      <c r="E23" s="153">
        <f t="shared" ca="1" si="5"/>
        <v>220860822.79125082</v>
      </c>
      <c r="F23" s="153">
        <f t="shared" si="5"/>
        <v>103617411.17512476</v>
      </c>
      <c r="G23" s="153">
        <f t="shared" si="5"/>
        <v>131131300.15596515</v>
      </c>
      <c r="H23" s="153">
        <f t="shared" si="5"/>
        <v>5077521.8495792095</v>
      </c>
      <c r="I23" s="153">
        <f t="shared" si="5"/>
        <v>134830.65145685265</v>
      </c>
      <c r="J23" s="153">
        <f t="shared" si="5"/>
        <v>1067791.2606439681</v>
      </c>
    </row>
    <row r="24" spans="1:10" x14ac:dyDescent="0.2">
      <c r="H24" s="34"/>
      <c r="I24" s="34"/>
      <c r="J24" s="34"/>
    </row>
    <row r="25" spans="1:10" x14ac:dyDescent="0.2">
      <c r="A25" s="13" t="s">
        <v>310</v>
      </c>
    </row>
    <row r="27" spans="1:10" x14ac:dyDescent="0.2">
      <c r="A27">
        <f t="shared" ref="A27:A35" si="6">A6</f>
        <v>2011</v>
      </c>
      <c r="C27" s="5">
        <f>C6/'Rate Class Customer Model'!B15</f>
        <v>9907.1441728086302</v>
      </c>
      <c r="D27" s="5">
        <f>D6/'Rate Class Customer Model'!E15</f>
        <v>35748.561304021459</v>
      </c>
      <c r="E27" s="5">
        <f>E6/'Rate Class Customer Model'!H15</f>
        <v>731392.10784698057</v>
      </c>
      <c r="F27" s="5">
        <f>F6/'Rate Class Customer Model'!K15</f>
        <v>9712598.9600000009</v>
      </c>
      <c r="G27" s="5">
        <f>G6/'Rate Class Customer Model'!N15</f>
        <v>40168267</v>
      </c>
      <c r="H27" s="5">
        <f>H6/'Rate Class Customer Model'!Q15</f>
        <v>2254.088147497805</v>
      </c>
      <c r="I27" s="5">
        <f>I6/'Rate Class Customer Model'!T15</f>
        <v>595.4124293785311</v>
      </c>
      <c r="J27" s="5">
        <f>J6/'Rate Class Customer Model'!W15</f>
        <v>7002.3773584905657</v>
      </c>
    </row>
    <row r="28" spans="1:10" x14ac:dyDescent="0.2">
      <c r="A28">
        <f t="shared" si="6"/>
        <v>2012</v>
      </c>
      <c r="C28" s="5">
        <f>C7/'Rate Class Customer Model'!B16</f>
        <v>9751.8341288762113</v>
      </c>
      <c r="D28" s="5">
        <f>D7/'Rate Class Customer Model'!E16</f>
        <v>35045.776434420543</v>
      </c>
      <c r="E28" s="5">
        <f>E7/'Rate Class Customer Model'!H16</f>
        <v>715749.04046683037</v>
      </c>
      <c r="F28" s="5">
        <f>F7/'Rate Class Customer Model'!K16</f>
        <v>10748320.916666666</v>
      </c>
      <c r="G28" s="5">
        <f>G7/'Rate Class Customer Model'!N16</f>
        <v>43277313</v>
      </c>
      <c r="H28" s="5">
        <f>H7/'Rate Class Customer Model'!Q16</f>
        <v>2320.4688507893397</v>
      </c>
      <c r="I28" s="5">
        <f>I7/'Rate Class Customer Model'!T16</f>
        <v>587.93962264150946</v>
      </c>
      <c r="J28" s="5">
        <f>J7/'Rate Class Customer Model'!W16</f>
        <v>7008.3957783641163</v>
      </c>
    </row>
    <row r="29" spans="1:10" x14ac:dyDescent="0.2">
      <c r="A29">
        <f t="shared" si="6"/>
        <v>2013</v>
      </c>
      <c r="C29" s="5">
        <f>C8/'Rate Class Customer Model'!B17</f>
        <v>9348.6788505510231</v>
      </c>
      <c r="D29" s="5">
        <f>D8/'Rate Class Customer Model'!E17</f>
        <v>35401.132197437117</v>
      </c>
      <c r="E29" s="5">
        <f>E8/'Rate Class Customer Model'!H17</f>
        <v>746526.43304347829</v>
      </c>
      <c r="F29" s="5">
        <f>F8/'Rate Class Customer Model'!K17</f>
        <v>8752405.5017391294</v>
      </c>
      <c r="G29" s="5">
        <f>G8/'Rate Class Customer Model'!N17</f>
        <v>51172565.960000008</v>
      </c>
      <c r="H29" s="5">
        <f>H8/'Rate Class Customer Model'!Q17</f>
        <v>2344.8152625476232</v>
      </c>
      <c r="I29" s="5">
        <f>I8/'Rate Class Customer Model'!T17</f>
        <v>587.80706333973126</v>
      </c>
      <c r="J29" s="5">
        <f>J8/'Rate Class Customer Model'!W17</f>
        <v>6961.7041666666664</v>
      </c>
    </row>
    <row r="30" spans="1:10" x14ac:dyDescent="0.2">
      <c r="A30">
        <f t="shared" si="6"/>
        <v>2014</v>
      </c>
      <c r="C30" s="5">
        <f>C9/'Rate Class Customer Model'!B18</f>
        <v>9164.9398043013734</v>
      </c>
      <c r="D30" s="5">
        <f>D9/'Rate Class Customer Model'!E18</f>
        <v>35211.749967132564</v>
      </c>
      <c r="E30" s="5">
        <f>E9/'Rate Class Customer Model'!H18</f>
        <v>733183.07595706615</v>
      </c>
      <c r="F30" s="5">
        <f>F9/'Rate Class Customer Model'!K18</f>
        <v>9600972.9495652169</v>
      </c>
      <c r="G30" s="5">
        <f>G9/'Rate Class Customer Model'!N18</f>
        <v>44475966.780000001</v>
      </c>
      <c r="H30" s="5">
        <f>H9/'Rate Class Customer Model'!Q18</f>
        <v>2357.1330978349338</v>
      </c>
      <c r="I30" s="5">
        <f>I9/'Rate Class Customer Model'!T18</f>
        <v>595.67128205128211</v>
      </c>
      <c r="J30" s="5">
        <f>J9/'Rate Class Customer Model'!W18</f>
        <v>7032.9172178477693</v>
      </c>
    </row>
    <row r="31" spans="1:10" x14ac:dyDescent="0.2">
      <c r="A31">
        <f t="shared" si="6"/>
        <v>2015</v>
      </c>
      <c r="C31" s="5">
        <f>C10/'Rate Class Customer Model'!B19</f>
        <v>9045.3159959766435</v>
      </c>
      <c r="D31" s="5">
        <f>D10/'Rate Class Customer Model'!E19</f>
        <v>34615.57911038051</v>
      </c>
      <c r="E31" s="5">
        <f>E10/'Rate Class Customer Model'!H19</f>
        <v>707024.52880198741</v>
      </c>
      <c r="F31" s="5">
        <f>F10/'Rate Class Customer Model'!K19</f>
        <v>8978118.5199203119</v>
      </c>
      <c r="G31" s="5">
        <f>G10/'Rate Class Customer Model'!N19</f>
        <v>45535432.229295135</v>
      </c>
      <c r="H31" s="5">
        <f>H10/'Rate Class Customer Model'!Q19</f>
        <v>2432.4949150540133</v>
      </c>
      <c r="I31" s="5">
        <f>I10/'Rate Class Customer Model'!T19</f>
        <v>583.20000000000005</v>
      </c>
      <c r="J31" s="5">
        <f>J10/'Rate Class Customer Model'!W19</f>
        <v>4879.7280772325021</v>
      </c>
    </row>
    <row r="32" spans="1:10" x14ac:dyDescent="0.2">
      <c r="A32">
        <f t="shared" si="6"/>
        <v>2016</v>
      </c>
      <c r="C32" s="5">
        <f>C11/'Rate Class Customer Model'!B20</f>
        <v>9266.984410552659</v>
      </c>
      <c r="D32" s="5">
        <f>D11/'Rate Class Customer Model'!E20</f>
        <v>34096.338753753618</v>
      </c>
      <c r="E32" s="5">
        <f>E11/'Rate Class Customer Model'!H20</f>
        <v>687734.34352864977</v>
      </c>
      <c r="F32" s="5">
        <f>F11/'Rate Class Customer Model'!K20</f>
        <v>8886610.1045977436</v>
      </c>
      <c r="G32" s="5">
        <f>G11/'Rate Class Customer Model'!N20</f>
        <v>46672075.449240766</v>
      </c>
      <c r="H32" s="5">
        <f>H11/'Rate Class Customer Model'!Q20</f>
        <v>2461.9239559184603</v>
      </c>
      <c r="I32" s="5">
        <f>I11/'Rate Class Customer Model'!T20</f>
        <v>583.19999999999982</v>
      </c>
      <c r="J32" s="5">
        <f>J11/'Rate Class Customer Model'!W20</f>
        <v>4946.109402465614</v>
      </c>
    </row>
    <row r="33" spans="1:11" x14ac:dyDescent="0.2">
      <c r="A33">
        <f t="shared" si="6"/>
        <v>2017</v>
      </c>
      <c r="C33" s="5">
        <f>C12/'Rate Class Customer Model'!B21</f>
        <v>8568.0128015896207</v>
      </c>
      <c r="D33" s="5">
        <f>D12/'Rate Class Customer Model'!E21</f>
        <v>31326.16396408153</v>
      </c>
      <c r="E33" s="5">
        <f>E12/'Rate Class Customer Model'!H21</f>
        <v>669174.6028549592</v>
      </c>
      <c r="F33" s="5">
        <f>F12/'Rate Class Customer Model'!K21</f>
        <v>8127928.7980497563</v>
      </c>
      <c r="G33" s="5">
        <f>G12/'Rate Class Customer Model'!N21</f>
        <v>45854040.537762739</v>
      </c>
      <c r="H33" s="5">
        <f>H12/'Rate Class Customer Model'!Q21</f>
        <v>2401.4778118716804</v>
      </c>
      <c r="I33" s="5">
        <f>I12/'Rate Class Customer Model'!T21</f>
        <v>583.19999999999982</v>
      </c>
      <c r="J33" s="5">
        <f>J12/'Rate Class Customer Model'!W21</f>
        <v>5108.5379669431495</v>
      </c>
    </row>
    <row r="34" spans="1:11" x14ac:dyDescent="0.2">
      <c r="A34">
        <f t="shared" si="6"/>
        <v>2018</v>
      </c>
      <c r="C34" s="5">
        <f>C13/'Rate Class Customer Model'!B22</f>
        <v>9040.72202207378</v>
      </c>
      <c r="D34" s="5">
        <f>D13/'Rate Class Customer Model'!E22</f>
        <v>32053.766189775386</v>
      </c>
      <c r="E34" s="5">
        <f>E13/'Rate Class Customer Model'!H22</f>
        <v>672821.41415814927</v>
      </c>
      <c r="F34" s="5">
        <f>F13/'Rate Class Customer Model'!K22</f>
        <v>9205637.9212476388</v>
      </c>
      <c r="G34" s="5">
        <f>G13/'Rate Class Customer Model'!N22</f>
        <v>46168520.794377029</v>
      </c>
      <c r="H34" s="5">
        <f>H13/'Rate Class Customer Model'!Q22</f>
        <v>2402.6459375867585</v>
      </c>
      <c r="I34" s="5">
        <f>I13/'Rate Class Customer Model'!T22</f>
        <v>583.19999999999993</v>
      </c>
      <c r="J34" s="5">
        <f>J13/'Rate Class Customer Model'!W22</f>
        <v>4985.8008514850571</v>
      </c>
    </row>
    <row r="35" spans="1:11" x14ac:dyDescent="0.2">
      <c r="A35">
        <f t="shared" si="6"/>
        <v>2019</v>
      </c>
      <c r="C35" s="5">
        <f>C14/'Rate Class Customer Model'!B23</f>
        <v>8551.4378239566031</v>
      </c>
      <c r="D35" s="5">
        <f>D14/'Rate Class Customer Model'!E23</f>
        <v>31136.34083479429</v>
      </c>
      <c r="E35" s="5">
        <f>E14/'Rate Class Customer Model'!H23</f>
        <v>643100.74041365075</v>
      </c>
      <c r="F35" s="5">
        <f>F14/'Rate Class Customer Model'!K23</f>
        <v>9601673.6101405229</v>
      </c>
      <c r="G35" s="5">
        <f>G14/'Rate Class Customer Model'!N23</f>
        <v>48144879.099529207</v>
      </c>
      <c r="H35" s="5">
        <f>H14/'Rate Class Customer Model'!Q23</f>
        <v>2045.3923922877605</v>
      </c>
      <c r="I35" s="5">
        <f>I14/'Rate Class Customer Model'!T23</f>
        <v>583.19999999999993</v>
      </c>
      <c r="J35" s="5">
        <f>J14/'Rate Class Customer Model'!W23</f>
        <v>4904.8514402224273</v>
      </c>
    </row>
    <row r="36" spans="1:11" x14ac:dyDescent="0.2">
      <c r="A36">
        <f>A35+1</f>
        <v>2020</v>
      </c>
      <c r="C36" s="5">
        <f>C15/'Rate Class Customer Model'!B24</f>
        <v>9383.3000822338563</v>
      </c>
      <c r="D36" s="5">
        <f>D15/'Rate Class Customer Model'!E24</f>
        <v>29246.67971232309</v>
      </c>
      <c r="E36" s="5">
        <f>E15/'Rate Class Customer Model'!H24</f>
        <v>594566.34879475378</v>
      </c>
      <c r="F36" s="5">
        <f>F15/'Rate Class Customer Model'!K24</f>
        <v>8834815.6842709761</v>
      </c>
      <c r="G36" s="5">
        <f>G15/'Rate Class Customer Model'!N24</f>
        <v>43059780.193621106</v>
      </c>
      <c r="H36" s="5">
        <f>H15/'Rate Class Customer Model'!Q24</f>
        <v>1690.1971058478805</v>
      </c>
      <c r="I36" s="5">
        <f>I15/'Rate Class Customer Model'!T24</f>
        <v>583.20000000000005</v>
      </c>
      <c r="J36" s="5">
        <f>J15/'Rate Class Customer Model'!W24</f>
        <v>4918.9648215108391</v>
      </c>
    </row>
    <row r="37" spans="1:11" x14ac:dyDescent="0.2">
      <c r="A37">
        <f t="shared" ref="A37:A39" si="7">A36+1</f>
        <v>2021</v>
      </c>
      <c r="C37" s="5">
        <f>C16/'Rate Class Customer Model'!B25</f>
        <v>9363.3789615305304</v>
      </c>
      <c r="D37" s="5">
        <f>D16/'Rate Class Customer Model'!E25</f>
        <v>29724.131014119939</v>
      </c>
      <c r="E37" s="5">
        <f>E16/'Rate Class Customer Model'!H25</f>
        <v>621648.0335939161</v>
      </c>
      <c r="F37" s="5">
        <f>F16/'Rate Class Customer Model'!K25</f>
        <v>9513836.5824847613</v>
      </c>
      <c r="G37" s="5">
        <f>G16/'Rate Class Customer Model'!N25</f>
        <v>45910295.965121664</v>
      </c>
      <c r="H37" s="5">
        <f>H16/'Rate Class Customer Model'!Q25</f>
        <v>1739.2278166105164</v>
      </c>
      <c r="I37" s="5">
        <f>I16/'Rate Class Customer Model'!T25</f>
        <v>583.19999999999993</v>
      </c>
      <c r="J37" s="5">
        <f>J16/'Rate Class Customer Model'!W25</f>
        <v>4791.2074117030306</v>
      </c>
    </row>
    <row r="38" spans="1:11" x14ac:dyDescent="0.2">
      <c r="A38">
        <f t="shared" si="7"/>
        <v>2022</v>
      </c>
      <c r="C38" s="152">
        <f ca="1">C17/'Rate Class Customer Model'!B40</f>
        <v>9054.8302572521516</v>
      </c>
      <c r="D38" s="152">
        <f ca="1">D17/'Rate Class Customer Model'!E40</f>
        <v>30176.689216352643</v>
      </c>
      <c r="E38" s="152">
        <f ca="1">E17/'Rate Class Customer Model'!H40</f>
        <v>660330.30966823164</v>
      </c>
      <c r="F38" s="152">
        <f>F17/'Rate Class Customer Model'!K40</f>
        <v>9056778.5192387309</v>
      </c>
      <c r="G38" s="152">
        <f>G17/'Rate Class Customer Model'!N40</f>
        <v>45827503.318082355</v>
      </c>
      <c r="H38" s="223">
        <f>H37</f>
        <v>1739.2278166105164</v>
      </c>
      <c r="I38" s="223">
        <f t="shared" ref="I38:J39" si="8">I37</f>
        <v>583.19999999999993</v>
      </c>
      <c r="J38" s="223">
        <f t="shared" si="8"/>
        <v>4791.2074117030306</v>
      </c>
    </row>
    <row r="39" spans="1:11" x14ac:dyDescent="0.2">
      <c r="A39">
        <f t="shared" si="7"/>
        <v>2023</v>
      </c>
      <c r="C39" s="152">
        <f ca="1">C18/'Rate Class Customer Model'!B41</f>
        <v>8845.9277366586666</v>
      </c>
      <c r="D39" s="152">
        <f ca="1">D18/'Rate Class Customer Model'!E27</f>
        <v>30673.474766120435</v>
      </c>
      <c r="E39" s="152">
        <f ca="1">E18/'Rate Class Customer Model'!H41</f>
        <v>666365.05993245158</v>
      </c>
      <c r="F39" s="152">
        <f>F18/'Rate Class Customer Model'!K41</f>
        <v>9056778.5192387309</v>
      </c>
      <c r="G39" s="152">
        <f>G18/'Rate Class Customer Model'!N41</f>
        <v>45827503.318082355</v>
      </c>
      <c r="H39" s="223">
        <f>H38</f>
        <v>1739.2278166105164</v>
      </c>
      <c r="I39" s="223">
        <f t="shared" si="8"/>
        <v>583.19999999999993</v>
      </c>
      <c r="J39" s="223">
        <f t="shared" si="8"/>
        <v>4791.2074117030306</v>
      </c>
    </row>
    <row r="40" spans="1:11" x14ac:dyDescent="0.2">
      <c r="F40" s="42"/>
      <c r="G40" s="22"/>
    </row>
    <row r="41" spans="1:11" x14ac:dyDescent="0.2">
      <c r="F41" s="51">
        <f>AVERAGE(F33:F37)*'Rate Class Customer Model'!K40</f>
        <v>108681342.23086476</v>
      </c>
      <c r="G41" s="51">
        <f>AVERAGE(G33:G37)*'Rate Class Customer Model'!N40</f>
        <v>137482509.95424706</v>
      </c>
      <c r="H41" s="154"/>
      <c r="I41" s="154"/>
      <c r="J41" s="154"/>
    </row>
    <row r="42" spans="1:11" x14ac:dyDescent="0.2">
      <c r="F42" s="51">
        <f>AVERAGE(F33:F37)*'Rate Class Customer Model'!K41</f>
        <v>108681342.23086476</v>
      </c>
      <c r="G42" s="51">
        <f>AVERAGE(G33:G37)*'Rate Class Customer Model'!N41</f>
        <v>137482509.95424706</v>
      </c>
      <c r="H42" s="154"/>
      <c r="I42" s="154"/>
      <c r="J42" s="154"/>
    </row>
    <row r="43" spans="1:11" x14ac:dyDescent="0.2">
      <c r="K43" s="20"/>
    </row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</sheetData>
  <mergeCells count="3">
    <mergeCell ref="C1:J1"/>
    <mergeCell ref="G5:J5"/>
    <mergeCell ref="C5:F5"/>
  </mergeCells>
  <phoneticPr fontId="0" type="noConversion"/>
  <pageMargins left="0.38" right="0.75" top="0.73" bottom="0.74" header="0.5" footer="0.5"/>
  <pageSetup scale="29" orientation="portrait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F3962-5D23-4AAB-B536-7C07CF1F3FD7}">
  <dimension ref="A3:P63"/>
  <sheetViews>
    <sheetView showGridLines="0" workbookViewId="0">
      <selection activeCell="D66" sqref="D66"/>
    </sheetView>
  </sheetViews>
  <sheetFormatPr defaultColWidth="12.5703125" defaultRowHeight="15.75" x14ac:dyDescent="0.25"/>
  <cols>
    <col min="1" max="1" width="34.7109375" style="226" customWidth="1"/>
    <col min="2" max="7" width="12.5703125" style="226"/>
    <col min="8" max="8" width="14.85546875" style="226" bestFit="1" customWidth="1"/>
    <col min="9" max="11" width="15" style="226" bestFit="1" customWidth="1"/>
    <col min="12" max="12" width="19.42578125" style="226" customWidth="1"/>
    <col min="13" max="13" width="14.42578125" style="226" bestFit="1" customWidth="1"/>
    <col min="14" max="14" width="16.140625" style="226" customWidth="1"/>
    <col min="15" max="16" width="23.85546875" style="226" bestFit="1" customWidth="1"/>
    <col min="17" max="16384" width="12.5703125" style="226"/>
  </cols>
  <sheetData>
    <row r="3" spans="1:14" ht="18" thickBot="1" x14ac:dyDescent="0.35">
      <c r="A3" s="225" t="s">
        <v>64</v>
      </c>
    </row>
    <row r="4" spans="1:14" ht="16.5" thickTop="1" x14ac:dyDescent="0.25">
      <c r="B4" s="227" t="s">
        <v>65</v>
      </c>
      <c r="C4" s="227"/>
      <c r="D4" s="227"/>
      <c r="E4" s="227"/>
      <c r="F4" s="227"/>
      <c r="G4" s="227" t="s">
        <v>66</v>
      </c>
      <c r="M4" s="227"/>
      <c r="N4" s="328" t="s">
        <v>67</v>
      </c>
    </row>
    <row r="5" spans="1:14" x14ac:dyDescent="0.25">
      <c r="B5" s="227">
        <v>2021</v>
      </c>
      <c r="C5" s="227">
        <v>2022</v>
      </c>
      <c r="D5" s="227">
        <v>2023</v>
      </c>
      <c r="E5" s="227">
        <v>2024</v>
      </c>
      <c r="G5" s="227">
        <v>2021</v>
      </c>
      <c r="H5" s="227">
        <v>2022</v>
      </c>
      <c r="I5" s="227">
        <v>2023</v>
      </c>
      <c r="J5" s="227">
        <v>2024</v>
      </c>
      <c r="K5" s="227">
        <v>2025</v>
      </c>
      <c r="L5" s="227">
        <v>2026</v>
      </c>
      <c r="M5" s="227">
        <v>2027</v>
      </c>
      <c r="N5" s="328"/>
    </row>
    <row r="6" spans="1:14" x14ac:dyDescent="0.25">
      <c r="A6" s="226" t="s">
        <v>68</v>
      </c>
      <c r="B6" s="226">
        <v>354.3</v>
      </c>
      <c r="C6" s="226">
        <v>337.8</v>
      </c>
      <c r="D6" s="226">
        <v>217.2</v>
      </c>
      <c r="E6" s="226">
        <v>217.2</v>
      </c>
      <c r="G6" s="226">
        <f>B6/2</f>
        <v>177.15</v>
      </c>
      <c r="H6" s="226">
        <f>SUM($B6:B6)+C6/2</f>
        <v>523.20000000000005</v>
      </c>
      <c r="I6" s="226">
        <f>SUM($B6:C6)+D6/2</f>
        <v>800.7</v>
      </c>
      <c r="J6" s="226">
        <f>SUM($B6:D6)+E6/2</f>
        <v>1017.9</v>
      </c>
      <c r="K6" s="226">
        <f>SUM(B6:E6)</f>
        <v>1126.5</v>
      </c>
      <c r="L6" s="226">
        <f>K6</f>
        <v>1126.5</v>
      </c>
      <c r="M6" s="226">
        <f>L6</f>
        <v>1126.5</v>
      </c>
      <c r="N6" s="226">
        <f>AVERAGE(I6:M6)</f>
        <v>1039.6200000000001</v>
      </c>
    </row>
    <row r="7" spans="1:14" x14ac:dyDescent="0.25">
      <c r="A7" s="228" t="s">
        <v>69</v>
      </c>
      <c r="B7" s="228">
        <v>40.200000000000003</v>
      </c>
      <c r="C7" s="228">
        <v>28.5</v>
      </c>
      <c r="D7" s="228">
        <v>14.3</v>
      </c>
      <c r="E7" s="228">
        <v>15.3</v>
      </c>
      <c r="F7" s="228"/>
      <c r="G7" s="228">
        <f>B7/2</f>
        <v>20.100000000000001</v>
      </c>
      <c r="H7" s="228">
        <f>SUM($B7:B7)+C7/2</f>
        <v>54.45</v>
      </c>
      <c r="I7" s="228">
        <f>SUM($B7:C7)+D7/2</f>
        <v>75.850000000000009</v>
      </c>
      <c r="J7" s="228">
        <f>SUM($B7:D7)+E7/2</f>
        <v>90.65</v>
      </c>
      <c r="K7" s="228">
        <f t="shared" ref="K7:K13" si="0">SUM(B7:E7)</f>
        <v>98.3</v>
      </c>
      <c r="L7" s="228">
        <f t="shared" ref="L7:M13" si="1">K7</f>
        <v>98.3</v>
      </c>
      <c r="M7" s="228">
        <f t="shared" si="1"/>
        <v>98.3</v>
      </c>
      <c r="N7" s="228">
        <f t="shared" ref="N7:N13" si="2">AVERAGE(I7:M7)</f>
        <v>92.28</v>
      </c>
    </row>
    <row r="8" spans="1:14" x14ac:dyDescent="0.25">
      <c r="A8" s="226" t="s">
        <v>70</v>
      </c>
      <c r="B8" s="226">
        <v>21.8</v>
      </c>
      <c r="C8" s="226">
        <v>17.3</v>
      </c>
      <c r="D8" s="226">
        <v>34.1</v>
      </c>
      <c r="E8" s="226">
        <v>35.6</v>
      </c>
      <c r="G8" s="226">
        <f>B8/2</f>
        <v>10.9</v>
      </c>
      <c r="H8" s="226">
        <f>SUM($B8:B8)+C8/2</f>
        <v>30.450000000000003</v>
      </c>
      <c r="I8" s="226">
        <f>SUM($B8:C8)+D8/2</f>
        <v>56.150000000000006</v>
      </c>
      <c r="J8" s="226">
        <f>SUM($B8:D8)+E8/2</f>
        <v>91</v>
      </c>
      <c r="K8" s="226">
        <f t="shared" si="0"/>
        <v>108.80000000000001</v>
      </c>
      <c r="L8" s="226">
        <f t="shared" si="1"/>
        <v>108.80000000000001</v>
      </c>
      <c r="M8" s="226">
        <f t="shared" si="1"/>
        <v>108.80000000000001</v>
      </c>
      <c r="N8" s="226">
        <f t="shared" si="2"/>
        <v>94.710000000000008</v>
      </c>
    </row>
    <row r="9" spans="1:14" x14ac:dyDescent="0.25">
      <c r="A9" s="228" t="s">
        <v>71</v>
      </c>
      <c r="B9" s="228">
        <v>16.399999999999999</v>
      </c>
      <c r="C9" s="228">
        <v>47.3</v>
      </c>
      <c r="D9" s="228">
        <v>115.2</v>
      </c>
      <c r="E9" s="228">
        <v>115.2</v>
      </c>
      <c r="F9" s="228"/>
      <c r="G9" s="228">
        <f t="shared" ref="G9:G13" si="3">B9/2</f>
        <v>8.1999999999999993</v>
      </c>
      <c r="H9" s="228">
        <f>SUM($B9:B9)+C9/2</f>
        <v>40.049999999999997</v>
      </c>
      <c r="I9" s="228">
        <f>SUM($B9:C9)+D9/2</f>
        <v>121.3</v>
      </c>
      <c r="J9" s="228">
        <f>SUM($B9:D9)+E9/2</f>
        <v>236.5</v>
      </c>
      <c r="K9" s="228">
        <f t="shared" si="0"/>
        <v>294.10000000000002</v>
      </c>
      <c r="L9" s="228">
        <f t="shared" si="1"/>
        <v>294.10000000000002</v>
      </c>
      <c r="M9" s="228">
        <f t="shared" si="1"/>
        <v>294.10000000000002</v>
      </c>
      <c r="N9" s="228">
        <f t="shared" si="2"/>
        <v>248.02000000000004</v>
      </c>
    </row>
    <row r="10" spans="1:14" x14ac:dyDescent="0.25">
      <c r="A10" s="226" t="s">
        <v>72</v>
      </c>
      <c r="B10" s="226">
        <v>0</v>
      </c>
      <c r="C10" s="226">
        <v>0</v>
      </c>
      <c r="D10" s="226">
        <v>325.7</v>
      </c>
      <c r="E10" s="226">
        <v>325.7</v>
      </c>
      <c r="G10" s="226">
        <f t="shared" si="3"/>
        <v>0</v>
      </c>
      <c r="H10" s="226">
        <f>SUM($B10:B10)+C10/2</f>
        <v>0</v>
      </c>
      <c r="I10" s="226">
        <f>SUM($B10:C10)+D10/2</f>
        <v>162.85</v>
      </c>
      <c r="J10" s="226">
        <f>SUM($B10:D10)+E10/2</f>
        <v>488.54999999999995</v>
      </c>
      <c r="K10" s="226">
        <f t="shared" si="0"/>
        <v>651.4</v>
      </c>
      <c r="L10" s="226">
        <f t="shared" si="1"/>
        <v>651.4</v>
      </c>
      <c r="M10" s="226">
        <f t="shared" si="1"/>
        <v>651.4</v>
      </c>
      <c r="N10" s="226">
        <f t="shared" si="2"/>
        <v>521.12</v>
      </c>
    </row>
    <row r="11" spans="1:14" x14ac:dyDescent="0.25">
      <c r="A11" s="228" t="s">
        <v>73</v>
      </c>
      <c r="B11" s="228">
        <v>52.4</v>
      </c>
      <c r="C11" s="228">
        <v>52.4</v>
      </c>
      <c r="D11" s="228">
        <v>62.9</v>
      </c>
      <c r="E11" s="228">
        <v>62.9</v>
      </c>
      <c r="F11" s="228"/>
      <c r="G11" s="228">
        <f t="shared" si="3"/>
        <v>26.2</v>
      </c>
      <c r="H11" s="228">
        <f>SUM($B11:B11)+C11/2</f>
        <v>78.599999999999994</v>
      </c>
      <c r="I11" s="228">
        <f>SUM($B11:C11)+D11/2</f>
        <v>136.25</v>
      </c>
      <c r="J11" s="228">
        <f>SUM($B11:D11)+E11/2</f>
        <v>199.14999999999998</v>
      </c>
      <c r="K11" s="228">
        <f t="shared" si="0"/>
        <v>230.6</v>
      </c>
      <c r="L11" s="228">
        <f t="shared" si="1"/>
        <v>230.6</v>
      </c>
      <c r="M11" s="228">
        <f t="shared" si="1"/>
        <v>230.6</v>
      </c>
      <c r="N11" s="228">
        <f t="shared" si="2"/>
        <v>205.44</v>
      </c>
    </row>
    <row r="12" spans="1:14" x14ac:dyDescent="0.25">
      <c r="A12" s="226" t="s">
        <v>74</v>
      </c>
      <c r="B12" s="226">
        <v>47.6</v>
      </c>
      <c r="C12" s="226">
        <v>50.3</v>
      </c>
      <c r="D12" s="226">
        <v>52.3</v>
      </c>
      <c r="E12" s="226">
        <v>54</v>
      </c>
      <c r="G12" s="226">
        <f t="shared" si="3"/>
        <v>23.8</v>
      </c>
      <c r="H12" s="226">
        <f>SUM($B12:B12)+C12/2</f>
        <v>72.75</v>
      </c>
      <c r="I12" s="226">
        <f>SUM($B12:C12)+D12/2</f>
        <v>124.05000000000001</v>
      </c>
      <c r="J12" s="226">
        <f>SUM($B12:D12)+E12/2</f>
        <v>177.2</v>
      </c>
      <c r="K12" s="226">
        <f t="shared" si="0"/>
        <v>204.2</v>
      </c>
      <c r="L12" s="226">
        <f t="shared" si="1"/>
        <v>204.2</v>
      </c>
      <c r="M12" s="226">
        <f t="shared" si="1"/>
        <v>204.2</v>
      </c>
      <c r="N12" s="226">
        <f t="shared" si="2"/>
        <v>182.76999999999998</v>
      </c>
    </row>
    <row r="13" spans="1:14" x14ac:dyDescent="0.25">
      <c r="A13" s="228" t="s">
        <v>75</v>
      </c>
      <c r="B13" s="228">
        <v>10.3</v>
      </c>
      <c r="C13" s="228">
        <v>7.3</v>
      </c>
      <c r="D13" s="228">
        <v>7.3</v>
      </c>
      <c r="E13" s="228">
        <v>7.3</v>
      </c>
      <c r="F13" s="228"/>
      <c r="G13" s="228">
        <f t="shared" si="3"/>
        <v>5.15</v>
      </c>
      <c r="H13" s="228">
        <f>SUM($B13:B13)+C13/2</f>
        <v>13.950000000000001</v>
      </c>
      <c r="I13" s="228">
        <f>SUM($B13:C13)+D13/2</f>
        <v>21.25</v>
      </c>
      <c r="J13" s="228">
        <f>SUM($B13:D13)+E13/2</f>
        <v>28.55</v>
      </c>
      <c r="K13" s="228">
        <f t="shared" si="0"/>
        <v>32.200000000000003</v>
      </c>
      <c r="L13" s="228">
        <f t="shared" si="1"/>
        <v>32.200000000000003</v>
      </c>
      <c r="M13" s="228">
        <f t="shared" si="1"/>
        <v>32.200000000000003</v>
      </c>
      <c r="N13" s="228">
        <f t="shared" si="2"/>
        <v>29.28</v>
      </c>
    </row>
    <row r="15" spans="1:14" x14ac:dyDescent="0.25">
      <c r="A15" s="226" t="s">
        <v>76</v>
      </c>
      <c r="B15" s="226" t="s">
        <v>77</v>
      </c>
    </row>
    <row r="16" spans="1:14" x14ac:dyDescent="0.25">
      <c r="B16" s="226" t="s">
        <v>78</v>
      </c>
    </row>
    <row r="18" spans="1:10" ht="18" thickBot="1" x14ac:dyDescent="0.35">
      <c r="A18" s="225" t="s">
        <v>79</v>
      </c>
    </row>
    <row r="19" spans="1:10" ht="16.5" thickTop="1" x14ac:dyDescent="0.25">
      <c r="B19" s="227" t="s">
        <v>65</v>
      </c>
      <c r="G19" s="227" t="s">
        <v>66</v>
      </c>
      <c r="J19" s="328" t="s">
        <v>67</v>
      </c>
    </row>
    <row r="20" spans="1:10" x14ac:dyDescent="0.25">
      <c r="B20" s="227">
        <v>2025</v>
      </c>
      <c r="C20" s="227">
        <v>2026</v>
      </c>
      <c r="D20" s="227">
        <v>2027</v>
      </c>
      <c r="G20" s="227">
        <v>2025</v>
      </c>
      <c r="H20" s="227">
        <v>2026</v>
      </c>
      <c r="I20" s="227">
        <v>2027</v>
      </c>
      <c r="J20" s="328"/>
    </row>
    <row r="21" spans="1:10" x14ac:dyDescent="0.25">
      <c r="A21" s="226" t="s">
        <v>80</v>
      </c>
      <c r="B21" s="229">
        <v>8.2000000000000003E-2</v>
      </c>
      <c r="C21" s="229">
        <v>6.7000000000000004E-2</v>
      </c>
      <c r="D21" s="229">
        <v>6.0999999999999999E-2</v>
      </c>
    </row>
    <row r="23" spans="1:10" x14ac:dyDescent="0.25">
      <c r="A23" s="226" t="s">
        <v>68</v>
      </c>
      <c r="B23" s="230">
        <f>(1+B$21)*$E6</f>
        <v>235.0104</v>
      </c>
      <c r="C23" s="230">
        <f>B23*(1+C$21)</f>
        <v>250.75609679999999</v>
      </c>
      <c r="D23" s="230">
        <f t="shared" ref="D23:D30" si="4">C23*(1+D$21)</f>
        <v>266.0522187048</v>
      </c>
      <c r="G23" s="230">
        <f>B23/2</f>
        <v>117.5052</v>
      </c>
      <c r="H23" s="230">
        <f>SUM($B23:B23)+C23/2</f>
        <v>360.38844840000002</v>
      </c>
      <c r="I23" s="230">
        <f>SUM($B23:C23)+D23/2</f>
        <v>618.79260615240003</v>
      </c>
      <c r="J23" s="230">
        <f>SUM(G23:I23)/5</f>
        <v>219.33725091048001</v>
      </c>
    </row>
    <row r="24" spans="1:10" x14ac:dyDescent="0.25">
      <c r="A24" s="228" t="s">
        <v>69</v>
      </c>
      <c r="B24" s="231">
        <f t="shared" ref="B24:B30" si="5">(1+B$21)*$E7</f>
        <v>16.554600000000001</v>
      </c>
      <c r="C24" s="231">
        <f t="shared" ref="C24:C30" si="6">B24*(1+C$21)</f>
        <v>17.6637582</v>
      </c>
      <c r="D24" s="231">
        <f t="shared" si="4"/>
        <v>18.741247450199999</v>
      </c>
      <c r="E24" s="228"/>
      <c r="F24" s="228"/>
      <c r="G24" s="231">
        <f t="shared" ref="G24:G30" si="7">B24/2</f>
        <v>8.2773000000000003</v>
      </c>
      <c r="H24" s="231">
        <f>SUM($B24:B24)+C24/2</f>
        <v>25.386479100000003</v>
      </c>
      <c r="I24" s="231">
        <f>SUM($B24:C24)+D24/2</f>
        <v>43.588981925100001</v>
      </c>
      <c r="J24" s="231">
        <f t="shared" ref="J24:J30" si="8">SUM(G24:I24)/5</f>
        <v>15.450552205019999</v>
      </c>
    </row>
    <row r="25" spans="1:10" x14ac:dyDescent="0.25">
      <c r="A25" s="226" t="s">
        <v>70</v>
      </c>
      <c r="B25" s="230">
        <f t="shared" si="5"/>
        <v>38.519200000000005</v>
      </c>
      <c r="C25" s="230">
        <f t="shared" si="6"/>
        <v>41.099986400000006</v>
      </c>
      <c r="D25" s="230">
        <f t="shared" si="4"/>
        <v>43.607085570400002</v>
      </c>
      <c r="G25" s="230">
        <f t="shared" si="7"/>
        <v>19.259600000000002</v>
      </c>
      <c r="H25" s="230">
        <f>SUM($B25:B25)+C25/2</f>
        <v>59.069193200000008</v>
      </c>
      <c r="I25" s="230">
        <f>SUM($B25:C25)+D25/2</f>
        <v>101.42272918520001</v>
      </c>
      <c r="J25" s="230">
        <f t="shared" si="8"/>
        <v>35.950304477040007</v>
      </c>
    </row>
    <row r="26" spans="1:10" x14ac:dyDescent="0.25">
      <c r="A26" s="228" t="s">
        <v>71</v>
      </c>
      <c r="B26" s="231">
        <f t="shared" si="5"/>
        <v>124.64640000000001</v>
      </c>
      <c r="C26" s="231">
        <f t="shared" si="6"/>
        <v>132.9977088</v>
      </c>
      <c r="D26" s="231">
        <f t="shared" si="4"/>
        <v>141.1105690368</v>
      </c>
      <c r="E26" s="228"/>
      <c r="F26" s="228"/>
      <c r="G26" s="231">
        <f t="shared" si="7"/>
        <v>62.323200000000007</v>
      </c>
      <c r="H26" s="231">
        <f>SUM($B26:B26)+C26/2</f>
        <v>191.1452544</v>
      </c>
      <c r="I26" s="231">
        <f>SUM($B26:C26)+D26/2</f>
        <v>328.19939331840004</v>
      </c>
      <c r="J26" s="231">
        <f t="shared" si="8"/>
        <v>116.33356954368</v>
      </c>
    </row>
    <row r="27" spans="1:10" x14ac:dyDescent="0.25">
      <c r="A27" s="226" t="s">
        <v>72</v>
      </c>
      <c r="B27" s="230">
        <f t="shared" si="5"/>
        <v>352.4074</v>
      </c>
      <c r="C27" s="230">
        <f t="shared" si="6"/>
        <v>376.01869579999999</v>
      </c>
      <c r="D27" s="230">
        <f t="shared" si="4"/>
        <v>398.95583624379998</v>
      </c>
      <c r="G27" s="230">
        <f t="shared" si="7"/>
        <v>176.2037</v>
      </c>
      <c r="H27" s="230">
        <f>SUM($B27:B27)+C27/2</f>
        <v>540.41674790000002</v>
      </c>
      <c r="I27" s="230">
        <f>SUM($B27:C27)+D27/2</f>
        <v>927.90401392189995</v>
      </c>
      <c r="J27" s="230">
        <f t="shared" si="8"/>
        <v>328.90489236437998</v>
      </c>
    </row>
    <row r="28" spans="1:10" x14ac:dyDescent="0.25">
      <c r="A28" s="228" t="s">
        <v>73</v>
      </c>
      <c r="B28" s="231">
        <f t="shared" si="5"/>
        <v>68.0578</v>
      </c>
      <c r="C28" s="231">
        <f t="shared" si="6"/>
        <v>72.617672599999992</v>
      </c>
      <c r="D28" s="231">
        <f t="shared" si="4"/>
        <v>77.047350628599986</v>
      </c>
      <c r="E28" s="228"/>
      <c r="F28" s="228"/>
      <c r="G28" s="231">
        <f t="shared" si="7"/>
        <v>34.0289</v>
      </c>
      <c r="H28" s="231">
        <f>SUM($B28:B28)+C28/2</f>
        <v>104.3666363</v>
      </c>
      <c r="I28" s="231">
        <f>SUM($B28:C28)+D28/2</f>
        <v>179.19914791429997</v>
      </c>
      <c r="J28" s="231">
        <f t="shared" si="8"/>
        <v>63.518936842859986</v>
      </c>
    </row>
    <row r="29" spans="1:10" x14ac:dyDescent="0.25">
      <c r="A29" s="226" t="s">
        <v>74</v>
      </c>
      <c r="B29" s="230">
        <f t="shared" si="5"/>
        <v>58.428000000000004</v>
      </c>
      <c r="C29" s="230">
        <f t="shared" si="6"/>
        <v>62.342676000000004</v>
      </c>
      <c r="D29" s="230">
        <f t="shared" si="4"/>
        <v>66.145579236000003</v>
      </c>
      <c r="G29" s="230">
        <f t="shared" si="7"/>
        <v>29.214000000000002</v>
      </c>
      <c r="H29" s="230">
        <f>SUM($B29:B29)+C29/2</f>
        <v>89.599338000000003</v>
      </c>
      <c r="I29" s="230">
        <f>SUM($B29:C29)+D29/2</f>
        <v>153.84346561800001</v>
      </c>
      <c r="J29" s="230">
        <f t="shared" si="8"/>
        <v>54.531360723600002</v>
      </c>
    </row>
    <row r="30" spans="1:10" x14ac:dyDescent="0.25">
      <c r="A30" s="228" t="s">
        <v>75</v>
      </c>
      <c r="B30" s="231">
        <f t="shared" si="5"/>
        <v>7.8986000000000001</v>
      </c>
      <c r="C30" s="231">
        <f t="shared" si="6"/>
        <v>8.4278061999999991</v>
      </c>
      <c r="D30" s="231">
        <f t="shared" si="4"/>
        <v>8.9419023781999982</v>
      </c>
      <c r="E30" s="228"/>
      <c r="F30" s="228"/>
      <c r="G30" s="231">
        <f t="shared" si="7"/>
        <v>3.9493</v>
      </c>
      <c r="H30" s="231">
        <f>SUM($B30:B30)+C30/2</f>
        <v>12.1125031</v>
      </c>
      <c r="I30" s="231">
        <f>SUM($B30:C30)+D30/2</f>
        <v>20.7973573891</v>
      </c>
      <c r="J30" s="231">
        <f t="shared" si="8"/>
        <v>7.3718320978199996</v>
      </c>
    </row>
    <row r="32" spans="1:10" x14ac:dyDescent="0.25">
      <c r="A32" s="226" t="s">
        <v>76</v>
      </c>
      <c r="B32" s="232" t="s">
        <v>81</v>
      </c>
    </row>
    <row r="33" spans="1:16" x14ac:dyDescent="0.25">
      <c r="M33" s="233"/>
    </row>
    <row r="35" spans="1:16" ht="31.5" x14ac:dyDescent="0.25">
      <c r="B35" s="234" t="s">
        <v>82</v>
      </c>
      <c r="C35" s="227" t="s">
        <v>83</v>
      </c>
      <c r="D35" s="227"/>
      <c r="E35" s="227"/>
      <c r="F35" s="227"/>
      <c r="G35" s="227"/>
      <c r="I35" s="227" t="s">
        <v>84</v>
      </c>
      <c r="J35" s="227"/>
      <c r="K35" s="227"/>
      <c r="L35" s="227"/>
      <c r="M35" s="227"/>
    </row>
    <row r="36" spans="1:16" x14ac:dyDescent="0.25">
      <c r="B36" s="227"/>
      <c r="C36" s="227" t="s">
        <v>57</v>
      </c>
      <c r="D36" s="227" t="s">
        <v>85</v>
      </c>
      <c r="E36" s="227" t="s">
        <v>86</v>
      </c>
      <c r="F36" s="227" t="s">
        <v>87</v>
      </c>
      <c r="G36" s="227" t="s">
        <v>88</v>
      </c>
      <c r="I36" s="227" t="s">
        <v>57</v>
      </c>
      <c r="J36" s="227" t="s">
        <v>85</v>
      </c>
      <c r="K36" s="227" t="s">
        <v>86</v>
      </c>
      <c r="L36" s="227" t="s">
        <v>87</v>
      </c>
      <c r="M36" s="227" t="s">
        <v>88</v>
      </c>
      <c r="N36" s="227" t="s">
        <v>63</v>
      </c>
    </row>
    <row r="37" spans="1:16" x14ac:dyDescent="0.25">
      <c r="A37" s="226" t="s">
        <v>68</v>
      </c>
      <c r="B37" s="230">
        <f>N6+J23</f>
        <v>1258.9572509104801</v>
      </c>
      <c r="C37" s="235">
        <v>0</v>
      </c>
      <c r="D37" s="236">
        <v>0.2</v>
      </c>
      <c r="E37" s="236">
        <v>0.4</v>
      </c>
      <c r="F37" s="236">
        <v>0.3</v>
      </c>
      <c r="G37" s="236">
        <v>0.1</v>
      </c>
      <c r="I37" s="237">
        <f t="shared" ref="I37:M44" si="9">$B37*C$46*C37*1000000</f>
        <v>0</v>
      </c>
      <c r="J37" s="237">
        <f>$B37*D$46*D37*1000000</f>
        <v>1569794.6558500514</v>
      </c>
      <c r="K37" s="237">
        <f t="shared" si="9"/>
        <v>3485196.2386418921</v>
      </c>
      <c r="L37" s="237">
        <f>$B37*F$46*F37*1000000</f>
        <v>2613897.1789814187</v>
      </c>
      <c r="M37" s="237">
        <f t="shared" si="9"/>
        <v>3070627.4412450739</v>
      </c>
      <c r="N37" s="237">
        <f>SUM(I37:M37)</f>
        <v>10739515.514718436</v>
      </c>
      <c r="O37" s="238"/>
      <c r="P37" s="238"/>
    </row>
    <row r="38" spans="1:16" x14ac:dyDescent="0.25">
      <c r="A38" s="228" t="s">
        <v>69</v>
      </c>
      <c r="B38" s="231">
        <f t="shared" ref="B38:B44" si="10">N7+J24</f>
        <v>107.73055220502</v>
      </c>
      <c r="C38" s="239"/>
      <c r="D38" s="240">
        <v>1</v>
      </c>
      <c r="E38" s="240"/>
      <c r="F38" s="240"/>
      <c r="G38" s="240"/>
      <c r="I38" s="241">
        <f t="shared" si="9"/>
        <v>0</v>
      </c>
      <c r="J38" s="241">
        <f t="shared" si="9"/>
        <v>671646.49554586236</v>
      </c>
      <c r="K38" s="241">
        <f t="shared" si="9"/>
        <v>0</v>
      </c>
      <c r="L38" s="241">
        <f t="shared" si="9"/>
        <v>0</v>
      </c>
      <c r="M38" s="241">
        <f t="shared" si="9"/>
        <v>0</v>
      </c>
      <c r="N38" s="241">
        <f>SUM(I38:M38)</f>
        <v>671646.49554586236</v>
      </c>
      <c r="O38" s="238"/>
      <c r="P38" s="238"/>
    </row>
    <row r="39" spans="1:16" x14ac:dyDescent="0.25">
      <c r="A39" s="226" t="s">
        <v>70</v>
      </c>
      <c r="B39" s="230">
        <f t="shared" si="10"/>
        <v>130.66030447704003</v>
      </c>
      <c r="C39" s="239"/>
      <c r="D39" s="240"/>
      <c r="E39" s="240">
        <v>0.7</v>
      </c>
      <c r="F39" s="240">
        <v>0.2</v>
      </c>
      <c r="G39" s="240">
        <v>0.1</v>
      </c>
      <c r="I39" s="237">
        <f t="shared" si="9"/>
        <v>0</v>
      </c>
      <c r="J39" s="237">
        <f t="shared" si="9"/>
        <v>0</v>
      </c>
      <c r="K39" s="237">
        <f t="shared" si="9"/>
        <v>632991.63049757737</v>
      </c>
      <c r="L39" s="237">
        <f t="shared" si="9"/>
        <v>180854.75157073638</v>
      </c>
      <c r="M39" s="237">
        <f t="shared" si="9"/>
        <v>318683.6694561952</v>
      </c>
      <c r="N39" s="237">
        <f>SUM(I39:M39)</f>
        <v>1132530.051524509</v>
      </c>
      <c r="O39" s="238"/>
      <c r="P39" s="238"/>
    </row>
    <row r="40" spans="1:16" x14ac:dyDescent="0.25">
      <c r="A40" s="228" t="s">
        <v>71</v>
      </c>
      <c r="B40" s="231">
        <f t="shared" si="10"/>
        <v>364.35356954368001</v>
      </c>
      <c r="C40" s="239"/>
      <c r="D40" s="240"/>
      <c r="E40" s="240">
        <v>0.7</v>
      </c>
      <c r="F40" s="240">
        <v>0.2</v>
      </c>
      <c r="G40" s="240">
        <v>0.1</v>
      </c>
      <c r="I40" s="241">
        <f t="shared" si="9"/>
        <v>0</v>
      </c>
      <c r="J40" s="241">
        <f t="shared" si="9"/>
        <v>0</v>
      </c>
      <c r="K40" s="241">
        <f t="shared" si="9"/>
        <v>1765132.5778411441</v>
      </c>
      <c r="L40" s="241">
        <f t="shared" si="9"/>
        <v>504323.59366889833</v>
      </c>
      <c r="M40" s="241">
        <f t="shared" si="9"/>
        <v>888667.24278946349</v>
      </c>
      <c r="N40" s="241">
        <f>SUM(I40:M40)</f>
        <v>3158123.4142995062</v>
      </c>
      <c r="O40" s="238"/>
      <c r="P40" s="238"/>
    </row>
    <row r="41" spans="1:16" x14ac:dyDescent="0.25">
      <c r="A41" s="226" t="s">
        <v>72</v>
      </c>
      <c r="B41" s="230">
        <f t="shared" si="10"/>
        <v>850.02489236437998</v>
      </c>
      <c r="C41" s="239"/>
      <c r="D41" s="240">
        <v>0.2</v>
      </c>
      <c r="E41" s="240">
        <v>0.4</v>
      </c>
      <c r="F41" s="240">
        <v>0.3</v>
      </c>
      <c r="G41" s="240">
        <v>0.1</v>
      </c>
      <c r="I41" s="237">
        <f t="shared" si="9"/>
        <v>0</v>
      </c>
      <c r="J41" s="237">
        <f>$B41*D$46*D41*1000000</f>
        <v>1059896.6187359451</v>
      </c>
      <c r="K41" s="237">
        <f t="shared" si="9"/>
        <v>2353140.7086919183</v>
      </c>
      <c r="L41" s="237">
        <f t="shared" si="9"/>
        <v>1764855.5315189385</v>
      </c>
      <c r="M41" s="237">
        <f t="shared" si="9"/>
        <v>2073231.4447911708</v>
      </c>
      <c r="N41" s="237">
        <f>SUM(I41:M41)</f>
        <v>7251124.3037379729</v>
      </c>
      <c r="O41" s="238"/>
      <c r="P41" s="238"/>
    </row>
    <row r="42" spans="1:16" x14ac:dyDescent="0.25">
      <c r="A42" s="228" t="s">
        <v>73</v>
      </c>
      <c r="B42" s="231">
        <f t="shared" si="10"/>
        <v>268.95893684286</v>
      </c>
      <c r="C42" s="239">
        <v>0</v>
      </c>
      <c r="D42" s="240">
        <v>0</v>
      </c>
      <c r="E42" s="240">
        <v>0</v>
      </c>
      <c r="F42" s="240">
        <v>0</v>
      </c>
      <c r="G42" s="240"/>
      <c r="I42" s="241">
        <f t="shared" si="9"/>
        <v>0</v>
      </c>
      <c r="J42" s="241">
        <f t="shared" si="9"/>
        <v>0</v>
      </c>
      <c r="K42" s="241">
        <f t="shared" si="9"/>
        <v>0</v>
      </c>
      <c r="L42" s="241">
        <f t="shared" si="9"/>
        <v>0</v>
      </c>
      <c r="M42" s="241">
        <f t="shared" si="9"/>
        <v>0</v>
      </c>
      <c r="N42" s="241">
        <f>SUM(I42:L42)</f>
        <v>0</v>
      </c>
      <c r="O42" s="238"/>
      <c r="P42" s="238"/>
    </row>
    <row r="43" spans="1:16" x14ac:dyDescent="0.25">
      <c r="A43" s="226" t="s">
        <v>74</v>
      </c>
      <c r="B43" s="230">
        <f t="shared" si="10"/>
        <v>237.3013607236</v>
      </c>
      <c r="C43" s="240">
        <v>1</v>
      </c>
      <c r="D43" s="239"/>
      <c r="E43" s="239"/>
      <c r="F43" s="239"/>
      <c r="G43" s="239"/>
      <c r="I43" s="237">
        <f t="shared" si="9"/>
        <v>1186506.8036179999</v>
      </c>
      <c r="J43" s="237">
        <f t="shared" si="9"/>
        <v>0</v>
      </c>
      <c r="K43" s="237">
        <f t="shared" si="9"/>
        <v>0</v>
      </c>
      <c r="L43" s="237">
        <f t="shared" si="9"/>
        <v>0</v>
      </c>
      <c r="M43" s="237">
        <f t="shared" si="9"/>
        <v>0</v>
      </c>
      <c r="N43" s="237">
        <f>SUM(I43:L43)</f>
        <v>1186506.8036179999</v>
      </c>
      <c r="O43" s="238"/>
      <c r="P43" s="238"/>
    </row>
    <row r="44" spans="1:16" x14ac:dyDescent="0.25">
      <c r="A44" s="228" t="s">
        <v>75</v>
      </c>
      <c r="B44" s="231">
        <f t="shared" si="10"/>
        <v>36.651832097819998</v>
      </c>
      <c r="C44" s="242">
        <v>0</v>
      </c>
      <c r="D44" s="242"/>
      <c r="E44" s="242"/>
      <c r="F44" s="242"/>
      <c r="G44" s="242"/>
      <c r="I44" s="241">
        <f t="shared" si="9"/>
        <v>0</v>
      </c>
      <c r="J44" s="241">
        <f t="shared" si="9"/>
        <v>0</v>
      </c>
      <c r="K44" s="241">
        <f t="shared" si="9"/>
        <v>0</v>
      </c>
      <c r="L44" s="241">
        <f t="shared" si="9"/>
        <v>0</v>
      </c>
      <c r="M44" s="241">
        <f t="shared" si="9"/>
        <v>0</v>
      </c>
      <c r="N44" s="241">
        <f>SUM(I44:L44)</f>
        <v>0</v>
      </c>
    </row>
    <row r="45" spans="1:16" x14ac:dyDescent="0.25">
      <c r="C45" s="243"/>
      <c r="D45" s="243"/>
      <c r="E45" s="243"/>
      <c r="F45" s="243"/>
      <c r="G45" s="243"/>
      <c r="I45" s="244">
        <f>SUM(I37:I44)</f>
        <v>1186506.8036179999</v>
      </c>
      <c r="J45" s="244">
        <f>SUM(J37:J44)</f>
        <v>3301337.770131859</v>
      </c>
      <c r="K45" s="244">
        <f>SUM(K37:K44)</f>
        <v>8236461.1556725316</v>
      </c>
      <c r="L45" s="244">
        <f>SUM(L37:L44)</f>
        <v>5063931.0557399914</v>
      </c>
      <c r="M45" s="244">
        <f>SUM(M37:M44)</f>
        <v>6351209.7982819034</v>
      </c>
      <c r="N45" s="245">
        <f>SUM(I45:M45)</f>
        <v>24139446.583444286</v>
      </c>
      <c r="O45" s="246"/>
      <c r="P45" s="238"/>
    </row>
    <row r="46" spans="1:16" x14ac:dyDescent="0.25">
      <c r="A46" s="226" t="s">
        <v>89</v>
      </c>
      <c r="B46" s="228"/>
      <c r="C46" s="247">
        <v>5.0000000000000001E-3</v>
      </c>
      <c r="D46" s="248">
        <v>6.2345034142929521E-3</v>
      </c>
      <c r="E46" s="248">
        <v>6.92079940784604E-3</v>
      </c>
      <c r="F46" s="248">
        <v>6.92079940784604E-3</v>
      </c>
      <c r="G46" s="248">
        <v>2.4390243902439025E-2</v>
      </c>
      <c r="H46" s="249"/>
    </row>
    <row r="47" spans="1:16" x14ac:dyDescent="0.25">
      <c r="C47" s="250"/>
    </row>
    <row r="50" spans="1:14" x14ac:dyDescent="0.25">
      <c r="A50" s="314" t="s">
        <v>348</v>
      </c>
    </row>
    <row r="52" spans="1:14" ht="31.5" x14ac:dyDescent="0.25">
      <c r="B52" s="234" t="s">
        <v>82</v>
      </c>
      <c r="C52" s="227" t="s">
        <v>83</v>
      </c>
      <c r="D52" s="227"/>
      <c r="E52" s="227"/>
      <c r="F52" s="227"/>
      <c r="G52" s="227"/>
      <c r="I52" s="227" t="s">
        <v>84</v>
      </c>
      <c r="J52" s="227"/>
      <c r="K52" s="227"/>
      <c r="L52" s="227"/>
      <c r="M52" s="227"/>
    </row>
    <row r="53" spans="1:14" x14ac:dyDescent="0.25">
      <c r="B53" s="227"/>
      <c r="C53" s="227" t="s">
        <v>57</v>
      </c>
      <c r="D53" s="227" t="s">
        <v>85</v>
      </c>
      <c r="E53" s="227" t="s">
        <v>86</v>
      </c>
      <c r="F53" s="227" t="s">
        <v>87</v>
      </c>
      <c r="G53" s="227" t="s">
        <v>88</v>
      </c>
      <c r="I53" s="227" t="s">
        <v>57</v>
      </c>
      <c r="J53" s="227" t="s">
        <v>85</v>
      </c>
      <c r="K53" s="227" t="s">
        <v>86</v>
      </c>
      <c r="L53" s="227" t="s">
        <v>87</v>
      </c>
      <c r="M53" s="227" t="s">
        <v>88</v>
      </c>
      <c r="N53" s="227" t="s">
        <v>63</v>
      </c>
    </row>
    <row r="54" spans="1:14" x14ac:dyDescent="0.25">
      <c r="A54" s="226" t="s">
        <v>68</v>
      </c>
      <c r="B54" s="230">
        <f>G6</f>
        <v>177.15</v>
      </c>
      <c r="C54" s="235">
        <v>0</v>
      </c>
      <c r="D54" s="236">
        <v>0.2</v>
      </c>
      <c r="E54" s="236">
        <v>0.4</v>
      </c>
      <c r="F54" s="236">
        <v>0.3</v>
      </c>
      <c r="G54" s="236">
        <v>0.1</v>
      </c>
      <c r="I54" s="237">
        <f t="shared" ref="I54:I61" si="11">$B54*C$46*C54*1000000</f>
        <v>0</v>
      </c>
      <c r="J54" s="237">
        <f>$B54*D$46*D54*1000000</f>
        <v>220888.45596839936</v>
      </c>
      <c r="K54" s="237">
        <f t="shared" ref="K54:K61" si="12">$B54*E$46*E54*1000000</f>
        <v>490407.84603997046</v>
      </c>
      <c r="L54" s="237">
        <f>$B54*F$46*F54*1000000</f>
        <v>367805.8845299778</v>
      </c>
      <c r="M54" s="237">
        <f t="shared" ref="M54:M61" si="13">$B54*G$46*G54*1000000</f>
        <v>432073.17073170736</v>
      </c>
      <c r="N54" s="237">
        <f>SUM(I54:M54)</f>
        <v>1511175.357270055</v>
      </c>
    </row>
    <row r="55" spans="1:14" x14ac:dyDescent="0.25">
      <c r="A55" s="228" t="s">
        <v>69</v>
      </c>
      <c r="B55" s="230">
        <f t="shared" ref="B55:B61" si="14">G7</f>
        <v>20.100000000000001</v>
      </c>
      <c r="C55" s="239"/>
      <c r="D55" s="240">
        <v>1</v>
      </c>
      <c r="E55" s="240"/>
      <c r="F55" s="240"/>
      <c r="G55" s="240"/>
      <c r="I55" s="241">
        <f t="shared" si="11"/>
        <v>0</v>
      </c>
      <c r="J55" s="241">
        <f t="shared" ref="J55:J57" si="15">$B55*D$46*D55*1000000</f>
        <v>125313.51862728834</v>
      </c>
      <c r="K55" s="241">
        <f t="shared" si="12"/>
        <v>0</v>
      </c>
      <c r="L55" s="241">
        <f t="shared" ref="L55:L61" si="16">$B55*F$46*F55*1000000</f>
        <v>0</v>
      </c>
      <c r="M55" s="241">
        <f t="shared" si="13"/>
        <v>0</v>
      </c>
      <c r="N55" s="241">
        <f>SUM(I55:M55)</f>
        <v>125313.51862728834</v>
      </c>
    </row>
    <row r="56" spans="1:14" x14ac:dyDescent="0.25">
      <c r="A56" s="226" t="s">
        <v>70</v>
      </c>
      <c r="B56" s="230">
        <f t="shared" si="14"/>
        <v>10.9</v>
      </c>
      <c r="C56" s="239"/>
      <c r="D56" s="240"/>
      <c r="E56" s="240">
        <v>0.7</v>
      </c>
      <c r="F56" s="240">
        <v>0.2</v>
      </c>
      <c r="G56" s="240">
        <v>0.1</v>
      </c>
      <c r="I56" s="237">
        <f t="shared" si="11"/>
        <v>0</v>
      </c>
      <c r="J56" s="237">
        <f t="shared" si="15"/>
        <v>0</v>
      </c>
      <c r="K56" s="237">
        <f t="shared" si="12"/>
        <v>52805.699481865282</v>
      </c>
      <c r="L56" s="237">
        <f t="shared" si="16"/>
        <v>15087.342709104369</v>
      </c>
      <c r="M56" s="237">
        <f t="shared" si="13"/>
        <v>26585.365853658539</v>
      </c>
      <c r="N56" s="237">
        <f>SUM(I56:M56)</f>
        <v>94478.408044628188</v>
      </c>
    </row>
    <row r="57" spans="1:14" x14ac:dyDescent="0.25">
      <c r="A57" s="228" t="s">
        <v>71</v>
      </c>
      <c r="B57" s="230">
        <f t="shared" si="14"/>
        <v>8.1999999999999993</v>
      </c>
      <c r="C57" s="239"/>
      <c r="D57" s="240"/>
      <c r="E57" s="240">
        <v>0.7</v>
      </c>
      <c r="F57" s="240">
        <v>0.2</v>
      </c>
      <c r="G57" s="240">
        <v>0.1</v>
      </c>
      <c r="I57" s="241">
        <f t="shared" si="11"/>
        <v>0</v>
      </c>
      <c r="J57" s="241">
        <f t="shared" si="15"/>
        <v>0</v>
      </c>
      <c r="K57" s="241">
        <f t="shared" si="12"/>
        <v>39725.388601036262</v>
      </c>
      <c r="L57" s="241">
        <f t="shared" si="16"/>
        <v>11350.111028867505</v>
      </c>
      <c r="M57" s="241">
        <f t="shared" si="13"/>
        <v>20000</v>
      </c>
      <c r="N57" s="241">
        <f>SUM(I57:M57)</f>
        <v>71075.499629903759</v>
      </c>
    </row>
    <row r="58" spans="1:14" x14ac:dyDescent="0.25">
      <c r="A58" s="226" t="s">
        <v>72</v>
      </c>
      <c r="B58" s="230">
        <f t="shared" si="14"/>
        <v>0</v>
      </c>
      <c r="C58" s="239"/>
      <c r="D58" s="240">
        <v>0.2</v>
      </c>
      <c r="E58" s="240">
        <v>0.4</v>
      </c>
      <c r="F58" s="240">
        <v>0.3</v>
      </c>
      <c r="G58" s="240">
        <v>0.1</v>
      </c>
      <c r="I58" s="237">
        <f t="shared" si="11"/>
        <v>0</v>
      </c>
      <c r="J58" s="237">
        <f>$B58*D$46*D58*1000000</f>
        <v>0</v>
      </c>
      <c r="K58" s="237">
        <f t="shared" si="12"/>
        <v>0</v>
      </c>
      <c r="L58" s="237">
        <f t="shared" si="16"/>
        <v>0</v>
      </c>
      <c r="M58" s="237">
        <f t="shared" si="13"/>
        <v>0</v>
      </c>
      <c r="N58" s="237">
        <f>SUM(I58:M58)</f>
        <v>0</v>
      </c>
    </row>
    <row r="59" spans="1:14" x14ac:dyDescent="0.25">
      <c r="A59" s="228" t="s">
        <v>73</v>
      </c>
      <c r="B59" s="230">
        <f t="shared" si="14"/>
        <v>26.2</v>
      </c>
      <c r="C59" s="239">
        <v>0</v>
      </c>
      <c r="D59" s="240">
        <v>0</v>
      </c>
      <c r="E59" s="240">
        <v>0</v>
      </c>
      <c r="F59" s="240">
        <v>0</v>
      </c>
      <c r="G59" s="240"/>
      <c r="I59" s="241">
        <f t="shared" si="11"/>
        <v>0</v>
      </c>
      <c r="J59" s="241">
        <f t="shared" ref="J59:J61" si="17">$B59*D$46*D59*1000000</f>
        <v>0</v>
      </c>
      <c r="K59" s="241">
        <f t="shared" si="12"/>
        <v>0</v>
      </c>
      <c r="L59" s="241">
        <f t="shared" si="16"/>
        <v>0</v>
      </c>
      <c r="M59" s="241">
        <f t="shared" si="13"/>
        <v>0</v>
      </c>
      <c r="N59" s="241">
        <f>SUM(I59:L59)</f>
        <v>0</v>
      </c>
    </row>
    <row r="60" spans="1:14" x14ac:dyDescent="0.25">
      <c r="A60" s="226" t="s">
        <v>74</v>
      </c>
      <c r="B60" s="230">
        <f t="shared" si="14"/>
        <v>23.8</v>
      </c>
      <c r="C60" s="240">
        <v>1</v>
      </c>
      <c r="D60" s="239"/>
      <c r="E60" s="239"/>
      <c r="F60" s="239"/>
      <c r="G60" s="239"/>
      <c r="I60" s="237">
        <f t="shared" si="11"/>
        <v>119000.00000000001</v>
      </c>
      <c r="J60" s="237">
        <f t="shared" si="17"/>
        <v>0</v>
      </c>
      <c r="K60" s="237">
        <f t="shared" si="12"/>
        <v>0</v>
      </c>
      <c r="L60" s="237">
        <f t="shared" si="16"/>
        <v>0</v>
      </c>
      <c r="M60" s="237">
        <f t="shared" si="13"/>
        <v>0</v>
      </c>
      <c r="N60" s="237">
        <f>SUM(I60:L60)</f>
        <v>119000.00000000001</v>
      </c>
    </row>
    <row r="61" spans="1:14" x14ac:dyDescent="0.25">
      <c r="A61" s="228" t="s">
        <v>75</v>
      </c>
      <c r="B61" s="230">
        <f t="shared" si="14"/>
        <v>5.15</v>
      </c>
      <c r="C61" s="242">
        <v>0</v>
      </c>
      <c r="D61" s="242"/>
      <c r="E61" s="242"/>
      <c r="F61" s="242"/>
      <c r="G61" s="242"/>
      <c r="I61" s="241">
        <f t="shared" si="11"/>
        <v>0</v>
      </c>
      <c r="J61" s="241">
        <f t="shared" si="17"/>
        <v>0</v>
      </c>
      <c r="K61" s="241">
        <f t="shared" si="12"/>
        <v>0</v>
      </c>
      <c r="L61" s="241">
        <f t="shared" si="16"/>
        <v>0</v>
      </c>
      <c r="M61" s="241">
        <f t="shared" si="13"/>
        <v>0</v>
      </c>
      <c r="N61" s="241">
        <f>SUM(I61:L61)</f>
        <v>0</v>
      </c>
    </row>
    <row r="62" spans="1:14" x14ac:dyDescent="0.25">
      <c r="C62" s="243"/>
      <c r="D62" s="243"/>
      <c r="E62" s="243"/>
      <c r="F62" s="243"/>
      <c r="G62" s="243"/>
      <c r="I62" s="244">
        <f>SUM(I54:I61)</f>
        <v>119000.00000000001</v>
      </c>
      <c r="J62" s="244">
        <f>SUM(J54:J61)</f>
        <v>346201.9745956877</v>
      </c>
      <c r="K62" s="244">
        <f>SUM(K54:K61)</f>
        <v>582938.93412287207</v>
      </c>
      <c r="L62" s="244">
        <f>SUM(L54:L61)</f>
        <v>394243.33826794964</v>
      </c>
      <c r="M62" s="244">
        <f>SUM(M54:M61)</f>
        <v>478658.53658536589</v>
      </c>
      <c r="N62" s="245">
        <f>SUM(I62:M62)</f>
        <v>1921042.7835718752</v>
      </c>
    </row>
    <row r="63" spans="1:14" x14ac:dyDescent="0.25">
      <c r="A63" s="226" t="s">
        <v>89</v>
      </c>
      <c r="B63" s="228"/>
      <c r="C63" s="247">
        <v>5.0000000000000001E-3</v>
      </c>
      <c r="D63" s="248">
        <v>6.2345034142929521E-3</v>
      </c>
      <c r="E63" s="248">
        <v>6.92079940784604E-3</v>
      </c>
      <c r="F63" s="248">
        <v>6.92079940784604E-3</v>
      </c>
      <c r="G63" s="248">
        <v>2.4390243902439025E-2</v>
      </c>
      <c r="H63" s="249"/>
    </row>
  </sheetData>
  <mergeCells count="2">
    <mergeCell ref="N4:N5"/>
    <mergeCell ref="J19:J20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227697F19F8B4DA3D5C2B74C50E32F" ma:contentTypeVersion="11" ma:contentTypeDescription="Create a new document." ma:contentTypeScope="" ma:versionID="b6aee784bd840b65af57fc2b35832e1c">
  <xsd:schema xmlns:xsd="http://www.w3.org/2001/XMLSchema" xmlns:xs="http://www.w3.org/2001/XMLSchema" xmlns:p="http://schemas.microsoft.com/office/2006/metadata/properties" xmlns:ns2="033d26b1-57eb-4b60-9c03-6b92d80595e4" xmlns:ns3="0f88fa1a-2dfd-460a-bd62-5264ee380bca" targetNamespace="http://schemas.microsoft.com/office/2006/metadata/properties" ma:root="true" ma:fieldsID="adee49a025b0f48a2887c5754bb363e6" ns2:_="" ns3:_="">
    <xsd:import namespace="033d26b1-57eb-4b60-9c03-6b92d80595e4"/>
    <xsd:import namespace="0f88fa1a-2dfd-460a-bd62-5264ee380b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3d26b1-57eb-4b60-9c03-6b92d80595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88fa1a-2dfd-460a-bd62-5264ee380b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7643D6F-D6DF-4066-9D95-785D67DF82EB}">
  <ds:schemaRefs>
    <ds:schemaRef ds:uri="http://schemas.microsoft.com/office/2006/metadata/properties"/>
    <ds:schemaRef ds:uri="033d26b1-57eb-4b60-9c03-6b92d80595e4"/>
    <ds:schemaRef ds:uri="http://purl.org/dc/elements/1.1/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0f88fa1a-2dfd-460a-bd62-5264ee380bca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5E85632-39AE-4041-B08E-67A56AE569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3d26b1-57eb-4b60-9c03-6b92d80595e4"/>
    <ds:schemaRef ds:uri="0f88fa1a-2dfd-460a-bd62-5264ee380b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12B0129-12BC-4410-96F8-6CA915F74FE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21</vt:i4>
      </vt:variant>
    </vt:vector>
  </HeadingPairs>
  <TitlesOfParts>
    <vt:vector size="40" baseType="lpstr">
      <vt:lpstr>Data</vt:lpstr>
      <vt:lpstr>Historic CDM</vt:lpstr>
      <vt:lpstr>Economic</vt:lpstr>
      <vt:lpstr>Weather</vt:lpstr>
      <vt:lpstr>Residential</vt:lpstr>
      <vt:lpstr>GS &lt; 50 kW</vt:lpstr>
      <vt:lpstr>GS &gt; 50 kW</vt:lpstr>
      <vt:lpstr>Rate Class Energy Model</vt:lpstr>
      <vt:lpstr>CDM Forecast</vt:lpstr>
      <vt:lpstr>Rate Class Customer Model</vt:lpstr>
      <vt:lpstr>Rate Class Load Model</vt:lpstr>
      <vt:lpstr>Summary</vt:lpstr>
      <vt:lpstr>Residential (WN)</vt:lpstr>
      <vt:lpstr>GS &lt; 50 kW (WN)</vt:lpstr>
      <vt:lpstr>GS &gt; 50 kW (WN)</vt:lpstr>
      <vt:lpstr>Residential (WN) Trend</vt:lpstr>
      <vt:lpstr>GS &lt; 50 kW (WN) Trend</vt:lpstr>
      <vt:lpstr>GS &gt; 50 kW (WN) Trend</vt:lpstr>
      <vt:lpstr>Demand Data</vt:lpstr>
      <vt:lpstr>'GS &lt; 50 kW'!Print_Area</vt:lpstr>
      <vt:lpstr>'GS &lt; 50 kW (WN)'!Print_Area</vt:lpstr>
      <vt:lpstr>'GS &lt; 50 kW (WN) Trend'!Print_Area</vt:lpstr>
      <vt:lpstr>'GS &gt; 50 kW'!Print_Area</vt:lpstr>
      <vt:lpstr>'GS &gt; 50 kW (WN)'!Print_Area</vt:lpstr>
      <vt:lpstr>'GS &gt; 50 kW (WN) Trend'!Print_Area</vt:lpstr>
      <vt:lpstr>'Rate Class Customer Model'!Print_Area</vt:lpstr>
      <vt:lpstr>'Rate Class Energy Model'!Print_Area</vt:lpstr>
      <vt:lpstr>'Rate Class Load Model'!Print_Area</vt:lpstr>
      <vt:lpstr>Residential!Print_Area</vt:lpstr>
      <vt:lpstr>'Residential (WN)'!Print_Area</vt:lpstr>
      <vt:lpstr>'Residential (WN) Trend'!Print_Area</vt:lpstr>
      <vt:lpstr>Summary!Print_Area</vt:lpstr>
      <vt:lpstr>'GS &lt; 50 kW'!Res_X</vt:lpstr>
      <vt:lpstr>'GS &lt; 50 kW (WN)'!Res_X</vt:lpstr>
      <vt:lpstr>'GS &lt; 50 kW (WN) Trend'!Res_X</vt:lpstr>
      <vt:lpstr>Res_X</vt:lpstr>
      <vt:lpstr>'GS &lt; 50 kW'!res_y</vt:lpstr>
      <vt:lpstr>'GS &lt; 50 kW (WN)'!res_y</vt:lpstr>
      <vt:lpstr>'GS &lt; 50 kW (WN) Trend'!res_y</vt:lpstr>
      <vt:lpstr>res_y</vt:lpstr>
    </vt:vector>
  </TitlesOfParts>
  <Manager/>
  <Company>London Hydro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Bruce Bacon</dc:creator>
  <cp:keywords/>
  <dc:description/>
  <cp:lastModifiedBy>Andrew Blair</cp:lastModifiedBy>
  <cp:revision/>
  <dcterms:created xsi:type="dcterms:W3CDTF">2008-02-06T18:24:44Z</dcterms:created>
  <dcterms:modified xsi:type="dcterms:W3CDTF">2022-07-20T16:27:09Z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M_Links_Updated">
    <vt:bool>true</vt:bool>
  </property>
  <property fmtid="{D5CDD505-2E9C-101B-9397-08002B2CF9AE}" pid="3" name="ContentTypeId">
    <vt:lpwstr>0x0101005B227697F19F8B4DA3D5C2B74C50E32F</vt:lpwstr>
  </property>
</Properties>
</file>